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goverclock/Desktop/期末作业数据/"/>
    </mc:Choice>
  </mc:AlternateContent>
  <xr:revisionPtr revIDLastSave="0" documentId="13_ncr:1_{4839ED98-E262-1F48-B353-A7B42AD25E4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results(已自动还原)" sheetId="1" r:id="rId1"/>
  </sheets>
  <definedNames>
    <definedName name="_xlnm._FilterDatabase" localSheetId="0" hidden="1">'results(已自动还原)'!$A$1:$F$9939</definedName>
    <definedName name="Z_2FC02EBE_2F0F_4F6E_87BF_61BA87938D00_.wvu.FilterData" localSheetId="0" hidden="1">'results(已自动还原)'!$C$1:$C$15001</definedName>
    <definedName name="Z_FBB5E5C1_C043_42D4_A551_44E896DECCFB_.wvu.FilterData" localSheetId="0" hidden="1">'results(已自动还原)'!$D$237:$D$249</definedName>
  </definedNames>
  <calcPr calcId="191029"/>
  <customWorkbookViews>
    <customWorkbookView name="过滤器1" guid="{2FC02EBE-2F0F-4F6E-87BF-61BA87938D00}" maximized="1" windowWidth="0" windowHeight="0" activeSheetId="0"/>
    <customWorkbookView name="过滤器2" guid="{FBB5E5C1-C043-42D4-A551-44E896DECCF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94" i="1" l="1"/>
  <c r="C1251" i="1"/>
  <c r="C15001" i="1" l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<sst xmlns="http://schemas.openxmlformats.org/spreadsheetml/2006/main" count="29523" uniqueCount="23210">
  <si>
    <t>title_translate</t>
  </si>
  <si>
    <t>title</t>
  </si>
  <si>
    <t>searchCount</t>
  </si>
  <si>
    <t xml:space="preserve">Coron-Related ( 1 yes, 0 not ) </t>
  </si>
  <si>
    <t xml:space="preserve"> 2020-01-01 08:24:01</t>
  </si>
  <si>
    <t xml:space="preserve"> 2019-12-31 20:54:02</t>
  </si>
  <si>
    <t>谢娜的主持</t>
  </si>
  <si>
    <t xml:space="preserve"> 2020-01-01 00:52:01</t>
  </si>
  <si>
    <t xml:space="preserve"> 2019-12-31 16:46:01</t>
  </si>
  <si>
    <t>跨年</t>
  </si>
  <si>
    <t xml:space="preserve"> 2020-01-01 08:34:02</t>
  </si>
  <si>
    <t xml:space="preserve"> 2019-12-31 22:22:02</t>
  </si>
  <si>
    <t>易烊千玺太A了</t>
  </si>
  <si>
    <t xml:space="preserve"> 2020-01-01 12:58:02</t>
  </si>
  <si>
    <t xml:space="preserve"> 2019-12-31 21:08:01</t>
  </si>
  <si>
    <t>假唱</t>
  </si>
  <si>
    <t xml:space="preserve"> 2020-01-01 08:04:01</t>
  </si>
  <si>
    <t xml:space="preserve"> 2019-12-31 22:50:01</t>
  </si>
  <si>
    <t>王一博水中唱跳</t>
  </si>
  <si>
    <t xml:space="preserve"> 2020-01-01 10:24:02</t>
  </si>
  <si>
    <t xml:space="preserve"> 2019-12-31 18:38:02</t>
  </si>
  <si>
    <t>跨年文案</t>
  </si>
  <si>
    <t xml:space="preserve"> 2020-01-01 11:06:01</t>
  </si>
  <si>
    <t xml:space="preserve"> 2019-12-31 22:48:02</t>
  </si>
  <si>
    <t>重庆解放碑跨年</t>
  </si>
  <si>
    <t xml:space="preserve"> 2020-01-01 11:22:02</t>
  </si>
  <si>
    <t xml:space="preserve"> 2019-12-31 22:34:02</t>
  </si>
  <si>
    <t>林郑月娥慰问香港警队</t>
  </si>
  <si>
    <t xml:space="preserve"> 2020-01-01 07:34:02</t>
  </si>
  <si>
    <t xml:space="preserve"> 2019-12-31 20:10:02</t>
  </si>
  <si>
    <t>浙江卫视跨年节目单</t>
  </si>
  <si>
    <t xml:space="preserve"> 2020-01-01 01:18:01</t>
  </si>
  <si>
    <t xml:space="preserve"> 2019-12-31 22:44:02</t>
  </si>
  <si>
    <t>死者家属不认同丽江反杀案撤诉</t>
  </si>
  <si>
    <t xml:space="preserve"> 2020-01-01 07:24:01</t>
  </si>
  <si>
    <t xml:space="preserve"> 2019-12-31 21:32:01</t>
  </si>
  <si>
    <t>迪丽热巴 唱跳</t>
  </si>
  <si>
    <t xml:space="preserve"> 2020-01-01 09:42:02</t>
  </si>
  <si>
    <t xml:space="preserve"> 2019-12-06 22:28:02</t>
  </si>
  <si>
    <t>晚安短信计划</t>
  </si>
  <si>
    <t xml:space="preserve"> 2020-01-02 04:42:02</t>
  </si>
  <si>
    <t>悉尼烟花</t>
  </si>
  <si>
    <t xml:space="preserve"> 2019-12-31 20:14:02</t>
  </si>
  <si>
    <t>东方卫视跨年</t>
  </si>
  <si>
    <t xml:space="preserve"> 2020-01-01 07:38:02</t>
  </si>
  <si>
    <t xml:space="preserve"> 2019-12-31 20:34:02</t>
  </si>
  <si>
    <t>杨幂腾格尔王晨艺 野狼disco</t>
  </si>
  <si>
    <t xml:space="preserve"> 2020-01-01 11:08:02</t>
  </si>
  <si>
    <t xml:space="preserve"> 2019-12-31 23:30:02</t>
  </si>
  <si>
    <t>2020头像</t>
  </si>
  <si>
    <t xml:space="preserve"> 2019-12-31 23:26:02</t>
  </si>
  <si>
    <t>日本跨年</t>
  </si>
  <si>
    <t xml:space="preserve"> 2020-01-01 12:10:02</t>
  </si>
  <si>
    <t>外滩跨年</t>
  </si>
  <si>
    <t xml:space="preserve"> 2020-01-01 10:10:01</t>
  </si>
  <si>
    <t xml:space="preserve"> 2019-12-31 23:18:01</t>
  </si>
  <si>
    <t>2020本命年</t>
  </si>
  <si>
    <t xml:space="preserve"> 2020-01-01 00:20:02</t>
  </si>
  <si>
    <t xml:space="preserve"> 2019-12-31 21:42:01</t>
  </si>
  <si>
    <t>湖南台女主持妆发</t>
  </si>
  <si>
    <t xml:space="preserve"> 2020-01-01 00:30:01</t>
  </si>
  <si>
    <t xml:space="preserve"> 2019-12-31 19:40:01</t>
  </si>
  <si>
    <t>跨年晚会</t>
  </si>
  <si>
    <t xml:space="preserve"> 2020-01-01 07:52:01</t>
  </si>
  <si>
    <t xml:space="preserve"> 2019-12-31 17:16:02</t>
  </si>
  <si>
    <t>一张照片告别2019</t>
  </si>
  <si>
    <t>寒山寺钟声</t>
  </si>
  <si>
    <t xml:space="preserve"> 2020-01-01 11:00:02</t>
  </si>
  <si>
    <t xml:space="preserve"> 2019-12-31 23:06:02</t>
  </si>
  <si>
    <t>广州塔跨年</t>
  </si>
  <si>
    <t>张靓颖连唱8首歌</t>
  </si>
  <si>
    <t xml:space="preserve"> 2020-01-01 07:44:01</t>
  </si>
  <si>
    <t>梁静茹唱分手快乐</t>
  </si>
  <si>
    <t xml:space="preserve"> 2020-01-01 07:56:02</t>
  </si>
  <si>
    <t xml:space="preserve"> 2019-12-31 17:58:01</t>
  </si>
  <si>
    <t>最真实的跨年状态</t>
  </si>
  <si>
    <t xml:space="preserve"> 2020-01-01 07:18:02</t>
  </si>
  <si>
    <t xml:space="preserve"> 2019-12-31 14:12:01</t>
  </si>
  <si>
    <t>荷兰没有改名</t>
  </si>
  <si>
    <t xml:space="preserve"> 2019-12-31 23:46:02</t>
  </si>
  <si>
    <t>新年快乐</t>
  </si>
  <si>
    <t xml:space="preserve"> 2020-01-01 07:14:02</t>
  </si>
  <si>
    <t>听林俊杰的串烧好过瘾</t>
  </si>
  <si>
    <t xml:space="preserve"> 2020-01-01 08:36:01</t>
  </si>
  <si>
    <t xml:space="preserve"> 2019-12-31 22:16:01</t>
  </si>
  <si>
    <t>朱广权主持B站跨年</t>
  </si>
  <si>
    <t xml:space="preserve"> 2020-01-01 07:06:02</t>
  </si>
  <si>
    <t xml:space="preserve"> 2019-12-31 22:56:02</t>
  </si>
  <si>
    <t>2020新年签</t>
  </si>
  <si>
    <t xml:space="preserve"> 2019-12-31 10:16:02</t>
  </si>
  <si>
    <t>元旦施行的新规</t>
  </si>
  <si>
    <t xml:space="preserve"> 2020-01-01 10:22:02</t>
  </si>
  <si>
    <t xml:space="preserve"> 2019-12-31 22:14:02</t>
  </si>
  <si>
    <t>幼儿园小朋友用矿泉水桶当鼓</t>
  </si>
  <si>
    <t xml:space="preserve"> 2019-12-31 21:52:01</t>
  </si>
  <si>
    <t>花泽香菜汪苏泷有点甜</t>
  </si>
  <si>
    <t xml:space="preserve"> 2020-01-01 00:32:02</t>
  </si>
  <si>
    <t xml:space="preserve"> 2019-12-31 18:40:01</t>
  </si>
  <si>
    <t>林峯张馨月结婚</t>
  </si>
  <si>
    <t xml:space="preserve"> 2020-01-01 08:50:02</t>
  </si>
  <si>
    <t xml:space="preserve"> 2019-12-31 21:48:01</t>
  </si>
  <si>
    <t>我的跨年只是熬夜</t>
  </si>
  <si>
    <t xml:space="preserve"> 2020-01-01 08:42:02</t>
  </si>
  <si>
    <t xml:space="preserve"> 2019-12-31 23:48:01</t>
  </si>
  <si>
    <t>跨年最佳地点</t>
  </si>
  <si>
    <t xml:space="preserve"> 2020-01-01 08:40:01</t>
  </si>
  <si>
    <t xml:space="preserve"> 2019-12-31 19:06:02</t>
  </si>
  <si>
    <t>红白歌会</t>
  </si>
  <si>
    <t xml:space="preserve"> 2019-12-31 21:24:02</t>
  </si>
  <si>
    <t>张雨绮与壹心解约</t>
  </si>
  <si>
    <t xml:space="preserve"> 2020-01-01 00:08:02</t>
  </si>
  <si>
    <t>金在奂表演放错歌</t>
  </si>
  <si>
    <t xml:space="preserve"> 2019-12-31 19:04:01</t>
  </si>
  <si>
    <t>元旦晚会表演踢木棍翻车</t>
  </si>
  <si>
    <t>MBC歌谣大祭典</t>
  </si>
  <si>
    <t xml:space="preserve"> 2020-01-01 10:08:02</t>
  </si>
  <si>
    <t>山东高铁</t>
  </si>
  <si>
    <t xml:space="preserve"> 2020-01-01 00:22:01</t>
  </si>
  <si>
    <t xml:space="preserve"> 2019-12-31 14:58:02</t>
  </si>
  <si>
    <t>一个人跨年不香吗</t>
  </si>
  <si>
    <t xml:space="preserve"> 2020-01-01 05:06:02</t>
  </si>
  <si>
    <t xml:space="preserve"> 2019-12-31 20:56:02</t>
  </si>
  <si>
    <t>成都高校免费请全校师生吃羊肉</t>
  </si>
  <si>
    <t xml:space="preserve"> 2020-01-01 00:04:01</t>
  </si>
  <si>
    <t xml:space="preserve"> 2019-12-31 16:10:02</t>
  </si>
  <si>
    <t>中式婚礼服有多美</t>
  </si>
  <si>
    <t xml:space="preserve"> 2020-01-01 06:56:01</t>
  </si>
  <si>
    <t xml:space="preserve"> 2019-12-31 14:30:02</t>
  </si>
  <si>
    <t>粥悦悦</t>
  </si>
  <si>
    <t xml:space="preserve"> 2020-01-01 19:46:02</t>
  </si>
  <si>
    <t xml:space="preserve"> 2020-01-01 11:02:02</t>
  </si>
  <si>
    <t>跨年收视率</t>
  </si>
  <si>
    <t xml:space="preserve"> 2020-01-01 17:20:01</t>
  </si>
  <si>
    <t xml:space="preserve"> 2020-01-01 10:30:02</t>
  </si>
  <si>
    <t>北京妇产医院首个20后宝宝</t>
  </si>
  <si>
    <t xml:space="preserve"> 2020-01-01 21:24:02</t>
  </si>
  <si>
    <t xml:space="preserve"> 2020-01-01 11:14:02</t>
  </si>
  <si>
    <t>郭富城听野狼disco是什么感受</t>
  </si>
  <si>
    <t xml:space="preserve"> 2020-01-01 17:42:02</t>
  </si>
  <si>
    <t xml:space="preserve"> 2020-01-01 09:28:01</t>
  </si>
  <si>
    <t>贺军翔</t>
  </si>
  <si>
    <t xml:space="preserve"> 2020-01-01 16:10:02</t>
  </si>
  <si>
    <t xml:space="preserve"> 2020-01-01 08:46:02</t>
  </si>
  <si>
    <t>Bella发文与高以翔告别</t>
  </si>
  <si>
    <t xml:space="preserve"> 2020-01-01 19:04:01</t>
  </si>
  <si>
    <t xml:space="preserve"> 2020-01-01 09:04:01</t>
  </si>
  <si>
    <t>2020有5个神奇的星期六</t>
  </si>
  <si>
    <t xml:space="preserve"> 2020-01-01 14:48:02</t>
  </si>
  <si>
    <t>90后超六成压力来自房和车</t>
  </si>
  <si>
    <t xml:space="preserve"> 2020-01-01 14:40:01</t>
  </si>
  <si>
    <t xml:space="preserve"> 2020-01-01 07:16:01</t>
  </si>
  <si>
    <t>新年第一场升旗</t>
  </si>
  <si>
    <t xml:space="preserve"> 2020-01-01 19:44:02</t>
  </si>
  <si>
    <t xml:space="preserve"> 2020-01-01 07:36:01</t>
  </si>
  <si>
    <t>湖南卫视乱切镜头的原因</t>
  </si>
  <si>
    <t xml:space="preserve"> 2020-01-01 15:16:02</t>
  </si>
  <si>
    <t>吴昕状态</t>
  </si>
  <si>
    <t xml:space="preserve"> 2020-01-01 14:32:01</t>
  </si>
  <si>
    <t xml:space="preserve"> 2020-01-01 08:48:01</t>
  </si>
  <si>
    <t>央视主持天团的2019</t>
  </si>
  <si>
    <t xml:space="preserve"> 2020-01-01 14:38:02</t>
  </si>
  <si>
    <t xml:space="preserve"> 2020-01-01 09:24:01</t>
  </si>
  <si>
    <t>首批九零后30了</t>
  </si>
  <si>
    <t xml:space="preserve"> 2020-01-01 09:26:02</t>
  </si>
  <si>
    <t>宠爱彩蛋</t>
  </si>
  <si>
    <t xml:space="preserve"> 2020-01-01 15:00:02</t>
  </si>
  <si>
    <t>2020拼假日历</t>
  </si>
  <si>
    <t xml:space="preserve"> 2020-01-02 03:54:02</t>
  </si>
  <si>
    <t xml:space="preserve"> 2020-01-01 10:26:02</t>
  </si>
  <si>
    <t>支付宝红包</t>
  </si>
  <si>
    <t xml:space="preserve"> 2020-01-01 19:50:02</t>
  </si>
  <si>
    <t xml:space="preserve"> 2020-01-01 08:44:02</t>
  </si>
  <si>
    <t>D社</t>
  </si>
  <si>
    <t xml:space="preserve"> 2020-01-01 16:50:01</t>
  </si>
  <si>
    <t xml:space="preserve"> 2020-01-01 10:46:02</t>
  </si>
  <si>
    <t>2020年考证时间表</t>
  </si>
  <si>
    <t xml:space="preserve"> 2020-01-01 14:46:01</t>
  </si>
  <si>
    <t>李宇春表演途中擦掉口红</t>
  </si>
  <si>
    <t xml:space="preserve"> 2020-01-01 17:12:01</t>
  </si>
  <si>
    <t xml:space="preserve"> 2020-01-01 11:10:01</t>
  </si>
  <si>
    <t>去年的外卖送到了今年</t>
  </si>
  <si>
    <t xml:space="preserve"> 2020-01-01 11:18:02</t>
  </si>
  <si>
    <t>联合国员工曝光阿桑奇现状</t>
  </si>
  <si>
    <t>和姐妹聊天的虎狼之词</t>
  </si>
  <si>
    <t xml:space="preserve"> 2020-01-01 15:50:01</t>
  </si>
  <si>
    <t xml:space="preserve"> 2020-01-01 11:28:02</t>
  </si>
  <si>
    <t>四川自贡地震</t>
  </si>
  <si>
    <t xml:space="preserve"> 2020-01-01 18:02:01</t>
  </si>
  <si>
    <t xml:space="preserve"> 2020-01-01 11:46:02</t>
  </si>
  <si>
    <t>倪妮 有1说1表情包</t>
  </si>
  <si>
    <t xml:space="preserve"> 2020-01-01 17:14:01</t>
  </si>
  <si>
    <t xml:space="preserve"> 2020-01-01 10:28:02</t>
  </si>
  <si>
    <t>王一博丸子头</t>
  </si>
  <si>
    <t xml:space="preserve"> 2020-01-01 16:08:01</t>
  </si>
  <si>
    <t xml:space="preserve"> 2020-01-01 00:10:02</t>
  </si>
  <si>
    <t>2020新年快乐</t>
  </si>
  <si>
    <t xml:space="preserve"> 2020-01-01 09:40:01</t>
  </si>
  <si>
    <t>小时候觉得会结婚的年纪</t>
  </si>
  <si>
    <t xml:space="preserve"> 2020-01-01 13:20:02</t>
  </si>
  <si>
    <t>全面小康</t>
  </si>
  <si>
    <t xml:space="preserve"> 2020-01-01 16:48:02</t>
  </si>
  <si>
    <t xml:space="preserve"> 2020-01-01 08:30:02</t>
  </si>
  <si>
    <t>杨幂的RAP</t>
  </si>
  <si>
    <t xml:space="preserve"> 2020-01-01 13:52:02</t>
  </si>
  <si>
    <t xml:space="preserve"> 2020-01-01 10:50:02</t>
  </si>
  <si>
    <t>肖战余年MV</t>
  </si>
  <si>
    <t xml:space="preserve"> 2020-01-01 13:10:02</t>
  </si>
  <si>
    <t xml:space="preserve"> 2020-01-01 09:44:01</t>
  </si>
  <si>
    <t>什么样的男朋友最撩人</t>
  </si>
  <si>
    <t xml:space="preserve"> 2020-01-01 13:16:02</t>
  </si>
  <si>
    <t xml:space="preserve"> 2020-01-01 07:54:02</t>
  </si>
  <si>
    <t>跟异性发生过最甜的事</t>
  </si>
  <si>
    <t xml:space="preserve"> 2020-01-01 14:20:01</t>
  </si>
  <si>
    <t>香港民建联发起2020祝愿平安请愿</t>
  </si>
  <si>
    <t>吴亦凡 抖抖手</t>
  </si>
  <si>
    <t xml:space="preserve"> 2020-01-01 07:58:01</t>
  </si>
  <si>
    <t>高天鹤刮胡子了</t>
  </si>
  <si>
    <t xml:space="preserve"> 2020-01-01 12:18:02</t>
  </si>
  <si>
    <t>伦敦跨年烟火</t>
  </si>
  <si>
    <t xml:space="preserve"> 2020-01-01 12:54:02</t>
  </si>
  <si>
    <t>大量野生东北虎豹珍贵画面</t>
  </si>
  <si>
    <t xml:space="preserve"> 2020-01-01 12:14:01</t>
  </si>
  <si>
    <t>群发祝福有必要回吗</t>
  </si>
  <si>
    <t xml:space="preserve"> 2020-01-01 13:32:02</t>
  </si>
  <si>
    <t xml:space="preserve"> 2020-01-01 07:40:01</t>
  </si>
  <si>
    <t>王一博 专业动作请勿模仿</t>
  </si>
  <si>
    <t xml:space="preserve"> 2020-01-01 12:08:01</t>
  </si>
  <si>
    <t>王嘉尔现场好炸</t>
  </si>
  <si>
    <t xml:space="preserve"> 2020-01-01 12:42:01</t>
  </si>
  <si>
    <t>2020年的第一缕阳光</t>
  </si>
  <si>
    <t xml:space="preserve"> 2020-01-01 12:16:02</t>
  </si>
  <si>
    <t>一封带着8个弹孔的入党申请书</t>
  </si>
  <si>
    <t xml:space="preserve"> 2020-01-01 12:20:02</t>
  </si>
  <si>
    <t>2019花最值得的一笔钱</t>
  </si>
  <si>
    <t>童子回应</t>
  </si>
  <si>
    <t xml:space="preserve"> 2020-01-01 01:04:02</t>
  </si>
  <si>
    <t>宠爱</t>
  </si>
  <si>
    <t>2020图片</t>
  </si>
  <si>
    <t>2019恋爱报告</t>
  </si>
  <si>
    <t xml:space="preserve"> 2020-01-01 12:06:01</t>
  </si>
  <si>
    <t>元旦升旗特别环节</t>
  </si>
  <si>
    <t xml:space="preserve"> 2020-01-02 13:12:01</t>
  </si>
  <si>
    <t xml:space="preserve"> 2020-01-01 21:26:01</t>
  </si>
  <si>
    <t>快本为何炅改播出时间</t>
  </si>
  <si>
    <t xml:space="preserve"> 2020-01-02 11:20:02</t>
  </si>
  <si>
    <t xml:space="preserve"> 2020-01-01 20:26:02</t>
  </si>
  <si>
    <t>橘子洲烟花</t>
  </si>
  <si>
    <t xml:space="preserve"> 2020-01-02 13:32:01</t>
  </si>
  <si>
    <t xml:space="preserve"> 2020-01-01 22:22:01</t>
  </si>
  <si>
    <t>庆余年大结局</t>
  </si>
  <si>
    <t xml:space="preserve"> 2020-01-02 11:02:02</t>
  </si>
  <si>
    <t xml:space="preserve"> 2020-01-01 22:36:01</t>
  </si>
  <si>
    <t>歌手首发阵容</t>
  </si>
  <si>
    <t xml:space="preserve"> 2020-01-02 12:00:02</t>
  </si>
  <si>
    <t xml:space="preserve"> 2020-01-01 22:18:02</t>
  </si>
  <si>
    <t>看过最油腻的霸道总裁</t>
  </si>
  <si>
    <t>何运晨李浩源邓冰莹拿到offer</t>
  </si>
  <si>
    <t xml:space="preserve"> 2020-01-02 11:14:01</t>
  </si>
  <si>
    <t xml:space="preserve"> 2020-01-01 23:16:01</t>
  </si>
  <si>
    <t>中国大陆新年的第一缕曙光</t>
  </si>
  <si>
    <t xml:space="preserve"> 2020-01-02 11:42:01</t>
  </si>
  <si>
    <t xml:space="preserve"> 2020-01-01 20:18:02</t>
  </si>
  <si>
    <t>外国领导人发表新年贺词</t>
  </si>
  <si>
    <t xml:space="preserve"> 2020-02-11 22:24:01</t>
  </si>
  <si>
    <t xml:space="preserve"> 2020-01-01 18:04:02</t>
  </si>
  <si>
    <t>唐一菲</t>
  </si>
  <si>
    <t xml:space="preserve"> 2020-01-02 11:38:01</t>
  </si>
  <si>
    <t xml:space="preserve"> 2020-01-01 20:36:02</t>
  </si>
  <si>
    <t>男粉偷亲黄子韬</t>
  </si>
  <si>
    <t xml:space="preserve"> 2020-01-02 10:30:01</t>
  </si>
  <si>
    <t xml:space="preserve"> 2020-01-01 22:24:01</t>
  </si>
  <si>
    <t>杜富国熟练使用平板电脑与战友视频</t>
  </si>
  <si>
    <t xml:space="preserve"> 2020-01-01 22:20:01</t>
  </si>
  <si>
    <t>故宫今年600岁了</t>
  </si>
  <si>
    <t xml:space="preserve"> 2020-01-02 08:52:02</t>
  </si>
  <si>
    <t xml:space="preserve"> 2020-01-01 20:00:02</t>
  </si>
  <si>
    <t>新疆和田西瓜烤肉</t>
  </si>
  <si>
    <t xml:space="preserve"> 2020-01-02 08:28:02</t>
  </si>
  <si>
    <t xml:space="preserve"> 2020-01-01 21:06:02</t>
  </si>
  <si>
    <t>佳木斯东郊机场火灾</t>
  </si>
  <si>
    <t xml:space="preserve"> 2020-01-02 07:12:02</t>
  </si>
  <si>
    <t xml:space="preserve"> 2020-01-01 18:58:02</t>
  </si>
  <si>
    <t>42万游客上海外滩跨年</t>
  </si>
  <si>
    <t xml:space="preserve"> 2020-01-02 07:46:02</t>
  </si>
  <si>
    <t xml:space="preserve"> 2020-01-01 22:50:02</t>
  </si>
  <si>
    <t>郑恩地</t>
  </si>
  <si>
    <t xml:space="preserve"> 2020-02-08 11:12:02</t>
  </si>
  <si>
    <t xml:space="preserve"> 2020-01-01 23:04:01</t>
  </si>
  <si>
    <t>歌手当打之年</t>
  </si>
  <si>
    <t xml:space="preserve"> 2020-01-02 10:34:01</t>
  </si>
  <si>
    <t xml:space="preserve"> 2019-12-21 23:32:02</t>
  </si>
  <si>
    <t>身为一个胖子</t>
  </si>
  <si>
    <t xml:space="preserve"> 2020-01-02 07:28:01</t>
  </si>
  <si>
    <t>王俊凯期末北电公演</t>
  </si>
  <si>
    <t xml:space="preserve"> 2020-01-02 13:10:02</t>
  </si>
  <si>
    <t xml:space="preserve"> 2019-11-07 08:30:01</t>
  </si>
  <si>
    <t>令人心动的offer</t>
  </si>
  <si>
    <t xml:space="preserve"> 2020-01-02 10:46:02</t>
  </si>
  <si>
    <t xml:space="preserve"> 2020-01-01 19:34:02</t>
  </si>
  <si>
    <t>公司年终奖发200万湖景房</t>
  </si>
  <si>
    <t xml:space="preserve"> 2020-01-02 08:02:02</t>
  </si>
  <si>
    <t xml:space="preserve"> 2020-01-01 17:02:02</t>
  </si>
  <si>
    <t>女生最烦男生发什么朋友圈</t>
  </si>
  <si>
    <t xml:space="preserve"> 2020-01-02 08:36:01</t>
  </si>
  <si>
    <t xml:space="preserve"> 2020-01-01 19:18:02</t>
  </si>
  <si>
    <t>以为明年狼年</t>
  </si>
  <si>
    <t xml:space="preserve"> 2020-01-02 06:24:02</t>
  </si>
  <si>
    <t>何雯娜产女</t>
  </si>
  <si>
    <t xml:space="preserve"> 2020-01-02 10:12:01</t>
  </si>
  <si>
    <t>吴宗宪唱到一半陌生男骑车冲上台</t>
  </si>
  <si>
    <t xml:space="preserve"> 2020-01-02 09:40:01</t>
  </si>
  <si>
    <t xml:space="preserve"> 2020-01-01 20:40:01</t>
  </si>
  <si>
    <t>四川卫视新年演唱会</t>
  </si>
  <si>
    <t xml:space="preserve"> 2020-01-02 10:06:02</t>
  </si>
  <si>
    <t xml:space="preserve"> 2020-01-01 22:30:02</t>
  </si>
  <si>
    <t>武汉海洋公园四角山羊</t>
  </si>
  <si>
    <t xml:space="preserve"> 2020-01-02 10:32:02</t>
  </si>
  <si>
    <t>香港17名反对派区议员涉暴被捕</t>
  </si>
  <si>
    <t xml:space="preserve"> 2020-01-02 07:10:02</t>
  </si>
  <si>
    <t xml:space="preserve"> 2020-01-01 19:58:02</t>
  </si>
  <si>
    <t>重庆被跳楼者砸死女生已安葬</t>
  </si>
  <si>
    <t xml:space="preserve"> 2020-01-01 22:04:02</t>
  </si>
  <si>
    <t>毛不易加盟歌手</t>
  </si>
  <si>
    <t xml:space="preserve"> 2020-01-02 11:40:02</t>
  </si>
  <si>
    <t xml:space="preserve"> 2020-01-01 20:50:02</t>
  </si>
  <si>
    <t>鹿晗吃播</t>
  </si>
  <si>
    <t xml:space="preserve"> 2020-01-02 10:16:01</t>
  </si>
  <si>
    <t xml:space="preserve"> 2020-01-01 17:56:01</t>
  </si>
  <si>
    <t>重庆加州花园</t>
  </si>
  <si>
    <t xml:space="preserve"> 2020-01-02 10:08:01</t>
  </si>
  <si>
    <t xml:space="preserve"> 2020-01-01 14:42:01</t>
  </si>
  <si>
    <t>告台湾同胞书41周年</t>
  </si>
  <si>
    <t xml:space="preserve"> 2020-01-02 10:24:01</t>
  </si>
  <si>
    <t>郑爽律师致信鲸乖乖公司</t>
  </si>
  <si>
    <t xml:space="preserve"> 2020-01-01 22:52:02</t>
  </si>
  <si>
    <t>周深加盟歌手</t>
  </si>
  <si>
    <t xml:space="preserve"> 2020-01-01 20:28:02</t>
  </si>
  <si>
    <t>66.66公里跑出鼠年图案</t>
  </si>
  <si>
    <t xml:space="preserve"> 2020-01-02 07:58:01</t>
  </si>
  <si>
    <t xml:space="preserve"> 2020-01-01 16:52:01</t>
  </si>
  <si>
    <t>十年的狗vs一年的男友</t>
  </si>
  <si>
    <t xml:space="preserve"> 2020-01-01 22:34:02</t>
  </si>
  <si>
    <t>晚安计划</t>
  </si>
  <si>
    <t xml:space="preserve"> 2020-01-02 07:32:01</t>
  </si>
  <si>
    <t>星辰大海MV动图</t>
  </si>
  <si>
    <t xml:space="preserve"> 2020-01-02 09:06:02</t>
  </si>
  <si>
    <t>2000年你在做什么</t>
  </si>
  <si>
    <t xml:space="preserve"> 2020-01-02 08:30:02</t>
  </si>
  <si>
    <t xml:space="preserve"> 2020-01-01 22:00:01</t>
  </si>
  <si>
    <t>江苏主教练与球迷冲突</t>
  </si>
  <si>
    <t xml:space="preserve"> 2020-01-01 15:10:02</t>
  </si>
  <si>
    <t>鹿晗 我就是胖着玩</t>
  </si>
  <si>
    <t xml:space="preserve"> 2020-01-02 09:10:02</t>
  </si>
  <si>
    <t xml:space="preserve"> 2020-01-01 16:58:01</t>
  </si>
  <si>
    <t>未成年练习生解约赔经纪公司三百万</t>
  </si>
  <si>
    <t xml:space="preserve"> 2020-01-01 23:02:02</t>
  </si>
  <si>
    <t>电影频道M榜</t>
  </si>
  <si>
    <t xml:space="preserve"> 2020-01-02 07:50:01</t>
  </si>
  <si>
    <t xml:space="preserve"> 2020-01-01 23:48:02</t>
  </si>
  <si>
    <t>2019中国星空最美画卷</t>
  </si>
  <si>
    <t xml:space="preserve"> 2020-01-02 07:36:01</t>
  </si>
  <si>
    <t>西班牙跨年要吃12颗葡萄</t>
  </si>
  <si>
    <t xml:space="preserve"> 2020-01-02 03:36:02</t>
  </si>
  <si>
    <t>100秒看中国各地新年清晨美景</t>
  </si>
  <si>
    <t xml:space="preserve"> 2020-01-02 08:42:02</t>
  </si>
  <si>
    <t xml:space="preserve"> 2020-01-01 17:22:02</t>
  </si>
  <si>
    <t>日产前CEO藏乐器盒中逃离日本</t>
  </si>
  <si>
    <t xml:space="preserve"> 2020-01-02 17:58:02</t>
  </si>
  <si>
    <t xml:space="preserve"> 2020-01-02 11:24:02</t>
  </si>
  <si>
    <t>王菲李亚鹏周迅窦靖童参加新年派对</t>
  </si>
  <si>
    <t xml:space="preserve"> 2020-01-02 19:02:02</t>
  </si>
  <si>
    <t xml:space="preserve"> 2020-01-02 11:18:01</t>
  </si>
  <si>
    <t>台湾一架黑鹰直升机迫降</t>
  </si>
  <si>
    <t xml:space="preserve"> 2020-01-02 16:06:01</t>
  </si>
  <si>
    <t>吴奇隆刘诗诗带儿子游迪士尼</t>
  </si>
  <si>
    <t xml:space="preserve"> 2020-01-02 16:18:01</t>
  </si>
  <si>
    <t xml:space="preserve"> 2020-01-02 07:54:01</t>
  </si>
  <si>
    <t>靠在许嵩肩上的是沈月</t>
  </si>
  <si>
    <t xml:space="preserve"> 2020-01-03 16:14:01</t>
  </si>
  <si>
    <t>长江十年禁渔</t>
  </si>
  <si>
    <t xml:space="preserve"> 2020-01-02 15:20:02</t>
  </si>
  <si>
    <t>章莹颖家人民事诉讼被驳回</t>
  </si>
  <si>
    <t xml:space="preserve"> 2020-01-02 17:40:02</t>
  </si>
  <si>
    <t xml:space="preserve"> 2020-01-02 09:42:02</t>
  </si>
  <si>
    <t>2020年和即将到来的鼠年都是闰年</t>
  </si>
  <si>
    <t xml:space="preserve"> 2020-01-02 16:26:01</t>
  </si>
  <si>
    <t xml:space="preserve"> 2020-01-02 10:28:01</t>
  </si>
  <si>
    <t>常程加入小米</t>
  </si>
  <si>
    <t xml:space="preserve"> 2020-01-02 16:38:01</t>
  </si>
  <si>
    <t>失信名单设置1至3个月宽限期</t>
  </si>
  <si>
    <t xml:space="preserve"> 2020-01-02 14:30:02</t>
  </si>
  <si>
    <t xml:space="preserve"> 2020-01-02 07:38:02</t>
  </si>
  <si>
    <t>所属社承认金希澈MOMO恋情</t>
  </si>
  <si>
    <t xml:space="preserve"> 2020-01-02 15:40:02</t>
  </si>
  <si>
    <t xml:space="preserve"> 2020-01-02 10:18:01</t>
  </si>
  <si>
    <t>雍和宫腊八舍粥</t>
  </si>
  <si>
    <t xml:space="preserve"> 2020-01-02 21:00:02</t>
  </si>
  <si>
    <t>腊八节</t>
  </si>
  <si>
    <t xml:space="preserve"> 2020-01-02 15:52:02</t>
  </si>
  <si>
    <t>百年故宫妆容</t>
  </si>
  <si>
    <t xml:space="preserve"> 2020-01-02 12:22:02</t>
  </si>
  <si>
    <t xml:space="preserve"> 2020-01-02 10:52:02</t>
  </si>
  <si>
    <t>王凯假视频案胜诉</t>
  </si>
  <si>
    <t xml:space="preserve"> 2020-01-02 10:58:01</t>
  </si>
  <si>
    <t>得知前任结婚的瞬间</t>
  </si>
  <si>
    <t xml:space="preserve"> 2020-01-02 10:26:02</t>
  </si>
  <si>
    <t>有翡新剧照</t>
  </si>
  <si>
    <t xml:space="preserve"> 2020-01-02 17:30:01</t>
  </si>
  <si>
    <t xml:space="preserve"> 2020-01-02 09:32:01</t>
  </si>
  <si>
    <t>做心肺复苏压断老太12根肋骨</t>
  </si>
  <si>
    <t xml:space="preserve"> 2020-01-02 19:16:02</t>
  </si>
  <si>
    <t xml:space="preserve"> 2020-01-02 11:48:02</t>
  </si>
  <si>
    <t>海底捞辅导小学生做作业</t>
  </si>
  <si>
    <t xml:space="preserve"> 2020-01-02 12:08:02</t>
  </si>
  <si>
    <t xml:space="preserve"> 2020-01-02 08:54:02</t>
  </si>
  <si>
    <t>滨崎步生子</t>
  </si>
  <si>
    <t xml:space="preserve"> 2020-01-02 15:56:02</t>
  </si>
  <si>
    <t xml:space="preserve"> 2020-01-02 11:08:02</t>
  </si>
  <si>
    <t>蓬莱间定档</t>
  </si>
  <si>
    <t xml:space="preserve"> 2020-01-02 14:02:02</t>
  </si>
  <si>
    <t>写论文模拟器</t>
  </si>
  <si>
    <t xml:space="preserve"> 2020-01-02 14:58:02</t>
  </si>
  <si>
    <t xml:space="preserve"> 2020-01-02 06:14:01</t>
  </si>
  <si>
    <t>NBA前总裁斯特恩去世</t>
  </si>
  <si>
    <t xml:space="preserve"> 2020-01-02 15:38:02</t>
  </si>
  <si>
    <t>微胖的女生有多可爱</t>
  </si>
  <si>
    <t>女生讨厌粉色到喜欢的过程</t>
  </si>
  <si>
    <t>美国政府收紧签证政策</t>
  </si>
  <si>
    <t xml:space="preserve"> 2020-01-02 15:46:02</t>
  </si>
  <si>
    <t xml:space="preserve"> 2020-01-02 08:44:01</t>
  </si>
  <si>
    <t>重庆火灾初查系阳台起火</t>
  </si>
  <si>
    <t xml:space="preserve"> 2020-01-02 09:12:02</t>
  </si>
  <si>
    <t>校长为全校594名学子手写新年祝福</t>
  </si>
  <si>
    <t xml:space="preserve"> 2020-01-02 15:28:02</t>
  </si>
  <si>
    <t>扔硬币致航班取消被判赔12万</t>
  </si>
  <si>
    <t xml:space="preserve"> 2020-01-02 13:24:01</t>
  </si>
  <si>
    <t xml:space="preserve"> 2020-01-02 09:30:02</t>
  </si>
  <si>
    <t>新年第一天就遭遇滑铁卢</t>
  </si>
  <si>
    <t xml:space="preserve"> 2020-01-02 11:28:01</t>
  </si>
  <si>
    <t>成都文殊院将发放30万份腊八粥</t>
  </si>
  <si>
    <t xml:space="preserve"> 2020-01-02 14:22:02</t>
  </si>
  <si>
    <t xml:space="preserve"> 2020-01-02 09:46:01</t>
  </si>
  <si>
    <t>女孩DIY塑料袋礼服走红</t>
  </si>
  <si>
    <t xml:space="preserve"> 2020-01-02 13:26:02</t>
  </si>
  <si>
    <t>恋爱中最舒服的关系是什么</t>
  </si>
  <si>
    <t xml:space="preserve"> 2020-01-02 12:32:02</t>
  </si>
  <si>
    <t>提离职被老板挽留该留下吗</t>
  </si>
  <si>
    <t xml:space="preserve"> 2020-01-02 07:14:01</t>
  </si>
  <si>
    <t>宋茜白色西装</t>
  </si>
  <si>
    <t xml:space="preserve"> 2020-01-02 14:32:01</t>
  </si>
  <si>
    <t>招财猫咪包包</t>
  </si>
  <si>
    <t xml:space="preserve"> 2020-01-02 12:24:01</t>
  </si>
  <si>
    <t xml:space="preserve"> 2020-01-02 09:00:02</t>
  </si>
  <si>
    <t>你找对象的标准有多高</t>
  </si>
  <si>
    <t xml:space="preserve"> 2020-01-02 15:06:01</t>
  </si>
  <si>
    <t>腊八吃啥</t>
  </si>
  <si>
    <t xml:space="preserve"> 2020-01-02 14:38:02</t>
  </si>
  <si>
    <t xml:space="preserve"> 2020-01-02 11:50:01</t>
  </si>
  <si>
    <t>朱一龙帮毛阿敏提裙摆</t>
  </si>
  <si>
    <t xml:space="preserve"> 2020-01-02 10:20:02</t>
  </si>
  <si>
    <t>2020第一个工作日</t>
  </si>
  <si>
    <t>港警强力执法拘捕400暴徒</t>
  </si>
  <si>
    <t xml:space="preserve"> 2020-01-02 10:48:02</t>
  </si>
  <si>
    <t>山西省全面取缔P2P业务</t>
  </si>
  <si>
    <t xml:space="preserve"> 2020-01-02 12:12:01</t>
  </si>
  <si>
    <t>你有哪些坚持了很久的爱好</t>
  </si>
  <si>
    <t xml:space="preserve"> 2020-01-02 13:16:02</t>
  </si>
  <si>
    <t xml:space="preserve"> 2020-01-02 11:26:02</t>
  </si>
  <si>
    <t>在宇宙空间站拧带水的毛巾</t>
  </si>
  <si>
    <t xml:space="preserve"> 2020-01-02 12:20:01</t>
  </si>
  <si>
    <t>江豚水上表演吐水转圈圈</t>
  </si>
  <si>
    <t xml:space="preserve"> 2020-01-02 12:16:01</t>
  </si>
  <si>
    <t>看完武打片后与床过招</t>
  </si>
  <si>
    <t xml:space="preserve"> 2020-01-03 11:10:02</t>
  </si>
  <si>
    <t xml:space="preserve"> 2020-01-02 21:30:02</t>
  </si>
  <si>
    <t>杜江 努力是最不值得一提的事</t>
  </si>
  <si>
    <t xml:space="preserve"> 2020-01-03 13:30:02</t>
  </si>
  <si>
    <t xml:space="preserve"> 2020-01-02 21:02:02</t>
  </si>
  <si>
    <t>白鲟灭绝</t>
  </si>
  <si>
    <t xml:space="preserve"> 2020-01-03 13:18:02</t>
  </si>
  <si>
    <t xml:space="preserve"> 2020-01-02 22:38:01</t>
  </si>
  <si>
    <t>何炅穿越人海拥抱谢娜</t>
  </si>
  <si>
    <t xml:space="preserve"> 2020-01-03 12:06:02</t>
  </si>
  <si>
    <t xml:space="preserve"> 2020-01-02 21:40:01</t>
  </si>
  <si>
    <t>傅首尔 妈妈是不是我不够好</t>
  </si>
  <si>
    <t xml:space="preserve"> 2020-01-03 11:00:01</t>
  </si>
  <si>
    <t xml:space="preserve"> 2020-01-02 23:30:02</t>
  </si>
  <si>
    <t>回力童鞋样品含可致儿童性早熟成分</t>
  </si>
  <si>
    <t xml:space="preserve"> 2020-01-03 09:44:02</t>
  </si>
  <si>
    <t xml:space="preserve"> 2020-01-02 23:02:01</t>
  </si>
  <si>
    <t>重庆高楼着火次日消防通道仍被占</t>
  </si>
  <si>
    <t xml:space="preserve"> 2020-01-03 09:52:01</t>
  </si>
  <si>
    <t xml:space="preserve"> 2020-01-02 21:04:02</t>
  </si>
  <si>
    <t>罗槟蓝红分手原因</t>
  </si>
  <si>
    <t xml:space="preserve"> 2020-01-03 15:52:02</t>
  </si>
  <si>
    <t xml:space="preserve"> 2020-01-02 12:30:01</t>
  </si>
  <si>
    <t>香港暴徒地下电台总部被捣破</t>
  </si>
  <si>
    <t xml:space="preserve"> 2020-01-03 09:42:01</t>
  </si>
  <si>
    <t xml:space="preserve"> 2020-01-02 22:24:01</t>
  </si>
  <si>
    <t>詹青云 父母需要考试</t>
  </si>
  <si>
    <t xml:space="preserve"> 2020-01-03 11:40:01</t>
  </si>
  <si>
    <t xml:space="preserve"> 2020-01-02 19:40:02</t>
  </si>
  <si>
    <t>应采儿二胎孕肚</t>
  </si>
  <si>
    <t xml:space="preserve"> 2020-01-03 10:04:02</t>
  </si>
  <si>
    <t xml:space="preserve"> 2020-01-02 21:34:01</t>
  </si>
  <si>
    <t>生二胎该不该经过老大同意</t>
  </si>
  <si>
    <t xml:space="preserve"> 2020-01-03 07:58:01</t>
  </si>
  <si>
    <t xml:space="preserve"> 2020-01-02 18:16:01</t>
  </si>
  <si>
    <t>误吞AirPod医生建议自行排出</t>
  </si>
  <si>
    <t xml:space="preserve"> 2020-01-03 07:12:01</t>
  </si>
  <si>
    <t>腊八粥</t>
  </si>
  <si>
    <t xml:space="preserve"> 2020-01-02 18:10:01</t>
  </si>
  <si>
    <t>放羊娃成网红带货主播</t>
  </si>
  <si>
    <t xml:space="preserve"> 2020-01-03 10:42:01</t>
  </si>
  <si>
    <t xml:space="preserve"> 2020-01-02 19:48:02</t>
  </si>
  <si>
    <t>布鲁克林承认恋情</t>
  </si>
  <si>
    <t xml:space="preserve"> 2020-01-03 12:04:01</t>
  </si>
  <si>
    <t xml:space="preserve"> 2020-01-02 22:48:02</t>
  </si>
  <si>
    <t>朱瞻基大婚</t>
  </si>
  <si>
    <t xml:space="preserve"> 2020-01-03 10:12:02</t>
  </si>
  <si>
    <t xml:space="preserve"> 2020-01-02 22:32:02</t>
  </si>
  <si>
    <t>江西九江学院大四女生失联</t>
  </si>
  <si>
    <t xml:space="preserve"> 2020-01-03 11:38:02</t>
  </si>
  <si>
    <t xml:space="preserve"> 2020-01-02 21:06:02</t>
  </si>
  <si>
    <t>父母吵架拉扯失手致4岁孩子坠亡</t>
  </si>
  <si>
    <t xml:space="preserve"> 2020-01-03 09:26:02</t>
  </si>
  <si>
    <t xml:space="preserve"> 2020-01-02 22:08:02</t>
  </si>
  <si>
    <t>一人一句高级渣男语录</t>
  </si>
  <si>
    <t xml:space="preserve"> 2020-02-09 20:28:01</t>
  </si>
  <si>
    <t xml:space="preserve"> 2020-01-02 21:54:01</t>
  </si>
  <si>
    <t>任嘉伦眼神</t>
  </si>
  <si>
    <t xml:space="preserve"> 2020-01-02 22:10:02</t>
  </si>
  <si>
    <t>新年第一天中10亿彩票</t>
  </si>
  <si>
    <t xml:space="preserve"> 2020-01-03 08:34:01</t>
  </si>
  <si>
    <t xml:space="preserve"> 2020-01-02 21:36:02</t>
  </si>
  <si>
    <t>扁平脸逆袭绝招</t>
  </si>
  <si>
    <t xml:space="preserve"> 2020-01-16 12:42:02</t>
  </si>
  <si>
    <t xml:space="preserve"> 2020-01-02 20:52:02</t>
  </si>
  <si>
    <t>唐人街探案</t>
  </si>
  <si>
    <t xml:space="preserve"> 2020-01-03 08:30:01</t>
  </si>
  <si>
    <t xml:space="preserve"> 2020-01-02 16:50:02</t>
  </si>
  <si>
    <t>韩庚卢靖姗婚后首封</t>
  </si>
  <si>
    <t xml:space="preserve"> 2020-01-03 07:30:01</t>
  </si>
  <si>
    <t xml:space="preserve"> 2020-01-02 15:22:02</t>
  </si>
  <si>
    <t>张翰微博评论</t>
  </si>
  <si>
    <t xml:space="preserve"> 2020-01-03 10:28:02</t>
  </si>
  <si>
    <t xml:space="preserve"> 2019-12-23 10:50:01</t>
  </si>
  <si>
    <t>12306崩了</t>
  </si>
  <si>
    <t xml:space="preserve"> 2020-01-03 08:08:02</t>
  </si>
  <si>
    <t xml:space="preserve"> 2020-01-02 19:20:02</t>
  </si>
  <si>
    <t>长期不谈恋爱的人怎么样了</t>
  </si>
  <si>
    <t xml:space="preserve"> 2020-01-03 07:28:02</t>
  </si>
  <si>
    <t xml:space="preserve"> 2020-01-02 23:16:01</t>
  </si>
  <si>
    <t>室友让你最不能忍的行为</t>
  </si>
  <si>
    <t xml:space="preserve"> 2020-01-03 10:06:02</t>
  </si>
  <si>
    <t>徐峥戴毛毛姐假发</t>
  </si>
  <si>
    <t xml:space="preserve"> 2020-01-03 10:58:02</t>
  </si>
  <si>
    <t xml:space="preserve"> 2020-01-02 18:50:02</t>
  </si>
  <si>
    <t>周震南 吐槽大会</t>
  </si>
  <si>
    <t xml:space="preserve"> 2020-01-02 21:14:02</t>
  </si>
  <si>
    <t>连续25天不休少眠是啥感觉</t>
  </si>
  <si>
    <t xml:space="preserve"> 2020-01-03 09:50:01</t>
  </si>
  <si>
    <t xml:space="preserve"> 2020-01-02 16:32:02</t>
  </si>
  <si>
    <t>驻香港部队官兵的新年愿望</t>
  </si>
  <si>
    <t xml:space="preserve"> 2020-01-03 07:06:02</t>
  </si>
  <si>
    <t xml:space="preserve"> 2020-01-02 15:58:01</t>
  </si>
  <si>
    <t>391万买一个手机号</t>
  </si>
  <si>
    <t xml:space="preserve"> 2020-01-03 09:14:02</t>
  </si>
  <si>
    <t xml:space="preserve"> 2020-01-02 18:30:02</t>
  </si>
  <si>
    <t>鹿晗粉丝 金希澈粉丝</t>
  </si>
  <si>
    <t xml:space="preserve"> 2020-03-15 17:08:02</t>
  </si>
  <si>
    <t xml:space="preserve"> 2019-10-31 22:46:01</t>
  </si>
  <si>
    <t>奇葩说</t>
  </si>
  <si>
    <t xml:space="preserve"> 2020-01-03 07:56:02</t>
  </si>
  <si>
    <t xml:space="preserve"> 2020-01-02 21:42:02</t>
  </si>
  <si>
    <t>爸妈的朋友圈是什么样</t>
  </si>
  <si>
    <t xml:space="preserve"> 2020-01-03 09:16:01</t>
  </si>
  <si>
    <t xml:space="preserve"> 2020-01-02 22:44:02</t>
  </si>
  <si>
    <t>江苏省考成绩</t>
  </si>
  <si>
    <t xml:space="preserve"> 2020-01-03 03:50:01</t>
  </si>
  <si>
    <t xml:space="preserve"> 2020-01-02 19:08:01</t>
  </si>
  <si>
    <t>天官赐福</t>
  </si>
  <si>
    <t xml:space="preserve"> 2020-01-03 07:00:02</t>
  </si>
  <si>
    <t>范冰冰侧颜</t>
  </si>
  <si>
    <t xml:space="preserve"> 2020-01-02 19:56:01</t>
  </si>
  <si>
    <t>未安装ETC救护车被强行收费</t>
  </si>
  <si>
    <t xml:space="preserve"> 2020-01-02 20:24:02</t>
  </si>
  <si>
    <t>小时候很火的广告语</t>
  </si>
  <si>
    <t xml:space="preserve"> 2020-01-03 03:12:01</t>
  </si>
  <si>
    <t xml:space="preserve"> 2020-01-02 16:20:01</t>
  </si>
  <si>
    <t>金希澈发文</t>
  </si>
  <si>
    <t xml:space="preserve"> 2020-01-03 07:04:02</t>
  </si>
  <si>
    <t xml:space="preserve"> 2020-01-02 23:06:01</t>
  </si>
  <si>
    <t>追星后才学会的技能</t>
  </si>
  <si>
    <t xml:space="preserve"> 2020-01-03 09:32:01</t>
  </si>
  <si>
    <t xml:space="preserve"> 2020-01-02 23:14:02</t>
  </si>
  <si>
    <t>警方回应男子打晕护士</t>
  </si>
  <si>
    <t>武汉肺炎疫情患者被要求继续留院</t>
  </si>
  <si>
    <t xml:space="preserve"> 2020-01-03 07:14:02</t>
  </si>
  <si>
    <t xml:space="preserve"> 2020-01-02 22:14:02</t>
  </si>
  <si>
    <t>火箭军女兵跳舞的样子</t>
  </si>
  <si>
    <t xml:space="preserve"> 2020-01-03 06:58:02</t>
  </si>
  <si>
    <t xml:space="preserve"> 2020-01-02 21:38:02</t>
  </si>
  <si>
    <t>男护士喝葡萄糖坚守手术台</t>
  </si>
  <si>
    <t xml:space="preserve"> 2020-01-03 17:24:02</t>
  </si>
  <si>
    <t xml:space="preserve"> 2020-01-03 08:36:02</t>
  </si>
  <si>
    <t>邓超 感谢孙俪在茫茫大海找到我</t>
  </si>
  <si>
    <t xml:space="preserve"> 2020-01-04 08:12:01</t>
  </si>
  <si>
    <t xml:space="preserve"> 2020-01-03 10:54:02</t>
  </si>
  <si>
    <t>伊朗少将在伊拉克遇袭身亡</t>
  </si>
  <si>
    <t xml:space="preserve"> 2020-01-03 16:30:02</t>
  </si>
  <si>
    <t>陈乔恩艾伦约会</t>
  </si>
  <si>
    <t xml:space="preserve"> 2020-01-03 15:32:02</t>
  </si>
  <si>
    <t>宋仲基签约新公司</t>
  </si>
  <si>
    <t xml:space="preserve"> 2020-01-03 16:40:02</t>
  </si>
  <si>
    <t xml:space="preserve"> 2020-01-03 10:22:02</t>
  </si>
  <si>
    <t>2020年高铁将全面使用电子客票</t>
  </si>
  <si>
    <t xml:space="preserve"> 2020-01-03 15:58:01</t>
  </si>
  <si>
    <t xml:space="preserve"> 2020-01-03 08:00:02</t>
  </si>
  <si>
    <t>年假不休能要经济补偿</t>
  </si>
  <si>
    <t xml:space="preserve"> 2020-01-03 19:26:01</t>
  </si>
  <si>
    <t xml:space="preserve"> 2020-01-03 11:44:01</t>
  </si>
  <si>
    <t>春运火车票已售超3亿张</t>
  </si>
  <si>
    <t xml:space="preserve"> 2020-01-03 15:12:02</t>
  </si>
  <si>
    <t xml:space="preserve"> 2020-01-03 09:22:02</t>
  </si>
  <si>
    <t>厦门大学万人跨年齐跳兔子舞</t>
  </si>
  <si>
    <t xml:space="preserve"> 2020-01-03 13:44:02</t>
  </si>
  <si>
    <t>常德滴滴司机遇害案今开庭</t>
  </si>
  <si>
    <t xml:space="preserve"> 2020-01-03 16:46:02</t>
  </si>
  <si>
    <t xml:space="preserve"> 2020-01-03 11:16:02</t>
  </si>
  <si>
    <t>80岁爷爷90岁奶奶重逢</t>
  </si>
  <si>
    <t xml:space="preserve"> 2020-01-03 13:56:02</t>
  </si>
  <si>
    <t>内蒙古水煮黄河</t>
  </si>
  <si>
    <t xml:space="preserve"> 2020-01-03 14:42:02</t>
  </si>
  <si>
    <t xml:space="preserve"> 2020-01-03 10:08:02</t>
  </si>
  <si>
    <t>叉烧包耳环</t>
  </si>
  <si>
    <t xml:space="preserve"> 2020-01-03 09:54:02</t>
  </si>
  <si>
    <t>男子回应救人压断老太肋骨被诉</t>
  </si>
  <si>
    <t xml:space="preserve"> 2020-01-03 07:16:01</t>
  </si>
  <si>
    <t>8000只考拉丧生山火</t>
  </si>
  <si>
    <t xml:space="preserve"> 2020-01-03 17:00:02</t>
  </si>
  <si>
    <t xml:space="preserve"> 2020-01-03 11:04:02</t>
  </si>
  <si>
    <t>王思聪庆生派对</t>
  </si>
  <si>
    <t xml:space="preserve"> 2020-01-03 16:20:02</t>
  </si>
  <si>
    <t xml:space="preserve"> 2020-01-03 10:16:01</t>
  </si>
  <si>
    <t>你会介意另一半单亲家庭吗</t>
  </si>
  <si>
    <t xml:space="preserve"> 2020-01-03 15:14:01</t>
  </si>
  <si>
    <t>王者荣耀鼠年限定皮肤</t>
  </si>
  <si>
    <t xml:space="preserve"> 2020-01-03 16:48:01</t>
  </si>
  <si>
    <t xml:space="preserve"> 2020-01-03 08:32:02</t>
  </si>
  <si>
    <t>拔河比赛医生偷偷作弊</t>
  </si>
  <si>
    <t xml:space="preserve"> 2020-01-03 14:50:02</t>
  </si>
  <si>
    <t xml:space="preserve"> 2020-01-03 11:18:02</t>
  </si>
  <si>
    <t>我出厂配置太低了</t>
  </si>
  <si>
    <t xml:space="preserve"> 2020-01-03 14:34:01</t>
  </si>
  <si>
    <t xml:space="preserve"> 2020-01-03 11:06:02</t>
  </si>
  <si>
    <t>同学聚会化什么妆</t>
  </si>
  <si>
    <t xml:space="preserve"> 2020-01-03 18:22:01</t>
  </si>
  <si>
    <t>用纸折太乙真人的猪</t>
  </si>
  <si>
    <t xml:space="preserve"> 2020-01-03 16:04:01</t>
  </si>
  <si>
    <t xml:space="preserve"> 2020-01-03 10:26:01</t>
  </si>
  <si>
    <t>让女生觉得靠谱的细节</t>
  </si>
  <si>
    <t xml:space="preserve"> 2020-01-03 14:26:02</t>
  </si>
  <si>
    <t>浣熊被抓包后吓成表情包</t>
  </si>
  <si>
    <t xml:space="preserve"> 2020-01-03 12:58:02</t>
  </si>
  <si>
    <t xml:space="preserve"> 2020-01-03 11:36:01</t>
  </si>
  <si>
    <t>考驾照时有哪些难忘的经历</t>
  </si>
  <si>
    <t xml:space="preserve"> 2020-01-03 13:58:01</t>
  </si>
  <si>
    <t xml:space="preserve"> 2020-01-03 07:34:01</t>
  </si>
  <si>
    <t>J姐新家</t>
  </si>
  <si>
    <t xml:space="preserve"> 2020-01-03 13:38:02</t>
  </si>
  <si>
    <t xml:space="preserve"> 2020-01-03 09:36:02</t>
  </si>
  <si>
    <t>6岁孩子走6万步山路上学</t>
  </si>
  <si>
    <t xml:space="preserve"> 2020-01-03 13:52:02</t>
  </si>
  <si>
    <t xml:space="preserve"> 2020-01-03 11:02:01</t>
  </si>
  <si>
    <t>内向是性格缺陷吗</t>
  </si>
  <si>
    <t xml:space="preserve"> 2020-01-03 13:42:01</t>
  </si>
  <si>
    <t>你和另一半的合照有多甜</t>
  </si>
  <si>
    <t xml:space="preserve"> 2020-01-03 13:50:02</t>
  </si>
  <si>
    <t>健身5分钟拍照2小时</t>
  </si>
  <si>
    <t xml:space="preserve"> 2020-01-03 12:12:01</t>
  </si>
  <si>
    <t>鼠年限定杯</t>
  </si>
  <si>
    <t>阿兹海默疫苗将进入人体临床阶段</t>
  </si>
  <si>
    <t xml:space="preserve"> 2020-01-03 13:36:02</t>
  </si>
  <si>
    <t>我国劳动年龄人口2035年或将减少近1亿</t>
  </si>
  <si>
    <t xml:space="preserve"> 2020-01-03 12:08:01</t>
  </si>
  <si>
    <t xml:space="preserve"> 2020-01-03 11:50:02</t>
  </si>
  <si>
    <t>税务师成绩</t>
  </si>
  <si>
    <t xml:space="preserve"> 2020-01-03 12:54:02</t>
  </si>
  <si>
    <t xml:space="preserve"> 2020-01-03 09:12:01</t>
  </si>
  <si>
    <t>初中生用软陶捏漫画人物堪比手办</t>
  </si>
  <si>
    <t>女生说的哪些话不能信</t>
  </si>
  <si>
    <t xml:space="preserve"> 2020-01-03 12:10:02</t>
  </si>
  <si>
    <t>画一个完整的妈妈</t>
  </si>
  <si>
    <t>高校音乐班聚会堪比演唱会</t>
  </si>
  <si>
    <t>法国米其林餐厅用英国奶酪被降级</t>
  </si>
  <si>
    <t xml:space="preserve"> 2020-01-03 09:56:01</t>
  </si>
  <si>
    <t>东契奇全明星首轮票王</t>
  </si>
  <si>
    <t xml:space="preserve"> 2020-01-03 11:42:02</t>
  </si>
  <si>
    <t>2019你看过谁的演唱会</t>
  </si>
  <si>
    <t xml:space="preserve"> 2020-01-03 12:02:02</t>
  </si>
  <si>
    <t xml:space="preserve"> 2020-01-03 09:28:01</t>
  </si>
  <si>
    <t>为京张高铁通车推迟四年婚期</t>
  </si>
  <si>
    <t xml:space="preserve"> 2020-01-04 13:58:01</t>
  </si>
  <si>
    <t xml:space="preserve"> 2020-01-03 22:58:02</t>
  </si>
  <si>
    <t>蒋劲夫乌拉圭前女友回应起诉</t>
  </si>
  <si>
    <t xml:space="preserve"> 2020-01-04 10:28:01</t>
  </si>
  <si>
    <t xml:space="preserve"> 2020-01-03 23:02:02</t>
  </si>
  <si>
    <t>操场埋尸案被害人家属申请工伤赔偿</t>
  </si>
  <si>
    <t xml:space="preserve"> 2020-01-04 10:06:01</t>
  </si>
  <si>
    <t xml:space="preserve"> 2020-01-03 19:56:01</t>
  </si>
  <si>
    <t>高以翔 最具人气演员</t>
  </si>
  <si>
    <t xml:space="preserve"> 2020-01-04 12:08:02</t>
  </si>
  <si>
    <t xml:space="preserve"> 2020-01-03 21:30:02</t>
  </si>
  <si>
    <t>范冰冰粉色羽毛披风</t>
  </si>
  <si>
    <t xml:space="preserve"> 2020-01-04 10:18:02</t>
  </si>
  <si>
    <t>冯提莫身高</t>
  </si>
  <si>
    <t xml:space="preserve"> 2020-01-04 12:04:01</t>
  </si>
  <si>
    <t xml:space="preserve"> 2020-01-03 22:06:01</t>
  </si>
  <si>
    <t>2020首场大范围雨雪</t>
  </si>
  <si>
    <t xml:space="preserve"> 2020-01-04 09:20:01</t>
  </si>
  <si>
    <t xml:space="preserve"> 2020-01-03 15:54:01</t>
  </si>
  <si>
    <t>国产HPV疫苗329元一支</t>
  </si>
  <si>
    <t xml:space="preserve"> 2020-01-04 08:52:01</t>
  </si>
  <si>
    <t xml:space="preserve"> 2020-01-03 17:04:02</t>
  </si>
  <si>
    <t>快递员将分为5个等级</t>
  </si>
  <si>
    <t xml:space="preserve"> 2020-01-04 07:24:01</t>
  </si>
  <si>
    <t>械字号面膜不存在</t>
  </si>
  <si>
    <t xml:space="preserve"> 2020-01-04 11:00:01</t>
  </si>
  <si>
    <t xml:space="preserve"> 2020-01-03 21:08:01</t>
  </si>
  <si>
    <t>林志颖 十七岁的雨季</t>
  </si>
  <si>
    <t xml:space="preserve"> 2020-01-04 08:14:02</t>
  </si>
  <si>
    <t xml:space="preserve"> 2020-01-03 16:16:02</t>
  </si>
  <si>
    <t>伊朗最高领导人称将严厉报复美国</t>
  </si>
  <si>
    <t xml:space="preserve"> 2020-01-04 08:56:01</t>
  </si>
  <si>
    <t xml:space="preserve"> 2020-01-03 21:22:01</t>
  </si>
  <si>
    <t>香港成立小组委员会审视毒教材</t>
  </si>
  <si>
    <t xml:space="preserve"> 2020-01-03 19:34:02</t>
  </si>
  <si>
    <t>常德遇害滴滴司机妻子发声</t>
  </si>
  <si>
    <t xml:space="preserve"> 2020-01-04 08:16:01</t>
  </si>
  <si>
    <t xml:space="preserve"> 2020-01-03 18:12:02</t>
  </si>
  <si>
    <t>武汉卫健委通报不明原因肺炎</t>
  </si>
  <si>
    <t xml:space="preserve"> 2020-01-04 12:12:02</t>
  </si>
  <si>
    <t xml:space="preserve"> 2020-01-03 22:04:02</t>
  </si>
  <si>
    <t>蔡依林邓紫棋同台</t>
  </si>
  <si>
    <t xml:space="preserve"> 2020-01-04 11:20:01</t>
  </si>
  <si>
    <t xml:space="preserve"> 2020-01-03 22:52:02</t>
  </si>
  <si>
    <t>不联系的老同学突然发在吗</t>
  </si>
  <si>
    <t xml:space="preserve"> 2020-01-04 11:16:01</t>
  </si>
  <si>
    <t xml:space="preserve"> 2020-01-03 23:04:02</t>
  </si>
  <si>
    <t>和姐妹相处最忌讳什么</t>
  </si>
  <si>
    <t xml:space="preserve"> 2020-01-04 11:06:01</t>
  </si>
  <si>
    <t xml:space="preserve"> 2020-01-03 21:56:02</t>
  </si>
  <si>
    <t>20多张欠条还了8年</t>
  </si>
  <si>
    <t xml:space="preserve"> 2020-01-04 11:02:02</t>
  </si>
  <si>
    <t xml:space="preserve"> 2020-01-03 19:48:02</t>
  </si>
  <si>
    <t>青你2选手制服</t>
  </si>
  <si>
    <t xml:space="preserve"> 2020-01-04 11:18:02</t>
  </si>
  <si>
    <t xml:space="preserve"> 2020-01-03 19:28:02</t>
  </si>
  <si>
    <t>40岁的李栋旭</t>
  </si>
  <si>
    <t xml:space="preserve"> 2020-01-04 12:10:01</t>
  </si>
  <si>
    <t xml:space="preserve"> 2020-01-03 21:36:01</t>
  </si>
  <si>
    <t>二哈和他的白猫师尊</t>
  </si>
  <si>
    <t xml:space="preserve"> 2020-01-04 09:44:02</t>
  </si>
  <si>
    <t xml:space="preserve"> 2020-01-03 22:34:02</t>
  </si>
  <si>
    <t>30岁后的生活状况</t>
  </si>
  <si>
    <t xml:space="preserve"> 2020-01-04 09:50:02</t>
  </si>
  <si>
    <t xml:space="preserve"> 2020-01-03 20:30:02</t>
  </si>
  <si>
    <t>77岁教授裸捐8208万</t>
  </si>
  <si>
    <t xml:space="preserve"> 2020-01-04 07:34:01</t>
  </si>
  <si>
    <t xml:space="preserve"> 2020-01-03 18:34:01</t>
  </si>
  <si>
    <t>长得不显胖是什么体验</t>
  </si>
  <si>
    <t xml:space="preserve"> 2020-01-04 11:42:02</t>
  </si>
  <si>
    <t xml:space="preserve"> 2020-01-03 19:30:02</t>
  </si>
  <si>
    <t>李沁警服</t>
  </si>
  <si>
    <t xml:space="preserve"> 2020-01-04 10:04:02</t>
  </si>
  <si>
    <t xml:space="preserve"> 2020-01-03 18:04:01</t>
  </si>
  <si>
    <t>蒋劲夫起诉乌拉圭前女友</t>
  </si>
  <si>
    <t xml:space="preserve"> 2020-01-04 10:42:02</t>
  </si>
  <si>
    <t xml:space="preserve"> 2020-01-03 19:42:01</t>
  </si>
  <si>
    <t>零下40度的速冻火车</t>
  </si>
  <si>
    <t xml:space="preserve"> 2020-01-04 08:54:02</t>
  </si>
  <si>
    <t>前任无缝接轨的感受</t>
  </si>
  <si>
    <t xml:space="preserve"> 2020-01-04 07:20:01</t>
  </si>
  <si>
    <t xml:space="preserve"> 2020-01-03 19:18:01</t>
  </si>
  <si>
    <t>柚子包包</t>
  </si>
  <si>
    <t xml:space="preserve"> 2020-01-04 12:14:01</t>
  </si>
  <si>
    <t xml:space="preserve"> 2020-01-03 21:38:02</t>
  </si>
  <si>
    <t>李现孤影打游戏</t>
  </si>
  <si>
    <t xml:space="preserve"> 2020-01-04 07:38:01</t>
  </si>
  <si>
    <t xml:space="preserve"> 2020-01-03 16:50:02</t>
  </si>
  <si>
    <t>欧阳娜娜银色眼影</t>
  </si>
  <si>
    <t xml:space="preserve"> 2020-01-04 08:22:02</t>
  </si>
  <si>
    <t xml:space="preserve"> 2020-01-03 22:42:01</t>
  </si>
  <si>
    <t>爸妈的感情有多好</t>
  </si>
  <si>
    <t xml:space="preserve"> 2020-01-04 08:44:02</t>
  </si>
  <si>
    <t xml:space="preserve"> 2020-01-03 22:02:01</t>
  </si>
  <si>
    <t>马龙不敌周启豪</t>
  </si>
  <si>
    <t xml:space="preserve"> 2020-01-04 08:42:01</t>
  </si>
  <si>
    <t xml:space="preserve"> 2020-01-03 16:42:02</t>
  </si>
  <si>
    <t>19个月大宝宝替殉职爸爸领奖</t>
  </si>
  <si>
    <t xml:space="preserve"> 2020-01-03 20:16:02</t>
  </si>
  <si>
    <t>华晨宇回归歌手</t>
  </si>
  <si>
    <t xml:space="preserve"> 2020-01-04 08:46:01</t>
  </si>
  <si>
    <t xml:space="preserve"> 2020-01-03 17:48:01</t>
  </si>
  <si>
    <t>周震南喝香槟辣到</t>
  </si>
  <si>
    <t xml:space="preserve"> 2020-01-04 07:12:02</t>
  </si>
  <si>
    <t xml:space="preserve"> 2020-01-03 17:58:01</t>
  </si>
  <si>
    <t>女生到底有多费钱</t>
  </si>
  <si>
    <t xml:space="preserve"> 2020-01-03 17:26:02</t>
  </si>
  <si>
    <t>南京大屠杀幸存者照片墙灯又熄三盏</t>
  </si>
  <si>
    <t>世界500强三成掌舵人是印度人</t>
  </si>
  <si>
    <t xml:space="preserve"> 2020-01-03 20:56:01</t>
  </si>
  <si>
    <t>林俊杰南宁演唱会门票</t>
  </si>
  <si>
    <t xml:space="preserve"> 2020-01-01 17:52:02</t>
  </si>
  <si>
    <t>2020年首场流星雨</t>
  </si>
  <si>
    <t xml:space="preserve"> 2020-01-04 08:38:01</t>
  </si>
  <si>
    <t xml:space="preserve"> 2020-01-03 17:08:02</t>
  </si>
  <si>
    <t>大学捞鱼2000斤做全鱼宴</t>
  </si>
  <si>
    <t xml:space="preserve"> 2020-01-04 07:04:02</t>
  </si>
  <si>
    <t xml:space="preserve"> 2020-01-03 12:46:02</t>
  </si>
  <si>
    <t>妈妈长的好看是什么体验</t>
  </si>
  <si>
    <t xml:space="preserve"> 2020-01-04 07:08:01</t>
  </si>
  <si>
    <t>2020年的第一次旅行</t>
  </si>
  <si>
    <t xml:space="preserve"> 2020-01-04 07:06:01</t>
  </si>
  <si>
    <t xml:space="preserve"> 2020-01-03 20:08:02</t>
  </si>
  <si>
    <t>中国上市公司市值500强</t>
  </si>
  <si>
    <t xml:space="preserve"> 2020-01-04 00:18:02</t>
  </si>
  <si>
    <t xml:space="preserve"> 2020-01-03 18:06:02</t>
  </si>
  <si>
    <t>湖南农用车连撞多名学生</t>
  </si>
  <si>
    <t xml:space="preserve"> 2020-01-04 07:02:02</t>
  </si>
  <si>
    <t>重庆铜梁火龙</t>
  </si>
  <si>
    <t xml:space="preserve"> 2020-01-03 14:28:02</t>
  </si>
  <si>
    <t>刘昊然财神造型</t>
  </si>
  <si>
    <t xml:space="preserve"> 2020-01-04 17:46:01</t>
  </si>
  <si>
    <t xml:space="preserve"> 2020-01-04 09:28:02</t>
  </si>
  <si>
    <t>李兰迪哭了</t>
  </si>
  <si>
    <t xml:space="preserve"> 2020-01-04 20:00:02</t>
  </si>
  <si>
    <t xml:space="preserve"> 2020-01-04 08:48:01</t>
  </si>
  <si>
    <t>美国华盛顿进入戒备状态</t>
  </si>
  <si>
    <t xml:space="preserve"> 2020-01-04 17:50:02</t>
  </si>
  <si>
    <t xml:space="preserve"> 2020-01-04 10:48:01</t>
  </si>
  <si>
    <t>Amber回忆雪莉</t>
  </si>
  <si>
    <t xml:space="preserve"> 2020-01-04 19:20:01</t>
  </si>
  <si>
    <t xml:space="preserve"> 2020-01-04 11:04:02</t>
  </si>
  <si>
    <t>黄牛眼中最火的明星</t>
  </si>
  <si>
    <t xml:space="preserve"> 2020-01-04 19:44:02</t>
  </si>
  <si>
    <t xml:space="preserve"> 2020-01-04 10:08:02</t>
  </si>
  <si>
    <t>教资面试</t>
  </si>
  <si>
    <t xml:space="preserve"> 2020-01-04 17:20:02</t>
  </si>
  <si>
    <t xml:space="preserve"> 2020-01-04 10:38:02</t>
  </si>
  <si>
    <t>原来周末没有上午</t>
  </si>
  <si>
    <t xml:space="preserve"> 2020-01-04 15:04:01</t>
  </si>
  <si>
    <t xml:space="preserve"> 2020-01-04 11:36:01</t>
  </si>
  <si>
    <t>收到过最敷衍的礼物</t>
  </si>
  <si>
    <t xml:space="preserve"> 2020-01-04 16:38:01</t>
  </si>
  <si>
    <t>12岁少年救了整楼居民</t>
  </si>
  <si>
    <t xml:space="preserve"> 2020-01-04 16:44:01</t>
  </si>
  <si>
    <t xml:space="preserve"> 2020-01-04 08:58:02</t>
  </si>
  <si>
    <t>花木兰新剧照</t>
  </si>
  <si>
    <t xml:space="preserve"> 2020-01-04 15:28:02</t>
  </si>
  <si>
    <t xml:space="preserve"> 2020-01-04 09:22:02</t>
  </si>
  <si>
    <t>特朗普称美军空袭为阻止战争</t>
  </si>
  <si>
    <t xml:space="preserve"> 2020-01-04 15:56:02</t>
  </si>
  <si>
    <t xml:space="preserve"> 2020-01-04 07:54:02</t>
  </si>
  <si>
    <t>张翰被马天宇举高高</t>
  </si>
  <si>
    <t xml:space="preserve"> 2020-01-04 21:22:02</t>
  </si>
  <si>
    <t xml:space="preserve"> 2020-01-04 11:26:02</t>
  </si>
  <si>
    <t>价值1.8亿元毕加索名画被撕</t>
  </si>
  <si>
    <t xml:space="preserve"> 2020-01-04 15:24:02</t>
  </si>
  <si>
    <t>国航处分泄露明星乘客信息员工</t>
  </si>
  <si>
    <t>2019年十大饮食减肥法</t>
  </si>
  <si>
    <t xml:space="preserve"> 2020-01-04 16:42:01</t>
  </si>
  <si>
    <t>误杀延长上映</t>
  </si>
  <si>
    <t xml:space="preserve"> 2020-01-04 13:14:01</t>
  </si>
  <si>
    <t>当朋友圈忘记给爸妈分组</t>
  </si>
  <si>
    <t xml:space="preserve"> 2020-01-04 16:48:01</t>
  </si>
  <si>
    <t xml:space="preserve"> 2019-11-03 11:06:01</t>
  </si>
  <si>
    <t>吴亦凡古装造型</t>
  </si>
  <si>
    <t xml:space="preserve"> 2020-01-04 14:20:02</t>
  </si>
  <si>
    <t>情侣拍照新手势</t>
  </si>
  <si>
    <t xml:space="preserve"> 2020-01-04 13:42:02</t>
  </si>
  <si>
    <t xml:space="preserve"> 2019-12-07 19:20:02</t>
  </si>
  <si>
    <t>杨洁篪同美国国务卿蓬佩奥通电话</t>
  </si>
  <si>
    <t xml:space="preserve"> 2020-01-04 14:14:01</t>
  </si>
  <si>
    <t xml:space="preserve"> 2020-01-04 11:12:02</t>
  </si>
  <si>
    <t>上班头三年的样子</t>
  </si>
  <si>
    <t xml:space="preserve"> 2020-02-24 19:34:02</t>
  </si>
  <si>
    <t xml:space="preserve"> 2020-01-04 08:18:02</t>
  </si>
  <si>
    <t>吴磊刮胡子</t>
  </si>
  <si>
    <t xml:space="preserve"> 2020-01-04 14:24:01</t>
  </si>
  <si>
    <t>医学生考前拜华佗孙思邈像</t>
  </si>
  <si>
    <t xml:space="preserve"> 2020-01-04 14:02:02</t>
  </si>
  <si>
    <t>小托马斯被驱逐</t>
  </si>
  <si>
    <t xml:space="preserve"> 2020-01-04 13:28:02</t>
  </si>
  <si>
    <t xml:space="preserve"> 2020-01-04 08:34:01</t>
  </si>
  <si>
    <t>滴滴暂停新司机注册审核7天</t>
  </si>
  <si>
    <t xml:space="preserve"> 2020-01-04 12:42:02</t>
  </si>
  <si>
    <t xml:space="preserve"> 2020-01-04 09:46:02</t>
  </si>
  <si>
    <t>小鹿生气的时候怎么叫</t>
  </si>
  <si>
    <t xml:space="preserve"> 2020-01-04 12:30:01</t>
  </si>
  <si>
    <t>因为身高受过哪些委屈</t>
  </si>
  <si>
    <t xml:space="preserve"> 2020-01-04 15:52:02</t>
  </si>
  <si>
    <t xml:space="preserve"> 2020-01-04 11:22:02</t>
  </si>
  <si>
    <t>高速行驶550公里收费3870元</t>
  </si>
  <si>
    <t xml:space="preserve"> 2020-01-04 12:28:02</t>
  </si>
  <si>
    <t xml:space="preserve"> 2020-01-04 07:14:02</t>
  </si>
  <si>
    <t>成年人绝佳的告别方式</t>
  </si>
  <si>
    <t xml:space="preserve"> 2020-01-04 15:30:01</t>
  </si>
  <si>
    <t xml:space="preserve"> 2020-01-04 08:40:02</t>
  </si>
  <si>
    <t>拉萨下雪</t>
  </si>
  <si>
    <t>世界最长寿老人</t>
  </si>
  <si>
    <t xml:space="preserve"> 2020-01-04 07:22:02</t>
  </si>
  <si>
    <t>Pizza背包</t>
  </si>
  <si>
    <t xml:space="preserve"> 2020-01-04 14:18:01</t>
  </si>
  <si>
    <t>伊拉克民兵组织车队遭空袭6人死亡</t>
  </si>
  <si>
    <t xml:space="preserve"> 2020-01-04 20:42:02</t>
  </si>
  <si>
    <t>苏格兰河面冰冻煎饼</t>
  </si>
  <si>
    <t xml:space="preserve"> 2020-01-04 13:30:02</t>
  </si>
  <si>
    <t xml:space="preserve"> 2020-01-04 09:08:02</t>
  </si>
  <si>
    <t>村委会给全村发130万红包</t>
  </si>
  <si>
    <t xml:space="preserve"> 2020-01-04 13:20:02</t>
  </si>
  <si>
    <t xml:space="preserve"> 2020-01-04 07:18:02</t>
  </si>
  <si>
    <t>猕猴桃服饰</t>
  </si>
  <si>
    <t xml:space="preserve"> 2020-01-04 11:28:01</t>
  </si>
  <si>
    <t>澳洲喜鹊叫声像火警鸣笛</t>
  </si>
  <si>
    <t xml:space="preserve"> 2020-01-04 12:54:01</t>
  </si>
  <si>
    <t>杀死伊芙续订</t>
  </si>
  <si>
    <t xml:space="preserve"> 2020-01-04 13:00:02</t>
  </si>
  <si>
    <t>首个扫黑除恶现场vlog</t>
  </si>
  <si>
    <t xml:space="preserve"> 2020-01-04 08:50:02</t>
  </si>
  <si>
    <t>韩国将安三千AI摄像头预测犯罪</t>
  </si>
  <si>
    <t>车展上签协议交订金提车遭加价</t>
  </si>
  <si>
    <t xml:space="preserve"> 2020-01-04 12:02:02</t>
  </si>
  <si>
    <t xml:space="preserve"> 2020-01-04 08:36:02</t>
  </si>
  <si>
    <t>日本拟在全国设立母乳银行</t>
  </si>
  <si>
    <t xml:space="preserve"> 2020-01-04 16:32:02</t>
  </si>
  <si>
    <t xml:space="preserve"> 2020-01-04 11:58:01</t>
  </si>
  <si>
    <t>爱豆男粉出圈式应援</t>
  </si>
  <si>
    <t xml:space="preserve"> 2020-01-04 08:24:02</t>
  </si>
  <si>
    <t>清华机器人都开始组乐队了</t>
  </si>
  <si>
    <t xml:space="preserve"> 2020-01-05 11:56:01</t>
  </si>
  <si>
    <t xml:space="preserve"> 2020-01-04 21:58:01</t>
  </si>
  <si>
    <t>傅首尔 恨我的人你放下了吗</t>
  </si>
  <si>
    <t xml:space="preserve"> 2020-01-05 08:12:02</t>
  </si>
  <si>
    <t xml:space="preserve"> 2020-01-04 18:38:02</t>
  </si>
  <si>
    <t>重庆棒棒扛货扛出一套房</t>
  </si>
  <si>
    <t xml:space="preserve"> 2020-01-05 13:36:02</t>
  </si>
  <si>
    <t xml:space="preserve"> 2020-01-04 20:58:01</t>
  </si>
  <si>
    <t>李莎旻子表现</t>
  </si>
  <si>
    <t xml:space="preserve"> 2020-01-05 14:14:01</t>
  </si>
  <si>
    <t xml:space="preserve"> 2020-01-04 23:00:02</t>
  </si>
  <si>
    <t>贾乃亮配音苏大强</t>
  </si>
  <si>
    <t xml:space="preserve"> 2020-01-05 08:36:02</t>
  </si>
  <si>
    <t xml:space="preserve"> 2020-01-04 19:46:01</t>
  </si>
  <si>
    <t>赵丽颖吐槽粉丝彩虹屁</t>
  </si>
  <si>
    <t xml:space="preserve"> 2020-01-05 13:40:01</t>
  </si>
  <si>
    <t xml:space="preserve"> 2020-01-04 23:16:02</t>
  </si>
  <si>
    <t>药水哥vs一龙</t>
  </si>
  <si>
    <t xml:space="preserve"> 2020-02-10 12:18:01</t>
  </si>
  <si>
    <t xml:space="preserve"> 2019-12-30 11:54:02</t>
  </si>
  <si>
    <t>锦衣之下</t>
  </si>
  <si>
    <t xml:space="preserve"> 2020-01-05 09:02:02</t>
  </si>
  <si>
    <t xml:space="preserve"> 2020-01-04 22:30:02</t>
  </si>
  <si>
    <t>香港大屿山附近海面有渔船沉没</t>
  </si>
  <si>
    <t xml:space="preserve"> 2020-01-05 08:16:02</t>
  </si>
  <si>
    <t xml:space="preserve"> 2020-01-04 13:44:01</t>
  </si>
  <si>
    <t>伊朗少将遭美军袭击画面</t>
  </si>
  <si>
    <t xml:space="preserve"> 2020-01-05 10:48:01</t>
  </si>
  <si>
    <t xml:space="preserve"> 2020-01-04 21:24:01</t>
  </si>
  <si>
    <t>李七月</t>
  </si>
  <si>
    <t xml:space="preserve"> 2020-01-05 12:10:02</t>
  </si>
  <si>
    <t xml:space="preserve"> 2020-01-04 22:18:01</t>
  </si>
  <si>
    <t>程潇杜海涛模仿史密斯夫妇</t>
  </si>
  <si>
    <t xml:space="preserve"> 2020-03-29 10:26:01</t>
  </si>
  <si>
    <t xml:space="preserve"> 2019-12-28 22:34:02</t>
  </si>
  <si>
    <t>声临其境</t>
  </si>
  <si>
    <t xml:space="preserve"> 2020-01-05 10:08:02</t>
  </si>
  <si>
    <t>剑王朝大结局</t>
  </si>
  <si>
    <t xml:space="preserve"> 2020-01-05 09:46:01</t>
  </si>
  <si>
    <t xml:space="preserve"> 2020-01-04 21:46:01</t>
  </si>
  <si>
    <t>央行严控违规查询个人征信信息</t>
  </si>
  <si>
    <t xml:space="preserve"> 2020-01-05 07:40:02</t>
  </si>
  <si>
    <t xml:space="preserve"> 2020-01-04 19:48:02</t>
  </si>
  <si>
    <t>雪后布达拉宫</t>
  </si>
  <si>
    <t xml:space="preserve"> 2020-01-05 15:34:02</t>
  </si>
  <si>
    <t xml:space="preserve"> 2020-01-04 23:20:02</t>
  </si>
  <si>
    <t>虞书欣</t>
  </si>
  <si>
    <t xml:space="preserve"> 2020-01-05 14:38:02</t>
  </si>
  <si>
    <t xml:space="preserve"> 2020-01-04 22:46:01</t>
  </si>
  <si>
    <t>被兵哥哥的驾考吓到</t>
  </si>
  <si>
    <t xml:space="preserve"> 2020-01-05 12:58:01</t>
  </si>
  <si>
    <t xml:space="preserve"> 2020-01-04 22:58:01</t>
  </si>
  <si>
    <t>听过三观极歪的一句话</t>
  </si>
  <si>
    <t xml:space="preserve"> 2020-01-05 10:28:02</t>
  </si>
  <si>
    <t>母亲为大一女儿招聘保姆</t>
  </si>
  <si>
    <t xml:space="preserve"> 2020-01-05 11:00:02</t>
  </si>
  <si>
    <t xml:space="preserve"> 2020-01-04 21:28:01</t>
  </si>
  <si>
    <t>澳大利亚野火可能失控</t>
  </si>
  <si>
    <t xml:space="preserve"> 2020-01-05 13:14:02</t>
  </si>
  <si>
    <t xml:space="preserve"> 2020-01-04 20:48:01</t>
  </si>
  <si>
    <t>庞博吐槽热依扎</t>
  </si>
  <si>
    <t xml:space="preserve"> 2020-01-05 17:18:02</t>
  </si>
  <si>
    <t xml:space="preserve"> 2020-01-04 21:34:01</t>
  </si>
  <si>
    <t>美国伊朗</t>
  </si>
  <si>
    <t xml:space="preserve"> 2020-01-04 19:58:01</t>
  </si>
  <si>
    <t>情侣分手的预兆是什么</t>
  </si>
  <si>
    <t xml:space="preserve"> 2020-01-05 09:08:02</t>
  </si>
  <si>
    <t>女生化个全妆需要多久</t>
  </si>
  <si>
    <t xml:space="preserve"> 2020-01-04 18:42:02</t>
  </si>
  <si>
    <t>越长越好看是什么体验</t>
  </si>
  <si>
    <t xml:space="preserve"> 2020-01-05 12:08:01</t>
  </si>
  <si>
    <t xml:space="preserve"> 2020-01-04 23:18:02</t>
  </si>
  <si>
    <t>俞灏明胡军 霸王别姬</t>
  </si>
  <si>
    <t xml:space="preserve"> 2020-01-05 11:22:02</t>
  </si>
  <si>
    <t xml:space="preserve"> 2020-01-04 22:04:02</t>
  </si>
  <si>
    <t>任嘉伦碰鼻杀</t>
  </si>
  <si>
    <t xml:space="preserve"> 2020-01-05 06:12:01</t>
  </si>
  <si>
    <t xml:space="preserve"> 2020-01-04 17:38:02</t>
  </si>
  <si>
    <t>国内镜头下的Lisa</t>
  </si>
  <si>
    <t xml:space="preserve"> 2020-01-05 14:30:02</t>
  </si>
  <si>
    <t xml:space="preserve"> 2020-01-04 18:44:01</t>
  </si>
  <si>
    <t>记者展示西方镜头外的新疆</t>
  </si>
  <si>
    <t xml:space="preserve"> 2020-01-05 07:32:02</t>
  </si>
  <si>
    <t xml:space="preserve"> 2020-01-04 18:34:02</t>
  </si>
  <si>
    <t>遭领导劝酒致酒精中毒死亡</t>
  </si>
  <si>
    <t xml:space="preserve"> 2020-01-04 17:48:02</t>
  </si>
  <si>
    <t>肖战的猫掉毛</t>
  </si>
  <si>
    <t xml:space="preserve"> 2020-01-05 10:22:01</t>
  </si>
  <si>
    <t>势均力敌的爱情有多甜</t>
  </si>
  <si>
    <t xml:space="preserve"> 2020-01-05 08:40:02</t>
  </si>
  <si>
    <t xml:space="preserve"> 2020-01-04 20:52:01</t>
  </si>
  <si>
    <t>苏莱曼尼的葬礼在巴格达举行</t>
  </si>
  <si>
    <t xml:space="preserve"> 2020-01-05 10:10:02</t>
  </si>
  <si>
    <t xml:space="preserve"> 2020-01-04 23:10:02</t>
  </si>
  <si>
    <t>6旬送奶工发明冬天防滑神器</t>
  </si>
  <si>
    <t xml:space="preserve"> 2020-01-05 10:42:01</t>
  </si>
  <si>
    <t>刘昊然分析能力</t>
  </si>
  <si>
    <t xml:space="preserve"> 2020-01-05 12:32:01</t>
  </si>
  <si>
    <t>李荣浩 佛山拼音</t>
  </si>
  <si>
    <t xml:space="preserve"> 2020-02-03 08:10:02</t>
  </si>
  <si>
    <t xml:space="preserve"> 2019-10-26 21:54:01</t>
  </si>
  <si>
    <t>主持人大赛</t>
  </si>
  <si>
    <t xml:space="preserve"> 2020-01-05 07:26:01</t>
  </si>
  <si>
    <t xml:space="preserve"> 2020-01-04 15:26:01</t>
  </si>
  <si>
    <t>唐人街探案网剧</t>
  </si>
  <si>
    <t xml:space="preserve"> 2020-01-04 20:46:01</t>
  </si>
  <si>
    <t>你会介意另一半比你矮吗</t>
  </si>
  <si>
    <t xml:space="preserve"> 2020-01-05 07:22:02</t>
  </si>
  <si>
    <t xml:space="preserve"> 2020-01-04 20:34:02</t>
  </si>
  <si>
    <t>董又霖吐槽汪海林</t>
  </si>
  <si>
    <t xml:space="preserve"> 2020-01-05 04:44:02</t>
  </si>
  <si>
    <t xml:space="preserve"> 2020-01-04 16:52:02</t>
  </si>
  <si>
    <t>陈伟霆扮蜡像吓妈妈</t>
  </si>
  <si>
    <t xml:space="preserve"> 2020-01-05 08:06:02</t>
  </si>
  <si>
    <t xml:space="preserve"> 2020-01-04 22:00:02</t>
  </si>
  <si>
    <t>卡姆给张绍刚送馕</t>
  </si>
  <si>
    <t xml:space="preserve"> 2020-01-04 20:30:02</t>
  </si>
  <si>
    <t>最好吃的饺子馅是什么馅</t>
  </si>
  <si>
    <t xml:space="preserve"> 2020-01-05 08:26:02</t>
  </si>
  <si>
    <t>非诚勿扰十周年</t>
  </si>
  <si>
    <t xml:space="preserve"> 2020-01-05 03:20:01</t>
  </si>
  <si>
    <t>情侣租房同居该不该AA</t>
  </si>
  <si>
    <t xml:space="preserve"> 2020-01-05 02:44:01</t>
  </si>
  <si>
    <t>印尼发现世界最大花朵</t>
  </si>
  <si>
    <t xml:space="preserve"> 2020-01-05 07:34:02</t>
  </si>
  <si>
    <t>千岛湖喜捞80000斤鱼</t>
  </si>
  <si>
    <t xml:space="preserve"> 2020-01-04 20:38:01</t>
  </si>
  <si>
    <t>如何看待成年巨婴</t>
  </si>
  <si>
    <t xml:space="preserve"> 2020-01-05 00:00:02</t>
  </si>
  <si>
    <t xml:space="preserve"> 2020-01-04 16:00:02</t>
  </si>
  <si>
    <t>HPV疫苗</t>
  </si>
  <si>
    <t xml:space="preserve"> 2020-01-06 07:02:02</t>
  </si>
  <si>
    <t xml:space="preserve"> 2020-01-05 08:32:02</t>
  </si>
  <si>
    <t>鼠年要多上一个月的班</t>
  </si>
  <si>
    <t xml:space="preserve"> 2020-02-13 17:30:01</t>
  </si>
  <si>
    <t xml:space="preserve"> 2020-01-05 11:28:02</t>
  </si>
  <si>
    <t>暴雪蓝色预警</t>
  </si>
  <si>
    <t xml:space="preserve"> 2020-01-05 16:50:02</t>
  </si>
  <si>
    <t xml:space="preserve"> 2020-01-05 10:30:02</t>
  </si>
  <si>
    <t>袁泉看夏雨变魔术</t>
  </si>
  <si>
    <t xml:space="preserve"> 2020-01-06 00:52:01</t>
  </si>
  <si>
    <t xml:space="preserve"> 2020-01-05 08:56:01</t>
  </si>
  <si>
    <t>朋友圈其实可以这样玩</t>
  </si>
  <si>
    <t xml:space="preserve"> 2020-01-05 15:36:01</t>
  </si>
  <si>
    <t xml:space="preserve"> 2020-01-05 07:42:02</t>
  </si>
  <si>
    <t>郑爽回眸</t>
  </si>
  <si>
    <t xml:space="preserve"> 2020-01-05 18:26:02</t>
  </si>
  <si>
    <t xml:space="preserve"> 2020-01-05 09:04:01</t>
  </si>
  <si>
    <t>王耀庆表情</t>
  </si>
  <si>
    <t xml:space="preserve"> 2020-01-05 17:22:01</t>
  </si>
  <si>
    <t>中国工程师美国遭抢劫身亡</t>
  </si>
  <si>
    <t xml:space="preserve"> 2020-01-05 18:18:01</t>
  </si>
  <si>
    <t xml:space="preserve"> 2020-01-05 08:38:01</t>
  </si>
  <si>
    <t>使馆提醒在美中国公民注意安全</t>
  </si>
  <si>
    <t xml:space="preserve"> 2020-02-17 07:44:02</t>
  </si>
  <si>
    <t>武磊进球</t>
  </si>
  <si>
    <t xml:space="preserve"> 2020-01-05 16:40:01</t>
  </si>
  <si>
    <t>乘客突发不适飞机掉头返回</t>
  </si>
  <si>
    <t xml:space="preserve"> 2020-01-05 16:00:02</t>
  </si>
  <si>
    <t xml:space="preserve"> 2019-12-24 11:10:02</t>
  </si>
  <si>
    <t>阿黛尔瘦了</t>
  </si>
  <si>
    <t xml:space="preserve"> 2020-01-05 16:44:01</t>
  </si>
  <si>
    <t xml:space="preserve"> 2020-01-05 08:14:01</t>
  </si>
  <si>
    <t>美驻伊使馆附近及空军基地遭袭</t>
  </si>
  <si>
    <t xml:space="preserve"> 2020-01-05 16:18:01</t>
  </si>
  <si>
    <t xml:space="preserve"> 2020-01-05 11:20:01</t>
  </si>
  <si>
    <t>乐福把球砸给奥斯曼</t>
  </si>
  <si>
    <t xml:space="preserve"> 2020-01-05 15:26:02</t>
  </si>
  <si>
    <t xml:space="preserve"> 2020-01-05 07:28:02</t>
  </si>
  <si>
    <t>宠爱票房破4亿</t>
  </si>
  <si>
    <t xml:space="preserve"> 2020-01-05 17:32:02</t>
  </si>
  <si>
    <t xml:space="preserve"> 2020-01-05 08:42:02</t>
  </si>
  <si>
    <t>未成年人性侵一站式取证</t>
  </si>
  <si>
    <t xml:space="preserve"> 2020-01-05 11:30:02</t>
  </si>
  <si>
    <t>初中男生边打吊针边写作业</t>
  </si>
  <si>
    <t xml:space="preserve"> 2020-01-05 12:26:01</t>
  </si>
  <si>
    <t xml:space="preserve"> 2020-01-05 10:12:01</t>
  </si>
  <si>
    <t>石原里美择偶标准</t>
  </si>
  <si>
    <t xml:space="preserve"> 2020-01-05 16:02:02</t>
  </si>
  <si>
    <t>男生的侧颜可以有多帅</t>
  </si>
  <si>
    <t>爸妈认识的明星</t>
  </si>
  <si>
    <t xml:space="preserve"> 2020-01-05 13:02:01</t>
  </si>
  <si>
    <t xml:space="preserve"> 2020-01-05 10:24:02</t>
  </si>
  <si>
    <t>女生买东西时的内心戏</t>
  </si>
  <si>
    <t xml:space="preserve"> 2020-01-05 14:26:02</t>
  </si>
  <si>
    <t>东北小学生滑雪场上体育课</t>
  </si>
  <si>
    <t xml:space="preserve"> 2020-01-05 13:22:02</t>
  </si>
  <si>
    <t xml:space="preserve"> 2020-01-05 08:58:02</t>
  </si>
  <si>
    <t>当你跟妈妈说想找对象时</t>
  </si>
  <si>
    <t xml:space="preserve"> 2020-01-05 15:04:01</t>
  </si>
  <si>
    <t>白鲟标本制作亲历者</t>
  </si>
  <si>
    <t xml:space="preserve"> 2020-01-05 14:16:01</t>
  </si>
  <si>
    <t xml:space="preserve"> 2020-01-05 08:20:02</t>
  </si>
  <si>
    <t>深圳震感</t>
  </si>
  <si>
    <t xml:space="preserve"> 2020-01-05 13:06:02</t>
  </si>
  <si>
    <t>23岁法乙球员遭遇车祸去世</t>
  </si>
  <si>
    <t xml:space="preserve"> 2020-01-05 18:06:02</t>
  </si>
  <si>
    <t>韩庚卢靖姗婚礼举办地</t>
  </si>
  <si>
    <t xml:space="preserve"> 2020-01-05 14:12:02</t>
  </si>
  <si>
    <t>郑州下雪</t>
  </si>
  <si>
    <t xml:space="preserve"> 2020-01-05 12:22:02</t>
  </si>
  <si>
    <t>你的宿舍床铺是什么样子</t>
  </si>
  <si>
    <t xml:space="preserve"> 2020-01-05 18:08:02</t>
  </si>
  <si>
    <t xml:space="preserve"> 2020-01-05 09:10:01</t>
  </si>
  <si>
    <t>大中国的绝美雪景</t>
  </si>
  <si>
    <t xml:space="preserve"> 2020-01-05 17:26:01</t>
  </si>
  <si>
    <t>拉丁舞跳出武术的气势</t>
  </si>
  <si>
    <t xml:space="preserve"> 2020-01-05 12:16:02</t>
  </si>
  <si>
    <t>如果一觉醒来回到了高中</t>
  </si>
  <si>
    <t xml:space="preserve"> 2020-01-05 20:12:01</t>
  </si>
  <si>
    <t xml:space="preserve"> 2020-01-05 11:52:02</t>
  </si>
  <si>
    <t>像极了第一次下手化妆的你</t>
  </si>
  <si>
    <t xml:space="preserve"> 2020-01-05 12:44:02</t>
  </si>
  <si>
    <t>柴达木盆地现神奇土星环</t>
  </si>
  <si>
    <t xml:space="preserve"> 2020-03-29 08:38:02</t>
  </si>
  <si>
    <t xml:space="preserve"> 2019-10-26 20:08:02</t>
  </si>
  <si>
    <t>快乐大本营</t>
  </si>
  <si>
    <t xml:space="preserve"> 2020-01-05 14:18:02</t>
  </si>
  <si>
    <t xml:space="preserve"> 2020-01-05 11:58:02</t>
  </si>
  <si>
    <t>镜子里和相机里我的区别</t>
  </si>
  <si>
    <t xml:space="preserve"> 2020-01-05 12:28:02</t>
  </si>
  <si>
    <t>你最爱闻的奇怪味道</t>
  </si>
  <si>
    <t xml:space="preserve"> 2020-01-06 14:20:02</t>
  </si>
  <si>
    <t xml:space="preserve"> 2020-01-05 22:38:02</t>
  </si>
  <si>
    <t>周冬雨拔完智齿脸肿</t>
  </si>
  <si>
    <t xml:space="preserve"> 2020-01-06 12:16:02</t>
  </si>
  <si>
    <t xml:space="preserve"> 2020-01-05 23:06:02</t>
  </si>
  <si>
    <t>伊朗称无意与美国开战</t>
  </si>
  <si>
    <t xml:space="preserve"> 2020-02-10 10:20:02</t>
  </si>
  <si>
    <t xml:space="preserve"> 2019-12-23 21:26:01</t>
  </si>
  <si>
    <t>想见你</t>
  </si>
  <si>
    <t xml:space="preserve"> 2020-01-06 14:04:02</t>
  </si>
  <si>
    <t xml:space="preserve"> 2020-01-05 19:16:02</t>
  </si>
  <si>
    <t>明道方回应哥哥自杀</t>
  </si>
  <si>
    <t xml:space="preserve"> 2020-01-06 10:32:02</t>
  </si>
  <si>
    <t xml:space="preserve"> 2020-01-05 20:16:02</t>
  </si>
  <si>
    <t>卢靖姗旁观韩庚拍吻戏</t>
  </si>
  <si>
    <t xml:space="preserve"> 2020-01-06 09:26:02</t>
  </si>
  <si>
    <t xml:space="preserve"> 2020-01-05 20:48:02</t>
  </si>
  <si>
    <t>武汉不明原因肺炎已排除SARS病原</t>
  </si>
  <si>
    <t xml:space="preserve"> 2020-01-29 07:28:02</t>
  </si>
  <si>
    <t xml:space="preserve"> 2019-10-27 22:26:01</t>
  </si>
  <si>
    <t>我们的歌</t>
  </si>
  <si>
    <t xml:space="preserve"> 2020-01-06 10:46:02</t>
  </si>
  <si>
    <t xml:space="preserve"> 2020-01-05 20:56:02</t>
  </si>
  <si>
    <t>千与千寻原景地雪景</t>
  </si>
  <si>
    <t xml:space="preserve"> 2020-01-06 08:24:02</t>
  </si>
  <si>
    <t xml:space="preserve"> 2020-01-05 20:38:02</t>
  </si>
  <si>
    <t>伊朗将敲定退出伊核协议新方案</t>
  </si>
  <si>
    <t xml:space="preserve"> 2020-01-05 21:38:02</t>
  </si>
  <si>
    <t>张大仙 最受欢迎主播</t>
  </si>
  <si>
    <t xml:space="preserve"> 2020-01-06 12:26:01</t>
  </si>
  <si>
    <t xml:space="preserve"> 2020-01-05 22:28:02</t>
  </si>
  <si>
    <t>肖战张韶涵呐喊</t>
  </si>
  <si>
    <t xml:space="preserve"> 2020-01-06 15:42:01</t>
  </si>
  <si>
    <t xml:space="preserve"> 2020-01-05 21:10:02</t>
  </si>
  <si>
    <t>2020年的第一场雪</t>
  </si>
  <si>
    <t xml:space="preserve"> 2020-01-06 08:00:02</t>
  </si>
  <si>
    <t xml:space="preserve"> 2020-01-05 14:32:02</t>
  </si>
  <si>
    <t>伊朗少将遗体被运回国</t>
  </si>
  <si>
    <t xml:space="preserve"> 2020-01-06 06:58:02</t>
  </si>
  <si>
    <t>伊朗向联合国提交抗议信</t>
  </si>
  <si>
    <t xml:space="preserve"> 2020-01-06 10:08:02</t>
  </si>
  <si>
    <t xml:space="preserve"> 2020-01-05 20:24:01</t>
  </si>
  <si>
    <t>小S给蔡依林送的花篮</t>
  </si>
  <si>
    <t xml:space="preserve"> 2020-01-06 11:16:02</t>
  </si>
  <si>
    <t xml:space="preserve"> 2020-01-05 20:36:01</t>
  </si>
  <si>
    <t>南京邮电大学研究生意外死亡通报</t>
  </si>
  <si>
    <t xml:space="preserve"> 2020-04-06 09:22:02</t>
  </si>
  <si>
    <t xml:space="preserve"> 2019-10-27 23:08:02</t>
  </si>
  <si>
    <t>天天向上</t>
  </si>
  <si>
    <t xml:space="preserve"> 2020-01-06 11:00:02</t>
  </si>
  <si>
    <t xml:space="preserve"> 2020-01-05 19:58:01</t>
  </si>
  <si>
    <t>最令人反感的emoji表情</t>
  </si>
  <si>
    <t xml:space="preserve"> 2020-01-06 09:18:02</t>
  </si>
  <si>
    <t xml:space="preserve"> 2020-01-05 22:44:02</t>
  </si>
  <si>
    <t>广州一私家车行驶途中自燃</t>
  </si>
  <si>
    <t xml:space="preserve"> 2020-01-06 12:06:02</t>
  </si>
  <si>
    <t xml:space="preserve"> 2020-01-05 19:34:02</t>
  </si>
  <si>
    <t>美颜滤镜下的陈小春</t>
  </si>
  <si>
    <t xml:space="preserve"> 2020-01-06 11:20:02</t>
  </si>
  <si>
    <t xml:space="preserve"> 2019-12-21 19:56:02</t>
  </si>
  <si>
    <t>精英律师</t>
  </si>
  <si>
    <t xml:space="preserve"> 2020-01-11 10:02:01</t>
  </si>
  <si>
    <t xml:space="preserve"> 2019-12-19 20:38:01</t>
  </si>
  <si>
    <t>大明风华</t>
  </si>
  <si>
    <t xml:space="preserve"> 2020-01-06 09:28:02</t>
  </si>
  <si>
    <t xml:space="preserve"> 2020-01-05 20:20:02</t>
  </si>
  <si>
    <t>你和爸爸没信号的区别</t>
  </si>
  <si>
    <t xml:space="preserve"> 2020-01-06 10:04:02</t>
  </si>
  <si>
    <t xml:space="preserve"> 2020-01-05 21:16:02</t>
  </si>
  <si>
    <t>人脸手机壳</t>
  </si>
  <si>
    <t xml:space="preserve"> 2020-01-06 10:16:02</t>
  </si>
  <si>
    <t>周深李克勤天下有情人</t>
  </si>
  <si>
    <t xml:space="preserve"> 2020-01-06 00:06:01</t>
  </si>
  <si>
    <t xml:space="preserve"> 2020-01-05 17:58:02</t>
  </si>
  <si>
    <t>吴磊 别叫前辈叫师哥</t>
  </si>
  <si>
    <t xml:space="preserve"> 2020-01-06 07:32:02</t>
  </si>
  <si>
    <t xml:space="preserve"> 2020-01-05 19:02:02</t>
  </si>
  <si>
    <t>普通人考驾照VS兵哥哥考驾照</t>
  </si>
  <si>
    <t xml:space="preserve"> 2020-01-06 07:16:01</t>
  </si>
  <si>
    <t xml:space="preserve"> 2020-01-05 17:28:01</t>
  </si>
  <si>
    <t>被偷过最无语的东西</t>
  </si>
  <si>
    <t xml:space="preserve"> 2020-01-06 07:04:02</t>
  </si>
  <si>
    <t xml:space="preserve"> 2020-01-05 17:38:02</t>
  </si>
  <si>
    <t>眼睛里有光的女孩</t>
  </si>
  <si>
    <t xml:space="preserve"> 2020-01-05 19:10:02</t>
  </si>
  <si>
    <t>Lisa蓝色眼影</t>
  </si>
  <si>
    <t xml:space="preserve"> 2020-01-06 09:10:02</t>
  </si>
  <si>
    <t xml:space="preserve"> 2020-01-05 16:20:02</t>
  </si>
  <si>
    <t>因为主演而放弃的剧</t>
  </si>
  <si>
    <t xml:space="preserve"> 2020-01-06 07:18:02</t>
  </si>
  <si>
    <t xml:space="preserve"> 2020-01-05 17:06:02</t>
  </si>
  <si>
    <t>给不熟的人当伴娘</t>
  </si>
  <si>
    <t xml:space="preserve"> 2020-01-05 18:30:01</t>
  </si>
  <si>
    <t>花重金买的却闲置的东西</t>
  </si>
  <si>
    <t xml:space="preserve"> 2020-01-06 08:56:01</t>
  </si>
  <si>
    <t xml:space="preserve"> 2020-01-05 20:22:02</t>
  </si>
  <si>
    <t>锦衣之下表情包大赛</t>
  </si>
  <si>
    <t>张靓颖红色折纸风遮面礼服</t>
  </si>
  <si>
    <t xml:space="preserve"> 2020-01-06 08:54:02</t>
  </si>
  <si>
    <t xml:space="preserve"> 2020-01-05 18:28:02</t>
  </si>
  <si>
    <t>高三班主任视频记录学生日常</t>
  </si>
  <si>
    <t xml:space="preserve"> 2020-01-06 07:40:02</t>
  </si>
  <si>
    <t>边吃火锅边赏雪景</t>
  </si>
  <si>
    <t xml:space="preserve"> 2020-01-06 08:46:01</t>
  </si>
  <si>
    <t xml:space="preserve"> 2020-01-05 18:54:02</t>
  </si>
  <si>
    <t>私家车为消防车45度让路</t>
  </si>
  <si>
    <t xml:space="preserve"> 2020-01-06 08:30:01</t>
  </si>
  <si>
    <t xml:space="preserve"> 2020-01-05 21:50:02</t>
  </si>
  <si>
    <t>刘志轩推裁判被驱逐</t>
  </si>
  <si>
    <t xml:space="preserve"> 2020-01-06 11:26:02</t>
  </si>
  <si>
    <t xml:space="preserve"> 2020-01-05 23:46:02</t>
  </si>
  <si>
    <t>Ricky Garcia</t>
  </si>
  <si>
    <t xml:space="preserve"> 2020-01-06 07:10:02</t>
  </si>
  <si>
    <t xml:space="preserve"> 2020-01-05 17:20:01</t>
  </si>
  <si>
    <t>博士自考再获九张文凭</t>
  </si>
  <si>
    <t xml:space="preserve"> 2020-01-06 07:34:01</t>
  </si>
  <si>
    <t xml:space="preserve"> 2020-01-05 15:22:01</t>
  </si>
  <si>
    <t>金唱片</t>
  </si>
  <si>
    <t xml:space="preserve"> 2020-01-06 08:06:02</t>
  </si>
  <si>
    <t>王者荣耀冬冠团聚夜</t>
  </si>
  <si>
    <t xml:space="preserve"> 2020-01-05 20:34:02</t>
  </si>
  <si>
    <t>贵州毕节变云中城</t>
  </si>
  <si>
    <t xml:space="preserve"> 2020-01-05 12:42:02</t>
  </si>
  <si>
    <t>Jennie双马尾</t>
  </si>
  <si>
    <t xml:space="preserve"> 2020-01-05 15:12:02</t>
  </si>
  <si>
    <t>嫌摘行李麻烦直接钻进安检机</t>
  </si>
  <si>
    <t xml:space="preserve"> 2020-01-06 08:12:01</t>
  </si>
  <si>
    <t xml:space="preserve"> 2020-01-05 16:30:02</t>
  </si>
  <si>
    <t>埃及最古老金字塔将正式重启开放</t>
  </si>
  <si>
    <t xml:space="preserve"> 2020-01-06 19:48:02</t>
  </si>
  <si>
    <t xml:space="preserve"> 2020-01-06 10:10:01</t>
  </si>
  <si>
    <t>于正秒删</t>
  </si>
  <si>
    <t xml:space="preserve"> 2020-01-07 05:54:02</t>
  </si>
  <si>
    <t xml:space="preserve"> 2020-01-06 09:14:02</t>
  </si>
  <si>
    <t>支付宝年度账单</t>
  </si>
  <si>
    <t xml:space="preserve"> 2020-01-06 18:26:02</t>
  </si>
  <si>
    <t xml:space="preserve"> 2020-01-06 10:26:02</t>
  </si>
  <si>
    <t>MOMO发文</t>
  </si>
  <si>
    <t xml:space="preserve"> 2020-01-06 22:48:02</t>
  </si>
  <si>
    <t xml:space="preserve"> 2020-01-06 11:18:02</t>
  </si>
  <si>
    <t>手机QQ可显示对方实时电量</t>
  </si>
  <si>
    <t xml:space="preserve"> 2020-01-06 18:38:02</t>
  </si>
  <si>
    <t xml:space="preserve"> 2020-01-06 10:02:02</t>
  </si>
  <si>
    <t>8888靓号欠28元被销号重装需19.2万</t>
  </si>
  <si>
    <t xml:space="preserve"> 2020-01-06 16:32:02</t>
  </si>
  <si>
    <t xml:space="preserve"> 2020-01-06 08:28:02</t>
  </si>
  <si>
    <t>蔡依林演唱会遭醉酒男子闹场</t>
  </si>
  <si>
    <t xml:space="preserve"> 2020-01-06 18:08:02</t>
  </si>
  <si>
    <t>亲爱的戎装开机</t>
  </si>
  <si>
    <t xml:space="preserve"> 2020-01-06 17:42:02</t>
  </si>
  <si>
    <t>特朗普 美军不会离开伊拉克</t>
  </si>
  <si>
    <t xml:space="preserve"> 2020-01-06 19:08:02</t>
  </si>
  <si>
    <t xml:space="preserve"> 2020-01-06 10:48:01</t>
  </si>
  <si>
    <t>校长回应女生学校扫雪冻伤</t>
  </si>
  <si>
    <t xml:space="preserve"> 2020-01-07 07:02:01</t>
  </si>
  <si>
    <t xml:space="preserve"> 2020-01-06 04:24:02</t>
  </si>
  <si>
    <t>伊朗宣布退出伊核协议</t>
  </si>
  <si>
    <t xml:space="preserve"> 2020-01-06 17:44:02</t>
  </si>
  <si>
    <t xml:space="preserve"> 2020-01-06 10:06:01</t>
  </si>
  <si>
    <t>为啥总在故宫闭馆前夜下雪</t>
  </si>
  <si>
    <t xml:space="preserve"> 2020-01-06 14:00:01</t>
  </si>
  <si>
    <t xml:space="preserve"> 2019-12-03 07:12:01</t>
  </si>
  <si>
    <t>金球奖</t>
  </si>
  <si>
    <t xml:space="preserve"> 2020-01-06 15:26:01</t>
  </si>
  <si>
    <t xml:space="preserve"> 2020-01-06 09:32:02</t>
  </si>
  <si>
    <t>霉霉 印花长裙</t>
  </si>
  <si>
    <t xml:space="preserve"> 2020-01-06 16:42:01</t>
  </si>
  <si>
    <t xml:space="preserve"> 2020-01-06 11:46:02</t>
  </si>
  <si>
    <t>救人白衣小姐姐自己也是传奇</t>
  </si>
  <si>
    <t>金在中手受伤住院</t>
  </si>
  <si>
    <t xml:space="preserve"> 2020-01-06 19:14:01</t>
  </si>
  <si>
    <t xml:space="preserve"> 2020-01-06 10:52:01</t>
  </si>
  <si>
    <t>看完账单的你</t>
  </si>
  <si>
    <t xml:space="preserve"> 2020-01-06 15:12:01</t>
  </si>
  <si>
    <t>唐山新房42个月内不能卖</t>
  </si>
  <si>
    <t xml:space="preserve"> 2020-01-06 16:38:01</t>
  </si>
  <si>
    <t>火龙果唇膏</t>
  </si>
  <si>
    <t xml:space="preserve"> 2020-01-06 15:08:02</t>
  </si>
  <si>
    <t>美军暂停在伊拉克和叙利亚打击IS</t>
  </si>
  <si>
    <t xml:space="preserve"> 2020-01-06 15:48:02</t>
  </si>
  <si>
    <t xml:space="preserve"> 2020-01-06 11:22:02</t>
  </si>
  <si>
    <t>感受到了卖家的心酸</t>
  </si>
  <si>
    <t xml:space="preserve"> 2020-01-06 16:36:02</t>
  </si>
  <si>
    <t xml:space="preserve"> 2020-01-06 10:20:02</t>
  </si>
  <si>
    <t>寄生虫金球奖最佳外语片</t>
  </si>
  <si>
    <t xml:space="preserve"> 2020-01-06 14:24:02</t>
  </si>
  <si>
    <t xml:space="preserve"> 2020-01-06 08:16:01</t>
  </si>
  <si>
    <t>苏州十全街塌陷</t>
  </si>
  <si>
    <t xml:space="preserve"> 2020-01-06 15:10:02</t>
  </si>
  <si>
    <t xml:space="preserve"> 2020-01-06 07:36:02</t>
  </si>
  <si>
    <t>邓紫棋 深V礼服</t>
  </si>
  <si>
    <t xml:space="preserve"> 2020-01-06 07:14:02</t>
  </si>
  <si>
    <t>小寒</t>
  </si>
  <si>
    <t xml:space="preserve"> 2020-01-06 14:06:02</t>
  </si>
  <si>
    <t>瓶子求婚</t>
  </si>
  <si>
    <t xml:space="preserve"> 2020-01-06 16:12:01</t>
  </si>
  <si>
    <t xml:space="preserve"> 2020-01-06 08:02:02</t>
  </si>
  <si>
    <t>伊拉克议会决定终结美军存在</t>
  </si>
  <si>
    <t xml:space="preserve"> 2020-01-06 13:18:02</t>
  </si>
  <si>
    <t xml:space="preserve"> 2020-01-06 07:12:01</t>
  </si>
  <si>
    <t>闺蜜好看是什么体验</t>
  </si>
  <si>
    <t xml:space="preserve"> 2020-01-06 08:58:02</t>
  </si>
  <si>
    <t>92岁医生一周看600位病人</t>
  </si>
  <si>
    <t xml:space="preserve"> 2020-01-06 14:08:01</t>
  </si>
  <si>
    <t xml:space="preserve"> 2020-01-06 08:08:01</t>
  </si>
  <si>
    <t>同行质疑救人女护士施救不专业</t>
  </si>
  <si>
    <t xml:space="preserve"> 2020-01-06 13:06:02</t>
  </si>
  <si>
    <t xml:space="preserve"> 2020-01-06 09:30:01</t>
  </si>
  <si>
    <t>衡水中学开冰雪运动会</t>
  </si>
  <si>
    <t xml:space="preserve"> 2020-01-06 09:20:01</t>
  </si>
  <si>
    <t>北方同学给南方同学堆雪人</t>
  </si>
  <si>
    <t xml:space="preserve"> 2020-01-06 12:48:02</t>
  </si>
  <si>
    <t xml:space="preserve"> 2020-01-06 10:50:02</t>
  </si>
  <si>
    <t>中国籍球员档案库</t>
  </si>
  <si>
    <t xml:space="preserve"> 2020-01-06 14:10:02</t>
  </si>
  <si>
    <t xml:space="preserve"> 2020-01-06 11:04:02</t>
  </si>
  <si>
    <t>指挥拔河先让对方30秒</t>
  </si>
  <si>
    <t xml:space="preserve"> 2020-01-06 12:54:02</t>
  </si>
  <si>
    <t xml:space="preserve"> 2020-01-06 08:48:02</t>
  </si>
  <si>
    <t>云南冬樱美如画</t>
  </si>
  <si>
    <t>自卑的人是什么样</t>
  </si>
  <si>
    <t xml:space="preserve"> 2020-01-06 12:56:01</t>
  </si>
  <si>
    <t>现实版45度让路法</t>
  </si>
  <si>
    <t xml:space="preserve"> 2020-01-06 12:40:02</t>
  </si>
  <si>
    <t>李铁 有私心的球员在国家队没有位置</t>
  </si>
  <si>
    <t xml:space="preserve"> 2020-01-06 12:36:02</t>
  </si>
  <si>
    <t>景山 雪</t>
  </si>
  <si>
    <t xml:space="preserve"> 2020-01-06 07:30:02</t>
  </si>
  <si>
    <t>那些让你愁到睡不着的事</t>
  </si>
  <si>
    <t xml:space="preserve"> 2020-01-06 12:08:02</t>
  </si>
  <si>
    <t xml:space="preserve"> 2020-01-06 08:34:01</t>
  </si>
  <si>
    <t>湖南数百辆共享单车丢失</t>
  </si>
  <si>
    <t>美70多城举行反战示威活动</t>
  </si>
  <si>
    <t xml:space="preserve"> 2020-01-07 10:22:02</t>
  </si>
  <si>
    <t xml:space="preserve"> 2020-01-06 22:02:02</t>
  </si>
  <si>
    <t>肖战王凯张若昀睡着了</t>
  </si>
  <si>
    <t xml:space="preserve"> 2020-01-07 10:02:01</t>
  </si>
  <si>
    <t xml:space="preserve"> 2020-01-06 19:20:02</t>
  </si>
  <si>
    <t>伊朗最高领袖在少将葬礼上哭泣</t>
  </si>
  <si>
    <t xml:space="preserve"> 2020-01-07 07:44:01</t>
  </si>
  <si>
    <t xml:space="preserve"> 2020-01-06 21:54:01</t>
  </si>
  <si>
    <t>鹿晗直播吃火锅</t>
  </si>
  <si>
    <t xml:space="preserve"> 2020-01-07 11:32:01</t>
  </si>
  <si>
    <t xml:space="preserve"> 2020-01-06 23:02:02</t>
  </si>
  <si>
    <t>朱棣下线</t>
  </si>
  <si>
    <t xml:space="preserve"> 2020-01-07 10:30:02</t>
  </si>
  <si>
    <t xml:space="preserve"> 2020-01-06 18:20:01</t>
  </si>
  <si>
    <t>娜扎看完我的年度账单</t>
  </si>
  <si>
    <t xml:space="preserve"> 2020-01-07 08:36:02</t>
  </si>
  <si>
    <t xml:space="preserve"> 2020-01-06 18:28:01</t>
  </si>
  <si>
    <t>武汉一建筑工地发生坍塌致6死5伤</t>
  </si>
  <si>
    <t xml:space="preserve"> 2020-01-07 09:04:01</t>
  </si>
  <si>
    <t xml:space="preserve"> 2020-01-06 16:10:02</t>
  </si>
  <si>
    <t>外交部回应美伊矛盾升级</t>
  </si>
  <si>
    <t xml:space="preserve"> 2020-01-07 09:10:02</t>
  </si>
  <si>
    <t xml:space="preserve"> 2020-01-06 20:40:01</t>
  </si>
  <si>
    <t>戴曦人设</t>
  </si>
  <si>
    <t xml:space="preserve"> 2020-01-07 09:36:01</t>
  </si>
  <si>
    <t xml:space="preserve"> 2020-01-06 19:42:02</t>
  </si>
  <si>
    <t>范闲二皇子牵手</t>
  </si>
  <si>
    <t xml:space="preserve"> 2020-01-07 07:42:02</t>
  </si>
  <si>
    <t>周二珂恋情</t>
  </si>
  <si>
    <t xml:space="preserve"> 2020-02-05 11:40:02</t>
  </si>
  <si>
    <t xml:space="preserve"> 2020-01-06 20:42:02</t>
  </si>
  <si>
    <t>蓬莱间</t>
  </si>
  <si>
    <t xml:space="preserve"> 2020-01-07 09:06:02</t>
  </si>
  <si>
    <t xml:space="preserve"> 2020-01-06 23:00:02</t>
  </si>
  <si>
    <t>山东舰高清大图</t>
  </si>
  <si>
    <t xml:space="preserve"> 2020-01-07 09:50:02</t>
  </si>
  <si>
    <t xml:space="preserve"> 2020-01-06 21:28:02</t>
  </si>
  <si>
    <t>雪地里的红腹锦鸡每一帧都是国画</t>
  </si>
  <si>
    <t xml:space="preserve"> 2020-01-07 10:08:01</t>
  </si>
  <si>
    <t xml:space="preserve"> 2020-01-06 20:22:02</t>
  </si>
  <si>
    <t>宋轶冰淇淋绿长裙</t>
  </si>
  <si>
    <t xml:space="preserve"> 2020-01-07 09:24:01</t>
  </si>
  <si>
    <t xml:space="preserve"> 2020-01-06 21:12:01</t>
  </si>
  <si>
    <t>医生误开癫痫药给6岁女童吃</t>
  </si>
  <si>
    <t xml:space="preserve"> 2020-01-07 08:48:02</t>
  </si>
  <si>
    <t xml:space="preserve"> 2020-01-06 23:06:02</t>
  </si>
  <si>
    <t>韩检方申请逮捕6名海警指挥官</t>
  </si>
  <si>
    <t xml:space="preserve"> 2020-01-07 10:50:02</t>
  </si>
  <si>
    <t xml:space="preserve"> 2020-01-06 22:08:02</t>
  </si>
  <si>
    <t>苏莱曼尼女儿威胁美军</t>
  </si>
  <si>
    <t xml:space="preserve"> 2020-01-07 10:48:01</t>
  </si>
  <si>
    <t xml:space="preserve"> 2020-01-06 23:04:01</t>
  </si>
  <si>
    <t>澳大利亚消防员怒斥总理</t>
  </si>
  <si>
    <t xml:space="preserve"> 2020-01-06 19:54:01</t>
  </si>
  <si>
    <t>赵丽颖蓝色纱裙</t>
  </si>
  <si>
    <t xml:space="preserve"> 2020-01-07 11:54:02</t>
  </si>
  <si>
    <t xml:space="preserve"> 2020-01-06 21:06:01</t>
  </si>
  <si>
    <t>澳大利亚血色天空</t>
  </si>
  <si>
    <t xml:space="preserve"> 2020-01-07 09:48:01</t>
  </si>
  <si>
    <t xml:space="preserve"> 2020-01-06 22:50:02</t>
  </si>
  <si>
    <t>游客登景山拍雪后故宫</t>
  </si>
  <si>
    <t xml:space="preserve"> 2020-01-06 22:56:02</t>
  </si>
  <si>
    <t>考驾照最难的项目</t>
  </si>
  <si>
    <t xml:space="preserve"> 2020-01-07 10:18:02</t>
  </si>
  <si>
    <t xml:space="preserve"> 2020-01-06 18:50:01</t>
  </si>
  <si>
    <t>王小琴</t>
  </si>
  <si>
    <t xml:space="preserve"> 2020-01-07 08:54:02</t>
  </si>
  <si>
    <t>权志龙 小松菜奈</t>
  </si>
  <si>
    <t xml:space="preserve"> 2020-01-07 07:30:02</t>
  </si>
  <si>
    <t xml:space="preserve"> 2020-01-06 22:18:02</t>
  </si>
  <si>
    <t>最理解不了室友什么行为</t>
  </si>
  <si>
    <t>你无法理解的网红零食</t>
  </si>
  <si>
    <t xml:space="preserve"> 2020-01-07 07:22:02</t>
  </si>
  <si>
    <t xml:space="preserve"> 2020-01-06 20:00:02</t>
  </si>
  <si>
    <t>无印良品中国区利润8年来首降</t>
  </si>
  <si>
    <t xml:space="preserve"> 2020-01-19 09:38:02</t>
  </si>
  <si>
    <t xml:space="preserve"> 2020-01-06 18:10:02</t>
  </si>
  <si>
    <t>阅文盛典</t>
  </si>
  <si>
    <t xml:space="preserve"> 2020-01-07 09:20:01</t>
  </si>
  <si>
    <t xml:space="preserve"> 2020-01-06 21:08:02</t>
  </si>
  <si>
    <t>被身边男孩子夸过的香水</t>
  </si>
  <si>
    <t xml:space="preserve"> 2020-01-06 16:40:02</t>
  </si>
  <si>
    <t>林允儿汉语中级考试合格</t>
  </si>
  <si>
    <t xml:space="preserve"> 2020-01-07 08:10:02</t>
  </si>
  <si>
    <t xml:space="preserve"> 2020-01-06 22:26:02</t>
  </si>
  <si>
    <t>有哪些快速入眠的方法</t>
  </si>
  <si>
    <t xml:space="preserve"> 2020-01-06 18:00:02</t>
  </si>
  <si>
    <t>日本女子持刀砍伤中国游客</t>
  </si>
  <si>
    <t xml:space="preserve"> 2020-01-07 09:14:01</t>
  </si>
  <si>
    <t xml:space="preserve"> 2020-01-06 19:56:02</t>
  </si>
  <si>
    <t>记者实拍澳洲山火惨烈景象</t>
  </si>
  <si>
    <t xml:space="preserve"> 2020-01-07 07:06:01</t>
  </si>
  <si>
    <t xml:space="preserve"> 2020-01-06 18:56:02</t>
  </si>
  <si>
    <t>第一次涂口红的你</t>
  </si>
  <si>
    <t xml:space="preserve"> 2020-01-07 07:32:01</t>
  </si>
  <si>
    <t xml:space="preserve"> 2020-01-06 22:42:01</t>
  </si>
  <si>
    <t>山西晋中3.7级地震</t>
  </si>
  <si>
    <t xml:space="preserve"> 2020-01-06 21:38:02</t>
  </si>
  <si>
    <t>皓衣行</t>
  </si>
  <si>
    <t>办公室里的七种魔鬼同事</t>
  </si>
  <si>
    <t xml:space="preserve"> 2020-01-07 07:36:02</t>
  </si>
  <si>
    <t>给爱的人和自己花钱的区别</t>
  </si>
  <si>
    <t xml:space="preserve"> 2020-01-06 19:00:02</t>
  </si>
  <si>
    <t>民警鞠梓去世</t>
  </si>
  <si>
    <t xml:space="preserve"> 2020-01-07 07:04:02</t>
  </si>
  <si>
    <t>周震南戴双眼皮眼镜</t>
  </si>
  <si>
    <t xml:space="preserve"> 2020-01-06 19:16:02</t>
  </si>
  <si>
    <t>心机太深的人要怎么相处</t>
  </si>
  <si>
    <t xml:space="preserve"> 2020-01-06 21:18:02</t>
  </si>
  <si>
    <t>91年女孩2000米山上教学5年</t>
  </si>
  <si>
    <t xml:space="preserve"> 2020-01-06 19:46:01</t>
  </si>
  <si>
    <t>女朋友生气的未解之谜</t>
  </si>
  <si>
    <t xml:space="preserve"> 2020-01-07 07:34:02</t>
  </si>
  <si>
    <t>清华美院男生堆思想者雪人</t>
  </si>
  <si>
    <t>雪落避暑山庄</t>
  </si>
  <si>
    <t xml:space="preserve"> 2020-01-07 08:02:02</t>
  </si>
  <si>
    <t xml:space="preserve"> 2020-01-06 21:10:02</t>
  </si>
  <si>
    <t>千年前地下排水系统长啥样</t>
  </si>
  <si>
    <t>鹤唳华亭大结局</t>
  </si>
  <si>
    <t xml:space="preserve"> 2020-01-07 16:14:01</t>
  </si>
  <si>
    <t xml:space="preserve"> 2020-01-07 09:32:02</t>
  </si>
  <si>
    <t>宋祖儿阮经天</t>
  </si>
  <si>
    <t xml:space="preserve"> 2020-01-07 16:32:02</t>
  </si>
  <si>
    <t xml:space="preserve"> 2020-01-07 07:38:01</t>
  </si>
  <si>
    <t>老人用绳吊7岁孙子下楼救猫</t>
  </si>
  <si>
    <t xml:space="preserve"> 2020-01-07 16:56:01</t>
  </si>
  <si>
    <t xml:space="preserve"> 2020-01-07 11:36:01</t>
  </si>
  <si>
    <t>宋祖儿方否认与阮经天恋情</t>
  </si>
  <si>
    <t xml:space="preserve"> 2020-01-07 14:00:02</t>
  </si>
  <si>
    <t xml:space="preserve"> 2020-01-07 08:08:02</t>
  </si>
  <si>
    <t>梅婷脚踩飞机显示屏</t>
  </si>
  <si>
    <t xml:space="preserve"> 2020-01-07 16:34:01</t>
  </si>
  <si>
    <t xml:space="preserve"> 2020-01-07 07:50:02</t>
  </si>
  <si>
    <t>于正 写的时候没想到那二位</t>
  </si>
  <si>
    <t xml:space="preserve"> 2020-01-07 14:36:01</t>
  </si>
  <si>
    <t>2万吨中央储备冻猪肉将投放</t>
  </si>
  <si>
    <t xml:space="preserve"> 2020-01-08 07:06:02</t>
  </si>
  <si>
    <t xml:space="preserve"> 2020-01-07 11:42:02</t>
  </si>
  <si>
    <t>超2万只考拉山火中死亡</t>
  </si>
  <si>
    <t xml:space="preserve"> 2020-01-07 14:58:02</t>
  </si>
  <si>
    <t xml:space="preserve"> 2020-01-07 08:44:01</t>
  </si>
  <si>
    <t>东风快递烟花秀</t>
  </si>
  <si>
    <t xml:space="preserve"> 2020-01-07 15:48:02</t>
  </si>
  <si>
    <t xml:space="preserve"> 2020-01-07 08:52:02</t>
  </si>
  <si>
    <t>特朗普称伊朗永远都不会拥有核武器</t>
  </si>
  <si>
    <t xml:space="preserve"> 2020-01-07 13:26:01</t>
  </si>
  <si>
    <t xml:space="preserve"> 2020-01-07 07:24:02</t>
  </si>
  <si>
    <t>鹿晗吃火锅涮葡萄</t>
  </si>
  <si>
    <t xml:space="preserve"> 2020-01-07 15:52:02</t>
  </si>
  <si>
    <t xml:space="preserve"> 2020-01-07 09:08:02</t>
  </si>
  <si>
    <t>大理古城500年情侣树被风吹断</t>
  </si>
  <si>
    <t xml:space="preserve"> 2020-01-07 14:20:02</t>
  </si>
  <si>
    <t>伊朗总统顾问暗示攻击特朗普财产</t>
  </si>
  <si>
    <t xml:space="preserve"> 2020-01-07 08:28:02</t>
  </si>
  <si>
    <t>澳洲山火烟雾蔓延至南美</t>
  </si>
  <si>
    <t xml:space="preserve"> 2020-01-07 13:06:01</t>
  </si>
  <si>
    <t xml:space="preserve"> 2020-01-07 07:08:02</t>
  </si>
  <si>
    <t>如果一觉醒来回到了大学</t>
  </si>
  <si>
    <t xml:space="preserve"> 2020-01-07 12:12:01</t>
  </si>
  <si>
    <t xml:space="preserve"> 2020-01-07 08:50:01</t>
  </si>
  <si>
    <t>演唱会将实现刷脸扫码入场</t>
  </si>
  <si>
    <t xml:space="preserve"> 2020-01-07 14:52:01</t>
  </si>
  <si>
    <t xml:space="preserve"> 2020-01-07 11:02:01</t>
  </si>
  <si>
    <t>刘品言</t>
  </si>
  <si>
    <t xml:space="preserve"> 2020-01-07 18:18:02</t>
  </si>
  <si>
    <t xml:space="preserve"> 2020-01-07 11:08:02</t>
  </si>
  <si>
    <t>董事长回应一天出100张设计图</t>
  </si>
  <si>
    <t xml:space="preserve"> 2020-01-07 16:30:01</t>
  </si>
  <si>
    <t xml:space="preserve"> 2020-01-07 11:34:02</t>
  </si>
  <si>
    <t>药丸耳坠</t>
  </si>
  <si>
    <t xml:space="preserve"> 2020-01-07 15:16:01</t>
  </si>
  <si>
    <t xml:space="preserve"> 2020-01-07 09:40:02</t>
  </si>
  <si>
    <t>网店年销200万双带证假鞋</t>
  </si>
  <si>
    <t xml:space="preserve"> 2020-01-07 17:56:02</t>
  </si>
  <si>
    <t xml:space="preserve"> 2020-01-07 08:38:01</t>
  </si>
  <si>
    <t>一点也不羡慕任嘉伦老婆</t>
  </si>
  <si>
    <t xml:space="preserve"> 2020-01-07 14:32:01</t>
  </si>
  <si>
    <t>很有病但是也真的很好笑</t>
  </si>
  <si>
    <t xml:space="preserve"> 2020-01-07 14:28:02</t>
  </si>
  <si>
    <t xml:space="preserve"> 2020-01-07 09:16:02</t>
  </si>
  <si>
    <t>老师把婚礼搬进幼儿园</t>
  </si>
  <si>
    <t xml:space="preserve"> 2020-01-07 15:14:02</t>
  </si>
  <si>
    <t>睡不够更易导致腹部肥胖</t>
  </si>
  <si>
    <t xml:space="preserve"> 2020-01-07 21:02:01</t>
  </si>
  <si>
    <t xml:space="preserve"> 2020-01-07 10:54:02</t>
  </si>
  <si>
    <t>旅游过年超一半是90后</t>
  </si>
  <si>
    <t xml:space="preserve"> 2020-01-07 13:04:02</t>
  </si>
  <si>
    <t>聂欢</t>
  </si>
  <si>
    <t xml:space="preserve"> 2020-01-07 16:24:02</t>
  </si>
  <si>
    <t xml:space="preserve"> 2020-01-07 10:20:01</t>
  </si>
  <si>
    <t>肖战时尚芭莎</t>
  </si>
  <si>
    <t xml:space="preserve"> 2020-01-07 12:26:02</t>
  </si>
  <si>
    <t xml:space="preserve"> 2020-01-07 10:52:02</t>
  </si>
  <si>
    <t>中国冰雪旅游达2.24亿人次</t>
  </si>
  <si>
    <t xml:space="preserve"> 2020-01-07 14:56:02</t>
  </si>
  <si>
    <t>汉堡包比基尼</t>
  </si>
  <si>
    <t xml:space="preserve"> 2020-01-07 17:34:02</t>
  </si>
  <si>
    <t xml:space="preserve"> 2020-01-07 11:50:01</t>
  </si>
  <si>
    <t>伊朗总统推特回击特朗普威胁</t>
  </si>
  <si>
    <t>赵薇泪痣妆</t>
  </si>
  <si>
    <t xml:space="preserve"> 2020-01-07 16:26:02</t>
  </si>
  <si>
    <t xml:space="preserve"> 2020-01-07 10:32:01</t>
  </si>
  <si>
    <t>朱一龙身上有个感叹号</t>
  </si>
  <si>
    <t xml:space="preserve"> 2020-01-07 12:06:01</t>
  </si>
  <si>
    <t xml:space="preserve"> 2020-01-07 09:44:02</t>
  </si>
  <si>
    <t>爸妈如何评论你朋友圈的</t>
  </si>
  <si>
    <t>霍华德重返扣篮大赛</t>
  </si>
  <si>
    <t>贵州乳状云奇观</t>
  </si>
  <si>
    <t xml:space="preserve"> 2020-01-07 18:06:02</t>
  </si>
  <si>
    <t>肖战张若昀黄晓明备战春晚</t>
  </si>
  <si>
    <t xml:space="preserve"> 2020-01-07 12:04:02</t>
  </si>
  <si>
    <t>人体结构项链</t>
  </si>
  <si>
    <t xml:space="preserve"> 2020-01-07 12:50:02</t>
  </si>
  <si>
    <t xml:space="preserve"> 2020-01-07 11:56:01</t>
  </si>
  <si>
    <t>教材出版发行不得夹带商业广告</t>
  </si>
  <si>
    <t xml:space="preserve"> 2020-01-07 18:52:02</t>
  </si>
  <si>
    <t>四川甘孜拍到一级保护动物白唇鹿</t>
  </si>
  <si>
    <t xml:space="preserve"> 2020-01-07 12:20:01</t>
  </si>
  <si>
    <t>最有故事感的眼神戏</t>
  </si>
  <si>
    <t xml:space="preserve"> 2020-01-07 18:54:01</t>
  </si>
  <si>
    <t>刘昊然被男粉叫老公</t>
  </si>
  <si>
    <t xml:space="preserve"> 2020-01-07 12:10:01</t>
  </si>
  <si>
    <t>让行时压实线不扣分</t>
  </si>
  <si>
    <t xml:space="preserve"> 2020-01-07 14:06:02</t>
  </si>
  <si>
    <t xml:space="preserve"> 2020-01-07 12:00:01</t>
  </si>
  <si>
    <t>你不去参加同学聚会的理由</t>
  </si>
  <si>
    <t xml:space="preserve"> 2020-01-07 12:28:02</t>
  </si>
  <si>
    <t xml:space="preserve"> 2020-01-07 11:58:02</t>
  </si>
  <si>
    <t>跨境电商所购物品可退货</t>
  </si>
  <si>
    <t>曾经流行现在却消失的东西</t>
  </si>
  <si>
    <t xml:space="preserve"> 2020-01-07 12:30:02</t>
  </si>
  <si>
    <t>如何合理使用手机</t>
  </si>
  <si>
    <t xml:space="preserve"> 2020-01-07 17:44:01</t>
  </si>
  <si>
    <t xml:space="preserve"> 2020-01-07 09:22:02</t>
  </si>
  <si>
    <t>张一山兔耳朵发卡</t>
  </si>
  <si>
    <t xml:space="preserve"> 2020-01-07 12:24:01</t>
  </si>
  <si>
    <t xml:space="preserve"> 2020-01-07 07:26:02</t>
  </si>
  <si>
    <t>林更新活跃到像个粉头</t>
  </si>
  <si>
    <t xml:space="preserve"> 2020-01-07 07:46:02</t>
  </si>
  <si>
    <t>汪海林 不知道吴宣仪是谁</t>
  </si>
  <si>
    <t xml:space="preserve"> 2020-01-07 09:26:02</t>
  </si>
  <si>
    <t>晚上醒来看手机的原因</t>
  </si>
  <si>
    <t xml:space="preserve"> 2020-01-08 13:28:01</t>
  </si>
  <si>
    <t xml:space="preserve"> 2020-01-07 21:30:02</t>
  </si>
  <si>
    <t>周冬雨戴口罩领奖</t>
  </si>
  <si>
    <t xml:space="preserve"> 2020-01-08 11:18:01</t>
  </si>
  <si>
    <t xml:space="preserve"> 2020-01-07 20:32:02</t>
  </si>
  <si>
    <t>伊朗准备13种报复美国方案</t>
  </si>
  <si>
    <t xml:space="preserve"> 2020-01-08 10:18:02</t>
  </si>
  <si>
    <t xml:space="preserve"> 2020-01-07 22:44:01</t>
  </si>
  <si>
    <t>李现王嘉尔魏大勋尬舞</t>
  </si>
  <si>
    <t xml:space="preserve"> 2020-01-08 11:50:01</t>
  </si>
  <si>
    <t xml:space="preserve"> 2020-01-07 21:44:02</t>
  </si>
  <si>
    <t>甜馨领唱萤火虫</t>
  </si>
  <si>
    <t xml:space="preserve"> 2020-01-08 11:44:02</t>
  </si>
  <si>
    <t xml:space="preserve"> 2020-01-07 20:18:02</t>
  </si>
  <si>
    <t>国考成绩</t>
  </si>
  <si>
    <t xml:space="preserve"> 2020-01-08 09:16:01</t>
  </si>
  <si>
    <t xml:space="preserve"> 2020-01-07 17:48:01</t>
  </si>
  <si>
    <t>爱情公寓不会再有续集</t>
  </si>
  <si>
    <t xml:space="preserve"> 2020-01-08 09:36:02</t>
  </si>
  <si>
    <t xml:space="preserve"> 2020-01-07 23:04:02</t>
  </si>
  <si>
    <t>伊朗中止伊核协议措施都是可逆的</t>
  </si>
  <si>
    <t xml:space="preserve"> 2020-01-08 08:16:01</t>
  </si>
  <si>
    <t xml:space="preserve"> 2020-01-07 18:48:02</t>
  </si>
  <si>
    <t>中方回应美拒签证伊朗外长</t>
  </si>
  <si>
    <t xml:space="preserve"> 2020-01-08 11:06:02</t>
  </si>
  <si>
    <t xml:space="preserve"> 2020-01-07 21:34:02</t>
  </si>
  <si>
    <t>苍山雪遇见洱海蓝</t>
  </si>
  <si>
    <t xml:space="preserve"> 2020-01-08 09:40:02</t>
  </si>
  <si>
    <t xml:space="preserve"> 2020-01-07 19:46:02</t>
  </si>
  <si>
    <t>易烊千玺奖杯拿不过来</t>
  </si>
  <si>
    <t xml:space="preserve"> 2020-01-08 08:06:01</t>
  </si>
  <si>
    <t xml:space="preserve"> 2020-01-07 14:30:01</t>
  </si>
  <si>
    <t>现代版庆余年</t>
  </si>
  <si>
    <t xml:space="preserve"> 2020-01-08 08:18:02</t>
  </si>
  <si>
    <t xml:space="preserve"> 2020-01-07 21:52:02</t>
  </si>
  <si>
    <t>北京自修大学等5所学校停办</t>
  </si>
  <si>
    <t xml:space="preserve"> 2020-01-08 07:16:01</t>
  </si>
  <si>
    <t xml:space="preserve"> 2020-01-07 18:10:02</t>
  </si>
  <si>
    <t>德国宣布将把部分军队撤离伊拉克</t>
  </si>
  <si>
    <t xml:space="preserve"> 2020-01-08 08:10:01</t>
  </si>
  <si>
    <t xml:space="preserve"> 2020-01-07 18:38:01</t>
  </si>
  <si>
    <t>性侵未成年人案件实行一站式取证</t>
  </si>
  <si>
    <t xml:space="preserve"> 2020-01-07 14:08:01</t>
  </si>
  <si>
    <t>由2和0组成的身份证靓号</t>
  </si>
  <si>
    <t xml:space="preserve"> 2020-01-08 14:02:02</t>
  </si>
  <si>
    <t xml:space="preserve"> 2020-01-07 21:56:02</t>
  </si>
  <si>
    <t>当发量多的人烫了羊毛卷</t>
  </si>
  <si>
    <t xml:space="preserve"> 2020-01-08 08:24:01</t>
  </si>
  <si>
    <t xml:space="preserve"> 2020-01-07 17:58:01</t>
  </si>
  <si>
    <t>马思唯公布恋情</t>
  </si>
  <si>
    <t xml:space="preserve"> 2020-01-08 14:00:02</t>
  </si>
  <si>
    <t xml:space="preserve"> 2020-01-07 22:30:02</t>
  </si>
  <si>
    <t>取下眼镜后的颜值变化</t>
  </si>
  <si>
    <t xml:space="preserve"> 2020-01-08 13:50:01</t>
  </si>
  <si>
    <t xml:space="preserve"> 2020-01-07 22:10:02</t>
  </si>
  <si>
    <t>待宰母牛下跪网友买下放生</t>
  </si>
  <si>
    <t xml:space="preserve"> 2020-01-08 09:32:02</t>
  </si>
  <si>
    <t xml:space="preserve"> 2020-01-07 18:20:02</t>
  </si>
  <si>
    <t>郑爽工作室声明</t>
  </si>
  <si>
    <t xml:space="preserve"> 2020-01-08 11:40:02</t>
  </si>
  <si>
    <t xml:space="preserve"> 2020-01-07 22:22:02</t>
  </si>
  <si>
    <t>柴犬屁屁发夹</t>
  </si>
  <si>
    <t xml:space="preserve"> 2020-01-08 11:42:01</t>
  </si>
  <si>
    <t>女生不会打扮是什么体验</t>
  </si>
  <si>
    <t xml:space="preserve"> 2020-01-08 13:36:01</t>
  </si>
  <si>
    <t xml:space="preserve"> 2020-01-07 22:02:02</t>
  </si>
  <si>
    <t>澳大利亚迎来及时雨</t>
  </si>
  <si>
    <t xml:space="preserve"> 2020-01-08 11:00:02</t>
  </si>
  <si>
    <t xml:space="preserve"> 2020-01-07 22:26:02</t>
  </si>
  <si>
    <t>小偷为不留脚印坐地挪动前进</t>
  </si>
  <si>
    <t xml:space="preserve"> 2020-01-08 07:32:02</t>
  </si>
  <si>
    <t xml:space="preserve"> 2020-01-07 16:28:02</t>
  </si>
  <si>
    <t>泫雅锁骨钉</t>
  </si>
  <si>
    <t xml:space="preserve"> 2020-01-08 11:48:01</t>
  </si>
  <si>
    <t xml:space="preserve"> 2020-01-07 21:18:02</t>
  </si>
  <si>
    <t>圈子太小该怎么找对象</t>
  </si>
  <si>
    <t xml:space="preserve"> 2020-01-08 09:26:02</t>
  </si>
  <si>
    <t xml:space="preserve"> 2020-01-07 22:36:01</t>
  </si>
  <si>
    <t>被强迫拍游客照的你</t>
  </si>
  <si>
    <t>我最擅长把喜欢我的人推开</t>
  </si>
  <si>
    <t xml:space="preserve"> 2020-01-08 10:54:02</t>
  </si>
  <si>
    <t xml:space="preserve"> 2020-01-07 19:38:02</t>
  </si>
  <si>
    <t>被要求一天做100张图设计师离职</t>
  </si>
  <si>
    <t xml:space="preserve"> 2020-01-08 09:50:02</t>
  </si>
  <si>
    <t xml:space="preserve"> 2020-01-07 21:46:02</t>
  </si>
  <si>
    <t>迪士尼公主耳环</t>
  </si>
  <si>
    <t xml:space="preserve"> 2020-01-08 09:22:02</t>
  </si>
  <si>
    <t xml:space="preserve"> 2020-01-07 19:52:01</t>
  </si>
  <si>
    <t>女学霸为烤羊腿翻数百篇文献</t>
  </si>
  <si>
    <t xml:space="preserve"> 2020-01-08 09:10:02</t>
  </si>
  <si>
    <t xml:space="preserve"> 2020-01-07 18:56:02</t>
  </si>
  <si>
    <t>房产中介雨天将母子丢高速</t>
  </si>
  <si>
    <t xml:space="preserve"> 2020-01-08 07:30:01</t>
  </si>
  <si>
    <t xml:space="preserve"> 2020-01-07 21:48:02</t>
  </si>
  <si>
    <t>距离死亡最近的一次经历</t>
  </si>
  <si>
    <t xml:space="preserve"> 2020-01-08 11:08:01</t>
  </si>
  <si>
    <t xml:space="preserve"> 2020-01-07 20:42:02</t>
  </si>
  <si>
    <t>爱情公寓5发布会</t>
  </si>
  <si>
    <t xml:space="preserve"> 2020-01-07 17:38:02</t>
  </si>
  <si>
    <t>女车主对违停捷豹连撞11下</t>
  </si>
  <si>
    <t xml:space="preserve"> 2020-01-08 07:28:02</t>
  </si>
  <si>
    <t xml:space="preserve"> 2020-01-07 19:54:02</t>
  </si>
  <si>
    <t>女生眼里只有四类男生</t>
  </si>
  <si>
    <t xml:space="preserve"> 2020-01-08 07:48:01</t>
  </si>
  <si>
    <t>女生易胖体质是什么体验</t>
  </si>
  <si>
    <t xml:space="preserve"> 2020-01-08 08:00:02</t>
  </si>
  <si>
    <t>澳大利亚将射杀1万只骆驼</t>
  </si>
  <si>
    <t xml:space="preserve"> 2020-01-08 08:04:02</t>
  </si>
  <si>
    <t xml:space="preserve"> 2020-01-07 13:20:02</t>
  </si>
  <si>
    <t>孙菁</t>
  </si>
  <si>
    <t xml:space="preserve"> 2020-01-08 07:18:02</t>
  </si>
  <si>
    <t>禁欲风香水</t>
  </si>
  <si>
    <t xml:space="preserve"> 2020-01-08 07:26:02</t>
  </si>
  <si>
    <t xml:space="preserve"> 2020-01-07 16:36:02</t>
  </si>
  <si>
    <t>腾讯娱乐白皮书</t>
  </si>
  <si>
    <t xml:space="preserve"> 2020-01-08 07:20:01</t>
  </si>
  <si>
    <t xml:space="preserve"> 2020-01-07 16:58:02</t>
  </si>
  <si>
    <t>阿凡达2概念图</t>
  </si>
  <si>
    <t xml:space="preserve"> 2020-01-07 22:46:02</t>
  </si>
  <si>
    <t>动漫的感人瞬间</t>
  </si>
  <si>
    <t xml:space="preserve"> 2020-01-08 08:40:02</t>
  </si>
  <si>
    <t>首个可能宜居的地球大小行星被发现</t>
  </si>
  <si>
    <t xml:space="preserve"> 2020-01-08 01:46:02</t>
  </si>
  <si>
    <t xml:space="preserve"> 2020-01-07 16:50:02</t>
  </si>
  <si>
    <t>行李箱斜挎包</t>
  </si>
  <si>
    <t xml:space="preserve"> 2020-01-07 15:02:02</t>
  </si>
  <si>
    <t>肖战最美表演预告</t>
  </si>
  <si>
    <t xml:space="preserve"> 2020-01-08 06:50:02</t>
  </si>
  <si>
    <t xml:space="preserve"> 2020-01-07 15:58:01</t>
  </si>
  <si>
    <t>教育部发布中国高考评价体系</t>
  </si>
  <si>
    <t xml:space="preserve"> 2020-01-08 07:12:01</t>
  </si>
  <si>
    <t xml:space="preserve"> 2020-01-07 18:34:01</t>
  </si>
  <si>
    <t>京都动画今日拆除</t>
  </si>
  <si>
    <t xml:space="preserve"> 2020-01-08 18:22:02</t>
  </si>
  <si>
    <t xml:space="preserve"> 2020-01-08 10:10:02</t>
  </si>
  <si>
    <t>陈晓陈妍希同框</t>
  </si>
  <si>
    <t xml:space="preserve"> 2020-01-09 06:54:02</t>
  </si>
  <si>
    <t xml:space="preserve"> 2020-01-08 07:42:02</t>
  </si>
  <si>
    <t>美军驻伊拉克空军基地遭袭击</t>
  </si>
  <si>
    <t xml:space="preserve"> 2020-01-08 17:48:02</t>
  </si>
  <si>
    <t xml:space="preserve"> 2020-01-08 11:20:02</t>
  </si>
  <si>
    <t>特朗普回应伊朗导弹袭击</t>
  </si>
  <si>
    <t xml:space="preserve"> 2020-01-08 21:26:01</t>
  </si>
  <si>
    <t xml:space="preserve"> 2020-01-08 09:28:01</t>
  </si>
  <si>
    <t>迪丽热巴 黄景瑜</t>
  </si>
  <si>
    <t xml:space="preserve"> 2020-01-08 17:14:02</t>
  </si>
  <si>
    <t xml:space="preserve"> 2020-01-08 11:46:02</t>
  </si>
  <si>
    <t>乌克兰客机在伊朗坠毁</t>
  </si>
  <si>
    <t xml:space="preserve"> 2020-01-08 16:52:02</t>
  </si>
  <si>
    <t xml:space="preserve"> 2020-01-08 09:56:01</t>
  </si>
  <si>
    <t>李嫣冬日穿吊带街拍</t>
  </si>
  <si>
    <t xml:space="preserve"> 2020-01-08 12:42:02</t>
  </si>
  <si>
    <t xml:space="preserve"> 2020-01-08 09:02:02</t>
  </si>
  <si>
    <t>伊朗声明袭击是为苏莱马尼报仇</t>
  </si>
  <si>
    <t xml:space="preserve"> 2020-01-08 09:44:02</t>
  </si>
  <si>
    <t>伊朗发动第二轮袭击</t>
  </si>
  <si>
    <t xml:space="preserve"> 2020-01-08 17:32:01</t>
  </si>
  <si>
    <t>伊朗外长称自卫行动已经结束</t>
  </si>
  <si>
    <t xml:space="preserve"> 2020-01-08 16:14:01</t>
  </si>
  <si>
    <t xml:space="preserve"> 2020-01-08 09:34:01</t>
  </si>
  <si>
    <t>尼格买提帮化妆师追星李现</t>
  </si>
  <si>
    <t xml:space="preserve"> 2020-01-08 15:24:01</t>
  </si>
  <si>
    <t xml:space="preserve"> 2020-01-08 11:04:01</t>
  </si>
  <si>
    <t>苏莱马尼送葬队伍发生踩踏50余人死亡</t>
  </si>
  <si>
    <t xml:space="preserve"> 2020-01-08 15:40:01</t>
  </si>
  <si>
    <t>美国联邦航空管理局发布禁飞命令</t>
  </si>
  <si>
    <t xml:space="preserve"> 2020-01-08 15:36:01</t>
  </si>
  <si>
    <t xml:space="preserve"> 2020-01-08 10:58:01</t>
  </si>
  <si>
    <t>安东尼绝杀</t>
  </si>
  <si>
    <t xml:space="preserve"> 2020-01-08 16:10:02</t>
  </si>
  <si>
    <t xml:space="preserve"> 2020-01-08 10:00:01</t>
  </si>
  <si>
    <t>兵哥哥把雪扫成长城</t>
  </si>
  <si>
    <t xml:space="preserve"> 2020-01-08 15:18:02</t>
  </si>
  <si>
    <t xml:space="preserve"> 2020-01-08 08:02:02</t>
  </si>
  <si>
    <t>普京访问叙利亚</t>
  </si>
  <si>
    <t xml:space="preserve"> 2020-01-08 17:34:02</t>
  </si>
  <si>
    <t>肖战 封面</t>
  </si>
  <si>
    <t xml:space="preserve"> 2020-01-08 15:56:02</t>
  </si>
  <si>
    <t>宜家抽屉柜压死男童赔偿3.2亿</t>
  </si>
  <si>
    <t xml:space="preserve"> 2020-01-08 17:12:01</t>
  </si>
  <si>
    <t>男朋友在时VS男朋友不在</t>
  </si>
  <si>
    <t xml:space="preserve"> 2020-01-08 18:30:02</t>
  </si>
  <si>
    <t xml:space="preserve"> 2020-01-08 11:38:01</t>
  </si>
  <si>
    <t>我能吃得起的火锅</t>
  </si>
  <si>
    <t xml:space="preserve"> 2020-01-08 16:58:02</t>
  </si>
  <si>
    <t xml:space="preserve"> 2020-01-08 09:38:02</t>
  </si>
  <si>
    <t>微信好友借钱新套路</t>
  </si>
  <si>
    <t xml:space="preserve"> 2020-01-08 21:20:01</t>
  </si>
  <si>
    <t xml:space="preserve"> 2020-01-08 10:24:02</t>
  </si>
  <si>
    <t>伊朗驻华大使馆</t>
  </si>
  <si>
    <t xml:space="preserve"> 2020-01-08 16:48:02</t>
  </si>
  <si>
    <t xml:space="preserve"> 2020-01-08 09:20:01</t>
  </si>
  <si>
    <t>刘宪华腹肌</t>
  </si>
  <si>
    <t xml:space="preserve"> 2020-01-08 15:14:02</t>
  </si>
  <si>
    <t xml:space="preserve"> 2020-01-08 11:26:02</t>
  </si>
  <si>
    <t>寿司帆布鞋</t>
  </si>
  <si>
    <t xml:space="preserve"> 2020-01-08 10:16:01</t>
  </si>
  <si>
    <t>如果明星沉迷土味有多可怕</t>
  </si>
  <si>
    <t xml:space="preserve"> 2020-01-08 09:12:01</t>
  </si>
  <si>
    <t>长得太嫩被举报未成年驾驶</t>
  </si>
  <si>
    <t xml:space="preserve"> 2020-01-08 16:40:02</t>
  </si>
  <si>
    <t>国考面试名单</t>
  </si>
  <si>
    <t xml:space="preserve"> 2020-01-08 14:22:01</t>
  </si>
  <si>
    <t>黄金原油大涨</t>
  </si>
  <si>
    <t xml:space="preserve"> 2020-01-08 11:02:01</t>
  </si>
  <si>
    <t>周恩来去世44周年</t>
  </si>
  <si>
    <t>木村拓哉新歌MV</t>
  </si>
  <si>
    <t>1天出现5种气象景观</t>
  </si>
  <si>
    <t xml:space="preserve"> 2020-01-08 12:58:02</t>
  </si>
  <si>
    <t xml:space="preserve"> 2020-01-08 09:30:02</t>
  </si>
  <si>
    <t>拖米 Gemini</t>
  </si>
  <si>
    <t xml:space="preserve"> 2020-01-08 10:04:02</t>
  </si>
  <si>
    <t>权健公司等组织领导传销活动案宣判</t>
  </si>
  <si>
    <t xml:space="preserve"> 2020-01-08 14:16:02</t>
  </si>
  <si>
    <t xml:space="preserve"> 2020-01-08 11:28:01</t>
  </si>
  <si>
    <t>你曾粗心到什么程度</t>
  </si>
  <si>
    <t xml:space="preserve"> 2020-01-08 14:04:02</t>
  </si>
  <si>
    <t>Tianci加入INTZ</t>
  </si>
  <si>
    <t xml:space="preserve"> 2020-01-08 20:42:02</t>
  </si>
  <si>
    <t xml:space="preserve"> 2020-01-08 11:58:02</t>
  </si>
  <si>
    <t>百世快递暴力分拣</t>
  </si>
  <si>
    <t xml:space="preserve"> 2020-01-08 13:10:02</t>
  </si>
  <si>
    <t xml:space="preserve"> 2020-01-08 11:10:02</t>
  </si>
  <si>
    <t>国产特斯拉正式交付</t>
  </si>
  <si>
    <t xml:space="preserve"> 2020-01-08 12:22:02</t>
  </si>
  <si>
    <t xml:space="preserve"> 2020-01-08 08:08:02</t>
  </si>
  <si>
    <t>拖欠农民工工资加付五成以上赔偿金</t>
  </si>
  <si>
    <t xml:space="preserve"> 2020-01-08 11:34:02</t>
  </si>
  <si>
    <t>迷惑包包行为大赏</t>
  </si>
  <si>
    <t xml:space="preserve"> 2020-01-08 13:12:01</t>
  </si>
  <si>
    <t>考试周的大学生到底有多难</t>
  </si>
  <si>
    <t xml:space="preserve"> 2020-01-08 14:24:02</t>
  </si>
  <si>
    <t>公司年会你都中过什么奖</t>
  </si>
  <si>
    <t xml:space="preserve"> 2020-01-08 13:54:01</t>
  </si>
  <si>
    <t>适合旅行过年的地方</t>
  </si>
  <si>
    <t xml:space="preserve"> 2020-01-08 12:50:02</t>
  </si>
  <si>
    <t>2020能对我好一点吗</t>
  </si>
  <si>
    <t xml:space="preserve"> 2020-01-08 13:20:02</t>
  </si>
  <si>
    <t xml:space="preserve"> 2020-01-08 08:14:02</t>
  </si>
  <si>
    <t>新型电池让手机充1次可续航5天</t>
  </si>
  <si>
    <t xml:space="preserve"> 2020-01-09 11:14:01</t>
  </si>
  <si>
    <t xml:space="preserve"> 2020-01-08 18:02:02</t>
  </si>
  <si>
    <t>朱丹叫错马思纯名字</t>
  </si>
  <si>
    <t xml:space="preserve"> 2020-01-09 10:42:01</t>
  </si>
  <si>
    <t xml:space="preserve"> 2020-01-08 22:14:01</t>
  </si>
  <si>
    <t>多国航班宣布避开两伊领空</t>
  </si>
  <si>
    <t xml:space="preserve"> 2020-01-09 12:08:01</t>
  </si>
  <si>
    <t xml:space="preserve"> 2020-01-08 21:40:02</t>
  </si>
  <si>
    <t>法院受理郑爽诉张恒借贷纠纷案</t>
  </si>
  <si>
    <t xml:space="preserve"> 2020-01-09 12:18:02</t>
  </si>
  <si>
    <t xml:space="preserve"> 2020-01-08 20:26:02</t>
  </si>
  <si>
    <t>赵雅芝自我检讨式发微博</t>
  </si>
  <si>
    <t xml:space="preserve"> 2020-01-09 12:00:02</t>
  </si>
  <si>
    <t xml:space="preserve"> 2020-01-08 22:16:02</t>
  </si>
  <si>
    <t>太子爷下线</t>
  </si>
  <si>
    <t xml:space="preserve"> 2020-01-09 08:26:01</t>
  </si>
  <si>
    <t xml:space="preserve"> 2020-01-08 20:04:01</t>
  </si>
  <si>
    <t>CNN称伊朗导弹击中区域没有美国人</t>
  </si>
  <si>
    <t xml:space="preserve"> 2020-01-09 10:12:02</t>
  </si>
  <si>
    <t xml:space="preserve"> 2020-01-08 21:10:02</t>
  </si>
  <si>
    <t>武汉8名不明原因肺炎患者治愈出院</t>
  </si>
  <si>
    <t xml:space="preserve"> 2020-01-09 08:34:02</t>
  </si>
  <si>
    <t xml:space="preserve"> 2020-01-08 17:58:02</t>
  </si>
  <si>
    <t>曹灿去世</t>
  </si>
  <si>
    <t xml:space="preserve"> 2020-01-09 09:40:02</t>
  </si>
  <si>
    <t xml:space="preserve"> 2020-01-08 18:16:01</t>
  </si>
  <si>
    <t>高以翔哥哥发声明</t>
  </si>
  <si>
    <t xml:space="preserve"> 2020-01-09 10:08:02</t>
  </si>
  <si>
    <t xml:space="preserve"> 2020-01-08 21:24:01</t>
  </si>
  <si>
    <t>1分钟了解美伊冲突最新进展</t>
  </si>
  <si>
    <t xml:space="preserve"> 2020-01-09 10:50:02</t>
  </si>
  <si>
    <t>蓝兰人设</t>
  </si>
  <si>
    <t xml:space="preserve"> 2020-01-09 10:24:02</t>
  </si>
  <si>
    <t xml:space="preserve"> 2020-01-08 20:46:02</t>
  </si>
  <si>
    <t>女孩华山遇害案被告获死刑</t>
  </si>
  <si>
    <t xml:space="preserve"> 2020-01-09 08:30:01</t>
  </si>
  <si>
    <t xml:space="preserve"> 2020-01-08 20:28:01</t>
  </si>
  <si>
    <t>伊拉克称伊朗袭击前曾发出通知</t>
  </si>
  <si>
    <t xml:space="preserve"> 2020-01-09 09:32:01</t>
  </si>
  <si>
    <t xml:space="preserve"> 2020-01-08 22:44:01</t>
  </si>
  <si>
    <t>中国男排3比2中国台北</t>
  </si>
  <si>
    <t xml:space="preserve"> 2020-01-09 07:50:02</t>
  </si>
  <si>
    <t xml:space="preserve"> 2020-01-08 20:16:02</t>
  </si>
  <si>
    <t>耿爽称中国使领馆增多是必须的</t>
  </si>
  <si>
    <t xml:space="preserve"> 2020-01-09 13:10:02</t>
  </si>
  <si>
    <t xml:space="preserve"> 2020-01-08 23:36:01</t>
  </si>
  <si>
    <t>邓紫棋吃着火锅唱着歌</t>
  </si>
  <si>
    <t xml:space="preserve"> 2020-02-15 22:56:01</t>
  </si>
  <si>
    <t xml:space="preserve"> 2019-11-25 10:20:01</t>
  </si>
  <si>
    <t>南京下雪</t>
  </si>
  <si>
    <t xml:space="preserve"> 2020-01-09 11:46:01</t>
  </si>
  <si>
    <t xml:space="preserve"> 2020-01-08 22:42:02</t>
  </si>
  <si>
    <t>雪碧唇膏</t>
  </si>
  <si>
    <t xml:space="preserve"> 2020-01-09 12:10:01</t>
  </si>
  <si>
    <t xml:space="preserve"> 2020-01-08 22:28:02</t>
  </si>
  <si>
    <t>张钧甯玫瑰红长裙</t>
  </si>
  <si>
    <t xml:space="preserve"> 2020-01-09 11:26:02</t>
  </si>
  <si>
    <t xml:space="preserve"> 2020-01-08 19:46:01</t>
  </si>
  <si>
    <t>突然间不火的网络梗</t>
  </si>
  <si>
    <t xml:space="preserve"> 2020-01-09 10:26:02</t>
  </si>
  <si>
    <t xml:space="preserve"> 2020-01-08 18:20:01</t>
  </si>
  <si>
    <t>被烧焦考拉从大火中逃出</t>
  </si>
  <si>
    <t xml:space="preserve"> 2020-01-09 09:06:01</t>
  </si>
  <si>
    <t xml:space="preserve"> 2020-01-08 18:32:01</t>
  </si>
  <si>
    <t>女生睡前vs男生睡前</t>
  </si>
  <si>
    <t xml:space="preserve"> 2020-01-09 10:44:02</t>
  </si>
  <si>
    <t xml:space="preserve"> 2020-01-08 22:00:02</t>
  </si>
  <si>
    <t>不考虑薪水最想从事的工作</t>
  </si>
  <si>
    <t xml:space="preserve"> 2020-01-09 11:06:02</t>
  </si>
  <si>
    <t xml:space="preserve"> 2020-01-08 23:00:01</t>
  </si>
  <si>
    <t>大学期末到底有多恐怖</t>
  </si>
  <si>
    <t xml:space="preserve"> 2020-01-08 23:02:01</t>
  </si>
  <si>
    <t>360年会特等奖为免裁券</t>
  </si>
  <si>
    <t xml:space="preserve"> 2020-01-09 08:24:02</t>
  </si>
  <si>
    <t xml:space="preserve"> 2020-01-08 16:26:02</t>
  </si>
  <si>
    <t>杨千嬅因为丁子高办演唱会</t>
  </si>
  <si>
    <t xml:space="preserve"> 2020-01-09 04:36:02</t>
  </si>
  <si>
    <t xml:space="preserve"> 2020-01-08 16:50:02</t>
  </si>
  <si>
    <t>可达鸭卫衣帽</t>
  </si>
  <si>
    <t xml:space="preserve"> 2020-01-09 09:56:02</t>
  </si>
  <si>
    <t>当代中年少女的九大特征</t>
  </si>
  <si>
    <t xml:space="preserve"> 2020-01-09 10:48:01</t>
  </si>
  <si>
    <t>女子投诉快递员遭登门暴打</t>
  </si>
  <si>
    <t xml:space="preserve"> 2020-01-09 07:02:02</t>
  </si>
  <si>
    <t xml:space="preserve"> 2020-01-08 21:08:01</t>
  </si>
  <si>
    <t>22家旅游景区确定为5A级景区</t>
  </si>
  <si>
    <t xml:space="preserve"> 2020-01-09 07:26:02</t>
  </si>
  <si>
    <t xml:space="preserve"> 2020-01-08 20:36:02</t>
  </si>
  <si>
    <t>女生过于敏感是种什么体验</t>
  </si>
  <si>
    <t xml:space="preserve"> 2020-01-09 09:18:02</t>
  </si>
  <si>
    <t xml:space="preserve"> 2020-01-08 16:44:02</t>
  </si>
  <si>
    <t>王俊凯被问期末考试成绩</t>
  </si>
  <si>
    <t xml:space="preserve"> 2020-01-09 07:56:02</t>
  </si>
  <si>
    <t xml:space="preserve"> 2020-01-08 19:12:02</t>
  </si>
  <si>
    <t>乌方修改坠机事件声明</t>
  </si>
  <si>
    <t xml:space="preserve"> 2020-01-09 07:16:02</t>
  </si>
  <si>
    <t xml:space="preserve"> 2020-01-08 20:00:02</t>
  </si>
  <si>
    <t>第一次化妆的你</t>
  </si>
  <si>
    <t xml:space="preserve"> 2020-01-09 06:58:02</t>
  </si>
  <si>
    <t xml:space="preserve"> 2020-01-08 17:20:02</t>
  </si>
  <si>
    <t>伊朗称不会与美国谈判</t>
  </si>
  <si>
    <t xml:space="preserve"> 2020-01-08 19:24:02</t>
  </si>
  <si>
    <t>钱夹耳环</t>
  </si>
  <si>
    <t xml:space="preserve"> 2020-01-08 16:18:01</t>
  </si>
  <si>
    <t>瑞幸咖啡等15款APP侵害用户权益</t>
  </si>
  <si>
    <t xml:space="preserve"> 2020-01-08 14:06:02</t>
  </si>
  <si>
    <t>让人一见钟情的颜值</t>
  </si>
  <si>
    <t xml:space="preserve"> 2020-01-08 17:36:01</t>
  </si>
  <si>
    <t>长的没妈妈好看是什么体验</t>
  </si>
  <si>
    <t xml:space="preserve"> 2020-01-08 19:38:02</t>
  </si>
  <si>
    <t>澳洲总理呼吁民众捐现金赈灾</t>
  </si>
  <si>
    <t xml:space="preserve"> 2020-01-09 08:14:02</t>
  </si>
  <si>
    <t xml:space="preserve"> 2020-01-08 19:10:02</t>
  </si>
  <si>
    <t>承包90后童年的动画片</t>
  </si>
  <si>
    <t xml:space="preserve"> 2020-01-09 08:20:01</t>
  </si>
  <si>
    <t xml:space="preserve"> 2020-01-08 22:34:02</t>
  </si>
  <si>
    <t>动漫的催泪片段</t>
  </si>
  <si>
    <t xml:space="preserve"> 2020-01-09 07:06:02</t>
  </si>
  <si>
    <t xml:space="preserve"> 2020-01-08 15:10:02</t>
  </si>
  <si>
    <t>霍思燕 杜江你就是我的太阳</t>
  </si>
  <si>
    <t xml:space="preserve"> 2020-01-09 07:54:01</t>
  </si>
  <si>
    <t xml:space="preserve"> 2020-01-08 19:22:01</t>
  </si>
  <si>
    <t>大学生宿舍阳台开理发厅</t>
  </si>
  <si>
    <t xml:space="preserve"> 2020-01-09 00:56:01</t>
  </si>
  <si>
    <t xml:space="preserve"> 2020-01-08 20:48:02</t>
  </si>
  <si>
    <t>武警部队首次在拉练中启用司号员</t>
  </si>
  <si>
    <t xml:space="preserve"> 2020-01-09 05:02:01</t>
  </si>
  <si>
    <t>乌克兰公布失事客机遇难者名单</t>
  </si>
  <si>
    <t xml:space="preserve"> 2020-01-09 07:24:01</t>
  </si>
  <si>
    <t>夫妻应该共享产假吗</t>
  </si>
  <si>
    <t xml:space="preserve"> 2020-01-09 00:46:02</t>
  </si>
  <si>
    <t xml:space="preserve"> 2020-01-08 15:20:01</t>
  </si>
  <si>
    <t>刘诗诗粉色星星裙</t>
  </si>
  <si>
    <t xml:space="preserve"> 2020-01-09 04:54:01</t>
  </si>
  <si>
    <t>肖战演的外卖小哥</t>
  </si>
  <si>
    <t xml:space="preserve"> 2020-01-09 22:00:02</t>
  </si>
  <si>
    <t xml:space="preserve"> 2020-01-09 10:34:01</t>
  </si>
  <si>
    <t>刘涛点的花卷 沈腾点的花卷</t>
  </si>
  <si>
    <t xml:space="preserve"> 2020-01-10 07:02:01</t>
  </si>
  <si>
    <t xml:space="preserve"> 2020-01-09 10:20:02</t>
  </si>
  <si>
    <t>哈里梅根宣布退出王室</t>
  </si>
  <si>
    <t xml:space="preserve"> 2020-01-09 20:32:02</t>
  </si>
  <si>
    <t xml:space="preserve"> 2020-01-09 10:52:02</t>
  </si>
  <si>
    <t>王俊凯裤子里面穿牛仔裤</t>
  </si>
  <si>
    <t xml:space="preserve"> 2020-01-09 20:04:02</t>
  </si>
  <si>
    <t xml:space="preserve"> 2020-01-09 10:46:02</t>
  </si>
  <si>
    <t>卢靖姗短发</t>
  </si>
  <si>
    <t xml:space="preserve"> 2020-01-09 16:52:01</t>
  </si>
  <si>
    <t>两枚火箭弹落在美驻伊大使馆附近</t>
  </si>
  <si>
    <t xml:space="preserve"> 2020-01-09 17:12:02</t>
  </si>
  <si>
    <t xml:space="preserve"> 2020-01-09 10:28:02</t>
  </si>
  <si>
    <t>奥斯卡再次不设主持人</t>
  </si>
  <si>
    <t xml:space="preserve"> 2020-01-09 17:36:02</t>
  </si>
  <si>
    <t xml:space="preserve"> 2020-01-09 08:38:02</t>
  </si>
  <si>
    <t>武汉不明原因肺炎病原体为新型冠状病毒</t>
  </si>
  <si>
    <t xml:space="preserve"> 2020-01-09 16:40:01</t>
  </si>
  <si>
    <t xml:space="preserve"> 2020-01-09 08:36:02</t>
  </si>
  <si>
    <t>数十万只家用摄像头遭破解</t>
  </si>
  <si>
    <t xml:space="preserve"> 2020-01-09 14:42:02</t>
  </si>
  <si>
    <t xml:space="preserve"> 2020-01-09 07:14:02</t>
  </si>
  <si>
    <t>全国近7%驾驶员驾龄不足一年</t>
  </si>
  <si>
    <t xml:space="preserve"> 2020-01-09 20:54:02</t>
  </si>
  <si>
    <t>李湘点赞</t>
  </si>
  <si>
    <t xml:space="preserve"> 2020-01-09 15:46:01</t>
  </si>
  <si>
    <t>美国对伊朗实施新经济制裁</t>
  </si>
  <si>
    <t xml:space="preserve"> 2020-01-10 06:20:02</t>
  </si>
  <si>
    <t>特朗普就伊朗袭击发表讲话</t>
  </si>
  <si>
    <t xml:space="preserve"> 2020-01-09 07:58:01</t>
  </si>
  <si>
    <t>乌客机坠毁现场航拍画面</t>
  </si>
  <si>
    <t xml:space="preserve"> 2020-01-09 14:22:02</t>
  </si>
  <si>
    <t xml:space="preserve"> 2020-01-09 10:22:02</t>
  </si>
  <si>
    <t>渥太华发生枪击事件</t>
  </si>
  <si>
    <t xml:space="preserve"> 2020-01-09 14:30:01</t>
  </si>
  <si>
    <t>艾伦探班陈乔恩</t>
  </si>
  <si>
    <t xml:space="preserve"> 2020-01-09 17:38:02</t>
  </si>
  <si>
    <t xml:space="preserve"> 2020-01-09 08:28:02</t>
  </si>
  <si>
    <t>你见过素颜最能打的人</t>
  </si>
  <si>
    <t xml:space="preserve"> 2020-01-09 17:28:02</t>
  </si>
  <si>
    <t xml:space="preserve"> 2020-01-09 09:36:02</t>
  </si>
  <si>
    <t>新郎接亲被考雅思听力</t>
  </si>
  <si>
    <t xml:space="preserve"> 2020-01-09 19:02:02</t>
  </si>
  <si>
    <t>当90后当了老师</t>
  </si>
  <si>
    <t xml:space="preserve"> 2020-01-09 15:34:02</t>
  </si>
  <si>
    <t xml:space="preserve"> 2020-01-09 11:34:01</t>
  </si>
  <si>
    <t>勿需让座大爷被评大连好人</t>
  </si>
  <si>
    <t xml:space="preserve"> 2020-01-09 19:58:01</t>
  </si>
  <si>
    <t xml:space="preserve"> 2020-01-09 11:44:02</t>
  </si>
  <si>
    <t>只求及格却拿满分的明星</t>
  </si>
  <si>
    <t xml:space="preserve"> 2020-01-09 15:42:01</t>
  </si>
  <si>
    <t>当坠入冰窟孩子再见救她的消防员</t>
  </si>
  <si>
    <t xml:space="preserve"> 2020-01-09 15:36:01</t>
  </si>
  <si>
    <t xml:space="preserve"> 2020-01-09 07:38:02</t>
  </si>
  <si>
    <t>王者荣耀更新</t>
  </si>
  <si>
    <t xml:space="preserve"> 2020-01-09 13:32:02</t>
  </si>
  <si>
    <t xml:space="preserve"> 2020-01-09 11:22:02</t>
  </si>
  <si>
    <t>教育部部署2020高考</t>
  </si>
  <si>
    <t xml:space="preserve"> 2020-01-09 15:40:02</t>
  </si>
  <si>
    <t xml:space="preserve"> 2020-01-09 09:34:02</t>
  </si>
  <si>
    <t>教师资格证报名</t>
  </si>
  <si>
    <t xml:space="preserve"> 2020-01-09 13:34:01</t>
  </si>
  <si>
    <t xml:space="preserve"> 2020-01-09 09:42:01</t>
  </si>
  <si>
    <t>车银优小学毕业照</t>
  </si>
  <si>
    <t xml:space="preserve"> 2020-01-09 15:32:02</t>
  </si>
  <si>
    <t xml:space="preserve"> 2020-01-09 09:00:02</t>
  </si>
  <si>
    <t>耳机对当代人有多重要</t>
  </si>
  <si>
    <t xml:space="preserve"> 2020-02-15 22:28:02</t>
  </si>
  <si>
    <t xml:space="preserve"> 2019-11-25 11:04:01</t>
  </si>
  <si>
    <t>武汉下雪</t>
  </si>
  <si>
    <t xml:space="preserve"> 2020-01-09 14:56:01</t>
  </si>
  <si>
    <t>数码宝贝剧场版确认引进</t>
  </si>
  <si>
    <t xml:space="preserve"> 2020-01-09 13:56:02</t>
  </si>
  <si>
    <t xml:space="preserve"> 2020-01-09 11:04:01</t>
  </si>
  <si>
    <t>巴特勒沃伦冲突</t>
  </si>
  <si>
    <t xml:space="preserve"> 2020-01-09 07:52:01</t>
  </si>
  <si>
    <t>高速400公里被收1312元通行费</t>
  </si>
  <si>
    <t xml:space="preserve"> 2020-01-09 14:36:02</t>
  </si>
  <si>
    <t xml:space="preserve"> 2020-01-09 08:40:02</t>
  </si>
  <si>
    <t>百名大学生地下停车场背书</t>
  </si>
  <si>
    <t xml:space="preserve"> 2020-01-09 13:26:01</t>
  </si>
  <si>
    <t>北京房山3.2级地震</t>
  </si>
  <si>
    <t xml:space="preserve"> 2020-01-09 12:58:02</t>
  </si>
  <si>
    <t>你最反感朋友的哪些行为</t>
  </si>
  <si>
    <t xml:space="preserve"> 2020-01-09 13:12:02</t>
  </si>
  <si>
    <t xml:space="preserve"> 2020-01-09 11:28:01</t>
  </si>
  <si>
    <t>沃克遭驱逐</t>
  </si>
  <si>
    <t xml:space="preserve"> 2020-01-09 12:36:01</t>
  </si>
  <si>
    <t xml:space="preserve"> 2020-01-09 10:30:02</t>
  </si>
  <si>
    <t>为了追星做过的傻事</t>
  </si>
  <si>
    <t>攀枝花进入动车时代</t>
  </si>
  <si>
    <t xml:space="preserve"> 2020-01-09 12:32:01</t>
  </si>
  <si>
    <t xml:space="preserve"> 2020-01-09 08:42:02</t>
  </si>
  <si>
    <t>武大华科自考招生全部停止</t>
  </si>
  <si>
    <t xml:space="preserve"> 2020-01-09 12:20:01</t>
  </si>
  <si>
    <t>扬州下雪</t>
  </si>
  <si>
    <t xml:space="preserve"> 2020-01-09 14:00:02</t>
  </si>
  <si>
    <t xml:space="preserve"> 2020-01-09 11:48:02</t>
  </si>
  <si>
    <t>工信部再通报15款APP</t>
  </si>
  <si>
    <t>乌克兰基本排除操作失误致客机坠毁</t>
  </si>
  <si>
    <t xml:space="preserve"> 2020-01-09 07:18:02</t>
  </si>
  <si>
    <t>如何看待大学生纹身现象</t>
  </si>
  <si>
    <t xml:space="preserve"> 2020-01-09 07:12:01</t>
  </si>
  <si>
    <t>沙雕迷惑美甲</t>
  </si>
  <si>
    <t>男生自拍vs女生自拍</t>
  </si>
  <si>
    <t xml:space="preserve"> 2020-01-09 12:06:02</t>
  </si>
  <si>
    <t xml:space="preserve"> 2020-01-09 07:08:01</t>
  </si>
  <si>
    <t>寒冬最适合吃什么</t>
  </si>
  <si>
    <t xml:space="preserve"> 2020-01-11 06:06:01</t>
  </si>
  <si>
    <t xml:space="preserve"> 2020-01-09 18:16:02</t>
  </si>
  <si>
    <t>美国准备无条件与伊朗谈判</t>
  </si>
  <si>
    <t xml:space="preserve"> 2020-01-10 11:18:02</t>
  </si>
  <si>
    <t xml:space="preserve"> 2020-01-09 22:58:02</t>
  </si>
  <si>
    <t>詹青云 凭什么妈妈要做超人</t>
  </si>
  <si>
    <t xml:space="preserve"> 2020-01-10 09:42:02</t>
  </si>
  <si>
    <t xml:space="preserve"> 2020-01-09 20:48:02</t>
  </si>
  <si>
    <t>池子 这就是笑果脱口秀</t>
  </si>
  <si>
    <t xml:space="preserve"> 2020-01-10 10:10:02</t>
  </si>
  <si>
    <t>欧阳娜娜 公主切</t>
  </si>
  <si>
    <t xml:space="preserve"> 2020-01-10 11:14:01</t>
  </si>
  <si>
    <t xml:space="preserve"> 2020-01-09 22:20:01</t>
  </si>
  <si>
    <t>中国国奥 韩国国奥</t>
  </si>
  <si>
    <t xml:space="preserve"> 2020-01-10 08:56:01</t>
  </si>
  <si>
    <t>朴秀荣患躯体化障碍症</t>
  </si>
  <si>
    <t xml:space="preserve"> 2020-01-10 11:08:01</t>
  </si>
  <si>
    <t>小袋鼠被火光包围拼命逃窜</t>
  </si>
  <si>
    <t xml:space="preserve"> 2020-01-10 08:12:01</t>
  </si>
  <si>
    <t xml:space="preserve"> 2020-01-09 15:06:02</t>
  </si>
  <si>
    <t>澳大利亚山火有多严重</t>
  </si>
  <si>
    <t xml:space="preserve"> 2020-01-10 09:48:01</t>
  </si>
  <si>
    <t xml:space="preserve"> 2020-01-09 17:40:02</t>
  </si>
  <si>
    <t>蔡徐坤Lisa捣蒜舞</t>
  </si>
  <si>
    <t xml:space="preserve"> 2020-01-10 08:10:02</t>
  </si>
  <si>
    <t>Ella的高跟鞋</t>
  </si>
  <si>
    <t xml:space="preserve"> 2020-01-10 09:58:01</t>
  </si>
  <si>
    <t>杨帆上线</t>
  </si>
  <si>
    <t xml:space="preserve"> 2020-01-10 09:32:02</t>
  </si>
  <si>
    <t xml:space="preserve"> 2020-01-09 17:34:01</t>
  </si>
  <si>
    <t>先安检后看病你支持吗</t>
  </si>
  <si>
    <t xml:space="preserve"> 2020-01-10 10:06:01</t>
  </si>
  <si>
    <t xml:space="preserve"> 2020-01-09 19:26:02</t>
  </si>
  <si>
    <t>史上最严征信系统即将上线</t>
  </si>
  <si>
    <t xml:space="preserve"> 2020-01-10 08:58:01</t>
  </si>
  <si>
    <t>张玉宁受伤</t>
  </si>
  <si>
    <t xml:space="preserve"> 2020-01-10 07:06:01</t>
  </si>
  <si>
    <t>春晚语言类节目终审</t>
  </si>
  <si>
    <t xml:space="preserve"> 2020-01-10 10:02:02</t>
  </si>
  <si>
    <t xml:space="preserve"> 2020-01-09 22:56:02</t>
  </si>
  <si>
    <t>宋茜橘色高腰阔腿裤</t>
  </si>
  <si>
    <t xml:space="preserve"> 2020-01-09 20:14:02</t>
  </si>
  <si>
    <t>央视还原女子反杀醉汉案经过</t>
  </si>
  <si>
    <t xml:space="preserve"> 2020-01-10 11:16:02</t>
  </si>
  <si>
    <t xml:space="preserve"> 2020-01-09 22:54:02</t>
  </si>
  <si>
    <t>你见过最绝的古风穿搭</t>
  </si>
  <si>
    <t xml:space="preserve"> 2020-01-10 10:18:01</t>
  </si>
  <si>
    <t xml:space="preserve"> 2020-01-09 17:44:01</t>
  </si>
  <si>
    <t>很体面但工资低的工作</t>
  </si>
  <si>
    <t xml:space="preserve"> 2020-01-10 08:18:01</t>
  </si>
  <si>
    <t xml:space="preserve"> 2020-01-09 20:00:02</t>
  </si>
  <si>
    <t>刘诗诗草莓果酱唇色</t>
  </si>
  <si>
    <t xml:space="preserve"> 2020-01-10 09:04:02</t>
  </si>
  <si>
    <t xml:space="preserve"> 2020-01-09 23:02:01</t>
  </si>
  <si>
    <t>嫌疑人生日收民警蛋糕坦白案情</t>
  </si>
  <si>
    <t xml:space="preserve"> 2020-01-10 07:32:02</t>
  </si>
  <si>
    <t>英雄联盟2020赛季宣传片</t>
  </si>
  <si>
    <t xml:space="preserve"> 2020-01-10 10:26:01</t>
  </si>
  <si>
    <t xml:space="preserve"> 2020-01-09 18:18:02</t>
  </si>
  <si>
    <t>为什么年味越来越淡了</t>
  </si>
  <si>
    <t xml:space="preserve"> 2020-01-09 19:36:02</t>
  </si>
  <si>
    <t>截断式眼妆有多美</t>
  </si>
  <si>
    <t xml:space="preserve"> 2020-01-10 08:32:01</t>
  </si>
  <si>
    <t xml:space="preserve"> 2020-01-09 18:08:01</t>
  </si>
  <si>
    <t>守口如瓶岳云鹏</t>
  </si>
  <si>
    <t xml:space="preserve"> 2020-01-10 09:20:02</t>
  </si>
  <si>
    <t xml:space="preserve"> 2020-01-09 17:20:02</t>
  </si>
  <si>
    <t>卡戴珊的步入式冰箱</t>
  </si>
  <si>
    <t xml:space="preserve"> 2020-01-10 07:04:02</t>
  </si>
  <si>
    <t xml:space="preserve"> 2020-01-09 22:04:02</t>
  </si>
  <si>
    <t>该不该夸妈妈是超人</t>
  </si>
  <si>
    <t xml:space="preserve"> 2020-01-10 08:28:02</t>
  </si>
  <si>
    <t xml:space="preserve"> 2020-01-09 21:54:02</t>
  </si>
  <si>
    <t>骆惠宁拜会林郑月娥</t>
  </si>
  <si>
    <t xml:space="preserve"> 2020-01-09 16:38:02</t>
  </si>
  <si>
    <t>作业字写太大被老师批注恶心</t>
  </si>
  <si>
    <t xml:space="preserve"> 2020-01-10 07:46:02</t>
  </si>
  <si>
    <t xml:space="preserve"> 2020-01-09 17:42:02</t>
  </si>
  <si>
    <t>莱昂纳多救起落水男子</t>
  </si>
  <si>
    <t xml:space="preserve"> 2020-01-10 07:40:02</t>
  </si>
  <si>
    <t xml:space="preserve"> 2020-01-09 22:38:02</t>
  </si>
  <si>
    <t>动漫里很帅的女生</t>
  </si>
  <si>
    <t xml:space="preserve"> 2020-01-10 07:42:02</t>
  </si>
  <si>
    <t xml:space="preserve"> 2020-01-09 21:20:02</t>
  </si>
  <si>
    <t>皓衣行海报</t>
  </si>
  <si>
    <t xml:space="preserve"> 2020-01-10 07:28:02</t>
  </si>
  <si>
    <t xml:space="preserve"> 2020-01-09 16:16:02</t>
  </si>
  <si>
    <t>美单方面退出伊核协议无视国际法</t>
  </si>
  <si>
    <t>Lisa身材</t>
  </si>
  <si>
    <t xml:space="preserve"> 2020-01-10 09:00:02</t>
  </si>
  <si>
    <t xml:space="preserve"> 2020-01-09 18:38:02</t>
  </si>
  <si>
    <t>视监前任被发现后</t>
  </si>
  <si>
    <t xml:space="preserve"> 2020-01-09 14:20:01</t>
  </si>
  <si>
    <t>任嘉伦谭松韵互叫本名</t>
  </si>
  <si>
    <t xml:space="preserve"> 2020-01-10 07:10:01</t>
  </si>
  <si>
    <t xml:space="preserve"> 2020-01-09 23:04:02</t>
  </si>
  <si>
    <t>柏林电影节评委会主席</t>
  </si>
  <si>
    <t xml:space="preserve"> 2020-01-09 15:18:01</t>
  </si>
  <si>
    <t>金秀贤确认出演爱的迫降</t>
  </si>
  <si>
    <t xml:space="preserve"> 2020-01-09 20:56:02</t>
  </si>
  <si>
    <t>韵达开除登门打人快递员</t>
  </si>
  <si>
    <t xml:space="preserve"> 2020-01-10 05:08:02</t>
  </si>
  <si>
    <t xml:space="preserve"> 2020-01-09 17:00:02</t>
  </si>
  <si>
    <t>抹唇杀有多撩人</t>
  </si>
  <si>
    <t xml:space="preserve"> 2020-01-09 19:34:01</t>
  </si>
  <si>
    <t>曾经拒绝现在却接受的食物</t>
  </si>
  <si>
    <t xml:space="preserve"> 2020-01-09 12:38:02</t>
  </si>
  <si>
    <t>因为长得像陈萍萍被删好友</t>
  </si>
  <si>
    <t xml:space="preserve"> 2020-01-09 17:30:01</t>
  </si>
  <si>
    <t>2019最火表情</t>
  </si>
  <si>
    <t xml:space="preserve"> 2020-01-10 07:22:02</t>
  </si>
  <si>
    <t>爸爸逃不过被女儿化妆</t>
  </si>
  <si>
    <t>三九第一天</t>
  </si>
  <si>
    <t xml:space="preserve"> 2020-01-09 22:08:01</t>
  </si>
  <si>
    <t>春运老司机的五本驾照</t>
  </si>
  <si>
    <t xml:space="preserve"> 2020-01-10 08:26:02</t>
  </si>
  <si>
    <t xml:space="preserve"> 2020-01-09 20:16:01</t>
  </si>
  <si>
    <t>男孩为司机送上凉透的早餐真相暖心</t>
  </si>
  <si>
    <t xml:space="preserve"> 2020-01-10 19:12:01</t>
  </si>
  <si>
    <t>朱丹 天下我最棒</t>
  </si>
  <si>
    <t xml:space="preserve"> 2020-01-10 18:32:02</t>
  </si>
  <si>
    <t xml:space="preserve"> 2020-01-10 10:04:02</t>
  </si>
  <si>
    <t>电影亲爱的原型仍在寻子</t>
  </si>
  <si>
    <t xml:space="preserve"> 2020-01-10 21:02:02</t>
  </si>
  <si>
    <t xml:space="preserve"> 2020-01-10 10:30:01</t>
  </si>
  <si>
    <t>李子柒方否认年收入1.6亿</t>
  </si>
  <si>
    <t xml:space="preserve"> 2020-01-10 18:02:01</t>
  </si>
  <si>
    <t xml:space="preserve"> 2020-01-10 10:08:02</t>
  </si>
  <si>
    <t>宋茜韩网生图</t>
  </si>
  <si>
    <t xml:space="preserve"> 2020-01-10 16:06:02</t>
  </si>
  <si>
    <t xml:space="preserve"> 2020-01-10 07:08:02</t>
  </si>
  <si>
    <t>央视春晚阵容</t>
  </si>
  <si>
    <t xml:space="preserve"> 2020-01-10 16:22:01</t>
  </si>
  <si>
    <t xml:space="preserve"> 2020-01-10 11:40:02</t>
  </si>
  <si>
    <t>美英加拿大怀疑伊朗错误击落客机</t>
  </si>
  <si>
    <t xml:space="preserve"> 2020-01-10 16:16:01</t>
  </si>
  <si>
    <t xml:space="preserve"> 2020-01-10 10:20:01</t>
  </si>
  <si>
    <t>沈阳出现巨大旋转冰圈</t>
  </si>
  <si>
    <t xml:space="preserve"> 2020-01-11 09:26:01</t>
  </si>
  <si>
    <t xml:space="preserve"> 2020-01-10 11:10:02</t>
  </si>
  <si>
    <t>国家最高科学技术奖</t>
  </si>
  <si>
    <t xml:space="preserve"> 2020-01-10 16:38:02</t>
  </si>
  <si>
    <t>张钧甯演技</t>
  </si>
  <si>
    <t xml:space="preserve"> 2020-01-10 22:06:02</t>
  </si>
  <si>
    <t xml:space="preserve"> 2020-01-10 11:12:02</t>
  </si>
  <si>
    <t>微博之夜阵容</t>
  </si>
  <si>
    <t xml:space="preserve"> 2020-01-10 15:42:01</t>
  </si>
  <si>
    <t>唐人街探案网剧剧情</t>
  </si>
  <si>
    <t xml:space="preserve"> 2020-01-10 17:44:02</t>
  </si>
  <si>
    <t xml:space="preserve"> 2020-01-10 10:24:01</t>
  </si>
  <si>
    <t>奥地利最美小镇呼吁游客少来</t>
  </si>
  <si>
    <t xml:space="preserve"> 2020-01-10 13:32:01</t>
  </si>
  <si>
    <t xml:space="preserve"> 2020-01-10 09:38:02</t>
  </si>
  <si>
    <t>伊朗导弹疑似击落客机现场视频</t>
  </si>
  <si>
    <t xml:space="preserve"> 2020-01-10 16:30:02</t>
  </si>
  <si>
    <t>笑果文化声明</t>
  </si>
  <si>
    <t xml:space="preserve"> 2020-01-11 10:14:02</t>
  </si>
  <si>
    <t xml:space="preserve"> 2020-01-10 11:46:02</t>
  </si>
  <si>
    <t>操场埋尸案二审维持原判</t>
  </si>
  <si>
    <t xml:space="preserve"> 2020-01-10 18:58:02</t>
  </si>
  <si>
    <t xml:space="preserve"> 2020-01-10 11:50:02</t>
  </si>
  <si>
    <t>婚后一定要回男方家过年吗</t>
  </si>
  <si>
    <t xml:space="preserve"> 2020-01-10 15:52:01</t>
  </si>
  <si>
    <t xml:space="preserve"> 2020-01-10 11:36:02</t>
  </si>
  <si>
    <t>青簪行备案</t>
  </si>
  <si>
    <t xml:space="preserve"> 2020-01-10 20:10:02</t>
  </si>
  <si>
    <t xml:space="preserve"> 2020-01-10 07:44:01</t>
  </si>
  <si>
    <t>2020春运第一天</t>
  </si>
  <si>
    <t xml:space="preserve"> 2020-01-10 13:54:02</t>
  </si>
  <si>
    <t xml:space="preserve"> 2020-01-10 07:34:02</t>
  </si>
  <si>
    <t>池子 蛋哥在我这不是蛋总</t>
  </si>
  <si>
    <t xml:space="preserve"> 2020-01-10 13:42:01</t>
  </si>
  <si>
    <t xml:space="preserve"> 2020-01-10 11:04:01</t>
  </si>
  <si>
    <t>公司给员工父母发放190万孝心基金</t>
  </si>
  <si>
    <t xml:space="preserve"> 2020-01-10 15:02:02</t>
  </si>
  <si>
    <t xml:space="preserve"> 2020-01-10 09:44:02</t>
  </si>
  <si>
    <t>过年式破产</t>
  </si>
  <si>
    <t xml:space="preserve"> 2020-01-10 13:20:02</t>
  </si>
  <si>
    <t xml:space="preserve"> 2020-01-10 11:20:02</t>
  </si>
  <si>
    <t>Pyl退役</t>
  </si>
  <si>
    <t xml:space="preserve"> 2020-01-10 14:42:01</t>
  </si>
  <si>
    <t xml:space="preserve"> 2020-01-10 11:42:01</t>
  </si>
  <si>
    <t>当小女孩再见救过她的消防员</t>
  </si>
  <si>
    <t xml:space="preserve"> 2020-01-10 16:32:02</t>
  </si>
  <si>
    <t xml:space="preserve"> 2020-01-10 08:34:02</t>
  </si>
  <si>
    <t>baby冬日清宫装</t>
  </si>
  <si>
    <t xml:space="preserve"> 2020-01-10 15:30:02</t>
  </si>
  <si>
    <t>钟汉良庾澄庆阿云嘎灯牌</t>
  </si>
  <si>
    <t xml:space="preserve"> 2020-01-10 14:40:02</t>
  </si>
  <si>
    <t>爱情公寓5定档</t>
  </si>
  <si>
    <t xml:space="preserve"> 2020-01-10 14:04:01</t>
  </si>
  <si>
    <t xml:space="preserve"> 2020-01-10 10:40:02</t>
  </si>
  <si>
    <t>初中女生末班公交上捡垃圾</t>
  </si>
  <si>
    <t xml:space="preserve"> 2020-01-10 18:54:02</t>
  </si>
  <si>
    <t>假甜女孩是什么样</t>
  </si>
  <si>
    <t xml:space="preserve"> 2020-01-10 18:24:02</t>
  </si>
  <si>
    <t xml:space="preserve"> 2020-01-10 09:34:02</t>
  </si>
  <si>
    <t>胜利被申请拘捕令</t>
  </si>
  <si>
    <t xml:space="preserve"> 2020-01-10 12:18:02</t>
  </si>
  <si>
    <t xml:space="preserve"> 2020-01-10 10:28:02</t>
  </si>
  <si>
    <t>男明星无处不在的求生欲</t>
  </si>
  <si>
    <t xml:space="preserve"> 2020-01-10 14:58:02</t>
  </si>
  <si>
    <t>美众议院通过限制总统对伊朗动武决议</t>
  </si>
  <si>
    <t xml:space="preserve"> 2020-01-10 13:48:02</t>
  </si>
  <si>
    <t>你微博ID有什么含义</t>
  </si>
  <si>
    <t xml:space="preserve"> 2020-01-10 17:50:01</t>
  </si>
  <si>
    <t>刺杀小说家定档</t>
  </si>
  <si>
    <t xml:space="preserve"> 2020-01-10 12:58:01</t>
  </si>
  <si>
    <t>王源 饭点的时候最想祖国</t>
  </si>
  <si>
    <t xml:space="preserve"> 2020-01-10 20:22:01</t>
  </si>
  <si>
    <t xml:space="preserve"> 2020-01-10 11:52:01</t>
  </si>
  <si>
    <t>综艺感胜过明星本人的父母</t>
  </si>
  <si>
    <t>饭圈职业黑粉产业</t>
  </si>
  <si>
    <t xml:space="preserve"> 2020-01-10 07:30:01</t>
  </si>
  <si>
    <t>你见过颜值忽高忽低的人</t>
  </si>
  <si>
    <t xml:space="preserve"> 2020-03-09 13:48:01</t>
  </si>
  <si>
    <t xml:space="preserve"> 2019-11-06 09:28:01</t>
  </si>
  <si>
    <t>上海地铁</t>
  </si>
  <si>
    <t xml:space="preserve"> 2020-01-10 12:24:01</t>
  </si>
  <si>
    <t xml:space="preserve"> 2020-01-10 08:20:02</t>
  </si>
  <si>
    <t>袁泉气质</t>
  </si>
  <si>
    <t xml:space="preserve"> 2020-01-10 12:52:01</t>
  </si>
  <si>
    <t>儿科医生暖手袋捂热听诊器</t>
  </si>
  <si>
    <t xml:space="preserve"> 2020-01-10 14:50:02</t>
  </si>
  <si>
    <t xml:space="preserve"> 2020-01-10 12:00:02</t>
  </si>
  <si>
    <t>黄旭华曾庆存获国家最高科技奖</t>
  </si>
  <si>
    <t xml:space="preserve"> 2020-01-10 15:56:01</t>
  </si>
  <si>
    <t>哈里梅根蜡像被移出皇室布景</t>
  </si>
  <si>
    <t xml:space="preserve"> 2020-01-10 13:56:01</t>
  </si>
  <si>
    <t>偷偷回家时家人的反应</t>
  </si>
  <si>
    <t xml:space="preserve"> 2020-01-10 12:30:02</t>
  </si>
  <si>
    <t>每个城市必去的地方</t>
  </si>
  <si>
    <t xml:space="preserve"> 2020-01-10 12:04:01</t>
  </si>
  <si>
    <t>刘若英演唱会</t>
  </si>
  <si>
    <t xml:space="preserve"> 2020-01-10 16:24:02</t>
  </si>
  <si>
    <t>阿水不在iG春季赛大名单</t>
  </si>
  <si>
    <t xml:space="preserve"> 2020-01-10 10:12:01</t>
  </si>
  <si>
    <t>NBA全明星第二轮投票结果</t>
  </si>
  <si>
    <t xml:space="preserve"> 2020-01-10 12:14:01</t>
  </si>
  <si>
    <t xml:space="preserve"> 2020-01-10 10:36:02</t>
  </si>
  <si>
    <t>不感冒帽子</t>
  </si>
  <si>
    <t xml:space="preserve"> 2020-01-10 11:30:02</t>
  </si>
  <si>
    <t>寄生虫将拍剧版</t>
  </si>
  <si>
    <t xml:space="preserve"> 2020-01-10 12:08:02</t>
  </si>
  <si>
    <t>傅首尔 动感夸人</t>
  </si>
  <si>
    <t xml:space="preserve"> 2020-01-11 12:20:01</t>
  </si>
  <si>
    <t xml:space="preserve"> 2020-01-10 22:08:01</t>
  </si>
  <si>
    <t>南京杀妻碎尸案已判决</t>
  </si>
  <si>
    <t xml:space="preserve"> 2020-01-11 12:52:02</t>
  </si>
  <si>
    <t xml:space="preserve"> 2019-10-25 23:04:01</t>
  </si>
  <si>
    <t>亲爱的客栈</t>
  </si>
  <si>
    <t xml:space="preserve"> 2020-01-11 12:46:01</t>
  </si>
  <si>
    <t xml:space="preserve"> 2020-01-10 22:54:02</t>
  </si>
  <si>
    <t>何赛穿裙子</t>
  </si>
  <si>
    <t xml:space="preserve"> 2020-01-11 10:54:01</t>
  </si>
  <si>
    <t xml:space="preserve"> 2020-01-10 23:02:02</t>
  </si>
  <si>
    <t>12306回应能否实现往返车票同时销售</t>
  </si>
  <si>
    <t xml:space="preserve"> 2020-01-11 10:48:02</t>
  </si>
  <si>
    <t xml:space="preserve"> 2020-01-10 20:48:01</t>
  </si>
  <si>
    <t>林书豪穿高以翔送的西服</t>
  </si>
  <si>
    <t xml:space="preserve"> 2020-01-11 11:30:01</t>
  </si>
  <si>
    <t xml:space="preserve"> 2020-01-10 21:12:02</t>
  </si>
  <si>
    <t>用请回答1988打开乡村爱情</t>
  </si>
  <si>
    <t xml:space="preserve"> 2020-01-11 10:50:01</t>
  </si>
  <si>
    <t xml:space="preserve"> 2020-01-10 21:54:01</t>
  </si>
  <si>
    <t>李承铉泰迪卷</t>
  </si>
  <si>
    <t xml:space="preserve"> 2020-01-11 10:26:02</t>
  </si>
  <si>
    <t xml:space="preserve"> 2020-01-10 18:28:02</t>
  </si>
  <si>
    <t>朱丹经纪人发长文</t>
  </si>
  <si>
    <t xml:space="preserve"> 2020-01-11 10:22:02</t>
  </si>
  <si>
    <t xml:space="preserve"> 2020-01-10 18:38:01</t>
  </si>
  <si>
    <t>王俊凯裤子是假两件</t>
  </si>
  <si>
    <t xml:space="preserve"> 2020-01-11 10:06:01</t>
  </si>
  <si>
    <t xml:space="preserve"> 2020-01-10 20:32:01</t>
  </si>
  <si>
    <t>山的那边真的有大海</t>
  </si>
  <si>
    <t xml:space="preserve"> 2020-01-11 09:30:02</t>
  </si>
  <si>
    <t xml:space="preserve"> 2020-01-10 19:08:02</t>
  </si>
  <si>
    <t>泰国77头表演大象解开脚链</t>
  </si>
  <si>
    <t xml:space="preserve"> 2020-01-11 08:56:02</t>
  </si>
  <si>
    <t xml:space="preserve"> 2020-01-10 21:42:01</t>
  </si>
  <si>
    <t>误杀票房破10亿</t>
  </si>
  <si>
    <t>烟台走失女大学生确认遇难</t>
  </si>
  <si>
    <t xml:space="preserve"> 2020-01-11 08:10:02</t>
  </si>
  <si>
    <t xml:space="preserve"> 2020-01-10 16:12:01</t>
  </si>
  <si>
    <t>小雏菊配饰</t>
  </si>
  <si>
    <t xml:space="preserve"> 2020-01-11 11:46:02</t>
  </si>
  <si>
    <t xml:space="preserve"> 2020-01-10 20:58:02</t>
  </si>
  <si>
    <t>林珊珊见面会</t>
  </si>
  <si>
    <t xml:space="preserve"> 2020-01-10 22:34:01</t>
  </si>
  <si>
    <t>播音员是怎么忍住不笑场的</t>
  </si>
  <si>
    <t xml:space="preserve"> 2020-01-11 09:18:02</t>
  </si>
  <si>
    <t xml:space="preserve"> 2020-01-10 22:52:02</t>
  </si>
  <si>
    <t>挂科几率最高的科目</t>
  </si>
  <si>
    <t xml:space="preserve"> 2020-01-10 22:10:02</t>
  </si>
  <si>
    <t>彭于晏 杭州</t>
  </si>
  <si>
    <t xml:space="preserve"> 2020-01-11 09:38:02</t>
  </si>
  <si>
    <t>吴亦凡生图</t>
  </si>
  <si>
    <t xml:space="preserve"> 2020-01-11 11:36:02</t>
  </si>
  <si>
    <t xml:space="preserve"> 2020-01-10 22:26:02</t>
  </si>
  <si>
    <t>上海银行</t>
  </si>
  <si>
    <t xml:space="preserve"> 2020-01-11 09:34:02</t>
  </si>
  <si>
    <t xml:space="preserve"> 2020-01-10 20:52:01</t>
  </si>
  <si>
    <t>为考研一年去图书馆1023次</t>
  </si>
  <si>
    <t xml:space="preserve"> 2020-01-11 09:28:02</t>
  </si>
  <si>
    <t xml:space="preserve"> 2020-01-10 19:04:02</t>
  </si>
  <si>
    <t>孟美岐 齐刘海</t>
  </si>
  <si>
    <t xml:space="preserve"> 2020-01-11 11:24:02</t>
  </si>
  <si>
    <t xml:space="preserve"> 2020-01-10 21:34:01</t>
  </si>
  <si>
    <t>医生处方开秋裤</t>
  </si>
  <si>
    <t xml:space="preserve"> 2020-01-11 08:42:01</t>
  </si>
  <si>
    <t xml:space="preserve"> 2020-01-10 23:04:02</t>
  </si>
  <si>
    <t>4256万元的大石瓢</t>
  </si>
  <si>
    <t xml:space="preserve"> 2020-01-10 19:16:01</t>
  </si>
  <si>
    <t>徐峥想和娄烨合作</t>
  </si>
  <si>
    <t xml:space="preserve"> 2020-01-11 12:08:01</t>
  </si>
  <si>
    <t xml:space="preserve"> 2020-01-10 14:54:02</t>
  </si>
  <si>
    <t>特朗普建议中东加入北约</t>
  </si>
  <si>
    <t xml:space="preserve"> 2020-01-11 08:38:02</t>
  </si>
  <si>
    <t xml:space="preserve"> 2020-01-10 22:16:01</t>
  </si>
  <si>
    <t>当代年轻人酒量</t>
  </si>
  <si>
    <t xml:space="preserve"> 2020-01-11 08:24:02</t>
  </si>
  <si>
    <t xml:space="preserve"> 2020-01-10 21:48:01</t>
  </si>
  <si>
    <t>让成年人感到窒息的事</t>
  </si>
  <si>
    <t xml:space="preserve"> 2020-01-11 08:26:01</t>
  </si>
  <si>
    <t xml:space="preserve"> 2020-01-10 19:00:02</t>
  </si>
  <si>
    <t>林宥嘉抽奖抽中阿信</t>
  </si>
  <si>
    <t xml:space="preserve"> 2020-01-11 07:18:01</t>
  </si>
  <si>
    <t>92岁爷爷娶78岁奶奶</t>
  </si>
  <si>
    <t xml:space="preserve"> 2020-01-10 15:46:01</t>
  </si>
  <si>
    <t>迪丽热巴生图</t>
  </si>
  <si>
    <t xml:space="preserve"> 2020-01-11 07:46:02</t>
  </si>
  <si>
    <t xml:space="preserve"> 2020-01-10 19:44:01</t>
  </si>
  <si>
    <t>超大长靴</t>
  </si>
  <si>
    <t>张东健朱镇模聊天截图</t>
  </si>
  <si>
    <t xml:space="preserve"> 2020-01-11 08:28:02</t>
  </si>
  <si>
    <t xml:space="preserve"> 2020-01-10 16:26:02</t>
  </si>
  <si>
    <t>母亲遗弃自闭症儿子警方决定不起诉</t>
  </si>
  <si>
    <t>戈恩出逃被做成日本游戏</t>
  </si>
  <si>
    <t xml:space="preserve"> 2020-01-11 07:10:02</t>
  </si>
  <si>
    <t xml:space="preserve"> 2020-01-10 15:34:02</t>
  </si>
  <si>
    <t>因机票作废躲过坠机航班</t>
  </si>
  <si>
    <t xml:space="preserve"> 2020-01-10 20:18:02</t>
  </si>
  <si>
    <t>3D鲨鱼卫衣</t>
  </si>
  <si>
    <t xml:space="preserve"> 2020-01-10 20:14:02</t>
  </si>
  <si>
    <t>南京将投放一千台AED设备</t>
  </si>
  <si>
    <t xml:space="preserve"> 2020-01-11 07:26:01</t>
  </si>
  <si>
    <t xml:space="preserve"> 2020-01-10 19:46:02</t>
  </si>
  <si>
    <t>金钱高跟鞋</t>
  </si>
  <si>
    <t xml:space="preserve"> 2020-01-11 04:58:01</t>
  </si>
  <si>
    <t xml:space="preserve"> 2020-01-10 18:10:01</t>
  </si>
  <si>
    <t>魏传忠被控受贿超1.2亿</t>
  </si>
  <si>
    <t xml:space="preserve"> 2020-01-11 08:12:02</t>
  </si>
  <si>
    <t xml:space="preserve"> 2020-01-10 16:08:01</t>
  </si>
  <si>
    <t>医生声东击西式采血</t>
  </si>
  <si>
    <t xml:space="preserve"> 2020-01-11 07:06:02</t>
  </si>
  <si>
    <t>半影月食</t>
  </si>
  <si>
    <t xml:space="preserve"> 2020-01-10 21:24:02</t>
  </si>
  <si>
    <t>同一个世界同一个妈的原因</t>
  </si>
  <si>
    <t xml:space="preserve"> 2020-01-10 15:36:01</t>
  </si>
  <si>
    <t>列车员把化妆品当药品卖</t>
  </si>
  <si>
    <t xml:space="preserve"> 2020-01-10 17:52:02</t>
  </si>
  <si>
    <t>冰雪奇缘最美小镇</t>
  </si>
  <si>
    <t xml:space="preserve"> 2020-01-11 01:32:01</t>
  </si>
  <si>
    <t>广州到底有多美</t>
  </si>
  <si>
    <t xml:space="preserve"> 2020-01-11 20:14:01</t>
  </si>
  <si>
    <t xml:space="preserve"> 2020-01-11 10:24:01</t>
  </si>
  <si>
    <t>张翰阚清子聊真朋友</t>
  </si>
  <si>
    <t xml:space="preserve"> 2020-01-11 22:32:01</t>
  </si>
  <si>
    <t>2019新生儿爆款名字</t>
  </si>
  <si>
    <t xml:space="preserve"> 2020-01-11 18:44:02</t>
  </si>
  <si>
    <t xml:space="preserve"> 2020-01-11 10:38:02</t>
  </si>
  <si>
    <t>邓家佳演技</t>
  </si>
  <si>
    <t xml:space="preserve"> 2020-01-11 17:20:02</t>
  </si>
  <si>
    <t>娄艺潇试镜胡一菲画面</t>
  </si>
  <si>
    <t xml:space="preserve"> 2020-01-11 19:42:02</t>
  </si>
  <si>
    <t xml:space="preserve"> 2020-01-11 08:48:01</t>
  </si>
  <si>
    <t>你怎么这么好看价值观</t>
  </si>
  <si>
    <t xml:space="preserve"> 2020-01-11 14:50:02</t>
  </si>
  <si>
    <t xml:space="preserve"> 2020-01-11 11:00:02</t>
  </si>
  <si>
    <t>上海银行回应举报</t>
  </si>
  <si>
    <t xml:space="preserve"> 2020-01-11 16:28:01</t>
  </si>
  <si>
    <t xml:space="preserve"> 2020-01-11 07:52:01</t>
  </si>
  <si>
    <t>武汉不明原因肺炎导致1人死亡</t>
  </si>
  <si>
    <t xml:space="preserve"> 2020-01-11 18:10:02</t>
  </si>
  <si>
    <t xml:space="preserve"> 2020-01-11 11:32:02</t>
  </si>
  <si>
    <t>打医生法院副局长被行政拘留</t>
  </si>
  <si>
    <t xml:space="preserve"> 2020-01-11 10:52:02</t>
  </si>
  <si>
    <t>迪士尼公主耳饰</t>
  </si>
  <si>
    <t xml:space="preserve"> 2020-01-11 17:48:01</t>
  </si>
  <si>
    <t xml:space="preserve"> 2020-01-11 09:44:01</t>
  </si>
  <si>
    <t>陈坤为儿子庆生</t>
  </si>
  <si>
    <t xml:space="preserve"> 2020-01-11 17:04:02</t>
  </si>
  <si>
    <t xml:space="preserve"> 2020-01-11 07:28:02</t>
  </si>
  <si>
    <t>唐人街探案网剧 反转</t>
  </si>
  <si>
    <t xml:space="preserve"> 2020-01-11 14:08:01</t>
  </si>
  <si>
    <t xml:space="preserve"> 2020-01-11 09:32:02</t>
  </si>
  <si>
    <t>广东摩托车大军今起返乡</t>
  </si>
  <si>
    <t xml:space="preserve"> 2020-01-11 23:06:02</t>
  </si>
  <si>
    <t xml:space="preserve"> 2020-01-11 11:26:01</t>
  </si>
  <si>
    <t>湖人 独行侠</t>
  </si>
  <si>
    <t xml:space="preserve"> 2020-01-11 16:52:02</t>
  </si>
  <si>
    <t xml:space="preserve"> 2020-01-11 10:00:02</t>
  </si>
  <si>
    <t>周杰伦为母亲掌镜拍照</t>
  </si>
  <si>
    <t xml:space="preserve"> 2020-01-11 18:28:01</t>
  </si>
  <si>
    <t xml:space="preserve"> 2020-01-11 10:56:02</t>
  </si>
  <si>
    <t>腾讯NBA</t>
  </si>
  <si>
    <t xml:space="preserve"> 2020-01-11 19:00:02</t>
  </si>
  <si>
    <t>多少岁就不能再收压岁钱了</t>
  </si>
  <si>
    <t xml:space="preserve"> 2020-01-11 19:48:02</t>
  </si>
  <si>
    <t>女子偷空样板间给儿子装婚房</t>
  </si>
  <si>
    <t xml:space="preserve"> 2020-01-11 15:50:02</t>
  </si>
  <si>
    <t xml:space="preserve"> 2020-01-11 10:16:02</t>
  </si>
  <si>
    <t>特朗普称自己应获诺贝尔和平奖</t>
  </si>
  <si>
    <t xml:space="preserve"> 2020-01-11 17:14:01</t>
  </si>
  <si>
    <t>吴世勋朴灿烈机场被挤</t>
  </si>
  <si>
    <t xml:space="preserve"> 2020-01-11 16:16:01</t>
  </si>
  <si>
    <t xml:space="preserve"> 2020-01-11 08:16:02</t>
  </si>
  <si>
    <t>人间真的不值得吗</t>
  </si>
  <si>
    <t xml:space="preserve"> 2020-01-11 11:10:02</t>
  </si>
  <si>
    <t>揭秘95后炒鞋群</t>
  </si>
  <si>
    <t xml:space="preserve"> 2020-01-11 15:02:01</t>
  </si>
  <si>
    <t>日本谢罪咖啡机</t>
  </si>
  <si>
    <t xml:space="preserve"> 2020-01-11 15:04:02</t>
  </si>
  <si>
    <t xml:space="preserve"> 2020-01-11 07:08:01</t>
  </si>
  <si>
    <t>你见过眼睛小却很好看的人</t>
  </si>
  <si>
    <t xml:space="preserve"> 2020-01-11 16:18:02</t>
  </si>
  <si>
    <t xml:space="preserve"> 2020-01-11 07:20:02</t>
  </si>
  <si>
    <t>Lisa开通微博</t>
  </si>
  <si>
    <t xml:space="preserve"> 2020-01-11 18:04:01</t>
  </si>
  <si>
    <t xml:space="preserve"> 2019-10-30 11:00:02</t>
  </si>
  <si>
    <t>迪丽热巴旗袍造型</t>
  </si>
  <si>
    <t>日本女性不满专用车厢</t>
  </si>
  <si>
    <t xml:space="preserve"> 2020-01-11 15:10:01</t>
  </si>
  <si>
    <t>看背影就心动的男生</t>
  </si>
  <si>
    <t xml:space="preserve"> 2020-01-11 19:54:01</t>
  </si>
  <si>
    <t xml:space="preserve"> 2020-01-11 11:40:02</t>
  </si>
  <si>
    <t>你有什么奇特的生理现象</t>
  </si>
  <si>
    <t xml:space="preserve"> 2020-01-11 14:52:02</t>
  </si>
  <si>
    <t>汤唯台词</t>
  </si>
  <si>
    <t xml:space="preserve"> 2020-01-11 13:48:02</t>
  </si>
  <si>
    <t>爸爸能有多宠自己的女儿</t>
  </si>
  <si>
    <t xml:space="preserve"> 2020-01-11 14:06:02</t>
  </si>
  <si>
    <t>许魏洲 爱我就好好走路</t>
  </si>
  <si>
    <t xml:space="preserve"> 2020-01-11 13:46:02</t>
  </si>
  <si>
    <t xml:space="preserve"> 2020-01-11 11:12:01</t>
  </si>
  <si>
    <t>巴基斯坦奎达一清真寺发生爆炸</t>
  </si>
  <si>
    <t xml:space="preserve"> 2020-01-11 12:50:01</t>
  </si>
  <si>
    <t xml:space="preserve"> 2020-01-11 08:30:02</t>
  </si>
  <si>
    <t>对自身的颜值没有概念</t>
  </si>
  <si>
    <t xml:space="preserve"> 2020-01-11 12:44:02</t>
  </si>
  <si>
    <t xml:space="preserve"> 2020-01-11 10:58:02</t>
  </si>
  <si>
    <t>2020年第一份梦幻求婚</t>
  </si>
  <si>
    <t xml:space="preserve"> 2020-01-11 12:42:01</t>
  </si>
  <si>
    <t xml:space="preserve"> 2020-01-11 10:20:01</t>
  </si>
  <si>
    <t>学校给贫困生发春节路费</t>
  </si>
  <si>
    <t xml:space="preserve"> 2020-01-11 13:26:02</t>
  </si>
  <si>
    <t>李荣浩新歌rap</t>
  </si>
  <si>
    <t xml:space="preserve"> 2020-01-11 13:20:01</t>
  </si>
  <si>
    <t>全国首个电子封条</t>
  </si>
  <si>
    <t>周继红当选中国跳水协会主席</t>
  </si>
  <si>
    <t xml:space="preserve"> 2020-01-11 13:24:01</t>
  </si>
  <si>
    <t xml:space="preserve"> 2020-01-11 11:38:02</t>
  </si>
  <si>
    <t>相亲碰到最好笑的事</t>
  </si>
  <si>
    <t xml:space="preserve"> 2020-01-11 21:22:01</t>
  </si>
  <si>
    <t xml:space="preserve"> 2020-01-11 12:02:02</t>
  </si>
  <si>
    <t>给哨所军人配发一猫一狗</t>
  </si>
  <si>
    <t xml:space="preserve"> 2020-01-11 12:58:01</t>
  </si>
  <si>
    <t xml:space="preserve"> 2020-01-11 07:12:02</t>
  </si>
  <si>
    <t>胡尚仪下线</t>
  </si>
  <si>
    <t xml:space="preserve"> 2020-01-11 12:16:01</t>
  </si>
  <si>
    <t xml:space="preserve"> 2020-01-11 10:08:02</t>
  </si>
  <si>
    <t>怀疑自己智商的经历</t>
  </si>
  <si>
    <t>2020春运十大必备知识点</t>
  </si>
  <si>
    <t xml:space="preserve"> 2020-01-11 08:18:01</t>
  </si>
  <si>
    <t>专家解读武汉不明原因肺炎</t>
  </si>
  <si>
    <t xml:space="preserve"> 2020-01-12 12:38:02</t>
  </si>
  <si>
    <t xml:space="preserve"> 2020-01-11 23:08:02</t>
  </si>
  <si>
    <t>朱丹念热巴娜扎绕口令</t>
  </si>
  <si>
    <t xml:space="preserve"> 2020-01-12 07:46:02</t>
  </si>
  <si>
    <t xml:space="preserve"> 2020-01-11 17:16:02</t>
  </si>
  <si>
    <t>阿曼苏丹去世</t>
  </si>
  <si>
    <t xml:space="preserve"> 2020-01-12 11:14:02</t>
  </si>
  <si>
    <t xml:space="preserve"> 2020-01-11 22:52:01</t>
  </si>
  <si>
    <t>李汶翰吐槽王一博</t>
  </si>
  <si>
    <t xml:space="preserve"> 2020-02-16 12:56:01</t>
  </si>
  <si>
    <t xml:space="preserve"> 2019-12-16 22:20:01</t>
  </si>
  <si>
    <t>爱的迫降</t>
  </si>
  <si>
    <t xml:space="preserve"> 2020-01-12 11:04:01</t>
  </si>
  <si>
    <t xml:space="preserve"> 2020-01-11 21:26:02</t>
  </si>
  <si>
    <t>冯薪朵 陆思恒</t>
  </si>
  <si>
    <t xml:space="preserve"> 2020-01-12 12:06:01</t>
  </si>
  <si>
    <t xml:space="preserve"> 2020-01-11 22:56:02</t>
  </si>
  <si>
    <t>颜如晶落泪</t>
  </si>
  <si>
    <t xml:space="preserve"> 2020-01-12 09:56:02</t>
  </si>
  <si>
    <t>微博年度影响力事件</t>
  </si>
  <si>
    <t xml:space="preserve"> 2020-01-12 09:16:01</t>
  </si>
  <si>
    <t xml:space="preserve"> 2020-01-11 21:10:01</t>
  </si>
  <si>
    <t>期末评语是自己名字的藏头诗</t>
  </si>
  <si>
    <t xml:space="preserve"> 2020-01-12 11:42:02</t>
  </si>
  <si>
    <t xml:space="preserve"> 2020-01-11 21:56:01</t>
  </si>
  <si>
    <t>蔡英文当选台湾地区领导人</t>
  </si>
  <si>
    <t xml:space="preserve"> 2020-01-12 07:30:01</t>
  </si>
  <si>
    <t xml:space="preserve"> 2020-01-11 19:56:02</t>
  </si>
  <si>
    <t>赵丽颖李现刘亦菲蔡徐坤侧颜</t>
  </si>
  <si>
    <t xml:space="preserve"> 2020-01-12 10:44:01</t>
  </si>
  <si>
    <t xml:space="preserve"> 2020-01-11 15:24:02</t>
  </si>
  <si>
    <t>微博之夜</t>
  </si>
  <si>
    <t xml:space="preserve"> 2020-01-12 12:42:02</t>
  </si>
  <si>
    <t xml:space="preserve"> 2020-01-11 20:54:01</t>
  </si>
  <si>
    <t>伊朗高官透露客机被击中细节</t>
  </si>
  <si>
    <t xml:space="preserve"> 2020-01-12 11:34:01</t>
  </si>
  <si>
    <t xml:space="preserve"> 2020-01-11 22:06:01</t>
  </si>
  <si>
    <t>邹韵太稳了</t>
  </si>
  <si>
    <t xml:space="preserve"> 2020-01-12 11:38:01</t>
  </si>
  <si>
    <t xml:space="preserve"> 2020-01-11 23:02:02</t>
  </si>
  <si>
    <t>张含韵配的马冬梅</t>
  </si>
  <si>
    <t xml:space="preserve"> 2020-01-12 14:44:02</t>
  </si>
  <si>
    <t xml:space="preserve"> 2020-01-11 23:38:01</t>
  </si>
  <si>
    <t>阿油陈怡二胎</t>
  </si>
  <si>
    <t xml:space="preserve"> 2020-01-12 12:10:02</t>
  </si>
  <si>
    <t xml:space="preserve"> 2020-01-11 23:16:01</t>
  </si>
  <si>
    <t>部分iPhone下调以旧换新价格</t>
  </si>
  <si>
    <t xml:space="preserve"> 2020-01-12 09:34:01</t>
  </si>
  <si>
    <t xml:space="preserve"> 2020-01-11 23:14:02</t>
  </si>
  <si>
    <t>波音确认前CEO无法获得任何离职补偿</t>
  </si>
  <si>
    <t xml:space="preserve"> 2020-01-12 13:10:02</t>
  </si>
  <si>
    <t xml:space="preserve"> 2020-01-11 23:18:01</t>
  </si>
  <si>
    <t>假如你的前任突然抱住你</t>
  </si>
  <si>
    <t xml:space="preserve"> 2020-01-12 08:50:02</t>
  </si>
  <si>
    <t xml:space="preserve"> 2020-01-11 23:22:02</t>
  </si>
  <si>
    <t>微博之夜三巨头</t>
  </si>
  <si>
    <t xml:space="preserve"> 2020-01-12 12:52:01</t>
  </si>
  <si>
    <t xml:space="preserve"> 2020-01-11 23:04:01</t>
  </si>
  <si>
    <t>农民工凑28元车站吃散伙饭</t>
  </si>
  <si>
    <t xml:space="preserve"> 2020-01-12 13:24:02</t>
  </si>
  <si>
    <t xml:space="preserve"> 2020-01-11 23:42:01</t>
  </si>
  <si>
    <t>私生在爱豆家门口装监控</t>
  </si>
  <si>
    <t xml:space="preserve"> 2020-01-12 12:02:01</t>
  </si>
  <si>
    <t xml:space="preserve"> 2020-01-11 22:02:01</t>
  </si>
  <si>
    <t>男孩往井盖内扔炮被炸飞</t>
  </si>
  <si>
    <t xml:space="preserve"> 2020-01-12 03:06:02</t>
  </si>
  <si>
    <t xml:space="preserve"> 2020-01-11 19:44:01</t>
  </si>
  <si>
    <t>李冰冰 美岐我在下面拍你</t>
  </si>
  <si>
    <t xml:space="preserve"> 2020-01-12 10:16:02</t>
  </si>
  <si>
    <t xml:space="preserve"> 2020-01-11 21:30:02</t>
  </si>
  <si>
    <t>TFBOYS再唱青春修炼手册</t>
  </si>
  <si>
    <t xml:space="preserve"> 2020-01-12 09:02:01</t>
  </si>
  <si>
    <t xml:space="preserve"> 2020-01-11 22:04:02</t>
  </si>
  <si>
    <t>吴敦义宣布请辞国民党主席</t>
  </si>
  <si>
    <t xml:space="preserve"> 2020-01-12 11:40:02</t>
  </si>
  <si>
    <t>央视曝光宰客长途客车</t>
  </si>
  <si>
    <t xml:space="preserve"> 2020-01-12 08:44:01</t>
  </si>
  <si>
    <t>沈腾雷佳音像极了过年回家的我</t>
  </si>
  <si>
    <t xml:space="preserve"> 2020-01-12 08:54:02</t>
  </si>
  <si>
    <t xml:space="preserve"> 2020-01-11 20:58:01</t>
  </si>
  <si>
    <t>王一博选编织袋</t>
  </si>
  <si>
    <t xml:space="preserve"> 2020-02-23 07:26:01</t>
  </si>
  <si>
    <t xml:space="preserve"> 2020-01-11 22:28:01</t>
  </si>
  <si>
    <t>非诚勿扰</t>
  </si>
  <si>
    <t xml:space="preserve"> 2020-01-12 10:34:02</t>
  </si>
  <si>
    <t xml:space="preserve"> 2020-01-11 21:16:02</t>
  </si>
  <si>
    <t>李国庆吐槽大会</t>
  </si>
  <si>
    <t xml:space="preserve"> 2020-01-12 09:08:02</t>
  </si>
  <si>
    <t xml:space="preserve"> 2020-01-11 23:28:02</t>
  </si>
  <si>
    <t>CBA扣篮大赛</t>
  </si>
  <si>
    <t xml:space="preserve"> 2020-01-12 10:00:01</t>
  </si>
  <si>
    <t xml:space="preserve"> 2020-01-11 22:50:02</t>
  </si>
  <si>
    <t>刘琳配音唐晶</t>
  </si>
  <si>
    <t xml:space="preserve"> 2020-01-12 10:42:02</t>
  </si>
  <si>
    <t>秦昊演自闭症</t>
  </si>
  <si>
    <t xml:space="preserve"> 2020-01-12 12:12:02</t>
  </si>
  <si>
    <t>长得瘦有什么烦恼</t>
  </si>
  <si>
    <t xml:space="preserve"> 2020-01-12 08:08:02</t>
  </si>
  <si>
    <t>女儿17次生日军人爸爸缺席15次</t>
  </si>
  <si>
    <t xml:space="preserve"> 2020-01-12 08:20:02</t>
  </si>
  <si>
    <t xml:space="preserve"> 2020-01-11 16:44:02</t>
  </si>
  <si>
    <t>中国天眼正式开放运行</t>
  </si>
  <si>
    <t xml:space="preserve"> 2020-01-12 07:10:02</t>
  </si>
  <si>
    <t xml:space="preserve"> 2020-01-11 17:12:02</t>
  </si>
  <si>
    <t>赵丽颖黑天鹅纱裙</t>
  </si>
  <si>
    <t xml:space="preserve"> 2020-01-12 10:32:01</t>
  </si>
  <si>
    <t>对事不对人有错吗</t>
  </si>
  <si>
    <t xml:space="preserve"> 2020-01-12 08:24:02</t>
  </si>
  <si>
    <t xml:space="preserve"> 2020-01-11 19:02:02</t>
  </si>
  <si>
    <t>易建联被熊猫吓到</t>
  </si>
  <si>
    <t xml:space="preserve"> 2020-01-12 06:16:02</t>
  </si>
  <si>
    <t xml:space="preserve"> 2020-01-11 22:18:01</t>
  </si>
  <si>
    <t>冯硕 厉害</t>
  </si>
  <si>
    <t>5G高铁正式投入春运</t>
  </si>
  <si>
    <t xml:space="preserve"> 2020-01-12 07:22:01</t>
  </si>
  <si>
    <t>矣进宏50分</t>
  </si>
  <si>
    <t xml:space="preserve"> 2020-01-12 10:54:02</t>
  </si>
  <si>
    <t xml:space="preserve"> 2020-01-11 23:20:02</t>
  </si>
  <si>
    <t>你的小名叫啥</t>
  </si>
  <si>
    <t xml:space="preserve"> 2020-01-12 07:24:02</t>
  </si>
  <si>
    <t xml:space="preserve"> 2020-01-11 23:24:02</t>
  </si>
  <si>
    <t>潘玮柏南京演唱会</t>
  </si>
  <si>
    <t xml:space="preserve"> 2020-01-12 02:04:02</t>
  </si>
  <si>
    <t xml:space="preserve"> 2020-01-11 18:50:01</t>
  </si>
  <si>
    <t>94岁核潜艇专家撒狗粮</t>
  </si>
  <si>
    <t xml:space="preserve"> 2020-01-12 18:40:01</t>
  </si>
  <si>
    <t xml:space="preserve"> 2020-01-12 07:12:01</t>
  </si>
  <si>
    <t>李现问周冬雨两边都拔了吗</t>
  </si>
  <si>
    <t xml:space="preserve"> 2020-01-12 17:06:01</t>
  </si>
  <si>
    <t>澳总理承认应对山火存在失误</t>
  </si>
  <si>
    <t xml:space="preserve"> 2020-01-12 19:32:01</t>
  </si>
  <si>
    <t>baby扶刘亦菲</t>
  </si>
  <si>
    <t xml:space="preserve"> 2020-01-12 16:36:02</t>
  </si>
  <si>
    <t xml:space="preserve"> 2020-01-12 10:02:01</t>
  </si>
  <si>
    <t>沈腾看王源获奖的表情</t>
  </si>
  <si>
    <t xml:space="preserve"> 2020-01-12 18:18:01</t>
  </si>
  <si>
    <t>J姐分手</t>
  </si>
  <si>
    <t xml:space="preserve"> 2020-01-12 18:04:02</t>
  </si>
  <si>
    <t xml:space="preserve"> 2020-01-12 10:36:01</t>
  </si>
  <si>
    <t>2020年春晚14日首次带妆彩排</t>
  </si>
  <si>
    <t xml:space="preserve"> 2020-01-12 21:52:01</t>
  </si>
  <si>
    <t xml:space="preserve"> 2020-01-12 11:48:02</t>
  </si>
  <si>
    <t>外交部回应台湾地区领导人选举结果</t>
  </si>
  <si>
    <t xml:space="preserve"> 2020-01-12 15:44:02</t>
  </si>
  <si>
    <t>乌克兰客机曾被要求转弯</t>
  </si>
  <si>
    <t xml:space="preserve"> 2020-01-12 17:30:01</t>
  </si>
  <si>
    <t xml:space="preserve"> 2020-01-12 09:18:02</t>
  </si>
  <si>
    <t>禁塑令后泰国人花式购物</t>
  </si>
  <si>
    <t xml:space="preserve"> 2020-01-12 15:12:01</t>
  </si>
  <si>
    <t xml:space="preserve"> 2020-01-12 08:34:02</t>
  </si>
  <si>
    <t>黄旭华只戴母亲的围巾</t>
  </si>
  <si>
    <t xml:space="preserve"> 2020-01-12 19:04:01</t>
  </si>
  <si>
    <t xml:space="preserve"> 2020-01-12 10:46:02</t>
  </si>
  <si>
    <t>易烊千玺胸前发光</t>
  </si>
  <si>
    <t xml:space="preserve"> 2020-01-12 14:46:01</t>
  </si>
  <si>
    <t>16地出台独生子女护理假</t>
  </si>
  <si>
    <t xml:space="preserve"> 2020-01-12 18:30:02</t>
  </si>
  <si>
    <t>海军首艘万吨大驱入列</t>
  </si>
  <si>
    <t xml:space="preserve"> 2020-01-12 14:00:02</t>
  </si>
  <si>
    <t xml:space="preserve"> 2020-01-12 09:52:01</t>
  </si>
  <si>
    <t>小区800万维修资金被挪用</t>
  </si>
  <si>
    <t xml:space="preserve"> 2020-01-12 13:46:01</t>
  </si>
  <si>
    <t xml:space="preserve"> 2020-01-12 08:28:02</t>
  </si>
  <si>
    <t>12306监控中心首次亮相</t>
  </si>
  <si>
    <t xml:space="preserve"> 2020-01-12 21:22:02</t>
  </si>
  <si>
    <t xml:space="preserve"> 2020-01-12 11:36:02</t>
  </si>
  <si>
    <t>欧阳娜娜超A西装</t>
  </si>
  <si>
    <t xml:space="preserve"> 2020-01-12 19:52:02</t>
  </si>
  <si>
    <t xml:space="preserve"> 2020-01-12 10:38:01</t>
  </si>
  <si>
    <t>戴两块手表的列车员</t>
  </si>
  <si>
    <t xml:space="preserve"> 2020-01-12 18:38:02</t>
  </si>
  <si>
    <t xml:space="preserve"> 2020-01-12 11:44:02</t>
  </si>
  <si>
    <t>很不好但我却很擅长的事</t>
  </si>
  <si>
    <t xml:space="preserve"> 2020-01-12 16:46:01</t>
  </si>
  <si>
    <t>别让ETC给回家路添堵</t>
  </si>
  <si>
    <t xml:space="preserve"> 2020-01-12 15:36:02</t>
  </si>
  <si>
    <t xml:space="preserve"> 2020-01-12 11:06:02</t>
  </si>
  <si>
    <t>郭德纲郭麒麟神同步</t>
  </si>
  <si>
    <t xml:space="preserve"> 2020-01-12 19:02:02</t>
  </si>
  <si>
    <t>杨紫水雾蓝羽毛纱裙</t>
  </si>
  <si>
    <t xml:space="preserve"> 2020-01-12 13:20:02</t>
  </si>
  <si>
    <t xml:space="preserve"> 2020-01-12 08:42:02</t>
  </si>
  <si>
    <t>佟丽娅拼接毛绒裙</t>
  </si>
  <si>
    <t xml:space="preserve"> 2020-01-12 16:08:02</t>
  </si>
  <si>
    <t xml:space="preserve"> 2020-01-12 07:48:02</t>
  </si>
  <si>
    <t>学霸出走打工发现还是上学好</t>
  </si>
  <si>
    <t xml:space="preserve"> 2020-01-12 16:06:01</t>
  </si>
  <si>
    <t xml:space="preserve"> 2020-01-12 11:00:02</t>
  </si>
  <si>
    <t>宇宙中最小的东西</t>
  </si>
  <si>
    <t xml:space="preserve"> 2020-01-12 07:26:01</t>
  </si>
  <si>
    <t>杨幂裸色闪钻长裙</t>
  </si>
  <si>
    <t xml:space="preserve"> 2020-01-12 14:38:01</t>
  </si>
  <si>
    <t xml:space="preserve"> 2020-01-12 09:26:01</t>
  </si>
  <si>
    <t>东北人滑雪装备靠捡</t>
  </si>
  <si>
    <t xml:space="preserve"> 2020-01-12 16:40:02</t>
  </si>
  <si>
    <t>加大进口药品境外检查力度</t>
  </si>
  <si>
    <t xml:space="preserve"> 2020-01-12 15:46:01</t>
  </si>
  <si>
    <t xml:space="preserve"> 2020-01-12 07:32:02</t>
  </si>
  <si>
    <t>赵丽颖雷佳音刘烨一个头两个大</t>
  </si>
  <si>
    <t xml:space="preserve"> 2020-01-12 17:22:01</t>
  </si>
  <si>
    <t>年前综合症</t>
  </si>
  <si>
    <t>春节给家人带了什么礼物</t>
  </si>
  <si>
    <t xml:space="preserve"> 2020-01-12 17:52:02</t>
  </si>
  <si>
    <t xml:space="preserve"> 2020-01-12 09:46:02</t>
  </si>
  <si>
    <t>王耀庆太搞笑了</t>
  </si>
  <si>
    <t xml:space="preserve"> 2020-01-12 08:56:01</t>
  </si>
  <si>
    <t>ZICO 华莎</t>
  </si>
  <si>
    <t xml:space="preserve"> 2020-01-12 17:42:02</t>
  </si>
  <si>
    <t xml:space="preserve"> 2020-01-12 12:04:02</t>
  </si>
  <si>
    <t>天空之镜空母错</t>
  </si>
  <si>
    <t>号段1740的中国卫星电话</t>
  </si>
  <si>
    <t xml:space="preserve"> 2020-01-12 15:16:01</t>
  </si>
  <si>
    <t>建议将心肺复苏急救写进中小学课程</t>
  </si>
  <si>
    <t>你支持春节出租车涨价吗</t>
  </si>
  <si>
    <t xml:space="preserve"> 2020-01-11 21:24:02</t>
  </si>
  <si>
    <t>杨紫 微博QUEEN</t>
  </si>
  <si>
    <t xml:space="preserve"> 2020-01-13 11:30:01</t>
  </si>
  <si>
    <t xml:space="preserve"> 2020-01-12 20:40:01</t>
  </si>
  <si>
    <t>子乔美嘉领证</t>
  </si>
  <si>
    <t xml:space="preserve"> 2020-01-13 10:06:02</t>
  </si>
  <si>
    <t xml:space="preserve"> 2020-01-12 17:46:01</t>
  </si>
  <si>
    <t>花1500块烫了个平头</t>
  </si>
  <si>
    <t xml:space="preserve"> 2020-01-13 13:58:01</t>
  </si>
  <si>
    <t xml:space="preserve"> 2020-01-12 22:08:01</t>
  </si>
  <si>
    <t>胡一菲曾小贤领证</t>
  </si>
  <si>
    <t xml:space="preserve"> 2020-01-13 10:46:02</t>
  </si>
  <si>
    <t xml:space="preserve"> 2020-01-12 22:42:02</t>
  </si>
  <si>
    <t>那英没拿住肖战的金鱼</t>
  </si>
  <si>
    <t xml:space="preserve"> 2020-01-13 12:56:01</t>
  </si>
  <si>
    <t xml:space="preserve"> 2020-01-12 20:58:01</t>
  </si>
  <si>
    <t>Gucci泡面</t>
  </si>
  <si>
    <t xml:space="preserve"> 2020-01-13 11:54:01</t>
  </si>
  <si>
    <t xml:space="preserve"> 2020-01-12 22:54:02</t>
  </si>
  <si>
    <t>天天向上 化妆</t>
  </si>
  <si>
    <t xml:space="preserve"> 2020-01-13 15:24:01</t>
  </si>
  <si>
    <t xml:space="preserve"> 2020-01-12 23:04:02</t>
  </si>
  <si>
    <t>曾小贤不贱了</t>
  </si>
  <si>
    <t xml:space="preserve"> 2020-01-13 09:34:02</t>
  </si>
  <si>
    <t xml:space="preserve"> 2020-01-12 19:06:02</t>
  </si>
  <si>
    <t>心肺复苏压断老太12根肋骨一审判决</t>
  </si>
  <si>
    <t xml:space="preserve"> 2020-01-13 22:04:01</t>
  </si>
  <si>
    <t xml:space="preserve"> 2020-01-12 21:48:01</t>
  </si>
  <si>
    <t>中国男排无缘东京奥运会</t>
  </si>
  <si>
    <t xml:space="preserve"> 2020-01-13 11:50:01</t>
  </si>
  <si>
    <t xml:space="preserve"> 2020-01-12 22:44:02</t>
  </si>
  <si>
    <t>咖喱酱 尬</t>
  </si>
  <si>
    <t xml:space="preserve"> 2020-01-13 10:20:02</t>
  </si>
  <si>
    <t xml:space="preserve"> 2020-01-12 18:42:02</t>
  </si>
  <si>
    <t>赵丽颖气质变了</t>
  </si>
  <si>
    <t xml:space="preserve"> 2020-02-11 12:20:01</t>
  </si>
  <si>
    <t xml:space="preserve"> 2020-01-12 20:06:01</t>
  </si>
  <si>
    <t>爱情公寓5</t>
  </si>
  <si>
    <t xml:space="preserve"> 2020-01-13 12:08:02</t>
  </si>
  <si>
    <t xml:space="preserve"> 2020-01-12 22:48:01</t>
  </si>
  <si>
    <t>马国明 最佳男主角</t>
  </si>
  <si>
    <t xml:space="preserve"> 2020-01-13 07:20:02</t>
  </si>
  <si>
    <t xml:space="preserve"> 2020-01-12 15:18:02</t>
  </si>
  <si>
    <t>故宫年夜饭每桌6688元</t>
  </si>
  <si>
    <t xml:space="preserve"> 2020-01-13 08:58:02</t>
  </si>
  <si>
    <t>刘嘉玲爆炸头</t>
  </si>
  <si>
    <t xml:space="preserve"> 2020-01-13 11:26:02</t>
  </si>
  <si>
    <t xml:space="preserve"> 2020-01-12 22:46:02</t>
  </si>
  <si>
    <t>欧阳娜娜宋祖儿张雪迎拿奖杯干杯</t>
  </si>
  <si>
    <t xml:space="preserve"> 2020-01-13 12:44:02</t>
  </si>
  <si>
    <t xml:space="preserve"> 2020-01-12 23:22:02</t>
  </si>
  <si>
    <t>异地恋情侣的聊天记录</t>
  </si>
  <si>
    <t xml:space="preserve"> 2020-01-13 12:06:01</t>
  </si>
  <si>
    <t>贵州贪官往下水道倒茅台倒不尽</t>
  </si>
  <si>
    <t xml:space="preserve"> 2020-01-13 10:32:02</t>
  </si>
  <si>
    <t xml:space="preserve"> 2020-01-12 23:12:02</t>
  </si>
  <si>
    <t>惠英红 最佳女主角</t>
  </si>
  <si>
    <t xml:space="preserve"> 2020-01-13 09:46:02</t>
  </si>
  <si>
    <t xml:space="preserve"> 2020-01-12 21:14:01</t>
  </si>
  <si>
    <t>精英律师大结局</t>
  </si>
  <si>
    <t xml:space="preserve"> 2020-01-13 09:48:01</t>
  </si>
  <si>
    <t xml:space="preserve"> 2020-01-12 19:36:01</t>
  </si>
  <si>
    <t>农夫山泉取水工程被举报</t>
  </si>
  <si>
    <t xml:space="preserve"> 2020-01-13 09:02:01</t>
  </si>
  <si>
    <t>独立的女生没有人疼</t>
  </si>
  <si>
    <t xml:space="preserve"> 2020-01-13 10:04:02</t>
  </si>
  <si>
    <t xml:space="preserve"> 2020-01-12 23:20:02</t>
  </si>
  <si>
    <t>什么才是三观不合</t>
  </si>
  <si>
    <t xml:space="preserve"> 2020-01-13 08:40:01</t>
  </si>
  <si>
    <t xml:space="preserve"> 2020-01-12 20:08:02</t>
  </si>
  <si>
    <t>父亲用镜子让女儿晒太阳</t>
  </si>
  <si>
    <t xml:space="preserve"> 2020-01-13 07:44:02</t>
  </si>
  <si>
    <t xml:space="preserve"> 2020-01-12 22:12:01</t>
  </si>
  <si>
    <t>CBA</t>
  </si>
  <si>
    <t xml:space="preserve"> 2020-01-13 11:56:02</t>
  </si>
  <si>
    <t>伊拉克人民动员组织指挥官遭暗杀</t>
  </si>
  <si>
    <t xml:space="preserve"> 2020-01-13 07:22:01</t>
  </si>
  <si>
    <t>周杰伦为粉丝买单</t>
  </si>
  <si>
    <t xml:space="preserve"> 2020-01-13 09:36:02</t>
  </si>
  <si>
    <t xml:space="preserve"> 2020-01-12 21:18:01</t>
  </si>
  <si>
    <t>后排乘客不系安全带也将吃罚单</t>
  </si>
  <si>
    <t xml:space="preserve"> 2020-01-13 09:16:01</t>
  </si>
  <si>
    <t>每次见面都给小孩带个礼物</t>
  </si>
  <si>
    <t xml:space="preserve"> 2020-01-13 14:52:01</t>
  </si>
  <si>
    <t xml:space="preserve"> 2020-01-12 23:18:01</t>
  </si>
  <si>
    <t>菲律宾火山喷发</t>
  </si>
  <si>
    <t xml:space="preserve"> 2020-01-13 09:08:02</t>
  </si>
  <si>
    <t xml:space="preserve"> 2020-01-12 12:40:01</t>
  </si>
  <si>
    <t>90后成观影主力</t>
  </si>
  <si>
    <t xml:space="preserve"> 2020-01-13 03:00:02</t>
  </si>
  <si>
    <t xml:space="preserve"> 2020-01-12 23:32:02</t>
  </si>
  <si>
    <t>易建联CBA全明星票王</t>
  </si>
  <si>
    <t>陈伟霆可以记住粉丝的样子</t>
  </si>
  <si>
    <t xml:space="preserve"> 2020-01-13 07:56:01</t>
  </si>
  <si>
    <t>周深李克勤唱粤语</t>
  </si>
  <si>
    <t xml:space="preserve"> 2020-01-13 08:06:02</t>
  </si>
  <si>
    <t xml:space="preserve"> 2020-01-12 20:38:02</t>
  </si>
  <si>
    <t>TVB颁奖礼</t>
  </si>
  <si>
    <t xml:space="preserve"> 2020-01-13 03:28:01</t>
  </si>
  <si>
    <t xml:space="preserve"> 2020-01-12 19:18:01</t>
  </si>
  <si>
    <t>阿云嘎撞脸皮卡丘</t>
  </si>
  <si>
    <t xml:space="preserve"> 2020-01-13 08:18:02</t>
  </si>
  <si>
    <t xml:space="preserve"> 2020-01-12 20:26:01</t>
  </si>
  <si>
    <t>运动系情侣有多甜</t>
  </si>
  <si>
    <t xml:space="preserve"> 2020-04-04 02:36:01</t>
  </si>
  <si>
    <t xml:space="preserve"> 2020-01-12 17:32:02</t>
  </si>
  <si>
    <t>王牌对王牌</t>
  </si>
  <si>
    <t xml:space="preserve"> 2020-01-13 08:22:02</t>
  </si>
  <si>
    <t xml:space="preserve"> 2020-01-12 17:36:02</t>
  </si>
  <si>
    <t>2020春节为何来得早</t>
  </si>
  <si>
    <t xml:space="preserve"> 2020-01-13 07:36:01</t>
  </si>
  <si>
    <t xml:space="preserve"> 2020-01-12 21:26:02</t>
  </si>
  <si>
    <t>汉王下线</t>
  </si>
  <si>
    <t xml:space="preserve"> 2020-01-13 08:02:02</t>
  </si>
  <si>
    <t xml:space="preserve"> 2020-01-12 23:24:02</t>
  </si>
  <si>
    <t>胡明轩绝杀</t>
  </si>
  <si>
    <t xml:space="preserve"> 2020-01-13 08:14:02</t>
  </si>
  <si>
    <t xml:space="preserve"> 2020-01-12 19:14:02</t>
  </si>
  <si>
    <t>澳大利亚总理回应山火期间度假</t>
  </si>
  <si>
    <t xml:space="preserve"> 2020-01-13 02:22:02</t>
  </si>
  <si>
    <t xml:space="preserve"> 2020-01-12 17:44:01</t>
  </si>
  <si>
    <t>微博之夜可爱瞬间</t>
  </si>
  <si>
    <t xml:space="preserve"> 2020-01-12 23:42:01</t>
  </si>
  <si>
    <t>王牌对王牌第五季</t>
  </si>
  <si>
    <t xml:space="preserve"> 2020-01-13 04:42:01</t>
  </si>
  <si>
    <t xml:space="preserve"> 2020-01-12 19:34:02</t>
  </si>
  <si>
    <t>33岁男子收到父母催婚歌伴舞</t>
  </si>
  <si>
    <t xml:space="preserve"> 2020-01-13 07:18:01</t>
  </si>
  <si>
    <t>赵睿全明星MVP</t>
  </si>
  <si>
    <t xml:space="preserve"> 2020-01-13 07:32:01</t>
  </si>
  <si>
    <t xml:space="preserve"> 2020-01-12 21:24:02</t>
  </si>
  <si>
    <t>反腐大片国家监察</t>
  </si>
  <si>
    <t xml:space="preserve"> 2020-01-13 17:22:02</t>
  </si>
  <si>
    <t xml:space="preserve"> 2020-01-13 09:22:01</t>
  </si>
  <si>
    <t>陶虹生图</t>
  </si>
  <si>
    <t xml:space="preserve"> 2020-01-14 09:52:01</t>
  </si>
  <si>
    <t xml:space="preserve"> 2020-01-13 01:10:01</t>
  </si>
  <si>
    <t>敬业福</t>
  </si>
  <si>
    <t xml:space="preserve"> 2020-01-13 17:02:01</t>
  </si>
  <si>
    <t xml:space="preserve"> 2020-01-13 11:18:02</t>
  </si>
  <si>
    <t>黄渤黄晓明黄子韬同框</t>
  </si>
  <si>
    <t xml:space="preserve"> 2020-01-13 15:56:02</t>
  </si>
  <si>
    <t xml:space="preserve"> 2020-01-13 10:22:02</t>
  </si>
  <si>
    <t>郝云妻子控诉家暴</t>
  </si>
  <si>
    <t xml:space="preserve"> 2020-01-13 16:54:02</t>
  </si>
  <si>
    <t xml:space="preserve"> 2020-01-13 10:42:02</t>
  </si>
  <si>
    <t>肖战精灵造型</t>
  </si>
  <si>
    <t xml:space="preserve"> 2020-01-13 16:26:02</t>
  </si>
  <si>
    <t xml:space="preserve"> 2020-01-13 10:30:01</t>
  </si>
  <si>
    <t>中科院将调查赞导师与师娘论文</t>
  </si>
  <si>
    <t xml:space="preserve"> 2020-01-13 17:46:02</t>
  </si>
  <si>
    <t xml:space="preserve"> 2020-01-13 07:26:02</t>
  </si>
  <si>
    <t>赵海棠别唱了</t>
  </si>
  <si>
    <t xml:space="preserve"> 2020-01-14 07:32:02</t>
  </si>
  <si>
    <t>中国驻菲使馆提醒中国公民注意安全</t>
  </si>
  <si>
    <t xml:space="preserve"> 2020-01-13 07:54:02</t>
  </si>
  <si>
    <t>心疼李子维</t>
  </si>
  <si>
    <t xml:space="preserve"> 2020-01-13 14:42:02</t>
  </si>
  <si>
    <t xml:space="preserve"> 2020-01-13 09:38:01</t>
  </si>
  <si>
    <t>海瑟薇生二胎后走红毯</t>
  </si>
  <si>
    <t xml:space="preserve"> 2020-01-13 16:46:02</t>
  </si>
  <si>
    <t xml:space="preserve"> 2020-01-13 08:10:01</t>
  </si>
  <si>
    <t>锦衣之下 特效</t>
  </si>
  <si>
    <t xml:space="preserve"> 2020-01-13 13:42:01</t>
  </si>
  <si>
    <t xml:space="preserve"> 2020-01-13 09:00:02</t>
  </si>
  <si>
    <t>争议论文作者否认吹捧导师</t>
  </si>
  <si>
    <t xml:space="preserve"> 2020-01-13 14:56:01</t>
  </si>
  <si>
    <t>肖战复古disco</t>
  </si>
  <si>
    <t xml:space="preserve"> 2020-01-13 19:38:02</t>
  </si>
  <si>
    <t>王一博给大张伟贴双眼皮</t>
  </si>
  <si>
    <t xml:space="preserve"> 2020-01-13 15:26:02</t>
  </si>
  <si>
    <t xml:space="preserve"> 2020-01-13 11:32:01</t>
  </si>
  <si>
    <t>开车5600里突然回家给父母惊喜</t>
  </si>
  <si>
    <t xml:space="preserve"> 2020-01-13 17:10:02</t>
  </si>
  <si>
    <t xml:space="preserve"> 2020-01-13 08:04:01</t>
  </si>
  <si>
    <t>天天向上素人改造</t>
  </si>
  <si>
    <t xml:space="preserve"> 2020-01-13 16:16:02</t>
  </si>
  <si>
    <t xml:space="preserve"> 2020-01-13 09:50:02</t>
  </si>
  <si>
    <t>一村庄被三大运营商集体拉黑</t>
  </si>
  <si>
    <t xml:space="preserve"> 2020-01-13 14:38:02</t>
  </si>
  <si>
    <t xml:space="preserve"> 2020-01-13 10:12:01</t>
  </si>
  <si>
    <t>雄龟50年繁育800只幼龟</t>
  </si>
  <si>
    <t xml:space="preserve"> 2020-01-13 18:20:02</t>
  </si>
  <si>
    <t xml:space="preserve"> 2020-01-13 10:16:02</t>
  </si>
  <si>
    <t>玄彬哭戏</t>
  </si>
  <si>
    <t xml:space="preserve"> 2020-01-14 12:00:01</t>
  </si>
  <si>
    <t xml:space="preserve"> 2020-01-13 07:46:01</t>
  </si>
  <si>
    <t>五福</t>
  </si>
  <si>
    <t xml:space="preserve"> 2020-01-13 13:48:02</t>
  </si>
  <si>
    <t xml:space="preserve"> 2020-01-13 11:10:01</t>
  </si>
  <si>
    <t>被吓得最惨的一次</t>
  </si>
  <si>
    <t xml:space="preserve"> 2020-01-13 08:20:01</t>
  </si>
  <si>
    <t>小妇人定档</t>
  </si>
  <si>
    <t xml:space="preserve"> 2020-01-14 06:58:02</t>
  </si>
  <si>
    <t xml:space="preserve"> 2020-01-13 11:40:01</t>
  </si>
  <si>
    <t>从小到大的颜值变化</t>
  </si>
  <si>
    <t xml:space="preserve"> 2020-01-13 16:28:01</t>
  </si>
  <si>
    <t xml:space="preserve"> 2020-01-13 11:08:02</t>
  </si>
  <si>
    <t>都暻秀粉丝应援</t>
  </si>
  <si>
    <t xml:space="preserve"> 2020-01-13 08:16:01</t>
  </si>
  <si>
    <t>李现霸道总裁文案</t>
  </si>
  <si>
    <t xml:space="preserve"> 2020-01-13 12:48:01</t>
  </si>
  <si>
    <t xml:space="preserve"> 2020-01-13 08:54:01</t>
  </si>
  <si>
    <t>Nigma战胜RNG</t>
  </si>
  <si>
    <t xml:space="preserve"> 2020-01-13 23:14:01</t>
  </si>
  <si>
    <t>十九届中纪委四次全会</t>
  </si>
  <si>
    <t xml:space="preserve"> 2020-01-13 16:40:01</t>
  </si>
  <si>
    <t xml:space="preserve"> 2020-01-13 09:52:02</t>
  </si>
  <si>
    <t>张志超案13年后再审宣判无罪</t>
  </si>
  <si>
    <t xml:space="preserve"> 2020-01-13 14:12:02</t>
  </si>
  <si>
    <t>胜利接受拘捕令审查</t>
  </si>
  <si>
    <t xml:space="preserve"> 2020-01-13 07:34:02</t>
  </si>
  <si>
    <t>贫贱不能移的真正意思</t>
  </si>
  <si>
    <t xml:space="preserve"> 2020-01-13 12:42:02</t>
  </si>
  <si>
    <t xml:space="preserve"> 2020-01-13 10:24:01</t>
  </si>
  <si>
    <t>桃田贤斗车祸入院</t>
  </si>
  <si>
    <t xml:space="preserve"> 2020-01-13 15:34:02</t>
  </si>
  <si>
    <t xml:space="preserve"> 2020-01-13 11:52:02</t>
  </si>
  <si>
    <t>很折磨人又没法根治的病</t>
  </si>
  <si>
    <t xml:space="preserve"> 2020-01-13 13:46:01</t>
  </si>
  <si>
    <t xml:space="preserve"> 2020-01-13 07:38:01</t>
  </si>
  <si>
    <t>看似光鲜收入一般的职业</t>
  </si>
  <si>
    <t xml:space="preserve"> 2020-01-13 12:16:02</t>
  </si>
  <si>
    <t xml:space="preserve"> 2020-01-13 10:34:01</t>
  </si>
  <si>
    <t>欧文21分</t>
  </si>
  <si>
    <t xml:space="preserve"> 2020-01-13 12:36:02</t>
  </si>
  <si>
    <t>安徽部分高速公路入出口因大雾关闭</t>
  </si>
  <si>
    <t xml:space="preserve"> 2020-01-13 13:44:02</t>
  </si>
  <si>
    <t>想见你预告 懵</t>
  </si>
  <si>
    <t xml:space="preserve"> 2020-01-13 13:22:02</t>
  </si>
  <si>
    <t xml:space="preserve"> 2020-01-13 09:04:02</t>
  </si>
  <si>
    <t>小学生写不出作文急哭</t>
  </si>
  <si>
    <t xml:space="preserve"> 2020-01-13 12:10:01</t>
  </si>
  <si>
    <t>杜锋强吻陈林坚</t>
  </si>
  <si>
    <t xml:space="preserve"> 2020-01-13 12:00:02</t>
  </si>
  <si>
    <t>中国冷极大范围雾凇</t>
  </si>
  <si>
    <t xml:space="preserve"> 2020-01-13 12:14:01</t>
  </si>
  <si>
    <t xml:space="preserve"> 2020-01-13 11:46:02</t>
  </si>
  <si>
    <t>ST盐湖预亏超400亿</t>
  </si>
  <si>
    <t xml:space="preserve"> 2020-01-14 11:24:01</t>
  </si>
  <si>
    <t xml:space="preserve"> 2020-01-13 09:18:02</t>
  </si>
  <si>
    <t>黄河壶口瀑布冰瀑冰雕</t>
  </si>
  <si>
    <t>国奥无缘东京奥运</t>
  </si>
  <si>
    <t xml:space="preserve"> 2020-01-14 13:18:01</t>
  </si>
  <si>
    <t xml:space="preserve"> 2020-01-13 22:46:02</t>
  </si>
  <si>
    <t>邱泽张钧甯同框</t>
  </si>
  <si>
    <t xml:space="preserve"> 2020-01-14 08:20:02</t>
  </si>
  <si>
    <t xml:space="preserve"> 2020-01-13 18:50:02</t>
  </si>
  <si>
    <t>考拉或将被列为濒危物种</t>
  </si>
  <si>
    <t xml:space="preserve"> 2020-01-14 08:28:02</t>
  </si>
  <si>
    <t>金钟大举行婚礼</t>
  </si>
  <si>
    <t xml:space="preserve"> 2020-01-14 12:30:02</t>
  </si>
  <si>
    <t xml:space="preserve"> 2020-01-13 21:30:02</t>
  </si>
  <si>
    <t>梦真的是反的</t>
  </si>
  <si>
    <t xml:space="preserve"> 2020-01-14 11:40:01</t>
  </si>
  <si>
    <t xml:space="preserve"> 2020-01-13 21:48:01</t>
  </si>
  <si>
    <t>小朵第二集就死了</t>
  </si>
  <si>
    <t xml:space="preserve"> 2020-01-14 11:30:01</t>
  </si>
  <si>
    <t xml:space="preserve"> 2020-01-13 23:16:01</t>
  </si>
  <si>
    <t>耿爽用谚语回应西方抹黑一带一路</t>
  </si>
  <si>
    <t xml:space="preserve"> 2020-01-14 09:04:02</t>
  </si>
  <si>
    <t xml:space="preserve"> 2020-01-13 17:06:01</t>
  </si>
  <si>
    <t>父亲忙着回微信4岁儿子失踪后不幸身亡</t>
  </si>
  <si>
    <t xml:space="preserve"> 2020-01-13 21:50:02</t>
  </si>
  <si>
    <t>五花肉耳环</t>
  </si>
  <si>
    <t xml:space="preserve"> 2020-01-14 10:56:02</t>
  </si>
  <si>
    <t xml:space="preserve"> 2020-01-13 21:58:02</t>
  </si>
  <si>
    <t>朱瞻基下线</t>
  </si>
  <si>
    <t>笑哭成为全球最受欢迎表情</t>
  </si>
  <si>
    <t xml:space="preserve"> 2020-02-11 08:48:01</t>
  </si>
  <si>
    <t xml:space="preserve"> 2020-01-13 20:58:02</t>
  </si>
  <si>
    <t>将夜2</t>
  </si>
  <si>
    <t xml:space="preserve"> 2020-01-14 09:26:02</t>
  </si>
  <si>
    <t xml:space="preserve"> 2020-01-13 21:20:01</t>
  </si>
  <si>
    <t>胜利拘捕令再次被驳回</t>
  </si>
  <si>
    <t xml:space="preserve"> 2020-01-14 10:38:01</t>
  </si>
  <si>
    <t>考拉去居民家和宠物狗同饮水</t>
  </si>
  <si>
    <t xml:space="preserve"> 2020-01-14 11:06:02</t>
  </si>
  <si>
    <t xml:space="preserve"> 2020-01-13 19:12:02</t>
  </si>
  <si>
    <t>西宁路面塌陷</t>
  </si>
  <si>
    <t xml:space="preserve"> 2020-01-14 08:34:01</t>
  </si>
  <si>
    <t xml:space="preserve"> 2020-01-13 18:16:02</t>
  </si>
  <si>
    <t>深圳国企一晚喝16万茅台酒</t>
  </si>
  <si>
    <t xml:space="preserve"> 2020-01-14 01:06:02</t>
  </si>
  <si>
    <t>43斤贫困女大学生因病去世</t>
  </si>
  <si>
    <t xml:space="preserve"> 2020-01-14 11:12:01</t>
  </si>
  <si>
    <t>两亿赃款堆家中不敢花</t>
  </si>
  <si>
    <t xml:space="preserve"> 2020-01-14 10:28:02</t>
  </si>
  <si>
    <t xml:space="preserve"> 2020-01-13 22:18:02</t>
  </si>
  <si>
    <t>日本旅行</t>
  </si>
  <si>
    <t xml:space="preserve"> 2020-01-14 10:04:01</t>
  </si>
  <si>
    <t xml:space="preserve"> 2020-01-13 17:40:01</t>
  </si>
  <si>
    <t>微笑唇有多甜</t>
  </si>
  <si>
    <t xml:space="preserve"> 2020-01-13 20:06:01</t>
  </si>
  <si>
    <t>清北毕业生2019就业去向</t>
  </si>
  <si>
    <t xml:space="preserve"> 2020-01-14 09:24:01</t>
  </si>
  <si>
    <t xml:space="preserve"> 2020-01-13 20:28:02</t>
  </si>
  <si>
    <t>6岁男孩发现灭绝动物化石</t>
  </si>
  <si>
    <t xml:space="preserve"> 2020-01-13 16:42:02</t>
  </si>
  <si>
    <t>女朋友睡前醒后的样子</t>
  </si>
  <si>
    <t xml:space="preserve"> 2020-01-14 10:44:01</t>
  </si>
  <si>
    <t>撅屁屁熊猫胸针</t>
  </si>
  <si>
    <t xml:space="preserve"> 2020-01-14 07:28:02</t>
  </si>
  <si>
    <t>陆思恒工作室声明</t>
  </si>
  <si>
    <t xml:space="preserve"> 2020-02-20 07:08:01</t>
  </si>
  <si>
    <t xml:space="preserve"> 2020-01-13 20:00:01</t>
  </si>
  <si>
    <t>新世界</t>
  </si>
  <si>
    <t xml:space="preserve"> 2020-01-13 19:20:02</t>
  </si>
  <si>
    <t>麻将手镯</t>
  </si>
  <si>
    <t xml:space="preserve"> 2020-01-14 10:00:02</t>
  </si>
  <si>
    <t xml:space="preserve"> 2020-01-13 22:06:02</t>
  </si>
  <si>
    <t>巴基斯坦法院取消穆沙拉夫死刑</t>
  </si>
  <si>
    <t xml:space="preserve"> 2020-01-14 08:42:01</t>
  </si>
  <si>
    <t>四川达州购房者可获每平米100元补贴</t>
  </si>
  <si>
    <t xml:space="preserve"> 2020-01-14 07:46:02</t>
  </si>
  <si>
    <t>2020奥斯卡提名</t>
  </si>
  <si>
    <t xml:space="preserve"> 2020-01-14 08:40:02</t>
  </si>
  <si>
    <t xml:space="preserve"> 2020-01-13 23:00:01</t>
  </si>
  <si>
    <t>寄生虫入围奥斯卡最佳影片</t>
  </si>
  <si>
    <t xml:space="preserve"> 2020-01-14 08:16:02</t>
  </si>
  <si>
    <t xml:space="preserve"> 2020-01-13 16:32:01</t>
  </si>
  <si>
    <t>锦衣之下加更</t>
  </si>
  <si>
    <t>游戏企业一年倒闭近2万家</t>
  </si>
  <si>
    <t xml:space="preserve"> 2020-01-14 09:40:01</t>
  </si>
  <si>
    <t>火山喷发下的震撼婚礼</t>
  </si>
  <si>
    <t xml:space="preserve"> 2020-01-14 08:10:01</t>
  </si>
  <si>
    <t xml:space="preserve"> 2020-01-13 15:58:01</t>
  </si>
  <si>
    <t>博士被纹眉花了11.98万</t>
  </si>
  <si>
    <t xml:space="preserve"> 2020-01-14 09:44:01</t>
  </si>
  <si>
    <t xml:space="preserve"> 2020-01-13 21:52:01</t>
  </si>
  <si>
    <t>矿泉水瓶耳环</t>
  </si>
  <si>
    <t xml:space="preserve"> 2020-01-14 07:48:01</t>
  </si>
  <si>
    <t xml:space="preserve"> 2020-01-13 18:56:01</t>
  </si>
  <si>
    <t>追星是有门槛的</t>
  </si>
  <si>
    <t xml:space="preserve"> 2020-01-14 07:16:02</t>
  </si>
  <si>
    <t xml:space="preserve"> 2020-01-13 18:22:01</t>
  </si>
  <si>
    <t>湖北教练机坠毁3人遇难</t>
  </si>
  <si>
    <t xml:space="preserve"> 2020-01-14 07:56:01</t>
  </si>
  <si>
    <t xml:space="preserve"> 2020-01-13 14:50:02</t>
  </si>
  <si>
    <t>李荣浩 烫屁股了</t>
  </si>
  <si>
    <t xml:space="preserve"> 2020-01-14 07:08:02</t>
  </si>
  <si>
    <t xml:space="preserve"> 2020-01-13 20:08:01</t>
  </si>
  <si>
    <t>iG比赛没有阿水</t>
  </si>
  <si>
    <t>人体生理上有哪些不妥之处</t>
  </si>
  <si>
    <t xml:space="preserve"> 2020-01-13 14:06:02</t>
  </si>
  <si>
    <t>欧阳娜娜燕尾眼线</t>
  </si>
  <si>
    <t xml:space="preserve"> 2020-01-14 07:26:01</t>
  </si>
  <si>
    <t xml:space="preserve"> 2020-01-13 19:34:02</t>
  </si>
  <si>
    <t>老友记三女主合影</t>
  </si>
  <si>
    <t xml:space="preserve"> 2020-01-14 07:10:01</t>
  </si>
  <si>
    <t xml:space="preserve"> 2020-01-13 18:38:02</t>
  </si>
  <si>
    <t>喝16万茅台企业董事长被免职</t>
  </si>
  <si>
    <t xml:space="preserve"> 2020-01-14 02:14:01</t>
  </si>
  <si>
    <t>可乐包包</t>
  </si>
  <si>
    <t xml:space="preserve"> 2020-01-14 07:06:01</t>
  </si>
  <si>
    <t xml:space="preserve"> 2020-01-13 14:58:02</t>
  </si>
  <si>
    <t>重庆一男子跳楼砸中路人</t>
  </si>
  <si>
    <t xml:space="preserve"> 2020-01-14 06:00:02</t>
  </si>
  <si>
    <t>滴滴春节加价全给司机</t>
  </si>
  <si>
    <t xml:space="preserve"> 2020-01-14 07:24:02</t>
  </si>
  <si>
    <t xml:space="preserve"> 2020-01-13 15:14:02</t>
  </si>
  <si>
    <t>受伤考拉穿纸尿裤晒太阳复健</t>
  </si>
  <si>
    <t xml:space="preserve"> 2020-01-14 03:22:01</t>
  </si>
  <si>
    <t xml:space="preserve"> 2020-01-13 14:18:01</t>
  </si>
  <si>
    <t>金钟大承认恋情</t>
  </si>
  <si>
    <t xml:space="preserve"> 2020-01-15 03:16:02</t>
  </si>
  <si>
    <t xml:space="preserve"> 2020-01-14 11:18:02</t>
  </si>
  <si>
    <t>张子枫参加艺考</t>
  </si>
  <si>
    <t xml:space="preserve"> 2020-01-14 20:30:02</t>
  </si>
  <si>
    <t xml:space="preserve"> 2020-01-14 11:42:02</t>
  </si>
  <si>
    <t>泰国发现1例新型冠状病毒病例</t>
  </si>
  <si>
    <t xml:space="preserve"> 2020-01-15 04:22:02</t>
  </si>
  <si>
    <t xml:space="preserve"> 2020-01-14 11:28:02</t>
  </si>
  <si>
    <t>张杰谢娜拥吻</t>
  </si>
  <si>
    <t xml:space="preserve"> 2020-01-15 07:28:01</t>
  </si>
  <si>
    <t xml:space="preserve"> 2020-01-14 08:38:01</t>
  </si>
  <si>
    <t>高以翔去世后焦俊艳再发声</t>
  </si>
  <si>
    <t xml:space="preserve"> 2020-01-14 18:30:02</t>
  </si>
  <si>
    <t xml:space="preserve"> 2020-01-14 08:18:01</t>
  </si>
  <si>
    <t>言冰云为什么杀范闲</t>
  </si>
  <si>
    <t xml:space="preserve"> 2020-01-14 16:18:01</t>
  </si>
  <si>
    <t xml:space="preserve"> 2020-01-14 11:22:02</t>
  </si>
  <si>
    <t>北爱尔兰同性婚姻开放登记</t>
  </si>
  <si>
    <t xml:space="preserve"> 2020-01-14 18:16:02</t>
  </si>
  <si>
    <t xml:space="preserve"> 2020-01-14 09:08:02</t>
  </si>
  <si>
    <t>Nikkie 跨性别者</t>
  </si>
  <si>
    <t xml:space="preserve"> 2020-01-14 16:42:02</t>
  </si>
  <si>
    <t xml:space="preserve"> 2020-01-14 10:34:01</t>
  </si>
  <si>
    <t>清华北大互相开放部分本科课程</t>
  </si>
  <si>
    <t xml:space="preserve"> 2020-01-14 09:58:02</t>
  </si>
  <si>
    <t>英女王表示尊重哈里夫妇决定</t>
  </si>
  <si>
    <t xml:space="preserve"> 2020-01-14 14:48:02</t>
  </si>
  <si>
    <t>澳洲负鼠鼻子被山火烧秃</t>
  </si>
  <si>
    <t xml:space="preserve"> 2020-01-14 22:06:01</t>
  </si>
  <si>
    <t xml:space="preserve"> 2020-01-14 09:28:02</t>
  </si>
  <si>
    <t>经纪人称郝云妻子出轨</t>
  </si>
  <si>
    <t xml:space="preserve"> 2020-01-14 15:38:01</t>
  </si>
  <si>
    <t xml:space="preserve"> 2020-01-14 08:12:02</t>
  </si>
  <si>
    <t>陆绎今夏喂药吻</t>
  </si>
  <si>
    <t xml:space="preserve"> 2020-01-14 14:42:01</t>
  </si>
  <si>
    <t xml:space="preserve"> 2020-01-14 07:34:01</t>
  </si>
  <si>
    <t>美国取消对中国汇率操纵国认定</t>
  </si>
  <si>
    <t xml:space="preserve"> 2020-01-14 14:46:01</t>
  </si>
  <si>
    <t>西宁路面坍塌失联升至10人</t>
  </si>
  <si>
    <t xml:space="preserve"> 2020-01-14 13:58:02</t>
  </si>
  <si>
    <t xml:space="preserve"> 2020-01-14 10:30:02</t>
  </si>
  <si>
    <t>在澳华人称空气污染致呼吸困难</t>
  </si>
  <si>
    <t xml:space="preserve"> 2020-01-14 17:04:02</t>
  </si>
  <si>
    <t xml:space="preserve"> 2020-01-14 07:30:01</t>
  </si>
  <si>
    <t>张若昀发长文</t>
  </si>
  <si>
    <t xml:space="preserve"> 2020-01-14 11:14:02</t>
  </si>
  <si>
    <t>00后排名第三的梦想是普通人</t>
  </si>
  <si>
    <t xml:space="preserve"> 2020-01-15 06:26:02</t>
  </si>
  <si>
    <t>近八成大学生睡眠不好</t>
  </si>
  <si>
    <t xml:space="preserve"> 2020-01-14 16:44:02</t>
  </si>
  <si>
    <t>韩国迎3年来最大中国旅行团</t>
  </si>
  <si>
    <t xml:space="preserve"> 2020-01-14 19:30:01</t>
  </si>
  <si>
    <t xml:space="preserve"> 2020-01-14 10:46:02</t>
  </si>
  <si>
    <t>猫咪勇敢击退三只恶狼</t>
  </si>
  <si>
    <t xml:space="preserve"> 2020-01-14 19:42:02</t>
  </si>
  <si>
    <t>沈腾cos蓝忘机</t>
  </si>
  <si>
    <t xml:space="preserve"> 2020-01-14 14:16:02</t>
  </si>
  <si>
    <t>多地对性侵未成年人罪犯从业禁止</t>
  </si>
  <si>
    <t xml:space="preserve"> 2020-01-14 21:06:01</t>
  </si>
  <si>
    <t>下个星期五就过年了</t>
  </si>
  <si>
    <t xml:space="preserve"> 2020-01-14 14:28:02</t>
  </si>
  <si>
    <t xml:space="preserve"> 2020-01-14 11:10:02</t>
  </si>
  <si>
    <t>寿司双肩包</t>
  </si>
  <si>
    <t xml:space="preserve"> 2020-01-14 14:18:01</t>
  </si>
  <si>
    <t xml:space="preserve"> 2020-01-14 11:56:01</t>
  </si>
  <si>
    <t>开运卡</t>
  </si>
  <si>
    <t xml:space="preserve"> 2020-01-14 11:32:02</t>
  </si>
  <si>
    <t>大张伟的微博标签</t>
  </si>
  <si>
    <t xml:space="preserve"> 2020-01-14 13:22:01</t>
  </si>
  <si>
    <t>雪子</t>
  </si>
  <si>
    <t xml:space="preserve"> 2020-01-14 11:48:01</t>
  </si>
  <si>
    <t>短片女儿原型的姐被打伤卧床</t>
  </si>
  <si>
    <t xml:space="preserve"> 2020-01-14 13:36:01</t>
  </si>
  <si>
    <t>韩国春运反向高铁票价打折</t>
  </si>
  <si>
    <t xml:space="preserve"> 2020-01-14 13:40:01</t>
  </si>
  <si>
    <t xml:space="preserve"> 2020-01-14 09:42:02</t>
  </si>
  <si>
    <t>全国多地2月2日开放婚姻登记</t>
  </si>
  <si>
    <t xml:space="preserve"> 2020-01-14 17:24:01</t>
  </si>
  <si>
    <t xml:space="preserve"> 2020-01-14 10:42:01</t>
  </si>
  <si>
    <t>肖战白马骑士造型</t>
  </si>
  <si>
    <t xml:space="preserve"> 2020-01-14 17:52:01</t>
  </si>
  <si>
    <t xml:space="preserve"> 2020-01-14 09:12:02</t>
  </si>
  <si>
    <t>田馥甄 悬日</t>
  </si>
  <si>
    <t xml:space="preserve"> 2020-01-14 15:06:01</t>
  </si>
  <si>
    <t>有钱人可以有多低调</t>
  </si>
  <si>
    <t xml:space="preserve"> 2020-01-14 18:02:02</t>
  </si>
  <si>
    <t>西宁路面坍塌已致6人遇难</t>
  </si>
  <si>
    <t xml:space="preserve"> 2020-01-14 08:44:02</t>
  </si>
  <si>
    <t>婚姻故事定档</t>
  </si>
  <si>
    <t xml:space="preserve"> 2020-01-14 13:12:02</t>
  </si>
  <si>
    <t>张朝阳回应员工迟到扣500</t>
  </si>
  <si>
    <t xml:space="preserve"> 2020-01-14 13:08:01</t>
  </si>
  <si>
    <t>秦岭动物园大猩猩看报纸</t>
  </si>
  <si>
    <t xml:space="preserve"> 2020-01-14 07:12:02</t>
  </si>
  <si>
    <t>斯嘉丽奥斯卡双提</t>
  </si>
  <si>
    <t xml:space="preserve"> 2020-01-14 11:26:02</t>
  </si>
  <si>
    <t>2019年427名民警辅警因公牺牲</t>
  </si>
  <si>
    <t xml:space="preserve"> 2020-01-14 09:54:02</t>
  </si>
  <si>
    <t>西宁路面塌陷少年救人坠入坑中</t>
  </si>
  <si>
    <t>过年式晚起</t>
  </si>
  <si>
    <t>放假的前几天有多难熬</t>
  </si>
  <si>
    <t xml:space="preserve"> 2020-01-14 12:56:01</t>
  </si>
  <si>
    <t>中国男子涉盗法国王宫文物被捕</t>
  </si>
  <si>
    <t xml:space="preserve"> 2020-01-14 13:10:02</t>
  </si>
  <si>
    <t>恋爱脑是缺点吗</t>
  </si>
  <si>
    <t>92岁退休教师义务辅导学生20年</t>
  </si>
  <si>
    <t>特种兵徒手推行5.7吨战车</t>
  </si>
  <si>
    <t xml:space="preserve"> 2020-01-14 12:28:01</t>
  </si>
  <si>
    <t>陕西医院为医生配报警手环</t>
  </si>
  <si>
    <t xml:space="preserve"> 2020-01-15 11:06:02</t>
  </si>
  <si>
    <t xml:space="preserve"> 2020-01-14 23:38:01</t>
  </si>
  <si>
    <t>春晚主持人</t>
  </si>
  <si>
    <t xml:space="preserve"> 2020-01-14 22:10:01</t>
  </si>
  <si>
    <t>1元纸币上的女拖拉机手梁军去世</t>
  </si>
  <si>
    <t xml:space="preserve"> 2020-01-15 10:24:01</t>
  </si>
  <si>
    <t xml:space="preserve"> 2020-01-14 19:38:02</t>
  </si>
  <si>
    <t>倪萍探望赵忠祥</t>
  </si>
  <si>
    <t xml:space="preserve"> 2020-01-15 11:10:02</t>
  </si>
  <si>
    <t xml:space="preserve"> 2020-01-14 22:30:02</t>
  </si>
  <si>
    <t>贪官家中搜出674张购物卡</t>
  </si>
  <si>
    <t xml:space="preserve"> 2020-01-15 11:16:02</t>
  </si>
  <si>
    <t xml:space="preserve"> 2020-01-14 22:42:01</t>
  </si>
  <si>
    <t>9958回应吴花燕事件</t>
  </si>
  <si>
    <t xml:space="preserve"> 2020-01-15 09:06:02</t>
  </si>
  <si>
    <t>微信新表情</t>
  </si>
  <si>
    <t xml:space="preserve"> 2020-01-14 22:08:02</t>
  </si>
  <si>
    <t>拿到年终奖后的你</t>
  </si>
  <si>
    <t xml:space="preserve"> 2020-01-15 10:00:02</t>
  </si>
  <si>
    <t xml:space="preserve"> 2020-01-14 21:36:02</t>
  </si>
  <si>
    <t>反杀入室行凶者被判防卫过当</t>
  </si>
  <si>
    <t xml:space="preserve"> 2020-01-15 08:38:01</t>
  </si>
  <si>
    <t xml:space="preserve"> 2020-01-14 18:28:01</t>
  </si>
  <si>
    <t>上海市解除与捷克布拉格市友城关系</t>
  </si>
  <si>
    <t xml:space="preserve"> 2020-01-15 09:34:02</t>
  </si>
  <si>
    <t xml:space="preserve"> 2020-01-14 18:32:02</t>
  </si>
  <si>
    <t>空投2吨胡萝卜和红薯救袋鼠</t>
  </si>
  <si>
    <t xml:space="preserve"> 2020-01-15 08:10:02</t>
  </si>
  <si>
    <t xml:space="preserve"> 2020-01-14 17:42:02</t>
  </si>
  <si>
    <t>Lisa封面</t>
  </si>
  <si>
    <t xml:space="preserve"> 2020-01-15 08:36:02</t>
  </si>
  <si>
    <t xml:space="preserve"> 2020-01-14 20:38:02</t>
  </si>
  <si>
    <t>澳网选手呼吸困难跪地</t>
  </si>
  <si>
    <t xml:space="preserve"> 2020-01-15 09:26:01</t>
  </si>
  <si>
    <t xml:space="preserve"> 2020-01-14 22:44:02</t>
  </si>
  <si>
    <t>2019年是有记录以来海洋最暖一年</t>
  </si>
  <si>
    <t xml:space="preserve"> 2020-01-15 09:20:01</t>
  </si>
  <si>
    <t xml:space="preserve"> 2020-01-14 19:44:01</t>
  </si>
  <si>
    <t>要回湖北麻城买错票到四川麻城</t>
  </si>
  <si>
    <t xml:space="preserve"> 2020-01-15 07:36:02</t>
  </si>
  <si>
    <t xml:space="preserve"> 2020-01-14 16:02:02</t>
  </si>
  <si>
    <t>老爸突然看到2年没回国的儿子</t>
  </si>
  <si>
    <t xml:space="preserve"> 2020-01-15 13:48:02</t>
  </si>
  <si>
    <t xml:space="preserve"> 2020-01-14 23:42:01</t>
  </si>
  <si>
    <t>爱情公寓5 诸葛大力</t>
  </si>
  <si>
    <t xml:space="preserve"> 2020-01-15 11:28:02</t>
  </si>
  <si>
    <t xml:space="preserve"> 2020-01-14 20:58:01</t>
  </si>
  <si>
    <t>微信可直接转账QQ</t>
  </si>
  <si>
    <t xml:space="preserve"> 2020-01-15 11:50:02</t>
  </si>
  <si>
    <t>爸爸着急把孩子放进安检仪</t>
  </si>
  <si>
    <t xml:space="preserve"> 2020-01-15 10:46:02</t>
  </si>
  <si>
    <t xml:space="preserve"> 2020-01-14 22:28:02</t>
  </si>
  <si>
    <t>高中生被锁家中用床单结绳逃跑</t>
  </si>
  <si>
    <t xml:space="preserve"> 2020-01-14 21:42:01</t>
  </si>
  <si>
    <t>朱祁镇上线</t>
  </si>
  <si>
    <t xml:space="preserve"> 2020-01-15 09:40:01</t>
  </si>
  <si>
    <t xml:space="preserve"> 2020-01-14 23:34:02</t>
  </si>
  <si>
    <t>同曦绝杀浙江</t>
  </si>
  <si>
    <t xml:space="preserve"> 2020-01-15 10:48:01</t>
  </si>
  <si>
    <t xml:space="preserve"> 2020-01-14 20:54:02</t>
  </si>
  <si>
    <t>我的社交圈vs我朋友的</t>
  </si>
  <si>
    <t xml:space="preserve"> 2020-01-14 20:42:02</t>
  </si>
  <si>
    <t>闯红灯被撞飞负全责家属不满</t>
  </si>
  <si>
    <t xml:space="preserve"> 2020-01-15 08:56:02</t>
  </si>
  <si>
    <t xml:space="preserve"> 2020-01-14 16:48:02</t>
  </si>
  <si>
    <t>因太吃男主颜而上头的剧</t>
  </si>
  <si>
    <t xml:space="preserve"> 2020-01-15 09:50:02</t>
  </si>
  <si>
    <t>新年发财美甲</t>
  </si>
  <si>
    <t>48岁幸福感最低</t>
  </si>
  <si>
    <t xml:space="preserve"> 2020-01-15 10:40:01</t>
  </si>
  <si>
    <t xml:space="preserve"> 2020-01-14 19:10:01</t>
  </si>
  <si>
    <t>别人男朋友真会玩浪漫</t>
  </si>
  <si>
    <t xml:space="preserve"> 2020-01-15 07:38:02</t>
  </si>
  <si>
    <t xml:space="preserve"> 2020-01-14 19:32:02</t>
  </si>
  <si>
    <t>广东成中国首个GDP过10万亿元省份</t>
  </si>
  <si>
    <t xml:space="preserve"> 2020-01-15 08:04:02</t>
  </si>
  <si>
    <t xml:space="preserve"> 2020-01-14 16:08:02</t>
  </si>
  <si>
    <t>2020春晚分会场</t>
  </si>
  <si>
    <t xml:space="preserve"> 2020-01-15 00:54:02</t>
  </si>
  <si>
    <t xml:space="preserve"> 2020-01-14 22:56:01</t>
  </si>
  <si>
    <t>珠海爆炸化工厂曾被查出15项安全隐患</t>
  </si>
  <si>
    <t xml:space="preserve"> 2020-01-15 08:06:02</t>
  </si>
  <si>
    <t xml:space="preserve"> 2020-01-14 19:12:02</t>
  </si>
  <si>
    <t>绝美黑天鹅造型</t>
  </si>
  <si>
    <t xml:space="preserve"> 2020-01-15 09:30:01</t>
  </si>
  <si>
    <t>耳机手链</t>
  </si>
  <si>
    <t xml:space="preserve"> 2020-01-15 07:48:02</t>
  </si>
  <si>
    <t xml:space="preserve"> 2020-01-14 20:26:01</t>
  </si>
  <si>
    <t>伊朗逮捕数名乌克兰客机事件相关人员</t>
  </si>
  <si>
    <t xml:space="preserve"> 2020-01-15 07:26:02</t>
  </si>
  <si>
    <t xml:space="preserve"> 2020-01-14 15:40:02</t>
  </si>
  <si>
    <t>圆周率项链</t>
  </si>
  <si>
    <t xml:space="preserve"> 2020-01-15 08:40:02</t>
  </si>
  <si>
    <t xml:space="preserve"> 2020-01-14 17:08:02</t>
  </si>
  <si>
    <t>澳山火或预示未来地球状况</t>
  </si>
  <si>
    <t xml:space="preserve"> 2020-01-14 20:08:01</t>
  </si>
  <si>
    <t>日本大量企业因无人继承被收购</t>
  </si>
  <si>
    <t xml:space="preserve"> 2020-01-15 08:02:02</t>
  </si>
  <si>
    <t xml:space="preserve"> 2020-01-14 15:44:02</t>
  </si>
  <si>
    <t>恶魔之眼项链</t>
  </si>
  <si>
    <t xml:space="preserve"> 2020-01-15 07:18:02</t>
  </si>
  <si>
    <t>央视春晚首次联排</t>
  </si>
  <si>
    <t xml:space="preserve"> 2020-01-15 08:20:02</t>
  </si>
  <si>
    <t xml:space="preserve"> 2020-01-14 21:18:02</t>
  </si>
  <si>
    <t>我看到本命的样子</t>
  </si>
  <si>
    <t xml:space="preserve"> 2020-01-14 16:56:02</t>
  </si>
  <si>
    <t>学渣上辈子都是情报科的</t>
  </si>
  <si>
    <t xml:space="preserve"> 2020-01-14 21:10:01</t>
  </si>
  <si>
    <t>四部门约谈滴滴和嘀嗒</t>
  </si>
  <si>
    <t xml:space="preserve"> 2020-01-15 07:54:02</t>
  </si>
  <si>
    <t xml:space="preserve"> 2020-01-14 17:26:02</t>
  </si>
  <si>
    <t>8k版春晚将面世</t>
  </si>
  <si>
    <t xml:space="preserve"> 2020-01-14 22:12:01</t>
  </si>
  <si>
    <t>我国拟实施未成年人犯罪分级预防</t>
  </si>
  <si>
    <t xml:space="preserve"> 2020-01-14 13:56:02</t>
  </si>
  <si>
    <t>阿云嘎 不能跟战战一起坐飞机了</t>
  </si>
  <si>
    <t xml:space="preserve"> 2020-01-15 02:32:01</t>
  </si>
  <si>
    <t xml:space="preserve"> 2020-01-14 19:34:02</t>
  </si>
  <si>
    <t>杭州一施工现场罐体爆裂</t>
  </si>
  <si>
    <t xml:space="preserve"> 2020-01-15 07:06:01</t>
  </si>
  <si>
    <t xml:space="preserve"> 2020-01-14 14:14:01</t>
  </si>
  <si>
    <t>蔡徐坤秤坏了</t>
  </si>
  <si>
    <t xml:space="preserve"> 2020-01-15 18:30:01</t>
  </si>
  <si>
    <t xml:space="preserve"> 2020-01-15 10:14:01</t>
  </si>
  <si>
    <t>澳大利亚已射杀5000头骆驼</t>
  </si>
  <si>
    <t xml:space="preserve"> 2020-01-15 19:50:02</t>
  </si>
  <si>
    <t xml:space="preserve"> 2020-01-15 11:08:01</t>
  </si>
  <si>
    <t>青春有你2选手官宣</t>
  </si>
  <si>
    <t xml:space="preserve"> 2020-01-16 06:52:01</t>
  </si>
  <si>
    <t xml:space="preserve"> 2020-01-15 08:14:02</t>
  </si>
  <si>
    <t>情深深雨濛濛主演重聚</t>
  </si>
  <si>
    <t xml:space="preserve"> 2020-01-15 16:08:01</t>
  </si>
  <si>
    <t xml:space="preserve"> 2020-01-15 09:28:02</t>
  </si>
  <si>
    <t>玄彬方否认参与朱镇模张东健聊天</t>
  </si>
  <si>
    <t xml:space="preserve"> 2020-01-15 17:24:02</t>
  </si>
  <si>
    <t>特朗普炮轰苹果</t>
  </si>
  <si>
    <t xml:space="preserve"> 2020-01-15 15:00:02</t>
  </si>
  <si>
    <t xml:space="preserve"> 2020-01-15 11:14:01</t>
  </si>
  <si>
    <t>法院拒绝直播孟晚舟引渡听证会</t>
  </si>
  <si>
    <t xml:space="preserve"> 2020-01-15 17:26:01</t>
  </si>
  <si>
    <t xml:space="preserve"> 2020-01-15 10:04:01</t>
  </si>
  <si>
    <t>一张试卷50多个段子</t>
  </si>
  <si>
    <t>泰国新型冠状病毒病例为武汉游客</t>
  </si>
  <si>
    <t xml:space="preserve"> 2020-01-15 17:10:02</t>
  </si>
  <si>
    <t xml:space="preserve"> 2020-01-15 11:04:02</t>
  </si>
  <si>
    <t>为啥罐装可乐比瓶装更好喝</t>
  </si>
  <si>
    <t xml:space="preserve"> 2020-01-15 15:02:02</t>
  </si>
  <si>
    <t xml:space="preserve"> 2020-01-15 07:12:02</t>
  </si>
  <si>
    <t>年味越来越淡的原因是什么</t>
  </si>
  <si>
    <t xml:space="preserve"> 2020-01-15 15:06:02</t>
  </si>
  <si>
    <t xml:space="preserve"> 2020-01-15 08:44:01</t>
  </si>
  <si>
    <t>坚持每天自拍20年</t>
  </si>
  <si>
    <t xml:space="preserve"> 2020-01-15 16:40:02</t>
  </si>
  <si>
    <t xml:space="preserve"> 2020-01-15 11:54:01</t>
  </si>
  <si>
    <t>男乘务员抱起哭闹女婴哄她入睡</t>
  </si>
  <si>
    <t xml:space="preserve"> 2020-01-15 13:42:01</t>
  </si>
  <si>
    <t xml:space="preserve"> 2020-01-15 10:02:02</t>
  </si>
  <si>
    <t>乌客机被伊朗2枚导弹击中视频</t>
  </si>
  <si>
    <t xml:space="preserve"> 2020-01-15 13:54:02</t>
  </si>
  <si>
    <t>新年美甲</t>
  </si>
  <si>
    <t xml:space="preserve"> 2020-01-15 13:40:02</t>
  </si>
  <si>
    <t xml:space="preserve"> 2020-01-15 07:52:02</t>
  </si>
  <si>
    <t>武汉肺炎不排除有限人传人可能</t>
  </si>
  <si>
    <t xml:space="preserve"> 2020-01-15 21:28:01</t>
  </si>
  <si>
    <t xml:space="preserve"> 2020-01-15 10:42:01</t>
  </si>
  <si>
    <t>宋茜认出韩国站姐</t>
  </si>
  <si>
    <t xml:space="preserve"> 2020-01-15 21:32:02</t>
  </si>
  <si>
    <t xml:space="preserve"> 2020-01-15 11:18:02</t>
  </si>
  <si>
    <t>林小宅 青春有你2</t>
  </si>
  <si>
    <t xml:space="preserve"> 2020-01-15 20:18:01</t>
  </si>
  <si>
    <t>东海龙王的侄女儿</t>
  </si>
  <si>
    <t xml:space="preserve"> 2020-01-15 17:08:01</t>
  </si>
  <si>
    <t xml:space="preserve"> 2020-01-15 08:28:01</t>
  </si>
  <si>
    <t>汪小菲</t>
  </si>
  <si>
    <t xml:space="preserve"> 2020-01-15 20:02:01</t>
  </si>
  <si>
    <t>轻伤考拉被喂过量水死亡</t>
  </si>
  <si>
    <t xml:space="preserve"> 2020-01-15 18:34:02</t>
  </si>
  <si>
    <t xml:space="preserve"> 2020-01-15 10:50:02</t>
  </si>
  <si>
    <t>年度最惨公司年会</t>
  </si>
  <si>
    <t xml:space="preserve"> 2020-01-15 18:28:02</t>
  </si>
  <si>
    <t>Jennie封面</t>
  </si>
  <si>
    <t xml:space="preserve"> 2020-01-15 16:00:02</t>
  </si>
  <si>
    <t xml:space="preserve"> 2020-01-15 09:08:01</t>
  </si>
  <si>
    <t>董卿</t>
  </si>
  <si>
    <t xml:space="preserve"> 2020-01-16 08:22:01</t>
  </si>
  <si>
    <t xml:space="preserve"> 2019-10-27 16:12:01</t>
  </si>
  <si>
    <t>秦牛正威</t>
  </si>
  <si>
    <t xml:space="preserve"> 2020-01-15 17:06:02</t>
  </si>
  <si>
    <t xml:space="preserve"> 2020-01-15 10:26:02</t>
  </si>
  <si>
    <t>医生站着睡着磕断两颗门牙</t>
  </si>
  <si>
    <t xml:space="preserve"> 2020-01-15 14:02:01</t>
  </si>
  <si>
    <t xml:space="preserve"> 2020-01-15 08:48:01</t>
  </si>
  <si>
    <t>男子雪地受困23天写巨大SOS获救</t>
  </si>
  <si>
    <t xml:space="preserve"> 2020-01-15 10:52:02</t>
  </si>
  <si>
    <t>江苏渔民捞获7个境外水下窃密装置</t>
  </si>
  <si>
    <t xml:space="preserve"> 2020-01-15 12:42:02</t>
  </si>
  <si>
    <t xml:space="preserve"> 2020-01-15 11:44:02</t>
  </si>
  <si>
    <t>中国游泳队获五金三银</t>
  </si>
  <si>
    <t xml:space="preserve"> 2020-01-15 09:12:02</t>
  </si>
  <si>
    <t>大妈用1.8米长头发写书法</t>
  </si>
  <si>
    <t xml:space="preserve"> 2020-01-15 18:22:01</t>
  </si>
  <si>
    <t xml:space="preserve"> 2020-01-15 11:30:01</t>
  </si>
  <si>
    <t>核心期刊发表10岁学生散文</t>
  </si>
  <si>
    <t xml:space="preserve"> 2020-01-15 12:52:02</t>
  </si>
  <si>
    <t xml:space="preserve"> 2020-01-15 09:48:02</t>
  </si>
  <si>
    <t>CATTI成绩</t>
  </si>
  <si>
    <t xml:space="preserve"> 2020-01-15 17:02:01</t>
  </si>
  <si>
    <t>国台办回应蔡英文两岸关系言论</t>
  </si>
  <si>
    <t xml:space="preserve"> 2020-01-15 12:28:02</t>
  </si>
  <si>
    <t>农夫山泉涉毁林取水举报人发声</t>
  </si>
  <si>
    <t xml:space="preserve"> 2020-01-15 12:18:02</t>
  </si>
  <si>
    <t xml:space="preserve"> 2020-01-15 07:30:02</t>
  </si>
  <si>
    <t>尹颂 张舒越</t>
  </si>
  <si>
    <t xml:space="preserve"> 2020-01-15 12:58:02</t>
  </si>
  <si>
    <t>年轻人中的四大族群</t>
  </si>
  <si>
    <t>放假回来这么早没好处</t>
  </si>
  <si>
    <t>蔡徐坤扔纸飞机</t>
  </si>
  <si>
    <t xml:space="preserve"> 2020-01-15 12:22:02</t>
  </si>
  <si>
    <t>距过年只剩10天</t>
  </si>
  <si>
    <t>全国18个城市房租下跌</t>
  </si>
  <si>
    <t xml:space="preserve"> 2020-01-15 12:14:02</t>
  </si>
  <si>
    <t xml:space="preserve"> 2019-11-24 12:06:02</t>
  </si>
  <si>
    <t>西安下雪</t>
  </si>
  <si>
    <t xml:space="preserve"> 2020-01-15 12:12:01</t>
  </si>
  <si>
    <t xml:space="preserve"> 2020-01-15 11:40:02</t>
  </si>
  <si>
    <t>高校院长面对镜头称愧对学生</t>
  </si>
  <si>
    <t xml:space="preserve"> 2020-01-15 12:34:02</t>
  </si>
  <si>
    <t>春节专属敷衍</t>
  </si>
  <si>
    <t xml:space="preserve"> 2020-01-15 09:42:02</t>
  </si>
  <si>
    <t>特鲁多抱怨美国刺杀没提前告知</t>
  </si>
  <si>
    <t xml:space="preserve"> 2020-01-15 11:52:01</t>
  </si>
  <si>
    <t>昆明冬樱花大道</t>
  </si>
  <si>
    <t>西宁路面塌陷已致9人遇难</t>
  </si>
  <si>
    <t xml:space="preserve"> 2020-01-15 12:08:02</t>
  </si>
  <si>
    <t>太优秀反而容易被孤立吗</t>
  </si>
  <si>
    <t xml:space="preserve"> 2020-01-15 12:06:01</t>
  </si>
  <si>
    <t xml:space="preserve"> 2020-01-15 11:32:01</t>
  </si>
  <si>
    <t>驻西藏部队顶风冒雪巡逻边关</t>
  </si>
  <si>
    <t xml:space="preserve"> 2020-01-16 13:50:02</t>
  </si>
  <si>
    <t xml:space="preserve"> 2020-01-15 21:24:01</t>
  </si>
  <si>
    <t>爱情公寓5道歉</t>
  </si>
  <si>
    <t xml:space="preserve"> 2020-01-16 10:10:02</t>
  </si>
  <si>
    <t xml:space="preserve"> 2020-01-15 17:42:02</t>
  </si>
  <si>
    <t>故宫取消年夜饭</t>
  </si>
  <si>
    <t xml:space="preserve"> 2020-01-16 10:46:02</t>
  </si>
  <si>
    <t xml:space="preserve"> 2020-01-15 21:22:02</t>
  </si>
  <si>
    <t>孙杨夺冠</t>
  </si>
  <si>
    <t xml:space="preserve"> 2020-01-16 10:30:01</t>
  </si>
  <si>
    <t xml:space="preserve"> 2020-01-15 20:00:02</t>
  </si>
  <si>
    <t>敖犬三连拍</t>
  </si>
  <si>
    <t>岳云鹏被网友p图与靳东撞衫</t>
  </si>
  <si>
    <t xml:space="preserve"> 2020-01-16 08:26:02</t>
  </si>
  <si>
    <t xml:space="preserve"> 2020-01-15 20:20:02</t>
  </si>
  <si>
    <t>申请武大郎商标被驳回</t>
  </si>
  <si>
    <t xml:space="preserve"> 2020-01-16 07:14:02</t>
  </si>
  <si>
    <t xml:space="preserve"> 2020-01-15 17:44:02</t>
  </si>
  <si>
    <t>美方打压中国企业的真实意图</t>
  </si>
  <si>
    <t xml:space="preserve"> 2020-01-16 11:02:01</t>
  </si>
  <si>
    <t xml:space="preserve"> 2020-01-15 21:30:02</t>
  </si>
  <si>
    <t>又有2颗可宜居星球被发现</t>
  </si>
  <si>
    <t xml:space="preserve"> 2020-01-16 12:26:01</t>
  </si>
  <si>
    <t xml:space="preserve"> 2020-01-15 21:48:01</t>
  </si>
  <si>
    <t>俄政府全体辞职</t>
  </si>
  <si>
    <t xml:space="preserve"> 2020-01-16 09:28:01</t>
  </si>
  <si>
    <t xml:space="preserve"> 2020-01-15 21:02:01</t>
  </si>
  <si>
    <t>符龙飞得女</t>
  </si>
  <si>
    <t xml:space="preserve"> 2020-01-16 09:48:01</t>
  </si>
  <si>
    <t xml:space="preserve"> 2020-01-15 21:06:01</t>
  </si>
  <si>
    <t>管泽元 毒奶</t>
  </si>
  <si>
    <t xml:space="preserve"> 2020-01-16 07:30:01</t>
  </si>
  <si>
    <t xml:space="preserve"> 2020-01-15 20:28:01</t>
  </si>
  <si>
    <t>春节前3万吨中央储备冻猪肉将投放</t>
  </si>
  <si>
    <t xml:space="preserve"> 2020-01-16 07:52:02</t>
  </si>
  <si>
    <t xml:space="preserve"> 2019-12-02 10:08:02</t>
  </si>
  <si>
    <t>王诗龄近照</t>
  </si>
  <si>
    <t xml:space="preserve"> 2020-03-15 11:18:02</t>
  </si>
  <si>
    <t xml:space="preserve"> 2020-01-15 15:10:01</t>
  </si>
  <si>
    <t>青春有你2</t>
  </si>
  <si>
    <t xml:space="preserve"> 2020-01-16 11:40:02</t>
  </si>
  <si>
    <t xml:space="preserve"> 2020-01-15 21:20:01</t>
  </si>
  <si>
    <t>郑爽一家北京春晚彩排</t>
  </si>
  <si>
    <t xml:space="preserve"> 2020-01-16 10:26:02</t>
  </si>
  <si>
    <t xml:space="preserve"> 2020-01-15 21:34:02</t>
  </si>
  <si>
    <t>西宁遇难母亲是村里唯一村医</t>
  </si>
  <si>
    <t xml:space="preserve"> 2020-01-16 11:44:02</t>
  </si>
  <si>
    <t>年轻人吃火锅的定律</t>
  </si>
  <si>
    <t xml:space="preserve"> 2020-04-06 02:38:02</t>
  </si>
  <si>
    <t xml:space="preserve"> 2019-12-01 16:48:02</t>
  </si>
  <si>
    <t>乐言</t>
  </si>
  <si>
    <t xml:space="preserve"> 2020-01-16 08:48:01</t>
  </si>
  <si>
    <t xml:space="preserve"> 2020-01-15 22:28:02</t>
  </si>
  <si>
    <t>符龙飞老婆</t>
  </si>
  <si>
    <t xml:space="preserve"> 2020-01-15 19:20:02</t>
  </si>
  <si>
    <t>信用卡欠175元没还如今变2万多</t>
  </si>
  <si>
    <t xml:space="preserve"> 2020-01-16 11:42:02</t>
  </si>
  <si>
    <t>男女叠坐开车同系一条安全带</t>
  </si>
  <si>
    <t xml:space="preserve"> 2020-01-16 11:34:02</t>
  </si>
  <si>
    <t xml:space="preserve"> 2020-01-15 19:56:01</t>
  </si>
  <si>
    <t>妈妈觉得顺眼的妆</t>
  </si>
  <si>
    <t xml:space="preserve"> 2020-01-16 10:36:02</t>
  </si>
  <si>
    <t>哥哥对待女生和妹妹的差别</t>
  </si>
  <si>
    <t xml:space="preserve"> 2020-01-16 12:04:01</t>
  </si>
  <si>
    <t xml:space="preserve"> 2020-01-15 21:12:01</t>
  </si>
  <si>
    <t>谭松韵孤影打游戏</t>
  </si>
  <si>
    <t xml:space="preserve"> 2020-03-29 10:58:02</t>
  </si>
  <si>
    <t xml:space="preserve"> 2020-01-15 18:58:01</t>
  </si>
  <si>
    <t>冰清玉洁</t>
  </si>
  <si>
    <t xml:space="preserve"> 2020-01-16 10:44:01</t>
  </si>
  <si>
    <t xml:space="preserve"> 2020-01-15 19:58:02</t>
  </si>
  <si>
    <t>不经意间拍到的小美好</t>
  </si>
  <si>
    <t xml:space="preserve"> 2020-01-16 08:30:02</t>
  </si>
  <si>
    <t xml:space="preserve"> 2020-01-15 16:02:02</t>
  </si>
  <si>
    <t>姐姐结婚那天弟弟有多难过</t>
  </si>
  <si>
    <t xml:space="preserve"> 2020-01-16 07:02:02</t>
  </si>
  <si>
    <t xml:space="preserve"> 2020-01-15 16:42:02</t>
  </si>
  <si>
    <t>喝了奶茶晚上睡觉时的我</t>
  </si>
  <si>
    <t xml:space="preserve"> 2020-01-16 09:02:02</t>
  </si>
  <si>
    <t>刘昊然花手</t>
  </si>
  <si>
    <t xml:space="preserve"> 2020-01-16 10:22:02</t>
  </si>
  <si>
    <t>原来火锅店也有观众席</t>
  </si>
  <si>
    <t xml:space="preserve"> 2020-01-16 00:48:01</t>
  </si>
  <si>
    <t>英首相回应美国劝英国弃用华为5G</t>
  </si>
  <si>
    <t xml:space="preserve"> 2020-01-16 09:18:01</t>
  </si>
  <si>
    <t xml:space="preserve"> 2020-01-15 20:34:02</t>
  </si>
  <si>
    <t>像极了被迫拍照的你</t>
  </si>
  <si>
    <t xml:space="preserve"> 2020-01-16 09:00:02</t>
  </si>
  <si>
    <t xml:space="preserve"> 2020-01-15 22:44:01</t>
  </si>
  <si>
    <t>西宁地陷救人男孩获表彰</t>
  </si>
  <si>
    <t xml:space="preserve"> 2020-01-16 07:50:01</t>
  </si>
  <si>
    <t xml:space="preserve"> 2020-01-15 22:20:01</t>
  </si>
  <si>
    <t>过年饭局中的真实想法</t>
  </si>
  <si>
    <t xml:space="preserve"> 2020-01-16 07:36:02</t>
  </si>
  <si>
    <t xml:space="preserve"> 2020-01-15 18:32:01</t>
  </si>
  <si>
    <t>拍照时太需要这样的朋友了</t>
  </si>
  <si>
    <t xml:space="preserve"> 2020-01-16 08:38:01</t>
  </si>
  <si>
    <t>春节酒店家庭套房一晚上万</t>
  </si>
  <si>
    <t xml:space="preserve"> 2020-01-16 09:16:02</t>
  </si>
  <si>
    <t>马云的福字</t>
  </si>
  <si>
    <t xml:space="preserve"> 2020-01-15 20:12:02</t>
  </si>
  <si>
    <t>农夫山泉回应武夷山事件</t>
  </si>
  <si>
    <t xml:space="preserve"> 2020-01-16 08:16:01</t>
  </si>
  <si>
    <t>微信灰度测试订阅号付费</t>
  </si>
  <si>
    <t xml:space="preserve"> 2020-01-16 08:56:02</t>
  </si>
  <si>
    <t xml:space="preserve"> 2020-01-15 19:08:01</t>
  </si>
  <si>
    <t>搞怪索吻包包</t>
  </si>
  <si>
    <t xml:space="preserve"> 2020-01-16 07:12:01</t>
  </si>
  <si>
    <t xml:space="preserve"> 2020-01-15 19:52:02</t>
  </si>
  <si>
    <t>iG DMO</t>
  </si>
  <si>
    <t xml:space="preserve"> 2020-01-15 20:48:02</t>
  </si>
  <si>
    <t>中国国奥不敌伊朗</t>
  </si>
  <si>
    <t xml:space="preserve"> 2020-01-16 07:18:02</t>
  </si>
  <si>
    <t xml:space="preserve"> 2020-01-15 12:26:01</t>
  </si>
  <si>
    <t>刘亦菲马上翻跟头</t>
  </si>
  <si>
    <t xml:space="preserve"> 2020-01-16 07:22:02</t>
  </si>
  <si>
    <t xml:space="preserve"> 2020-01-15 13:58:02</t>
  </si>
  <si>
    <t>凌潇肃唱无法原谅翻车</t>
  </si>
  <si>
    <t xml:space="preserve"> 2020-01-16 04:44:01</t>
  </si>
  <si>
    <t xml:space="preserve"> 2020-01-15 17:30:02</t>
  </si>
  <si>
    <t>核心期刊主编回应发表儿子散文</t>
  </si>
  <si>
    <t xml:space="preserve"> 2020-01-16 01:30:01</t>
  </si>
  <si>
    <t xml:space="preserve"> 2020-01-15 16:34:02</t>
  </si>
  <si>
    <t>樱井翔女友</t>
  </si>
  <si>
    <t xml:space="preserve"> 2020-01-16 20:44:01</t>
  </si>
  <si>
    <t xml:space="preserve"> 2020-01-16 10:52:02</t>
  </si>
  <si>
    <t>森蝶快一米七了</t>
  </si>
  <si>
    <t xml:space="preserve"> 2020-01-16 19:36:02</t>
  </si>
  <si>
    <t xml:space="preserve"> 2020-01-16 11:24:02</t>
  </si>
  <si>
    <t>2020起实行一年两次征兵两次退役</t>
  </si>
  <si>
    <t xml:space="preserve"> 2020-01-16 21:50:01</t>
  </si>
  <si>
    <t xml:space="preserve"> 2020-01-16 08:40:02</t>
  </si>
  <si>
    <t>张恒</t>
  </si>
  <si>
    <t xml:space="preserve"> 2020-01-17 08:06:01</t>
  </si>
  <si>
    <t xml:space="preserve"> 2020-01-16 08:28:01</t>
  </si>
  <si>
    <t>赵忠祥去世</t>
  </si>
  <si>
    <t xml:space="preserve"> 2020-01-17 03:28:02</t>
  </si>
  <si>
    <t xml:space="preserve"> 2020-01-16 10:32:02</t>
  </si>
  <si>
    <t>朋友圈背景一束光</t>
  </si>
  <si>
    <t xml:space="preserve"> 2020-01-16 15:38:02</t>
  </si>
  <si>
    <t>赵忠祥遗体告别时间</t>
  </si>
  <si>
    <t xml:space="preserve"> 2020-01-16 16:32:02</t>
  </si>
  <si>
    <t>军方清理丧生山火的动物尸体</t>
  </si>
  <si>
    <t xml:space="preserve"> 2020-01-16 15:00:02</t>
  </si>
  <si>
    <t>16年背对春晚舞台的老兵即将退伍</t>
  </si>
  <si>
    <t xml:space="preserve"> 2020-01-16 16:02:02</t>
  </si>
  <si>
    <t xml:space="preserve"> 2020-01-16 09:22:02</t>
  </si>
  <si>
    <t>金钟大与女友约会照</t>
  </si>
  <si>
    <t xml:space="preserve"> 2020-01-16 15:36:02</t>
  </si>
  <si>
    <t xml:space="preserve"> 2020-01-16 09:52:01</t>
  </si>
  <si>
    <t>今天也是赵忠祥的生日</t>
  </si>
  <si>
    <t xml:space="preserve"> 2020-01-16 17:50:02</t>
  </si>
  <si>
    <t xml:space="preserve"> 2020-01-16 09:32:02</t>
  </si>
  <si>
    <t>罗志祥瞪子棋</t>
  </si>
  <si>
    <t xml:space="preserve"> 2020-01-16 14:44:02</t>
  </si>
  <si>
    <t xml:space="preserve"> 2020-01-16 10:12:01</t>
  </si>
  <si>
    <t>中国高铁第一股挂牌上市</t>
  </si>
  <si>
    <t xml:space="preserve"> 2020-01-16 13:10:02</t>
  </si>
  <si>
    <t xml:space="preserve"> 2020-01-16 09:04:02</t>
  </si>
  <si>
    <t>国内首次拍摄到布氏鲸水下影像</t>
  </si>
  <si>
    <t xml:space="preserve"> 2020-01-16 15:40:02</t>
  </si>
  <si>
    <t xml:space="preserve"> 2020-01-16 10:48:02</t>
  </si>
  <si>
    <t>华为在英宣布两千万英镑投资计划</t>
  </si>
  <si>
    <t xml:space="preserve"> 2020-01-16 17:56:01</t>
  </si>
  <si>
    <t xml:space="preserve"> 2020-01-16 11:30:02</t>
  </si>
  <si>
    <t>陈赫鹿晗天霸战队夺冠</t>
  </si>
  <si>
    <t xml:space="preserve"> 2020-01-16 19:24:01</t>
  </si>
  <si>
    <t xml:space="preserve"> 2020-01-16 11:36:01</t>
  </si>
  <si>
    <t>宜家马克杯检出致癌物</t>
  </si>
  <si>
    <t xml:space="preserve"> 2020-01-16 19:14:02</t>
  </si>
  <si>
    <t>春江花月夜改名赤狐书生</t>
  </si>
  <si>
    <t xml:space="preserve"> 2020-01-16 17:14:02</t>
  </si>
  <si>
    <t xml:space="preserve"> 2020-01-16 08:42:02</t>
  </si>
  <si>
    <t>倪萍</t>
  </si>
  <si>
    <t xml:space="preserve"> 2020-01-16 21:28:02</t>
  </si>
  <si>
    <t>吴磊说春晚首秀后自己成全村骄傲</t>
  </si>
  <si>
    <t xml:space="preserve"> 2020-01-16 17:26:02</t>
  </si>
  <si>
    <t xml:space="preserve"> 2020-01-16 11:46:01</t>
  </si>
  <si>
    <t>2019年AirPods出货量近6000万部</t>
  </si>
  <si>
    <t xml:space="preserve"> 2020-01-16 16:22:01</t>
  </si>
  <si>
    <t xml:space="preserve"> 2020-01-16 10:04:02</t>
  </si>
  <si>
    <t>日本确认首例新型冠状病毒病例</t>
  </si>
  <si>
    <t xml:space="preserve"> 2020-01-16 18:42:01</t>
  </si>
  <si>
    <t xml:space="preserve"> 2020-01-16 11:50:02</t>
  </si>
  <si>
    <t>醉驾玛莎拉蒂案被撞者仍在ICU</t>
  </si>
  <si>
    <t xml:space="preserve"> 2020-01-16 17:48:01</t>
  </si>
  <si>
    <t>过年红色怎么穿才好看</t>
  </si>
  <si>
    <t xml:space="preserve"> 2020-01-16 18:08:01</t>
  </si>
  <si>
    <t>杨紫张一山同台</t>
  </si>
  <si>
    <t xml:space="preserve"> 2020-01-16 15:48:01</t>
  </si>
  <si>
    <t xml:space="preserve"> 2020-01-16 07:54:01</t>
  </si>
  <si>
    <t>Jennie 三星</t>
  </si>
  <si>
    <t xml:space="preserve"> 2020-01-16 16:52:02</t>
  </si>
  <si>
    <t>为什么俄罗斯政府全体辞职</t>
  </si>
  <si>
    <t xml:space="preserve"> 2020-01-16 11:00:02</t>
  </si>
  <si>
    <t>年夜饭饺子吃硬币的绝招</t>
  </si>
  <si>
    <t xml:space="preserve"> 2020-01-16 15:22:01</t>
  </si>
  <si>
    <t xml:space="preserve"> 2019-12-29 18:04:01</t>
  </si>
  <si>
    <t>囧妈主题曲</t>
  </si>
  <si>
    <t xml:space="preserve"> 2020-01-16 15:50:02</t>
  </si>
  <si>
    <t xml:space="preserve"> 2020-01-16 07:28:02</t>
  </si>
  <si>
    <t>古巨基说何书桓渣</t>
  </si>
  <si>
    <t xml:space="preserve"> 2020-01-16 14:20:02</t>
  </si>
  <si>
    <t xml:space="preserve"> 2020-01-16 09:34:02</t>
  </si>
  <si>
    <t>澳大火已排放4亿吨二氧化碳</t>
  </si>
  <si>
    <t xml:space="preserve"> 2020-01-16 14:12:02</t>
  </si>
  <si>
    <t>适合过年发朋友圈的文案</t>
  </si>
  <si>
    <t xml:space="preserve"> 2020-01-16 12:46:02</t>
  </si>
  <si>
    <t>普京打算提议梅德韦杰夫出任新职</t>
  </si>
  <si>
    <t xml:space="preserve"> 2020-01-16 14:22:02</t>
  </si>
  <si>
    <t>一线城市新房价格涨幅回落</t>
  </si>
  <si>
    <t>动物世界配音</t>
  </si>
  <si>
    <t xml:space="preserve"> 2020-01-16 02:26:02</t>
  </si>
  <si>
    <t>中美签署第一阶段经贸协议</t>
  </si>
  <si>
    <t xml:space="preserve"> 2020-01-16 13:42:02</t>
  </si>
  <si>
    <t xml:space="preserve"> 2020-01-16 11:04:02</t>
  </si>
  <si>
    <t>梦幻花朵眼妆</t>
  </si>
  <si>
    <t xml:space="preserve"> 2020-01-16 17:32:01</t>
  </si>
  <si>
    <t xml:space="preserve"> 2020-01-16 12:06:02</t>
  </si>
  <si>
    <t>银河航天首发星发射升空</t>
  </si>
  <si>
    <t xml:space="preserve"> 2020-04-04 03:00:02</t>
  </si>
  <si>
    <t xml:space="preserve"> 2020-01-16 07:48:02</t>
  </si>
  <si>
    <t>朋友请听好</t>
  </si>
  <si>
    <t xml:space="preserve"> 2020-01-16 11:22:01</t>
  </si>
  <si>
    <t>来自老师的迷惑行为</t>
  </si>
  <si>
    <t xml:space="preserve"> 2020-01-16 12:34:02</t>
  </si>
  <si>
    <t xml:space="preserve"> 2020-01-16 11:56:01</t>
  </si>
  <si>
    <t>一人一句歌唱我的祖国</t>
  </si>
  <si>
    <t>保安大叔弹奏钢琴走红</t>
  </si>
  <si>
    <t xml:space="preserve"> 2020-01-16 11:48:01</t>
  </si>
  <si>
    <t>消防员进火场徒手关阀转6000多圈</t>
  </si>
  <si>
    <t xml:space="preserve"> 2020-01-16 08:52:01</t>
  </si>
  <si>
    <t>黄牛聚集贵州机场收茅台指标</t>
  </si>
  <si>
    <t xml:space="preserve"> 2020-01-16 13:40:02</t>
  </si>
  <si>
    <t>等待春节放假的我</t>
  </si>
  <si>
    <t xml:space="preserve"> 2020-01-16 12:50:02</t>
  </si>
  <si>
    <t xml:space="preserve"> 2020-01-16 07:34:01</t>
  </si>
  <si>
    <t>哪一瞬间对失恋感到释怀</t>
  </si>
  <si>
    <t xml:space="preserve"> 2020-01-16 12:10:02</t>
  </si>
  <si>
    <t xml:space="preserve"> 2020-01-16 10:28:01</t>
  </si>
  <si>
    <t>树洞救援团一年半阻止1603次自杀</t>
  </si>
  <si>
    <t xml:space="preserve"> 2020-01-17 15:30:01</t>
  </si>
  <si>
    <t xml:space="preserve"> 2020-01-16 21:44:02</t>
  </si>
  <si>
    <t>Lucky长大了</t>
  </si>
  <si>
    <t xml:space="preserve"> 2020-01-17 12:14:01</t>
  </si>
  <si>
    <t xml:space="preserve"> 2020-01-16 19:38:01</t>
  </si>
  <si>
    <t>玛莎拉蒂司机下跪道歉遭拒</t>
  </si>
  <si>
    <t xml:space="preserve"> 2020-01-17 13:24:02</t>
  </si>
  <si>
    <t xml:space="preserve"> 2020-01-16 20:52:02</t>
  </si>
  <si>
    <t>张云雷 手术很顺利</t>
  </si>
  <si>
    <t xml:space="preserve"> 2020-01-17 12:08:02</t>
  </si>
  <si>
    <t xml:space="preserve"> 2020-01-16 21:56:02</t>
  </si>
  <si>
    <t>傅首尔 不要代表这个时代淘汰父母</t>
  </si>
  <si>
    <t xml:space="preserve"> 2020-02-07 21:26:02</t>
  </si>
  <si>
    <t xml:space="preserve"> 2020-01-16 20:08:01</t>
  </si>
  <si>
    <t>绝代双骄</t>
  </si>
  <si>
    <t xml:space="preserve"> 2020-01-17 11:52:02</t>
  </si>
  <si>
    <t xml:space="preserve"> 2020-01-16 20:24:02</t>
  </si>
  <si>
    <t>鹿晗生图</t>
  </si>
  <si>
    <t xml:space="preserve"> 2020-01-17 16:50:02</t>
  </si>
  <si>
    <t xml:space="preserve"> 2020-01-16 22:10:02</t>
  </si>
  <si>
    <t>央企已划1.1万亿元至社保</t>
  </si>
  <si>
    <t xml:space="preserve"> 2020-01-17 09:20:02</t>
  </si>
  <si>
    <t xml:space="preserve"> 2020-01-16 19:26:02</t>
  </si>
  <si>
    <t>中国公民在曼谷机场遭搜身情况通报</t>
  </si>
  <si>
    <t xml:space="preserve"> 2020-01-17 12:02:02</t>
  </si>
  <si>
    <t xml:space="preserve"> 2020-01-16 21:02:02</t>
  </si>
  <si>
    <t>江枫下线</t>
  </si>
  <si>
    <t xml:space="preserve"> 2020-01-17 08:24:02</t>
  </si>
  <si>
    <t xml:space="preserve"> 2020-01-16 18:20:01</t>
  </si>
  <si>
    <t>成龙杨洋偷吃蛋糕</t>
  </si>
  <si>
    <t xml:space="preserve"> 2020-01-17 11:00:02</t>
  </si>
  <si>
    <t xml:space="preserve"> 2020-01-16 22:18:01</t>
  </si>
  <si>
    <t>西宁地陷失联者或掉入防空洞</t>
  </si>
  <si>
    <t xml:space="preserve"> 2020-01-17 08:18:02</t>
  </si>
  <si>
    <t>青你2选手证件照</t>
  </si>
  <si>
    <t xml:space="preserve"> 2020-01-17 10:24:02</t>
  </si>
  <si>
    <t xml:space="preserve"> 2020-01-16 20:48:01</t>
  </si>
  <si>
    <t>泰国机场遭强制搜身游客发声</t>
  </si>
  <si>
    <t xml:space="preserve"> 2020-01-17 00:22:01</t>
  </si>
  <si>
    <t xml:space="preserve"> 2020-01-16 22:24:02</t>
  </si>
  <si>
    <t>普京任命梅德韦杰夫新职务</t>
  </si>
  <si>
    <t xml:space="preserve"> 2020-01-17 14:44:02</t>
  </si>
  <si>
    <t xml:space="preserve"> 2020-01-16 22:58:01</t>
  </si>
  <si>
    <t>看到女友卸妆后的体验</t>
  </si>
  <si>
    <t xml:space="preserve"> 2020-01-17 13:50:02</t>
  </si>
  <si>
    <t xml:space="preserve"> 2020-01-16 22:26:02</t>
  </si>
  <si>
    <t>有一种尴尬叫做替别人尴尬</t>
  </si>
  <si>
    <t xml:space="preserve"> 2020-01-17 07:38:02</t>
  </si>
  <si>
    <t xml:space="preserve"> 2020-01-16 22:16:02</t>
  </si>
  <si>
    <t>中国女排维权</t>
  </si>
  <si>
    <t xml:space="preserve"> 2020-01-16 20:32:02</t>
  </si>
  <si>
    <t>娜恩建厚弟弟出生</t>
  </si>
  <si>
    <t xml:space="preserve"> 2020-01-17 12:06:01</t>
  </si>
  <si>
    <t xml:space="preserve"> 2020-01-16 18:00:02</t>
  </si>
  <si>
    <t>发量多的人有多显小</t>
  </si>
  <si>
    <t xml:space="preserve"> 2020-01-17 13:22:01</t>
  </si>
  <si>
    <t xml:space="preserve"> 2020-01-16 22:32:01</t>
  </si>
  <si>
    <t>吴亦凡冰川蓝镂空西装</t>
  </si>
  <si>
    <t xml:space="preserve"> 2020-01-17 14:04:01</t>
  </si>
  <si>
    <t xml:space="preserve"> 2020-01-16 22:02:01</t>
  </si>
  <si>
    <t>三观不合的表现</t>
  </si>
  <si>
    <t xml:space="preserve"> 2020-01-17 10:08:02</t>
  </si>
  <si>
    <t xml:space="preserve"> 2020-01-16 16:50:02</t>
  </si>
  <si>
    <t>淘宝账户被封980年</t>
  </si>
  <si>
    <t xml:space="preserve"> 2020-01-17 09:08:01</t>
  </si>
  <si>
    <t xml:space="preserve"> 2020-01-16 22:34:02</t>
  </si>
  <si>
    <t>90后小伙和80岁大爷画年俗涂鸦</t>
  </si>
  <si>
    <t xml:space="preserve"> 2020-01-17 13:38:01</t>
  </si>
  <si>
    <t xml:space="preserve"> 2020-01-16 21:32:01</t>
  </si>
  <si>
    <t>R1SE土味蹦迪</t>
  </si>
  <si>
    <t xml:space="preserve"> 2020-01-17 09:52:02</t>
  </si>
  <si>
    <t xml:space="preserve"> 2020-01-16 16:38:02</t>
  </si>
  <si>
    <t>关晓彤鼠啃刘海</t>
  </si>
  <si>
    <t xml:space="preserve"> 2020-01-16 22:04:02</t>
  </si>
  <si>
    <t>高速服务区餐厅吃泡面被赶</t>
  </si>
  <si>
    <t xml:space="preserve"> 2020-01-17 16:28:01</t>
  </si>
  <si>
    <t xml:space="preserve"> 2020-01-16 19:30:02</t>
  </si>
  <si>
    <t>土耳其总统宣布向利比亚派兵</t>
  </si>
  <si>
    <t xml:space="preserve"> 2020-01-17 12:00:02</t>
  </si>
  <si>
    <t xml:space="preserve"> 2020-01-16 22:40:02</t>
  </si>
  <si>
    <t>老师有多想让学生过好年</t>
  </si>
  <si>
    <t xml:space="preserve"> 2020-01-17 12:16:02</t>
  </si>
  <si>
    <t xml:space="preserve"> 2020-01-16 23:02:02</t>
  </si>
  <si>
    <t>钻石流苏高跟鞋</t>
  </si>
  <si>
    <t xml:space="preserve"> 2020-01-17 11:42:01</t>
  </si>
  <si>
    <t>硬核老妈寄来666元包饺子套餐</t>
  </si>
  <si>
    <t xml:space="preserve"> 2020-01-17 08:30:02</t>
  </si>
  <si>
    <t xml:space="preserve"> 2020-01-16 23:08:02</t>
  </si>
  <si>
    <t>美团打车出租车感谢费下线</t>
  </si>
  <si>
    <t xml:space="preserve"> 2020-01-17 12:28:01</t>
  </si>
  <si>
    <t xml:space="preserve"> 2020-01-16 17:34:02</t>
  </si>
  <si>
    <t>2019年赴港游客减少14.2%</t>
  </si>
  <si>
    <t xml:space="preserve"> 2020-01-17 08:52:01</t>
  </si>
  <si>
    <t>朱一龙说春晚比他想象的更难</t>
  </si>
  <si>
    <t xml:space="preserve"> 2020-01-17 08:56:01</t>
  </si>
  <si>
    <t xml:space="preserve"> 2020-01-16 18:14:02</t>
  </si>
  <si>
    <t>FBI已成功解锁iPhone</t>
  </si>
  <si>
    <t xml:space="preserve"> 2020-01-17 11:22:02</t>
  </si>
  <si>
    <t xml:space="preserve"> 2020-01-16 18:50:02</t>
  </si>
  <si>
    <t>月亮耳骨钉</t>
  </si>
  <si>
    <t xml:space="preserve"> 2020-01-17 10:32:02</t>
  </si>
  <si>
    <t>女生化妆最难的步骤</t>
  </si>
  <si>
    <t xml:space="preserve"> 2020-01-17 11:34:02</t>
  </si>
  <si>
    <t xml:space="preserve"> 2020-01-16 23:14:01</t>
  </si>
  <si>
    <t>寒假在家如何让父母满意</t>
  </si>
  <si>
    <t>东北洗浴中心</t>
  </si>
  <si>
    <t xml:space="preserve"> 2020-01-17 08:12:01</t>
  </si>
  <si>
    <t xml:space="preserve"> 2020-01-16 23:12:02</t>
  </si>
  <si>
    <t>赵睿16分</t>
  </si>
  <si>
    <t xml:space="preserve"> 2020-01-17 10:52:02</t>
  </si>
  <si>
    <t xml:space="preserve"> 2020-01-16 19:58:02</t>
  </si>
  <si>
    <t>消防员冒充孙子为老人送饭1095天</t>
  </si>
  <si>
    <t xml:space="preserve"> 2020-01-17 10:04:02</t>
  </si>
  <si>
    <t xml:space="preserve"> 2020-01-16 18:16:02</t>
  </si>
  <si>
    <t>男孩吐槽好像放假的是我妈</t>
  </si>
  <si>
    <t xml:space="preserve"> 2020-01-16 19:28:01</t>
  </si>
  <si>
    <t>老年X教授万磁王亲吻</t>
  </si>
  <si>
    <t xml:space="preserve"> 2020-01-17 11:36:02</t>
  </si>
  <si>
    <t xml:space="preserve"> 2020-01-16 19:32:02</t>
  </si>
  <si>
    <t>匿名群当众掉马甲</t>
  </si>
  <si>
    <t xml:space="preserve"> 2020-01-17 08:14:02</t>
  </si>
  <si>
    <t xml:space="preserve"> 2020-01-16 15:52:02</t>
  </si>
  <si>
    <t>高位截瘫患者用意念喝可乐</t>
  </si>
  <si>
    <t xml:space="preserve"> 2020-01-17 08:02:01</t>
  </si>
  <si>
    <t xml:space="preserve"> 2020-01-16 20:02:01</t>
  </si>
  <si>
    <t>婚车停高速应急道等掉队车</t>
  </si>
  <si>
    <t xml:space="preserve"> 2020-01-17 00:28:02</t>
  </si>
  <si>
    <t xml:space="preserve"> 2020-01-16 20:54:01</t>
  </si>
  <si>
    <t>俄国家杜马同意米舒斯京出任总理</t>
  </si>
  <si>
    <t xml:space="preserve"> 2020-01-17 06:30:01</t>
  </si>
  <si>
    <t xml:space="preserve"> 2020-01-16 16:14:01</t>
  </si>
  <si>
    <t>只有近视的人才懂的痛</t>
  </si>
  <si>
    <t xml:space="preserve"> 2020-01-18 10:10:02</t>
  </si>
  <si>
    <t>华少收到恐吓快递</t>
  </si>
  <si>
    <t xml:space="preserve"> 2020-01-17 18:32:02</t>
  </si>
  <si>
    <t xml:space="preserve"> 2020-01-17 09:10:02</t>
  </si>
  <si>
    <t>宋威龙 赵佳丽</t>
  </si>
  <si>
    <t xml:space="preserve"> 2020-01-17 19:00:02</t>
  </si>
  <si>
    <t>泫雅脏辫</t>
  </si>
  <si>
    <t xml:space="preserve"> 2020-01-17 21:38:02</t>
  </si>
  <si>
    <t xml:space="preserve"> 2020-01-17 11:54:01</t>
  </si>
  <si>
    <t>王思聪近况</t>
  </si>
  <si>
    <t>两名中国游客在冰岛意外身亡</t>
  </si>
  <si>
    <t xml:space="preserve"> 2020-01-17 17:46:02</t>
  </si>
  <si>
    <t xml:space="preserve"> 2020-01-17 10:34:01</t>
  </si>
  <si>
    <t>中国大陆总人口突破14亿</t>
  </si>
  <si>
    <t xml:space="preserve"> 2020-01-17 18:52:02</t>
  </si>
  <si>
    <t xml:space="preserve"> 2020-01-17 11:02:02</t>
  </si>
  <si>
    <t>饺子耳环</t>
  </si>
  <si>
    <t xml:space="preserve"> 2020-01-17 19:32:01</t>
  </si>
  <si>
    <t xml:space="preserve"> 2020-01-17 10:06:01</t>
  </si>
  <si>
    <t>全球最长蛋糕6.5公里</t>
  </si>
  <si>
    <t xml:space="preserve"> 2020-01-17 23:58:02</t>
  </si>
  <si>
    <t>小年</t>
  </si>
  <si>
    <t xml:space="preserve"> 2020-01-17 07:40:01</t>
  </si>
  <si>
    <t>澳大利亚人雨中狂喜</t>
  </si>
  <si>
    <t xml:space="preserve"> 2020-01-17 17:06:02</t>
  </si>
  <si>
    <t xml:space="preserve"> 2020-01-17 10:16:02</t>
  </si>
  <si>
    <t>我国人均GDP突破1万美元</t>
  </si>
  <si>
    <t xml:space="preserve"> 2020-01-17 18:40:01</t>
  </si>
  <si>
    <t xml:space="preserve"> 2020-01-17 10:40:02</t>
  </si>
  <si>
    <t>中国人2019年网购花掉10万亿元</t>
  </si>
  <si>
    <t xml:space="preserve"> 2020-01-17 15:38:01</t>
  </si>
  <si>
    <t xml:space="preserve"> 2020-01-17 11:26:02</t>
  </si>
  <si>
    <t>NBA全明星第三轮投票结果</t>
  </si>
  <si>
    <t xml:space="preserve"> 2020-01-17 18:48:02</t>
  </si>
  <si>
    <t xml:space="preserve"> 2020-01-17 10:26:02</t>
  </si>
  <si>
    <t>央视播新闻猝不及防变吃播</t>
  </si>
  <si>
    <t xml:space="preserve"> 2020-01-17 20:06:02</t>
  </si>
  <si>
    <t xml:space="preserve"> 2020-01-17 08:20:01</t>
  </si>
  <si>
    <t>哇唧唧哇年会</t>
  </si>
  <si>
    <t xml:space="preserve"> 2020-01-17 17:54:02</t>
  </si>
  <si>
    <t>初次戴隐形眼镜的你</t>
  </si>
  <si>
    <t xml:space="preserve"> 2020-01-17 17:52:01</t>
  </si>
  <si>
    <t>林俊杰反向打卡粉丝</t>
  </si>
  <si>
    <t xml:space="preserve"> 2020-01-17 15:54:02</t>
  </si>
  <si>
    <t xml:space="preserve"> 2020-01-17 11:38:01</t>
  </si>
  <si>
    <t>物理老师课间做趣味实验</t>
  </si>
  <si>
    <t xml:space="preserve"> 2020-01-17 17:32:01</t>
  </si>
  <si>
    <t xml:space="preserve"> 2020-01-17 09:38:01</t>
  </si>
  <si>
    <t>多家量子波动速读培训机构已被关停</t>
  </si>
  <si>
    <t xml:space="preserve"> 2020-01-17 14:16:01</t>
  </si>
  <si>
    <t xml:space="preserve"> 2020-01-17 09:00:02</t>
  </si>
  <si>
    <t>高校校长给留校学生发200红包</t>
  </si>
  <si>
    <t xml:space="preserve"> 2020-01-17 15:44:01</t>
  </si>
  <si>
    <t xml:space="preserve"> 2020-01-17 08:26:01</t>
  </si>
  <si>
    <t>偶遇5年前救亲人消防员下跪感恩</t>
  </si>
  <si>
    <t xml:space="preserve"> 2020-01-17 15:48:01</t>
  </si>
  <si>
    <t>沙漠雪海</t>
  </si>
  <si>
    <t xml:space="preserve"> 2020-01-17 15:18:01</t>
  </si>
  <si>
    <t xml:space="preserve"> 2020-01-17 11:44:02</t>
  </si>
  <si>
    <t>英格拉姆绝杀</t>
  </si>
  <si>
    <t xml:space="preserve"> 2020-01-17 13:44:02</t>
  </si>
  <si>
    <t xml:space="preserve"> 2020-01-17 08:34:01</t>
  </si>
  <si>
    <t>苏格兰拟禁止少儿练头球</t>
  </si>
  <si>
    <t xml:space="preserve"> 2020-01-17 13:10:02</t>
  </si>
  <si>
    <t xml:space="preserve"> 2020-01-17 09:56:01</t>
  </si>
  <si>
    <t>川藏铁路有限公司成立</t>
  </si>
  <si>
    <t xml:space="preserve"> 2020-01-17 13:40:02</t>
  </si>
  <si>
    <t xml:space="preserve"> 2020-01-17 07:10:02</t>
  </si>
  <si>
    <t>过年前夕心态的变化</t>
  </si>
  <si>
    <t xml:space="preserve"> 2020-01-17 08:16:01</t>
  </si>
  <si>
    <t>澳洲成功抢救濒临灭绝树种</t>
  </si>
  <si>
    <t xml:space="preserve"> 2020-01-17 12:40:02</t>
  </si>
  <si>
    <t xml:space="preserve"> 2020-01-17 08:32:01</t>
  </si>
  <si>
    <t>电信回应携号转网交5万赔偿金</t>
  </si>
  <si>
    <t xml:space="preserve"> 2020-01-17 15:04:02</t>
  </si>
  <si>
    <t>欧盟拟在公共场所禁用人脸识别</t>
  </si>
  <si>
    <t xml:space="preserve"> 2020-01-18 05:02:02</t>
  </si>
  <si>
    <t xml:space="preserve"> 2020-01-17 12:04:02</t>
  </si>
  <si>
    <t>央视网络春晚节目单</t>
  </si>
  <si>
    <t xml:space="preserve"> 2020-01-17 12:44:02</t>
  </si>
  <si>
    <t>赛博朋克2077跳票</t>
  </si>
  <si>
    <t xml:space="preserve"> 2020-01-17 16:58:01</t>
  </si>
  <si>
    <t>托尔金儿子去世</t>
  </si>
  <si>
    <t xml:space="preserve"> 2020-01-17 12:20:02</t>
  </si>
  <si>
    <t xml:space="preserve"> 2020-01-17 09:02:02</t>
  </si>
  <si>
    <t>父母固执己见该反抗吗</t>
  </si>
  <si>
    <t xml:space="preserve"> 2020-01-18 13:30:02</t>
  </si>
  <si>
    <t xml:space="preserve"> 2020-01-17 21:22:02</t>
  </si>
  <si>
    <t>魏大勋唱这个年纪</t>
  </si>
  <si>
    <t xml:space="preserve"> 2020-01-18 17:02:02</t>
  </si>
  <si>
    <t xml:space="preserve"> 2020-01-17 20:04:02</t>
  </si>
  <si>
    <t>我国男性比女性多3049万</t>
  </si>
  <si>
    <t xml:space="preserve"> 2020-01-18 14:28:02</t>
  </si>
  <si>
    <t>德云社封箱</t>
  </si>
  <si>
    <t xml:space="preserve"> 2020-01-18 10:56:02</t>
  </si>
  <si>
    <t xml:space="preserve"> 2020-01-17 17:04:01</t>
  </si>
  <si>
    <t>张子枫艺考分数</t>
  </si>
  <si>
    <t xml:space="preserve"> 2020-01-18 11:38:02</t>
  </si>
  <si>
    <t xml:space="preserve"> 2020-01-17 18:34:02</t>
  </si>
  <si>
    <t>吴京把道具蛋糕给吃了</t>
  </si>
  <si>
    <t xml:space="preserve"> 2020-01-18 11:00:02</t>
  </si>
  <si>
    <t xml:space="preserve"> 2020-01-17 18:42:02</t>
  </si>
  <si>
    <t>醉驾玛莎拉蒂司机庭审痛哭</t>
  </si>
  <si>
    <t xml:space="preserve"> 2020-01-18 07:52:01</t>
  </si>
  <si>
    <t xml:space="preserve"> 2020-01-17 20:50:02</t>
  </si>
  <si>
    <t>25名中国游客在尼泊尔车祸受轻伤</t>
  </si>
  <si>
    <t xml:space="preserve"> 2020-01-18 10:44:02</t>
  </si>
  <si>
    <t xml:space="preserve"> 2020-01-17 20:34:02</t>
  </si>
  <si>
    <t>康辉朱广权尼格买提群口相声</t>
  </si>
  <si>
    <t xml:space="preserve"> 2020-01-18 08:40:02</t>
  </si>
  <si>
    <t xml:space="preserve"> 2020-01-17 16:02:01</t>
  </si>
  <si>
    <t>火箭少女要嗨森歌词</t>
  </si>
  <si>
    <t xml:space="preserve"> 2020-01-18 13:50:02</t>
  </si>
  <si>
    <t xml:space="preserve"> 2020-01-17 19:50:02</t>
  </si>
  <si>
    <t>2月起海外中国公民护照全球通办</t>
  </si>
  <si>
    <t xml:space="preserve"> 2020-01-18 07:42:02</t>
  </si>
  <si>
    <t xml:space="preserve"> 2020-01-17 20:20:02</t>
  </si>
  <si>
    <t>eStar战胜FPX</t>
  </si>
  <si>
    <t xml:space="preserve"> 2020-01-18 08:22:01</t>
  </si>
  <si>
    <t xml:space="preserve"> 2020-01-17 18:46:02</t>
  </si>
  <si>
    <t>文旅部取消9家饭店五星级资格</t>
  </si>
  <si>
    <t xml:space="preserve"> 2020-01-18 08:42:02</t>
  </si>
  <si>
    <t xml:space="preserve"> 2020-01-17 21:54:01</t>
  </si>
  <si>
    <t>第二批国家集中采购药品平均降幅53%</t>
  </si>
  <si>
    <t xml:space="preserve"> 2020-01-18 15:16:02</t>
  </si>
  <si>
    <t xml:space="preserve"> 2020-01-17 23:04:01</t>
  </si>
  <si>
    <t>电影中国女排改名</t>
  </si>
  <si>
    <t xml:space="preserve"> 2020-01-18 14:40:02</t>
  </si>
  <si>
    <t xml:space="preserve"> 2020-01-17 22:34:01</t>
  </si>
  <si>
    <t>生理上感到最痛的一次经历</t>
  </si>
  <si>
    <t xml:space="preserve"> 2020-01-18 15:04:01</t>
  </si>
  <si>
    <t xml:space="preserve"> 2020-01-17 22:28:02</t>
  </si>
  <si>
    <t>花无缺上线</t>
  </si>
  <si>
    <t xml:space="preserve"> 2020-01-18 15:18:01</t>
  </si>
  <si>
    <t xml:space="preserve"> 2020-01-17 22:50:02</t>
  </si>
  <si>
    <t>你妈开始骂你了吗</t>
  </si>
  <si>
    <t xml:space="preserve"> 2020-01-18 12:34:01</t>
  </si>
  <si>
    <t xml:space="preserve"> 2020-01-17 22:08:01</t>
  </si>
  <si>
    <t>周震南新发型</t>
  </si>
  <si>
    <t xml:space="preserve"> 2020-01-18 12:36:02</t>
  </si>
  <si>
    <t xml:space="preserve"> 2020-01-17 21:52:02</t>
  </si>
  <si>
    <t>彭于晏吴世勋同框</t>
  </si>
  <si>
    <t xml:space="preserve"> 2020-01-18 13:02:02</t>
  </si>
  <si>
    <t xml:space="preserve"> 2020-01-17 22:20:01</t>
  </si>
  <si>
    <t>搜救犬去看病搜出冬眠小乌龟</t>
  </si>
  <si>
    <t xml:space="preserve"> 2020-03-24 09:40:01</t>
  </si>
  <si>
    <t xml:space="preserve"> 2020-01-17 20:44:02</t>
  </si>
  <si>
    <t>PDD</t>
  </si>
  <si>
    <t xml:space="preserve"> 2020-01-18 08:56:02</t>
  </si>
  <si>
    <t xml:space="preserve"> 2020-01-17 23:26:01</t>
  </si>
  <si>
    <t>驻港部队军官轮换离港</t>
  </si>
  <si>
    <t xml:space="preserve"> 2020-01-18 12:14:02</t>
  </si>
  <si>
    <t xml:space="preserve"> 2020-01-17 21:02:01</t>
  </si>
  <si>
    <t>张凯毅回来了</t>
  </si>
  <si>
    <t xml:space="preserve"> 2020-01-18 11:02:02</t>
  </si>
  <si>
    <t xml:space="preserve"> 2020-01-17 17:56:01</t>
  </si>
  <si>
    <t>其实2020年已经过完了</t>
  </si>
  <si>
    <t xml:space="preserve"> 2020-01-18 12:06:02</t>
  </si>
  <si>
    <t xml:space="preserve"> 2020-01-17 20:22:01</t>
  </si>
  <si>
    <t>当敖丙看到金箍棒</t>
  </si>
  <si>
    <t xml:space="preserve"> 2020-01-17 19:22:01</t>
  </si>
  <si>
    <t>宝宝周岁宴姥姥做出花式馒头</t>
  </si>
  <si>
    <t xml:space="preserve"> 2020-01-18 11:30:02</t>
  </si>
  <si>
    <t xml:space="preserve"> 2020-01-17 19:48:01</t>
  </si>
  <si>
    <t>北京2月2日婚姻登记预约</t>
  </si>
  <si>
    <t xml:space="preserve"> 2020-01-18 11:26:02</t>
  </si>
  <si>
    <t xml:space="preserve"> 2020-01-17 21:18:02</t>
  </si>
  <si>
    <t>姜子牙终极预告</t>
  </si>
  <si>
    <t xml:space="preserve"> 2020-01-18 09:02:02</t>
  </si>
  <si>
    <t>区委书记大会上怒斥干部</t>
  </si>
  <si>
    <t xml:space="preserve"> 2020-01-18 07:14:01</t>
  </si>
  <si>
    <t>小年夜</t>
  </si>
  <si>
    <t xml:space="preserve"> 2020-01-18 08:36:02</t>
  </si>
  <si>
    <t xml:space="preserve"> 2020-01-17 22:48:01</t>
  </si>
  <si>
    <t>王哲林51分</t>
  </si>
  <si>
    <t xml:space="preserve"> 2020-01-18 09:32:02</t>
  </si>
  <si>
    <t xml:space="preserve"> 2020-01-17 15:42:02</t>
  </si>
  <si>
    <t>邓紫棋瞪裸纸象</t>
  </si>
  <si>
    <t xml:space="preserve"> 2020-01-17 23:02:02</t>
  </si>
  <si>
    <t>女生有哪些奇妙的逻辑</t>
  </si>
  <si>
    <t xml:space="preserve"> 2020-01-18 07:18:01</t>
  </si>
  <si>
    <t xml:space="preserve"> 2020-01-17 17:28:02</t>
  </si>
  <si>
    <t>压岁钱为什么只给小孩子</t>
  </si>
  <si>
    <t xml:space="preserve"> 2020-01-18 08:12:02</t>
  </si>
  <si>
    <t xml:space="preserve"> 2020-01-17 19:46:02</t>
  </si>
  <si>
    <t>用到铁皮的彩妆</t>
  </si>
  <si>
    <t xml:space="preserve"> 2020-01-18 13:16:01</t>
  </si>
  <si>
    <t xml:space="preserve"> 2020-01-17 21:46:01</t>
  </si>
  <si>
    <t>寂寞的咖啡豆</t>
  </si>
  <si>
    <t xml:space="preserve"> 2020-01-18 07:16:02</t>
  </si>
  <si>
    <t xml:space="preserve"> 2020-01-17 15:20:02</t>
  </si>
  <si>
    <t>迪丽热巴少女感脏辫</t>
  </si>
  <si>
    <t xml:space="preserve"> 2020-01-18 00:34:01</t>
  </si>
  <si>
    <t xml:space="preserve"> 2020-01-17 20:46:01</t>
  </si>
  <si>
    <t>王旭东</t>
  </si>
  <si>
    <t xml:space="preserve"> 2020-01-18 00:14:02</t>
  </si>
  <si>
    <t>开车进故宫奔驰车主回应</t>
  </si>
  <si>
    <t xml:space="preserve"> 2020-01-18 07:22:01</t>
  </si>
  <si>
    <t xml:space="preserve"> 2020-01-17 15:26:01</t>
  </si>
  <si>
    <t>公司年终奖发了个锤子</t>
  </si>
  <si>
    <t xml:space="preserve"> 2020-01-17 17:00:02</t>
  </si>
  <si>
    <t>锦衣之下改名大赛</t>
  </si>
  <si>
    <t xml:space="preserve"> 2020-01-18 09:14:02</t>
  </si>
  <si>
    <t xml:space="preserve"> 2020-01-17 23:12:02</t>
  </si>
  <si>
    <t>过年社交恐惧症</t>
  </si>
  <si>
    <t xml:space="preserve"> 2020-01-18 07:12:02</t>
  </si>
  <si>
    <t>蔡徐坤想拜师学扔纸飞机</t>
  </si>
  <si>
    <t xml:space="preserve"> 2020-01-18 09:18:02</t>
  </si>
  <si>
    <t xml:space="preserve"> 2020-01-17 19:58:02</t>
  </si>
  <si>
    <t>鞋子双肩包</t>
  </si>
  <si>
    <t xml:space="preserve"> 2020-01-18 02:54:01</t>
  </si>
  <si>
    <t>如何看待套路索要红包</t>
  </si>
  <si>
    <t xml:space="preserve"> 2020-01-17 17:10:02</t>
  </si>
  <si>
    <t>泰国发现第二例新型冠状病毒肺炎患者</t>
  </si>
  <si>
    <t xml:space="preserve"> 2020-01-18 18:26:02</t>
  </si>
  <si>
    <t xml:space="preserve"> 2020-01-18 09:24:01</t>
  </si>
  <si>
    <t>万人联名要求考拉迁入新西兰</t>
  </si>
  <si>
    <t xml:space="preserve"> 2020-01-18 19:26:01</t>
  </si>
  <si>
    <t>袁隆平寄语90后00后</t>
  </si>
  <si>
    <t xml:space="preserve"> 2020-01-18 18:10:02</t>
  </si>
  <si>
    <t xml:space="preserve"> 2020-01-18 07:28:02</t>
  </si>
  <si>
    <t>中国电竞人才缺口达50万</t>
  </si>
  <si>
    <t xml:space="preserve"> 2020-01-19 04:52:01</t>
  </si>
  <si>
    <t xml:space="preserve"> 2020-01-18 10:46:02</t>
  </si>
  <si>
    <t>明天还上班</t>
  </si>
  <si>
    <t xml:space="preserve"> 2020-01-18 16:10:01</t>
  </si>
  <si>
    <t xml:space="preserve"> 2020-01-18 07:54:02</t>
  </si>
  <si>
    <t>西宁地面坍塌搜救停止</t>
  </si>
  <si>
    <t xml:space="preserve"> 2020-01-18 15:50:02</t>
  </si>
  <si>
    <t>海平面上升印尼2座小岛消失</t>
  </si>
  <si>
    <t xml:space="preserve"> 2020-01-18 20:04:01</t>
  </si>
  <si>
    <t>乌克兰总统驳回总理辞呈</t>
  </si>
  <si>
    <t>两处世界自然遗产山火中被毁过半</t>
  </si>
  <si>
    <t xml:space="preserve"> 2020-01-18 15:58:02</t>
  </si>
  <si>
    <t xml:space="preserve"> 2020-01-18 07:26:01</t>
  </si>
  <si>
    <t>武汉新增4例新型冠状病毒肺炎病例</t>
  </si>
  <si>
    <t xml:space="preserve"> 2020-01-18 15:12:01</t>
  </si>
  <si>
    <t xml:space="preserve"> 2020-01-18 07:24:02</t>
  </si>
  <si>
    <t>新疆百里雾凇</t>
  </si>
  <si>
    <t xml:space="preserve"> 2020-01-18 13:42:02</t>
  </si>
  <si>
    <t>快递营业场所等应全天候视频监控</t>
  </si>
  <si>
    <t xml:space="preserve"> 2020-01-18 13:00:02</t>
  </si>
  <si>
    <t>日本开放部分福岛核禁区</t>
  </si>
  <si>
    <t xml:space="preserve"> 2020-01-18 20:20:02</t>
  </si>
  <si>
    <t xml:space="preserve"> 2020-01-18 11:40:01</t>
  </si>
  <si>
    <t>痘痘鼻钉</t>
  </si>
  <si>
    <t xml:space="preserve"> 2020-01-18 20:10:02</t>
  </si>
  <si>
    <t>你妈过年烫头了吗</t>
  </si>
  <si>
    <t xml:space="preserve"> 2020-01-18 19:44:01</t>
  </si>
  <si>
    <t xml:space="preserve"> 2020-01-18 11:36:01</t>
  </si>
  <si>
    <t>周杰伦天津演唱会门票</t>
  </si>
  <si>
    <t xml:space="preserve"> 2020-01-18 19:14:02</t>
  </si>
  <si>
    <t xml:space="preserve"> 2020-01-18 10:22:01</t>
  </si>
  <si>
    <t>包20000饺子放操场速冻</t>
  </si>
  <si>
    <t xml:space="preserve"> 2020-01-18 18:34:01</t>
  </si>
  <si>
    <t>忘不了的春晚搞笑名场面</t>
  </si>
  <si>
    <t xml:space="preserve"> 2020-01-18 13:58:02</t>
  </si>
  <si>
    <t xml:space="preserve"> 2020-01-18 08:44:02</t>
  </si>
  <si>
    <t>韩国地铁今年将全部覆盖5G</t>
  </si>
  <si>
    <t xml:space="preserve"> 2020-01-18 17:52:02</t>
  </si>
  <si>
    <t xml:space="preserve"> 2020-01-18 11:04:02</t>
  </si>
  <si>
    <t>东京下雪</t>
  </si>
  <si>
    <t xml:space="preserve"> 2020-01-18 16:36:02</t>
  </si>
  <si>
    <t xml:space="preserve"> 2020-01-18 10:36:02</t>
  </si>
  <si>
    <t>芝士牛排背包</t>
  </si>
  <si>
    <t xml:space="preserve"> 2020-01-18 15:38:01</t>
  </si>
  <si>
    <t>杭州明确教师平均工资将高于公务员</t>
  </si>
  <si>
    <t xml:space="preserve"> 2020-01-18 14:18:01</t>
  </si>
  <si>
    <t>刚强的vlog</t>
  </si>
  <si>
    <t xml:space="preserve"> 2020-01-18 16:12:02</t>
  </si>
  <si>
    <t>我的发量分布情况</t>
  </si>
  <si>
    <t xml:space="preserve"> 2020-01-18 13:52:01</t>
  </si>
  <si>
    <t xml:space="preserve"> 2020-01-18 11:32:01</t>
  </si>
  <si>
    <t>安东尼26000分</t>
  </si>
  <si>
    <t xml:space="preserve"> 2020-01-18 07:44:01</t>
  </si>
  <si>
    <t>数码宝贝重启</t>
  </si>
  <si>
    <t xml:space="preserve"> 2020-01-18 15:24:02</t>
  </si>
  <si>
    <t xml:space="preserve"> 2020-01-18 08:58:01</t>
  </si>
  <si>
    <t>春节档电影齐开预售</t>
  </si>
  <si>
    <t xml:space="preserve"> 2020-01-18 08:24:02</t>
  </si>
  <si>
    <t>澳洲大火里的动物英雄</t>
  </si>
  <si>
    <t xml:space="preserve"> 2020-03-26 08:38:02</t>
  </si>
  <si>
    <t xml:space="preserve"> 2020-01-18 03:28:02</t>
  </si>
  <si>
    <t>朴灿烈直播</t>
  </si>
  <si>
    <t xml:space="preserve"> 2020-01-18 12:52:02</t>
  </si>
  <si>
    <t xml:space="preserve"> 2020-01-18 07:46:02</t>
  </si>
  <si>
    <t>西安大雾</t>
  </si>
  <si>
    <t xml:space="preserve"> 2020-01-18 16:22:01</t>
  </si>
  <si>
    <t xml:space="preserve"> 2020-01-18 11:58:02</t>
  </si>
  <si>
    <t>俄客机在未完工跑道成功误降</t>
  </si>
  <si>
    <t xml:space="preserve"> 2020-01-18 15:44:02</t>
  </si>
  <si>
    <t xml:space="preserve"> 2020-01-18 09:20:01</t>
  </si>
  <si>
    <t>珍珠钻石妆容</t>
  </si>
  <si>
    <t xml:space="preserve"> 2020-01-18 17:00:02</t>
  </si>
  <si>
    <t xml:space="preserve"> 2020-01-18 12:02:02</t>
  </si>
  <si>
    <t>韩法院判世越号所有方70%事故责任</t>
  </si>
  <si>
    <t xml:space="preserve"> 2020-01-18 12:16:02</t>
  </si>
  <si>
    <t>陕西为缅甸修复佛塔</t>
  </si>
  <si>
    <t xml:space="preserve"> 2020-01-18 07:38:02</t>
  </si>
  <si>
    <t>你如何看待穷游</t>
  </si>
  <si>
    <t xml:space="preserve"> 2020-01-19 11:28:02</t>
  </si>
  <si>
    <t xml:space="preserve"> 2020-01-18 21:06:01</t>
  </si>
  <si>
    <t>李庚希跟徐峥要易烊千玺演唱会门票</t>
  </si>
  <si>
    <t xml:space="preserve"> 2020-01-19 11:02:02</t>
  </si>
  <si>
    <t xml:space="preserve"> 2020-01-18 22:34:01</t>
  </si>
  <si>
    <t>玛莎拉蒂案受害人妻子披露庭审细节</t>
  </si>
  <si>
    <t xml:space="preserve"> 2020-01-19 12:40:02</t>
  </si>
  <si>
    <t xml:space="preserve"> 2020-01-18 21:28:01</t>
  </si>
  <si>
    <t>陆绎八岁了</t>
  </si>
  <si>
    <t xml:space="preserve"> 2020-01-19 08:56:02</t>
  </si>
  <si>
    <t>李现李沁春晚后台合照</t>
  </si>
  <si>
    <t xml:space="preserve"> 2020-01-19 10:24:01</t>
  </si>
  <si>
    <t xml:space="preserve"> 2020-01-18 18:38:01</t>
  </si>
  <si>
    <t>雪莉哥哥ins</t>
  </si>
  <si>
    <t xml:space="preserve"> 2020-01-19 11:12:02</t>
  </si>
  <si>
    <t xml:space="preserve"> 2020-01-18 21:50:02</t>
  </si>
  <si>
    <t>詹青云 BBking</t>
  </si>
  <si>
    <t xml:space="preserve"> 2020-01-19 10:06:02</t>
  </si>
  <si>
    <t xml:space="preserve"> 2020-01-18 22:44:02</t>
  </si>
  <si>
    <t>赵胤胤 好笑</t>
  </si>
  <si>
    <t xml:space="preserve"> 2020-01-19 09:04:02</t>
  </si>
  <si>
    <t xml:space="preserve"> 2020-01-18 21:34:01</t>
  </si>
  <si>
    <t>又一考拉栖息岛山火失控</t>
  </si>
  <si>
    <t xml:space="preserve"> 2020-01-19 10:28:01</t>
  </si>
  <si>
    <t>第二季大国外交最前线</t>
  </si>
  <si>
    <t xml:space="preserve"> 2020-01-19 08:36:02</t>
  </si>
  <si>
    <t xml:space="preserve"> 2020-01-18 22:32:02</t>
  </si>
  <si>
    <t>邱晨读信</t>
  </si>
  <si>
    <t xml:space="preserve"> 2020-01-19 11:42:02</t>
  </si>
  <si>
    <t>肖战 不骄不躁戒熬夜</t>
  </si>
  <si>
    <t xml:space="preserve"> 2020-01-19 08:18:01</t>
  </si>
  <si>
    <t xml:space="preserve"> 2020-01-18 18:08:01</t>
  </si>
  <si>
    <t>澳大利亚水火两重天</t>
  </si>
  <si>
    <t xml:space="preserve"> 2020-01-19 08:44:02</t>
  </si>
  <si>
    <t xml:space="preserve"> 2020-01-18 21:54:02</t>
  </si>
  <si>
    <t>日航波音787驾驶舱玻璃开裂</t>
  </si>
  <si>
    <t xml:space="preserve"> 2020-01-19 08:14:01</t>
  </si>
  <si>
    <t xml:space="preserve"> 2020-01-18 20:12:01</t>
  </si>
  <si>
    <t>奇葩说总决赛</t>
  </si>
  <si>
    <t xml:space="preserve"> 2020-01-19 06:38:02</t>
  </si>
  <si>
    <t xml:space="preserve"> 2020-01-18 18:52:02</t>
  </si>
  <si>
    <t>孙杨200米自由泳夺金</t>
  </si>
  <si>
    <t xml:space="preserve"> 2020-01-19 12:28:01</t>
  </si>
  <si>
    <t xml:space="preserve"> 2020-01-18 23:16:01</t>
  </si>
  <si>
    <t>孩子输液家长打断护士鼻骨</t>
  </si>
  <si>
    <t xml:space="preserve"> 2020-01-19 13:26:02</t>
  </si>
  <si>
    <t xml:space="preserve"> 2020-01-18 22:36:02</t>
  </si>
  <si>
    <t>重庆景区让肥猪蹦极</t>
  </si>
  <si>
    <t>女生遭性侵毁尸案被告获死缓</t>
  </si>
  <si>
    <t xml:space="preserve"> 2020-01-19 10:10:02</t>
  </si>
  <si>
    <t xml:space="preserve"> 2020-01-18 23:30:01</t>
  </si>
  <si>
    <t>爱的迫降第十集中文字幕预告</t>
  </si>
  <si>
    <t xml:space="preserve"> 2020-01-18 19:06:02</t>
  </si>
  <si>
    <t>女生过年三件套</t>
  </si>
  <si>
    <t xml:space="preserve"> 2020-01-19 12:36:02</t>
  </si>
  <si>
    <t xml:space="preserve"> 2020-01-18 18:28:01</t>
  </si>
  <si>
    <t>人民日报评开车进故宫</t>
  </si>
  <si>
    <t xml:space="preserve"> 2020-01-19 12:46:02</t>
  </si>
  <si>
    <t>3D还原女子开车穿越故宫全程</t>
  </si>
  <si>
    <t xml:space="preserve"> 2020-01-19 00:56:02</t>
  </si>
  <si>
    <t xml:space="preserve"> 2020-01-18 21:10:01</t>
  </si>
  <si>
    <t>新闻联播延时</t>
  </si>
  <si>
    <t>铁路情侣站台7分钟团圆</t>
  </si>
  <si>
    <t xml:space="preserve"> 2020-01-19 10:00:02</t>
  </si>
  <si>
    <t>公司让业绩不达标男员工穿丝袜跳舞</t>
  </si>
  <si>
    <t xml:space="preserve"> 2020-01-19 08:06:02</t>
  </si>
  <si>
    <t xml:space="preserve"> 2020-01-18 22:10:02</t>
  </si>
  <si>
    <t>徐峥模仿卡姆</t>
  </si>
  <si>
    <t xml:space="preserve"> 2020-02-02 09:48:02</t>
  </si>
  <si>
    <t xml:space="preserve"> 2019-11-30 19:50:02</t>
  </si>
  <si>
    <t>吐槽大会</t>
  </si>
  <si>
    <t xml:space="preserve"> 2020-01-19 09:48:01</t>
  </si>
  <si>
    <t xml:space="preserve"> 2020-01-18 17:04:01</t>
  </si>
  <si>
    <t>2020中缅文化旅游年</t>
  </si>
  <si>
    <t xml:space="preserve"> 2020-01-19 08:46:01</t>
  </si>
  <si>
    <t xml:space="preserve"> 2020-01-18 20:22:02</t>
  </si>
  <si>
    <t>裴秀智活动新闻图</t>
  </si>
  <si>
    <t xml:space="preserve"> 2020-01-19 09:00:02</t>
  </si>
  <si>
    <t xml:space="preserve"> 2020-01-18 22:38:01</t>
  </si>
  <si>
    <t>ZICO AnySong舞蹈</t>
  </si>
  <si>
    <t xml:space="preserve"> 2020-01-19 07:30:01</t>
  </si>
  <si>
    <t xml:space="preserve"> 2020-01-18 16:52:02</t>
  </si>
  <si>
    <t>王俊凯自己开车参加春晚联排</t>
  </si>
  <si>
    <t>张家界天子山云海如画</t>
  </si>
  <si>
    <t xml:space="preserve"> 2020-01-19 07:46:02</t>
  </si>
  <si>
    <t>伊朗愿和欧洲协商伊核协议</t>
  </si>
  <si>
    <t xml:space="preserve"> 2020-01-18 17:28:01</t>
  </si>
  <si>
    <t>世界上最矮的人去世</t>
  </si>
  <si>
    <t xml:space="preserve"> 2020-01-19 08:00:02</t>
  </si>
  <si>
    <t xml:space="preserve"> 2020-01-18 21:08:02</t>
  </si>
  <si>
    <t>走路时候不要玩手机</t>
  </si>
  <si>
    <t xml:space="preserve"> 2020-01-19 07:40:01</t>
  </si>
  <si>
    <t xml:space="preserve"> 2020-01-18 16:32:02</t>
  </si>
  <si>
    <t>手机里舍不得删的糊照</t>
  </si>
  <si>
    <t xml:space="preserve"> 2020-01-18 20:14:01</t>
  </si>
  <si>
    <t>张韶涵上海演唱会</t>
  </si>
  <si>
    <t xml:space="preserve"> 2020-01-19 08:28:02</t>
  </si>
  <si>
    <t xml:space="preserve"> 2020-01-18 19:48:01</t>
  </si>
  <si>
    <t>女大学生毕业后收养100多只流浪猫</t>
  </si>
  <si>
    <t xml:space="preserve"> 2020-01-19 07:44:02</t>
  </si>
  <si>
    <t xml:space="preserve"> 2020-01-18 17:58:01</t>
  </si>
  <si>
    <t>大年初一预售票房破亿</t>
  </si>
  <si>
    <t xml:space="preserve"> 2020-01-18 17:08:02</t>
  </si>
  <si>
    <t>北方发红包真的很大吗</t>
  </si>
  <si>
    <t xml:space="preserve"> 2020-01-19 07:16:01</t>
  </si>
  <si>
    <t>欧阳娜娜齐刘海大片</t>
  </si>
  <si>
    <t xml:space="preserve"> 2020-01-19 07:18:02</t>
  </si>
  <si>
    <t>李易峰侧颜生图</t>
  </si>
  <si>
    <t xml:space="preserve"> 2020-01-19 07:24:02</t>
  </si>
  <si>
    <t xml:space="preserve"> 2020-01-18 16:38:01</t>
  </si>
  <si>
    <t>情侣扎堆预约20200202结婚登记</t>
  </si>
  <si>
    <t xml:space="preserve"> 2020-01-19 07:26:02</t>
  </si>
  <si>
    <t xml:space="preserve"> 2020-01-18 15:52:01</t>
  </si>
  <si>
    <t>宋茜端着盆喝汤</t>
  </si>
  <si>
    <t xml:space="preserve"> 2020-01-19 03:24:01</t>
  </si>
  <si>
    <t xml:space="preserve"> 2020-01-18 16:26:02</t>
  </si>
  <si>
    <t>剧中吃饭最香的明星</t>
  </si>
  <si>
    <t>南京城墙灯会再现金陵盛景</t>
  </si>
  <si>
    <t xml:space="preserve"> 2020-01-19 07:00:02</t>
  </si>
  <si>
    <t xml:space="preserve"> 2020-01-18 13:18:02</t>
  </si>
  <si>
    <t>考拉被雨淋了</t>
  </si>
  <si>
    <t xml:space="preserve"> 2020-01-18 23:28:02</t>
  </si>
  <si>
    <t>当阿卡贝拉快闪遇上春运</t>
  </si>
  <si>
    <t xml:space="preserve"> 2020-01-20 07:00:01</t>
  </si>
  <si>
    <t xml:space="preserve"> 2020-01-19 10:48:02</t>
  </si>
  <si>
    <t>央美要求曝光性骚扰的学生删帖</t>
  </si>
  <si>
    <t xml:space="preserve"> 2020-01-19 19:50:01</t>
  </si>
  <si>
    <t xml:space="preserve"> 2020-01-19 11:32:02</t>
  </si>
  <si>
    <t>王菲那英 夺冠片尾曲</t>
  </si>
  <si>
    <t xml:space="preserve"> 2020-01-19 22:32:02</t>
  </si>
  <si>
    <t xml:space="preserve"> 2020-01-19 11:30:01</t>
  </si>
  <si>
    <t>Last Dance 上头</t>
  </si>
  <si>
    <t xml:space="preserve"> 2020-01-19 17:08:02</t>
  </si>
  <si>
    <t xml:space="preserve"> 2020-01-19 09:06:02</t>
  </si>
  <si>
    <t>张若昀 起床铃声</t>
  </si>
  <si>
    <t xml:space="preserve"> 2020-01-19 16:10:02</t>
  </si>
  <si>
    <t xml:space="preserve"> 2020-01-19 09:26:02</t>
  </si>
  <si>
    <t>任达华近况</t>
  </si>
  <si>
    <t xml:space="preserve"> 2020-01-19 15:32:02</t>
  </si>
  <si>
    <t xml:space="preserve"> 2020-01-19 10:12:01</t>
  </si>
  <si>
    <t>售票员90分钟画807个接点示意图</t>
  </si>
  <si>
    <t xml:space="preserve"> 2020-01-19 17:20:01</t>
  </si>
  <si>
    <t>专家称武汉冠状病毒肺炎总体可治</t>
  </si>
  <si>
    <t xml:space="preserve"> 2020-01-19 16:36:01</t>
  </si>
  <si>
    <t xml:space="preserve"> 2020-01-19 08:40:02</t>
  </si>
  <si>
    <t>LV总裁成全球新首富</t>
  </si>
  <si>
    <t xml:space="preserve"> 2020-01-19 12:58:02</t>
  </si>
  <si>
    <t xml:space="preserve"> 2020-01-19 10:26:02</t>
  </si>
  <si>
    <t>二代征信报告未纳入个人水电费</t>
  </si>
  <si>
    <t xml:space="preserve"> 2020-01-19 15:36:02</t>
  </si>
  <si>
    <t xml:space="preserve"> 2020-01-19 07:38:01</t>
  </si>
  <si>
    <t>小考拉渴到舔地上雨水</t>
  </si>
  <si>
    <t xml:space="preserve"> 2020-01-19 15:48:02</t>
  </si>
  <si>
    <t>毒皇后人设崩塌现场</t>
  </si>
  <si>
    <t xml:space="preserve"> 2020-01-19 16:12:01</t>
  </si>
  <si>
    <t xml:space="preserve"> 2020-01-19 08:48:02</t>
  </si>
  <si>
    <t>王一博跑着跟工作人员击掌</t>
  </si>
  <si>
    <t xml:space="preserve"> 2020-01-19 07:04:02</t>
  </si>
  <si>
    <t>为何会出现反向春运现象</t>
  </si>
  <si>
    <t xml:space="preserve"> 2020-01-19 16:14:02</t>
  </si>
  <si>
    <t xml:space="preserve"> 2020-01-19 09:54:02</t>
  </si>
  <si>
    <t>过年前最后5天</t>
  </si>
  <si>
    <t xml:space="preserve"> 2020-01-20 06:56:01</t>
  </si>
  <si>
    <t xml:space="preserve"> 2020-01-19 07:48:02</t>
  </si>
  <si>
    <t>武汉新增17例新型冠状病毒肺炎病例</t>
  </si>
  <si>
    <t xml:space="preserve"> 2020-01-19 13:58:02</t>
  </si>
  <si>
    <t xml:space="preserve"> 2020-01-19 11:44:01</t>
  </si>
  <si>
    <t>高以翔爸爸看囧妈首映</t>
  </si>
  <si>
    <t xml:space="preserve"> 2020-01-19 11:14:02</t>
  </si>
  <si>
    <t>22年前被偷名画藏在墙壁里</t>
  </si>
  <si>
    <t xml:space="preserve"> 2020-01-19 16:16:02</t>
  </si>
  <si>
    <t>穷人追求的精致生活</t>
  </si>
  <si>
    <t xml:space="preserve"> 2020-01-19 13:56:01</t>
  </si>
  <si>
    <t xml:space="preserve"> 2020-01-19 10:08:01</t>
  </si>
  <si>
    <t>最容易被亲戚误解的专业</t>
  </si>
  <si>
    <t xml:space="preserve"> 2020-01-19 16:42:02</t>
  </si>
  <si>
    <t>王鸥 回眸</t>
  </si>
  <si>
    <t>业绩没达标在年会上爬三圈</t>
  </si>
  <si>
    <t xml:space="preserve"> 2020-01-19 13:48:02</t>
  </si>
  <si>
    <t xml:space="preserve"> 2020-01-19 07:28:01</t>
  </si>
  <si>
    <t>唐探3预售首日破亿</t>
  </si>
  <si>
    <t xml:space="preserve"> 2020-01-19 13:54:02</t>
  </si>
  <si>
    <t>哈里梅根将放弃王室头衔</t>
  </si>
  <si>
    <t xml:space="preserve"> 2020-01-19 13:22:01</t>
  </si>
  <si>
    <t xml:space="preserve"> 2020-01-19 09:50:02</t>
  </si>
  <si>
    <t>29省份公布2020年GDP目标</t>
  </si>
  <si>
    <t xml:space="preserve"> 2020-01-19 17:32:02</t>
  </si>
  <si>
    <t xml:space="preserve"> 2020-01-19 10:50:01</t>
  </si>
  <si>
    <t>钟楚曦纯白系带裙</t>
  </si>
  <si>
    <t xml:space="preserve"> 2020-01-19 15:54:02</t>
  </si>
  <si>
    <t>周杰伦生日派对现场照</t>
  </si>
  <si>
    <t xml:space="preserve"> 2020-01-20 06:50:02</t>
  </si>
  <si>
    <t xml:space="preserve"> 2020-01-19 10:04:01</t>
  </si>
  <si>
    <t>中福在线</t>
  </si>
  <si>
    <t xml:space="preserve"> 2020-01-19 12:50:01</t>
  </si>
  <si>
    <t xml:space="preserve"> 2020-01-19 10:40:02</t>
  </si>
  <si>
    <t>美夫妇高速追逐绑架犯救女童</t>
  </si>
  <si>
    <t xml:space="preserve"> 2020-01-19 16:20:02</t>
  </si>
  <si>
    <t xml:space="preserve"> 2020-01-19 11:52:01</t>
  </si>
  <si>
    <t>湖人 火箭</t>
  </si>
  <si>
    <t xml:space="preserve"> 2020-01-19 16:28:02</t>
  </si>
  <si>
    <t>粉丝举行抗议活动要求金钟大退队</t>
  </si>
  <si>
    <t xml:space="preserve"> 2020-01-19 07:42:02</t>
  </si>
  <si>
    <t>徐峥吐槽郭京飞</t>
  </si>
  <si>
    <t xml:space="preserve"> 2020-01-19 13:16:02</t>
  </si>
  <si>
    <t>如果一生平凡你会后悔吗</t>
  </si>
  <si>
    <t xml:space="preserve"> 2020-01-19 18:00:01</t>
  </si>
  <si>
    <t xml:space="preserve"> 2020-01-19 09:42:02</t>
  </si>
  <si>
    <t>李宇春 给女孩</t>
  </si>
  <si>
    <t>愿每个女孩站在世界明亮之处</t>
  </si>
  <si>
    <t>中科院木兰编程语言开发者道歉</t>
  </si>
  <si>
    <t xml:space="preserve"> 2020-01-19 13:06:02</t>
  </si>
  <si>
    <t>被表白后最奇葩的回绝方式</t>
  </si>
  <si>
    <t xml:space="preserve"> 2020-01-19 07:02:01</t>
  </si>
  <si>
    <t>南方和北方过年的差距</t>
  </si>
  <si>
    <t xml:space="preserve"> 2020-01-19 13:14:01</t>
  </si>
  <si>
    <t xml:space="preserve"> 2020-01-19 07:32:02</t>
  </si>
  <si>
    <t>何九华 脚踝</t>
  </si>
  <si>
    <t xml:space="preserve"> 2020-01-19 15:18:02</t>
  </si>
  <si>
    <t>澳大利亚袋熊洞穴保护其他动物</t>
  </si>
  <si>
    <t xml:space="preserve"> 2020-01-19 17:42:02</t>
  </si>
  <si>
    <t xml:space="preserve"> 2020-01-19 12:00:02</t>
  </si>
  <si>
    <t>多所高校清退1300多研究生</t>
  </si>
  <si>
    <t xml:space="preserve"> 2020-01-19 20:00:01</t>
  </si>
  <si>
    <t>关晓彤阿云嘎神同步</t>
  </si>
  <si>
    <t xml:space="preserve"> 2020-01-19 12:16:02</t>
  </si>
  <si>
    <t xml:space="preserve"> 2020-01-19 11:46:02</t>
  </si>
  <si>
    <t>开拓者国王交易</t>
  </si>
  <si>
    <t>宋寅</t>
  </si>
  <si>
    <t xml:space="preserve"> 2020-01-19 09:02:02</t>
  </si>
  <si>
    <t>一张证明回家过年的照片</t>
  </si>
  <si>
    <t xml:space="preserve"> 2020-01-20 15:10:02</t>
  </si>
  <si>
    <t xml:space="preserve"> 2020-01-19 23:12:01</t>
  </si>
  <si>
    <t>孙怡 可爱</t>
  </si>
  <si>
    <t xml:space="preserve"> 2020-01-20 10:30:02</t>
  </si>
  <si>
    <t xml:space="preserve"> 2020-01-19 23:02:01</t>
  </si>
  <si>
    <t>重庆加州花园火灾系吸烟引起</t>
  </si>
  <si>
    <t xml:space="preserve"> 2020-01-20 14:12:02</t>
  </si>
  <si>
    <t xml:space="preserve"> 2020-01-19 21:40:02</t>
  </si>
  <si>
    <t>爱情公寓弹幕</t>
  </si>
  <si>
    <t xml:space="preserve"> 2020-01-20 12:12:02</t>
  </si>
  <si>
    <t xml:space="preserve"> 2020-01-19 19:48:02</t>
  </si>
  <si>
    <t>泫雅泳池中与男友接吻</t>
  </si>
  <si>
    <t xml:space="preserve"> 2020-01-20 13:24:02</t>
  </si>
  <si>
    <t xml:space="preserve"> 2020-01-19 22:04:01</t>
  </si>
  <si>
    <t>爱的迫降 金秀贤出场</t>
  </si>
  <si>
    <t xml:space="preserve"> 2020-01-20 13:00:01</t>
  </si>
  <si>
    <t>梁龙上快本了</t>
  </si>
  <si>
    <t xml:space="preserve"> 2020-01-20 10:00:02</t>
  </si>
  <si>
    <t xml:space="preserve"> 2020-01-19 23:32:02</t>
  </si>
  <si>
    <t>澳山火致森林不可逆损失</t>
  </si>
  <si>
    <t xml:space="preserve"> 2020-01-20 16:10:01</t>
  </si>
  <si>
    <t xml:space="preserve"> 2020-01-19 18:30:01</t>
  </si>
  <si>
    <t>父亲批梅根当皇宫是沃尔玛</t>
  </si>
  <si>
    <t xml:space="preserve"> 2020-01-20 09:28:01</t>
  </si>
  <si>
    <t xml:space="preserve"> 2020-01-19 20:40:02</t>
  </si>
  <si>
    <t>iBoy被男粉亲了</t>
  </si>
  <si>
    <t xml:space="preserve"> 2020-01-20 13:22:02</t>
  </si>
  <si>
    <t xml:space="preserve"> 2020-01-19 23:10:02</t>
  </si>
  <si>
    <t>周深李克勤我们的歌冠军</t>
  </si>
  <si>
    <t xml:space="preserve"> 2020-01-20 11:58:02</t>
  </si>
  <si>
    <t xml:space="preserve"> 2020-01-19 21:50:02</t>
  </si>
  <si>
    <t>新疆喀什6.4级地震</t>
  </si>
  <si>
    <t xml:space="preserve"> 2020-01-19 20:04:02</t>
  </si>
  <si>
    <t>新型冠状病毒传染来源还未找到</t>
  </si>
  <si>
    <t xml:space="preserve"> 2020-01-20 09:12:02</t>
  </si>
  <si>
    <t xml:space="preserve"> 2020-01-19 21:48:02</t>
  </si>
  <si>
    <t>国家统计局谈出生人口减少原因</t>
  </si>
  <si>
    <t xml:space="preserve"> 2020-01-20 14:24:02</t>
  </si>
  <si>
    <t xml:space="preserve"> 2020-01-19 22:02:02</t>
  </si>
  <si>
    <t>大学生帮人搬行李突然血崩</t>
  </si>
  <si>
    <t xml:space="preserve"> 2020-01-20 12:34:02</t>
  </si>
  <si>
    <t xml:space="preserve"> 2020-01-19 23:22:02</t>
  </si>
  <si>
    <t>英语不好的小哥住酒店</t>
  </si>
  <si>
    <t xml:space="preserve"> 2020-01-20 08:52:02</t>
  </si>
  <si>
    <t xml:space="preserve"> 2020-01-19 16:26:01</t>
  </si>
  <si>
    <t>森蝶手臂线条</t>
  </si>
  <si>
    <t xml:space="preserve"> 2020-01-20 09:52:02</t>
  </si>
  <si>
    <t xml:space="preserve"> 2020-01-19 20:08:02</t>
  </si>
  <si>
    <t>浙江教育厅厅长的灵魂拷问</t>
  </si>
  <si>
    <t xml:space="preserve"> 2020-01-20 12:18:02</t>
  </si>
  <si>
    <t xml:space="preserve"> 2020-01-19 20:28:02</t>
  </si>
  <si>
    <t>妈妈在家时点外卖有多刺激</t>
  </si>
  <si>
    <t xml:space="preserve"> 2020-01-20 10:18:01</t>
  </si>
  <si>
    <t xml:space="preserve"> 2020-01-19 22:34:01</t>
  </si>
  <si>
    <t>肖战那英合唱心动</t>
  </si>
  <si>
    <t xml:space="preserve"> 2020-01-20 11:54:01</t>
  </si>
  <si>
    <t xml:space="preserve"> 2020-01-19 19:56:01</t>
  </si>
  <si>
    <t>少年救人发现溺水者是爷爷</t>
  </si>
  <si>
    <t>南安普顿大学邮件</t>
  </si>
  <si>
    <t xml:space="preserve"> 2020-01-20 10:06:02</t>
  </si>
  <si>
    <t xml:space="preserve"> 2020-01-19 20:46:01</t>
  </si>
  <si>
    <t>考拉妈妈担心宝宝安危拒绝被救</t>
  </si>
  <si>
    <t xml:space="preserve"> 2020-01-20 11:44:02</t>
  </si>
  <si>
    <t>爸爸太沙雕了该怎么办</t>
  </si>
  <si>
    <t xml:space="preserve"> 2020-01-20 12:20:02</t>
  </si>
  <si>
    <t xml:space="preserve"> 2020-01-19 22:22:02</t>
  </si>
  <si>
    <t>杨洋白色真空西装</t>
  </si>
  <si>
    <t xml:space="preserve"> 2020-01-20 10:46:02</t>
  </si>
  <si>
    <t xml:space="preserve"> 2020-01-19 22:56:02</t>
  </si>
  <si>
    <t>民工大叔车站外换15元新鞋</t>
  </si>
  <si>
    <t xml:space="preserve"> 2020-01-20 08:22:02</t>
  </si>
  <si>
    <t xml:space="preserve"> 2020-01-19 22:40:02</t>
  </si>
  <si>
    <t>追星女孩缺钱的原因</t>
  </si>
  <si>
    <t xml:space="preserve"> 2020-01-20 15:54:01</t>
  </si>
  <si>
    <t xml:space="preserve"> 2020-01-19 15:50:01</t>
  </si>
  <si>
    <t>2019年全国结婚登记947.1万对</t>
  </si>
  <si>
    <t xml:space="preserve"> 2020-01-20 07:44:02</t>
  </si>
  <si>
    <t xml:space="preserve"> 2020-01-19 18:32:02</t>
  </si>
  <si>
    <t>伍佰 我怎么这么厉害</t>
  </si>
  <si>
    <t xml:space="preserve"> 2020-01-20 09:36:01</t>
  </si>
  <si>
    <t xml:space="preserve"> 2020-01-19 22:46:02</t>
  </si>
  <si>
    <t>爱的迫降11集预告</t>
  </si>
  <si>
    <t xml:space="preserve"> 2020-01-20 07:54:02</t>
  </si>
  <si>
    <t xml:space="preserve"> 2020-01-19 18:38:02</t>
  </si>
  <si>
    <t>四川3名医生被患者家属打</t>
  </si>
  <si>
    <t xml:space="preserve"> 2020-01-20 07:20:01</t>
  </si>
  <si>
    <t xml:space="preserve"> 2020-01-19 13:36:02</t>
  </si>
  <si>
    <t>2020年北京高考时间变为4天</t>
  </si>
  <si>
    <t xml:space="preserve"> 2020-01-20 08:30:02</t>
  </si>
  <si>
    <t>阿云嘎费玉清囚鸟</t>
  </si>
  <si>
    <t xml:space="preserve"> 2020-01-20 07:40:01</t>
  </si>
  <si>
    <t>滨崎步儿子生父</t>
  </si>
  <si>
    <t xml:space="preserve"> 2020-01-20 07:12:02</t>
  </si>
  <si>
    <t xml:space="preserve"> 2020-01-19 22:42:01</t>
  </si>
  <si>
    <t>歼20歼16歼10C同框起飞</t>
  </si>
  <si>
    <t xml:space="preserve"> 2020-01-20 04:26:02</t>
  </si>
  <si>
    <t xml:space="preserve"> 2020-01-19 18:50:02</t>
  </si>
  <si>
    <t>许光汉雪地大片</t>
  </si>
  <si>
    <t xml:space="preserve"> 2020-01-19 20:50:01</t>
  </si>
  <si>
    <t>女生有多爱囤货</t>
  </si>
  <si>
    <t xml:space="preserve"> 2020-01-20 08:44:02</t>
  </si>
  <si>
    <t>山西朔州神头泉美如仙境</t>
  </si>
  <si>
    <t xml:space="preserve"> 2020-01-20 09:20:02</t>
  </si>
  <si>
    <t xml:space="preserve"> 2020-01-19 17:22:02</t>
  </si>
  <si>
    <t>武汉机场火车站检测体温</t>
  </si>
  <si>
    <t xml:space="preserve"> 2020-01-20 07:14:01</t>
  </si>
  <si>
    <t xml:space="preserve"> 2020-01-19 14:14:02</t>
  </si>
  <si>
    <t>欧阳娜娜流星耳坠</t>
  </si>
  <si>
    <t xml:space="preserve"> 2020-01-20 07:24:02</t>
  </si>
  <si>
    <t xml:space="preserve"> 2020-01-19 17:18:02</t>
  </si>
  <si>
    <t>肥胖和糖尿病或会传染</t>
  </si>
  <si>
    <t xml:space="preserve"> 2020-01-19 20:32:02</t>
  </si>
  <si>
    <t>为了吸猫可以有多努力</t>
  </si>
  <si>
    <t xml:space="preserve"> 2020-01-20 03:02:02</t>
  </si>
  <si>
    <t xml:space="preserve"> 2020-01-19 17:24:01</t>
  </si>
  <si>
    <t>鼠年戒指</t>
  </si>
  <si>
    <t xml:space="preserve"> 2020-01-19 13:50:01</t>
  </si>
  <si>
    <t>姚舜熙</t>
  </si>
  <si>
    <t xml:space="preserve"> 2020-01-20 08:18:02</t>
  </si>
  <si>
    <t xml:space="preserve"> 2020-01-19 16:22:01</t>
  </si>
  <si>
    <t>孩子被捏脸之后的样子</t>
  </si>
  <si>
    <t xml:space="preserve"> 2020-01-20 07:36:02</t>
  </si>
  <si>
    <t xml:space="preserve"> 2020-01-19 22:24:02</t>
  </si>
  <si>
    <t>如果可以租个对象回家过年</t>
  </si>
  <si>
    <t xml:space="preserve"> 2020-01-20 07:06:02</t>
  </si>
  <si>
    <t>女子带小孩向窨井扔鞭炮引爆炸</t>
  </si>
  <si>
    <t xml:space="preserve"> 2020-01-20 19:46:02</t>
  </si>
  <si>
    <t xml:space="preserve"> 2020-01-20 11:16:02</t>
  </si>
  <si>
    <t>退出王室后哈里首次发声</t>
  </si>
  <si>
    <t xml:space="preserve"> 2020-01-20 16:32:02</t>
  </si>
  <si>
    <t xml:space="preserve"> 2020-01-20 09:38:02</t>
  </si>
  <si>
    <t>两中国公民在马德里街头相继遇害</t>
  </si>
  <si>
    <t xml:space="preserve"> 2020-01-20 17:32:01</t>
  </si>
  <si>
    <t xml:space="preserve"> 2020-01-20 08:46:01</t>
  </si>
  <si>
    <t>李子维好惨</t>
  </si>
  <si>
    <t xml:space="preserve"> 2020-01-20 15:56:02</t>
  </si>
  <si>
    <t xml:space="preserve"> 2020-01-20 08:48:02</t>
  </si>
  <si>
    <t>地震不跑拿起电话喊停列车</t>
  </si>
  <si>
    <t xml:space="preserve"> 2020-01-20 16:58:02</t>
  </si>
  <si>
    <t xml:space="preserve"> 2020-01-20 08:08:02</t>
  </si>
  <si>
    <t>权志龙 蓝色西装</t>
  </si>
  <si>
    <t xml:space="preserve"> 2020-01-20 16:42:02</t>
  </si>
  <si>
    <t>喜马拉雅雪崩四名游客失联</t>
  </si>
  <si>
    <t xml:space="preserve"> 2020-01-20 17:08:02</t>
  </si>
  <si>
    <t xml:space="preserve"> 2020-01-20 07:16:02</t>
  </si>
  <si>
    <t>梅根退出英王室之际获女王称赞</t>
  </si>
  <si>
    <t xml:space="preserve"> 2020-01-20 23:46:01</t>
  </si>
  <si>
    <t xml:space="preserve"> 2020-01-20 10:48:02</t>
  </si>
  <si>
    <t>浙江发现5例武汉来浙并有发热等症状患者</t>
  </si>
  <si>
    <t xml:space="preserve"> 2020-01-21 07:28:02</t>
  </si>
  <si>
    <t xml:space="preserve"> 2020-01-20 08:54:02</t>
  </si>
  <si>
    <t>武汉卫健委发布病毒性肺炎高发注意事项</t>
  </si>
  <si>
    <t xml:space="preserve"> 2020-01-20 18:48:02</t>
  </si>
  <si>
    <t xml:space="preserve"> 2020-01-20 10:34:01</t>
  </si>
  <si>
    <t>深圳另有8例新型冠状病毒肺炎观察病例</t>
  </si>
  <si>
    <t xml:space="preserve"> 2020-01-20 18:40:02</t>
  </si>
  <si>
    <t xml:space="preserve"> 2020-01-20 07:22:02</t>
  </si>
  <si>
    <t>武汉新增新型肺炎136例</t>
  </si>
  <si>
    <t xml:space="preserve"> 2020-01-20 16:48:02</t>
  </si>
  <si>
    <t xml:space="preserve"> 2020-01-20 07:28:01</t>
  </si>
  <si>
    <t>北京确诊2例新型冠状病毒感染肺炎病例</t>
  </si>
  <si>
    <t xml:space="preserve"> 2020-01-21 06:16:02</t>
  </si>
  <si>
    <t xml:space="preserve"> 2020-01-20 09:14:01</t>
  </si>
  <si>
    <t>赵忠祥遗体告别仪式</t>
  </si>
  <si>
    <t>广东确诊1例新型冠状病毒感染肺炎病例</t>
  </si>
  <si>
    <t xml:space="preserve"> 2020-01-20 18:26:02</t>
  </si>
  <si>
    <t xml:space="preserve"> 2020-01-20 09:54:02</t>
  </si>
  <si>
    <t>妈妈为了我相亲真是拼了</t>
  </si>
  <si>
    <t xml:space="preserve"> 2020-01-20 18:54:02</t>
  </si>
  <si>
    <t xml:space="preserve"> 2020-01-20 10:02:02</t>
  </si>
  <si>
    <t>10万张纸巾能否吸干泳池水</t>
  </si>
  <si>
    <t xml:space="preserve"> 2020-01-20 14:32:02</t>
  </si>
  <si>
    <t xml:space="preserve"> 2020-01-20 10:24:01</t>
  </si>
  <si>
    <t>韩国八成中小学生上补习班</t>
  </si>
  <si>
    <t xml:space="preserve"> 2020-01-20 16:22:02</t>
  </si>
  <si>
    <t xml:space="preserve"> 2020-01-20 11:28:01</t>
  </si>
  <si>
    <t>饼干桶包包</t>
  </si>
  <si>
    <t xml:space="preserve"> 2020-01-20 09:30:01</t>
  </si>
  <si>
    <t>暴雪之后的加拿大</t>
  </si>
  <si>
    <t xml:space="preserve"> 2020-01-20 15:52:01</t>
  </si>
  <si>
    <t xml:space="preserve"> 2020-01-20 08:24:02</t>
  </si>
  <si>
    <t>当你给男友说没衣服穿时</t>
  </si>
  <si>
    <t xml:space="preserve"> 2020-01-20 17:50:01</t>
  </si>
  <si>
    <t xml:space="preserve"> 2020-01-20 11:52:02</t>
  </si>
  <si>
    <t>想见你 莫比乌斯环</t>
  </si>
  <si>
    <t xml:space="preserve"> 2020-01-20 22:04:02</t>
  </si>
  <si>
    <t xml:space="preserve"> 2020-01-20 11:50:02</t>
  </si>
  <si>
    <t>全国使用最多的10个姓名</t>
  </si>
  <si>
    <t>男生送女生礼物就要大胆送</t>
  </si>
  <si>
    <t xml:space="preserve"> 2020-01-20 16:34:01</t>
  </si>
  <si>
    <t>给对象一个意外拥抱</t>
  </si>
  <si>
    <t xml:space="preserve"> 2020-01-20 15:46:01</t>
  </si>
  <si>
    <t>大寒</t>
  </si>
  <si>
    <t xml:space="preserve"> 2020-01-20 10:42:02</t>
  </si>
  <si>
    <t>国内5G手机出货超1377万部</t>
  </si>
  <si>
    <t xml:space="preserve"> 2020-01-20 13:26:01</t>
  </si>
  <si>
    <t xml:space="preserve"> 2020-01-20 07:08:02</t>
  </si>
  <si>
    <t>上海加强对可疑病例筛查</t>
  </si>
  <si>
    <t xml:space="preserve"> 2020-01-20 15:14:01</t>
  </si>
  <si>
    <t xml:space="preserve"> 2020-01-20 09:18:02</t>
  </si>
  <si>
    <t>C罗梅开二度</t>
  </si>
  <si>
    <t xml:space="preserve"> 2020-01-20 13:10:02</t>
  </si>
  <si>
    <t xml:space="preserve"> 2020-01-20 09:48:02</t>
  </si>
  <si>
    <t>长江入河排污口有6万多个</t>
  </si>
  <si>
    <t xml:space="preserve"> 2020-01-20 13:12:01</t>
  </si>
  <si>
    <t xml:space="preserve"> 2020-01-20 07:42:02</t>
  </si>
  <si>
    <t>残疾猫咪被安上仿生假肢</t>
  </si>
  <si>
    <t xml:space="preserve"> 2020-01-20 07:26:02</t>
  </si>
  <si>
    <t>去过一次还想再去的城市</t>
  </si>
  <si>
    <t xml:space="preserve"> 2020-01-20 12:56:02</t>
  </si>
  <si>
    <t>菲律宾将火山灰做成砖块</t>
  </si>
  <si>
    <t xml:space="preserve"> 2020-01-20 13:08:02</t>
  </si>
  <si>
    <t xml:space="preserve"> 2020-01-20 07:38:02</t>
  </si>
  <si>
    <t>梦境成真的一次经历</t>
  </si>
  <si>
    <t xml:space="preserve"> 2020-01-20 12:44:02</t>
  </si>
  <si>
    <t>夏威夷枪击案</t>
  </si>
  <si>
    <t xml:space="preserve"> 2020-01-22 09:02:02</t>
  </si>
  <si>
    <t xml:space="preserve"> 2020-01-20 20:06:02</t>
  </si>
  <si>
    <t>境内确诊217例新型冠状病毒肺炎病例</t>
  </si>
  <si>
    <t xml:space="preserve"> 2020-01-21 19:16:02</t>
  </si>
  <si>
    <t xml:space="preserve"> 2020-01-20 22:54:02</t>
  </si>
  <si>
    <t>钟南山肯定新型冠状病毒肺炎人传人</t>
  </si>
  <si>
    <t xml:space="preserve"> 2020-01-21 12:58:02</t>
  </si>
  <si>
    <t xml:space="preserve"> 2020-01-20 21:32:02</t>
  </si>
  <si>
    <t>培养一个医生有多难</t>
  </si>
  <si>
    <t xml:space="preserve"> 2020-01-21 15:02:02</t>
  </si>
  <si>
    <t xml:space="preserve"> 2020-01-20 23:06:02</t>
  </si>
  <si>
    <t>新型冠状病毒传染性比SARS弱</t>
  </si>
  <si>
    <t xml:space="preserve"> 2020-01-21 12:20:02</t>
  </si>
  <si>
    <t xml:space="preserve"> 2020-01-20 19:42:02</t>
  </si>
  <si>
    <t>宋丹丹最后一次上春晚</t>
  </si>
  <si>
    <t xml:space="preserve"> 2020-01-21 08:36:01</t>
  </si>
  <si>
    <t xml:space="preserve"> 2020-01-20 20:28:02</t>
  </si>
  <si>
    <t>上海确诊首例新型冠状病毒感染肺炎</t>
  </si>
  <si>
    <t xml:space="preserve"> 2020-01-21 14:46:01</t>
  </si>
  <si>
    <t xml:space="preserve"> 2020-01-20 21:54:02</t>
  </si>
  <si>
    <t>袁今夏吃醋</t>
  </si>
  <si>
    <t xml:space="preserve"> 2020-01-21 14:02:01</t>
  </si>
  <si>
    <t xml:space="preserve"> 2020-01-20 19:06:01</t>
  </si>
  <si>
    <t>戚薇李承铉错位牵手图</t>
  </si>
  <si>
    <t xml:space="preserve"> 2020-01-21 12:26:01</t>
  </si>
  <si>
    <t xml:space="preserve"> 2020-01-20 21:08:01</t>
  </si>
  <si>
    <t>北京卫健委回应暴力伤医事件</t>
  </si>
  <si>
    <t xml:space="preserve"> 2020-01-21 13:50:02</t>
  </si>
  <si>
    <t>李子柒弹棉花</t>
  </si>
  <si>
    <t xml:space="preserve"> 2020-01-21 11:38:02</t>
  </si>
  <si>
    <t xml:space="preserve"> 2020-01-20 21:40:02</t>
  </si>
  <si>
    <t>中国中药协会违规表彰鸿茅药业被处罚</t>
  </si>
  <si>
    <t xml:space="preserve"> 2020-01-21 12:02:01</t>
  </si>
  <si>
    <t xml:space="preserve"> 2020-01-20 19:40:01</t>
  </si>
  <si>
    <t>木村光希小红帽造型</t>
  </si>
  <si>
    <t xml:space="preserve"> 2020-01-21 11:30:01</t>
  </si>
  <si>
    <t xml:space="preserve"> 2020-01-20 17:34:01</t>
  </si>
  <si>
    <t>粉丝举柴犬吸引刘昊然注意</t>
  </si>
  <si>
    <t xml:space="preserve"> 2020-01-21 09:18:02</t>
  </si>
  <si>
    <t xml:space="preserve"> 2020-01-20 16:00:01</t>
  </si>
  <si>
    <t>一分钟科普冠状病毒</t>
  </si>
  <si>
    <t xml:space="preserve"> 2020-01-21 08:30:01</t>
  </si>
  <si>
    <t xml:space="preserve"> 2020-01-20 23:24:02</t>
  </si>
  <si>
    <t>有医务人员被传染新型冠状病毒肺炎</t>
  </si>
  <si>
    <t xml:space="preserve"> 2020-01-21 14:48:02</t>
  </si>
  <si>
    <t xml:space="preserve"> 2020-01-20 22:26:02</t>
  </si>
  <si>
    <t>王珞丹 2020第一尴尬现场</t>
  </si>
  <si>
    <t xml:space="preserve"> 2020-02-28 16:14:02</t>
  </si>
  <si>
    <t xml:space="preserve"> 2020-01-20 23:16:02</t>
  </si>
  <si>
    <t>钟南山</t>
  </si>
  <si>
    <t xml:space="preserve"> 2020-01-20 20:18:02</t>
  </si>
  <si>
    <t>武汉发热门诊名单</t>
  </si>
  <si>
    <t xml:space="preserve"> 2020-01-21 10:00:01</t>
  </si>
  <si>
    <t>周丽淇怀孕</t>
  </si>
  <si>
    <t xml:space="preserve"> 2020-01-21 13:12:01</t>
  </si>
  <si>
    <t xml:space="preserve"> 2020-01-20 22:52:01</t>
  </si>
  <si>
    <t>2020日本小姐冠军</t>
  </si>
  <si>
    <t xml:space="preserve"> 2020-01-21 11:20:02</t>
  </si>
  <si>
    <t xml:space="preserve"> 2020-01-20 22:30:02</t>
  </si>
  <si>
    <t>医院该不该设置安检</t>
  </si>
  <si>
    <t xml:space="preserve"> 2020-01-20 21:30:01</t>
  </si>
  <si>
    <t>网恋和奔现的实际差距</t>
  </si>
  <si>
    <t xml:space="preserve"> 2020-01-21 11:16:01</t>
  </si>
  <si>
    <t xml:space="preserve"> 2020-01-20 21:00:02</t>
  </si>
  <si>
    <t>口红充电宝</t>
  </si>
  <si>
    <t xml:space="preserve"> 2020-01-21 10:42:02</t>
  </si>
  <si>
    <t xml:space="preserve"> 2020-01-20 21:14:01</t>
  </si>
  <si>
    <t>ETC不显示过路费被律师起诉</t>
  </si>
  <si>
    <t xml:space="preserve"> 2020-01-23 10:30:01</t>
  </si>
  <si>
    <t xml:space="preserve"> 2020-01-20 13:20:01</t>
  </si>
  <si>
    <t>医用外科口罩</t>
  </si>
  <si>
    <t xml:space="preserve"> 2020-01-21 09:34:02</t>
  </si>
  <si>
    <t xml:space="preserve"> 2020-01-20 16:24:02</t>
  </si>
  <si>
    <t>不用橡皮筋扎头发</t>
  </si>
  <si>
    <t xml:space="preserve"> 2020-01-22 10:16:02</t>
  </si>
  <si>
    <t>操场埋尸案罪犯杜少平被执行死刑</t>
  </si>
  <si>
    <t xml:space="preserve"> 2020-01-21 01:06:01</t>
  </si>
  <si>
    <t>朝阳医院</t>
  </si>
  <si>
    <t xml:space="preserve"> 2020-01-21 11:12:02</t>
  </si>
  <si>
    <t xml:space="preserve"> 2020-01-20 19:32:01</t>
  </si>
  <si>
    <t>三生三世枕上书定档</t>
  </si>
  <si>
    <t xml:space="preserve"> 2020-01-21 08:16:01</t>
  </si>
  <si>
    <t>林允儿用中文点菜</t>
  </si>
  <si>
    <t xml:space="preserve"> 2020-01-21 10:40:02</t>
  </si>
  <si>
    <t>当快递停运后的你</t>
  </si>
  <si>
    <t xml:space="preserve"> 2020-01-22 09:48:02</t>
  </si>
  <si>
    <t xml:space="preserve"> 2020-01-20 17:10:01</t>
  </si>
  <si>
    <t>中国空间站在轨建造任务将拉开序幕</t>
  </si>
  <si>
    <t xml:space="preserve"> 2020-01-21 11:00:02</t>
  </si>
  <si>
    <t xml:space="preserve"> 2020-01-20 19:14:02</t>
  </si>
  <si>
    <t>放假后沦为仆人的弟弟们</t>
  </si>
  <si>
    <t xml:space="preserve"> 2020-01-21 08:58:02</t>
  </si>
  <si>
    <t>年龄和辈分不符是什么体验</t>
  </si>
  <si>
    <t xml:space="preserve"> 2020-01-20 18:18:02</t>
  </si>
  <si>
    <t>男友的硬核道歉方式</t>
  </si>
  <si>
    <t xml:space="preserve"> 2020-01-21 09:56:02</t>
  </si>
  <si>
    <t xml:space="preserve"> 2020-01-20 17:28:01</t>
  </si>
  <si>
    <t>澳大利亚山火灾区降冰雹</t>
  </si>
  <si>
    <t xml:space="preserve"> 2020-01-21 07:30:02</t>
  </si>
  <si>
    <t xml:space="preserve"> 2020-01-20 19:44:01</t>
  </si>
  <si>
    <t>弟弟在家是关灯神器</t>
  </si>
  <si>
    <t xml:space="preserve"> 2020-01-21 09:30:02</t>
  </si>
  <si>
    <t xml:space="preserve"> 2020-01-20 18:04:01</t>
  </si>
  <si>
    <t>央视春晚语言类节目数量破纪录</t>
  </si>
  <si>
    <t xml:space="preserve"> 2020-01-21 10:16:02</t>
  </si>
  <si>
    <t xml:space="preserve"> 2020-01-20 20:24:01</t>
  </si>
  <si>
    <t>林俊杰上海演唱会门票</t>
  </si>
  <si>
    <t xml:space="preserve"> 2020-01-21 10:36:02</t>
  </si>
  <si>
    <t xml:space="preserve"> 2020-01-20 18:28:01</t>
  </si>
  <si>
    <t>爸妈躺被窝套路儿子做早饭</t>
  </si>
  <si>
    <t>红灯笼耳环</t>
  </si>
  <si>
    <t xml:space="preserve"> 2020-01-21 00:14:01</t>
  </si>
  <si>
    <t xml:space="preserve"> 2020-01-20 16:12:02</t>
  </si>
  <si>
    <t>外交部回应新型冠状病毒感染肺炎疫情</t>
  </si>
  <si>
    <t xml:space="preserve"> 2020-01-21 07:24:02</t>
  </si>
  <si>
    <t xml:space="preserve"> 2020-01-20 13:14:01</t>
  </si>
  <si>
    <t>秀智状态</t>
  </si>
  <si>
    <t xml:space="preserve"> 2020-01-21 07:34:02</t>
  </si>
  <si>
    <t xml:space="preserve"> 2020-01-20 14:40:02</t>
  </si>
  <si>
    <t>Lisa斜刘海</t>
  </si>
  <si>
    <t xml:space="preserve"> 2020-01-21 08:52:01</t>
  </si>
  <si>
    <t xml:space="preserve"> 2020-01-20 17:00:02</t>
  </si>
  <si>
    <t>90后小伙中百万年货分给全村</t>
  </si>
  <si>
    <t xml:space="preserve"> 2020-01-21 08:56:01</t>
  </si>
  <si>
    <t xml:space="preserve"> 2020-01-20 14:42:02</t>
  </si>
  <si>
    <t>央视春晚第四次联排</t>
  </si>
  <si>
    <t xml:space="preserve"> 2020-01-21 07:16:02</t>
  </si>
  <si>
    <t xml:space="preserve"> 2020-01-20 19:50:02</t>
  </si>
  <si>
    <t>王慧文将退出美团具体管理事务</t>
  </si>
  <si>
    <t xml:space="preserve"> 2020-01-21 04:38:02</t>
  </si>
  <si>
    <t xml:space="preserve"> 2020-01-20 13:18:02</t>
  </si>
  <si>
    <t>如何看待女厕设男童小便池</t>
  </si>
  <si>
    <t xml:space="preserve"> 2020-01-22 06:24:01</t>
  </si>
  <si>
    <t xml:space="preserve"> 2020-01-21 11:34:02</t>
  </si>
  <si>
    <t>同事接替陶勇医生看病</t>
  </si>
  <si>
    <t xml:space="preserve"> 2020-01-21 18:52:02</t>
  </si>
  <si>
    <t xml:space="preserve"> 2020-01-21 07:36:02</t>
  </si>
  <si>
    <t>武汉15名医务人员感染新型冠状病毒</t>
  </si>
  <si>
    <t xml:space="preserve"> 2020-01-22 00:02:02</t>
  </si>
  <si>
    <t xml:space="preserve"> 2020-01-21 09:04:02</t>
  </si>
  <si>
    <t>市民穿睡衣出行被公开曝光</t>
  </si>
  <si>
    <t xml:space="preserve"> 2020-01-21 08:12:02</t>
  </si>
  <si>
    <t>新型冠状病毒肺炎纳入法定传染病</t>
  </si>
  <si>
    <t xml:space="preserve"> 2020-01-22 02:54:01</t>
  </si>
  <si>
    <t>皓衣行官宣</t>
  </si>
  <si>
    <t xml:space="preserve"> 2020-01-21 20:10:02</t>
  </si>
  <si>
    <t>易烊千玺戏曲造型</t>
  </si>
  <si>
    <t xml:space="preserve"> 2020-01-22 02:18:01</t>
  </si>
  <si>
    <t xml:space="preserve"> 2020-01-21 01:16:02</t>
  </si>
  <si>
    <t>故宫院长道歉</t>
  </si>
  <si>
    <t xml:space="preserve"> 2020-01-21 16:08:01</t>
  </si>
  <si>
    <t>2019年百家姓排名</t>
  </si>
  <si>
    <t xml:space="preserve"> 2020-01-21 23:16:02</t>
  </si>
  <si>
    <t>黄晓明baby为小海绵举办生日宴</t>
  </si>
  <si>
    <t xml:space="preserve"> 2020-01-21 23:26:02</t>
  </si>
  <si>
    <t xml:space="preserve"> 2020-01-21 11:22:01</t>
  </si>
  <si>
    <t>欠债17万想分141年还清</t>
  </si>
  <si>
    <t xml:space="preserve"> 2020-01-21 18:30:02</t>
  </si>
  <si>
    <t xml:space="preserve"> 2020-01-21 10:44:01</t>
  </si>
  <si>
    <t>李栋旭浴缸照</t>
  </si>
  <si>
    <t xml:space="preserve"> 2020-01-21 22:14:02</t>
  </si>
  <si>
    <t xml:space="preserve"> 2020-01-21 11:14:02</t>
  </si>
  <si>
    <t>春运如何严防新型冠状病毒</t>
  </si>
  <si>
    <t xml:space="preserve"> 2020-01-22 08:22:02</t>
  </si>
  <si>
    <t>第一次去长沙玩的网友</t>
  </si>
  <si>
    <t xml:space="preserve"> 2020-01-21 18:18:02</t>
  </si>
  <si>
    <t xml:space="preserve"> 2020-01-21 10:02:01</t>
  </si>
  <si>
    <t>陈可辛表示会和易烊千玺合作</t>
  </si>
  <si>
    <t xml:space="preserve"> 2020-01-21 16:36:01</t>
  </si>
  <si>
    <t xml:space="preserve"> 2020-01-21 09:20:01</t>
  </si>
  <si>
    <t>陶勇医生曾帮患者减免费用</t>
  </si>
  <si>
    <t xml:space="preserve"> 2020-01-21 13:36:02</t>
  </si>
  <si>
    <t xml:space="preserve"> 2020-01-21 07:26:01</t>
  </si>
  <si>
    <t>朱一龙鼓励医生粉丝</t>
  </si>
  <si>
    <t xml:space="preserve"> 2020-01-21 19:30:02</t>
  </si>
  <si>
    <t xml:space="preserve"> 2020-01-21 09:38:02</t>
  </si>
  <si>
    <t>楼上太吵楼下装震楼器回击</t>
  </si>
  <si>
    <t xml:space="preserve"> 2020-01-21 15:40:02</t>
  </si>
  <si>
    <t>部分美国学校学费翻一倍</t>
  </si>
  <si>
    <t xml:space="preserve"> 2020-01-21 16:52:02</t>
  </si>
  <si>
    <t>郑爽齐刘海造型</t>
  </si>
  <si>
    <t xml:space="preserve"> 2020-01-21 16:22:01</t>
  </si>
  <si>
    <t>查尔斯王子或私下资助哈里夫妇</t>
  </si>
  <si>
    <t xml:space="preserve"> 2020-01-21 15:54:02</t>
  </si>
  <si>
    <t xml:space="preserve"> 2020-01-21 10:18:01</t>
  </si>
  <si>
    <t>巴拉圭监狱75名囚犯挖地道越狱</t>
  </si>
  <si>
    <t xml:space="preserve"> 2020-01-22 07:10:01</t>
  </si>
  <si>
    <t xml:space="preserve"> 2020-01-21 08:06:01</t>
  </si>
  <si>
    <t>一图看懂新型冠状病毒肺炎</t>
  </si>
  <si>
    <t xml:space="preserve"> 2020-01-21 16:34:01</t>
  </si>
  <si>
    <t xml:space="preserve"> 2020-01-21 08:02:01</t>
  </si>
  <si>
    <t>王源杨紫张韶涵春晚合唱</t>
  </si>
  <si>
    <t xml:space="preserve"> 2020-01-21 15:50:02</t>
  </si>
  <si>
    <t>甜甜圈背包</t>
  </si>
  <si>
    <t xml:space="preserve"> 2020-01-22 07:08:01</t>
  </si>
  <si>
    <t xml:space="preserve"> 2020-01-21 11:40:02</t>
  </si>
  <si>
    <t>在家当废物的感觉真好</t>
  </si>
  <si>
    <t xml:space="preserve"> 2020-01-21 10:56:02</t>
  </si>
  <si>
    <t>31省份2019年居民收入榜</t>
  </si>
  <si>
    <t xml:space="preserve"> 2020-01-21 17:20:01</t>
  </si>
  <si>
    <t xml:space="preserve"> 2020-01-21 09:00:01</t>
  </si>
  <si>
    <t>90后过年要花多少钱</t>
  </si>
  <si>
    <t xml:space="preserve"> 2020-01-21 14:42:02</t>
  </si>
  <si>
    <t>哈登三分17中1</t>
  </si>
  <si>
    <t xml:space="preserve"> 2020-01-21 15:42:02</t>
  </si>
  <si>
    <t>买短乘长或被要求到站下车</t>
  </si>
  <si>
    <t xml:space="preserve"> 2020-01-21 15:36:01</t>
  </si>
  <si>
    <t xml:space="preserve"> 2020-01-21 07:04:02</t>
  </si>
  <si>
    <t>第一次纹身是什么体验</t>
  </si>
  <si>
    <t xml:space="preserve"> 2020-01-21 14:20:01</t>
  </si>
  <si>
    <t>双标的人是什么样子的</t>
  </si>
  <si>
    <t xml:space="preserve"> 2020-01-21 21:00:01</t>
  </si>
  <si>
    <t xml:space="preserve"> 2020-01-21 12:04:01</t>
  </si>
  <si>
    <t>岳云鹏 春晚都是俊男靓女除了我</t>
  </si>
  <si>
    <t xml:space="preserve"> 2020-01-21 00:26:01</t>
  </si>
  <si>
    <t>白宫蹦迪现场</t>
  </si>
  <si>
    <t xml:space="preserve"> 2020-01-21 13:04:02</t>
  </si>
  <si>
    <t xml:space="preserve"> 2020-01-21 07:32:01</t>
  </si>
  <si>
    <t>被迫相亲是什么体验</t>
  </si>
  <si>
    <t xml:space="preserve"> 2020-01-22 00:32:02</t>
  </si>
  <si>
    <t xml:space="preserve"> 2020-01-21 19:40:02</t>
  </si>
  <si>
    <t>国内确诊291例新型冠状病毒肺炎病例</t>
  </si>
  <si>
    <t xml:space="preserve"> 2020-01-22 15:04:01</t>
  </si>
  <si>
    <t xml:space="preserve"> 2020-01-21 23:18:01</t>
  </si>
  <si>
    <t>安宰贤胖了</t>
  </si>
  <si>
    <t xml:space="preserve"> 2020-01-22 09:00:02</t>
  </si>
  <si>
    <t xml:space="preserve"> 2020-01-21 22:20:01</t>
  </si>
  <si>
    <t>黄冈新增12例新型肺炎</t>
  </si>
  <si>
    <t xml:space="preserve"> 2020-01-22 09:28:01</t>
  </si>
  <si>
    <t xml:space="preserve"> 2020-01-21 23:04:02</t>
  </si>
  <si>
    <t>四川确诊首例新型肺炎</t>
  </si>
  <si>
    <t xml:space="preserve"> 2020-01-22 14:16:01</t>
  </si>
  <si>
    <t xml:space="preserve"> 2020-01-21 22:44:02</t>
  </si>
  <si>
    <t>沈月机场造型</t>
  </si>
  <si>
    <t xml:space="preserve"> 2020-01-22 11:24:02</t>
  </si>
  <si>
    <t xml:space="preserve"> 2020-01-21 23:30:02</t>
  </si>
  <si>
    <t>菲律宾载中国游客船只倾覆</t>
  </si>
  <si>
    <t xml:space="preserve"> 2020-01-21 23:40:02</t>
  </si>
  <si>
    <t>北京新增5例新型肺炎病例</t>
  </si>
  <si>
    <t xml:space="preserve"> 2020-01-22 13:28:01</t>
  </si>
  <si>
    <t xml:space="preserve"> 2020-01-21 20:02:02</t>
  </si>
  <si>
    <t>武汉新型肺炎患者救治由政府买单</t>
  </si>
  <si>
    <t xml:space="preserve"> 2020-01-22 13:48:01</t>
  </si>
  <si>
    <t xml:space="preserve"> 2020-01-21 23:20:02</t>
  </si>
  <si>
    <t>姜思达采访张艺兴</t>
  </si>
  <si>
    <t xml:space="preserve"> 2020-01-22 12:16:01</t>
  </si>
  <si>
    <t>患者给陶勇医生的评价</t>
  </si>
  <si>
    <t xml:space="preserve"> 2020-01-22 09:44:01</t>
  </si>
  <si>
    <t xml:space="preserve"> 2020-01-21 21:14:02</t>
  </si>
  <si>
    <t>涉武汉航班机票可免费办理退票</t>
  </si>
  <si>
    <t xml:space="preserve"> 2020-01-22 12:10:01</t>
  </si>
  <si>
    <t xml:space="preserve"> 2020-01-21 20:18:02</t>
  </si>
  <si>
    <t>澳大利亚鸭嘴兽面临灭绝</t>
  </si>
  <si>
    <t xml:space="preserve"> 2020-01-22 11:48:01</t>
  </si>
  <si>
    <t xml:space="preserve"> 2020-01-21 19:50:01</t>
  </si>
  <si>
    <t>炎亚纶 你的镜头对我而言就是枪口</t>
  </si>
  <si>
    <t xml:space="preserve"> 2020-01-22 11:56:02</t>
  </si>
  <si>
    <t xml:space="preserve"> 2020-01-21 21:02:01</t>
  </si>
  <si>
    <t>蔡昆廷郭旭</t>
  </si>
  <si>
    <t xml:space="preserve"> 2020-01-22 14:06:01</t>
  </si>
  <si>
    <t xml:space="preserve"> 2020-01-21 23:28:02</t>
  </si>
  <si>
    <t>女子头发长190厘米</t>
  </si>
  <si>
    <t xml:space="preserve"> 2020-01-22 13:06:02</t>
  </si>
  <si>
    <t>广东击败新疆</t>
  </si>
  <si>
    <t xml:space="preserve"> 2020-01-22 12:00:02</t>
  </si>
  <si>
    <t xml:space="preserve"> 2020-01-21 19:34:02</t>
  </si>
  <si>
    <t>广州地铁体温检测</t>
  </si>
  <si>
    <t xml:space="preserve"> 2020-01-28 09:50:02</t>
  </si>
  <si>
    <t xml:space="preserve"> 2020-01-21 12:10:02</t>
  </si>
  <si>
    <t>口罩</t>
  </si>
  <si>
    <t xml:space="preserve"> 2020-01-22 09:30:02</t>
  </si>
  <si>
    <t xml:space="preserve"> 2020-01-21 22:00:02</t>
  </si>
  <si>
    <t>周琦曾繁日冲突</t>
  </si>
  <si>
    <t xml:space="preserve"> 2020-01-22 11:20:02</t>
  </si>
  <si>
    <t xml:space="preserve"> 2020-01-21 20:40:02</t>
  </si>
  <si>
    <t>澳网选手要求女球童扒香蕉</t>
  </si>
  <si>
    <t xml:space="preserve"> 2020-01-22 07:48:02</t>
  </si>
  <si>
    <t xml:space="preserve"> 2020-01-21 14:50:02</t>
  </si>
  <si>
    <t>武汉对进出武汉人员管控</t>
  </si>
  <si>
    <t xml:space="preserve"> 2020-01-22 10:28:02</t>
  </si>
  <si>
    <t xml:space="preserve"> 2020-01-21 20:14:01</t>
  </si>
  <si>
    <t>透明虾片包</t>
  </si>
  <si>
    <t xml:space="preserve"> 2020-01-22 07:56:02</t>
  </si>
  <si>
    <t xml:space="preserve"> 2020-01-21 16:10:02</t>
  </si>
  <si>
    <t>武汉制定诊疗方案</t>
  </si>
  <si>
    <t xml:space="preserve"> 2020-01-22 08:50:01</t>
  </si>
  <si>
    <t xml:space="preserve"> 2020-01-21 12:28:02</t>
  </si>
  <si>
    <t>买口罩的主力军</t>
  </si>
  <si>
    <t xml:space="preserve"> 2020-01-22 13:54:02</t>
  </si>
  <si>
    <t xml:space="preserve"> 2020-01-21 21:56:02</t>
  </si>
  <si>
    <t>权志龙看秀造型</t>
  </si>
  <si>
    <t xml:space="preserve"> 2020-01-22 08:52:02</t>
  </si>
  <si>
    <t xml:space="preserve"> 2020-01-21 22:08:02</t>
  </si>
  <si>
    <t>过年走亲戚的你</t>
  </si>
  <si>
    <t xml:space="preserve"> 2020-01-22 11:00:02</t>
  </si>
  <si>
    <t xml:space="preserve"> 2020-01-21 21:48:02</t>
  </si>
  <si>
    <t>ETC收费可以对账了</t>
  </si>
  <si>
    <t xml:space="preserve"> 2020-01-22 09:54:02</t>
  </si>
  <si>
    <t>大连一方更名大连人</t>
  </si>
  <si>
    <t xml:space="preserve"> 2020-01-22 07:12:01</t>
  </si>
  <si>
    <t xml:space="preserve"> 2020-01-21 17:06:02</t>
  </si>
  <si>
    <t>Jennie蜜桃妆</t>
  </si>
  <si>
    <t xml:space="preserve"> 2020-01-22 08:32:01</t>
  </si>
  <si>
    <t xml:space="preserve"> 2020-01-21 16:30:01</t>
  </si>
  <si>
    <t>周杰伦 哥以后要开始打网球了</t>
  </si>
  <si>
    <t xml:space="preserve"> 2020-01-22 08:08:02</t>
  </si>
  <si>
    <t xml:space="preserve"> 2020-01-21 19:24:01</t>
  </si>
  <si>
    <t>春节档电影进入版权保护预警名单</t>
  </si>
  <si>
    <t xml:space="preserve"> 2020-01-22 01:24:02</t>
  </si>
  <si>
    <t xml:space="preserve"> 2020-01-21 17:22:02</t>
  </si>
  <si>
    <t>当代小学生如何谈恋爱</t>
  </si>
  <si>
    <t>炎亚纶 阿本</t>
  </si>
  <si>
    <t xml:space="preserve"> 2020-01-22 07:32:02</t>
  </si>
  <si>
    <t xml:space="preserve"> 2020-01-21 16:32:02</t>
  </si>
  <si>
    <t>澳大利亚动物雨中嬉戏</t>
  </si>
  <si>
    <t xml:space="preserve"> 2020-01-21 16:38:02</t>
  </si>
  <si>
    <t>央视春晚首次制作电影版2020春晚</t>
  </si>
  <si>
    <t xml:space="preserve"> 2020-01-21 16:40:02</t>
  </si>
  <si>
    <t>蔡国庆与陈伟霆易烊千玺王嘉尔合影</t>
  </si>
  <si>
    <t xml:space="preserve"> 2020-01-21 20:12:02</t>
  </si>
  <si>
    <t>巧克力彩妆</t>
  </si>
  <si>
    <t xml:space="preserve"> 2020-01-21 17:08:01</t>
  </si>
  <si>
    <t>你家年夜饭的压轴菜</t>
  </si>
  <si>
    <t xml:space="preserve"> 2020-01-21 13:32:01</t>
  </si>
  <si>
    <t>别再打扰不回你消息的人</t>
  </si>
  <si>
    <t xml:space="preserve"> 2020-01-21 14:58:02</t>
  </si>
  <si>
    <t>携程去哪儿飞猪退改保障</t>
  </si>
  <si>
    <t xml:space="preserve"> 2020-01-22 03:52:02</t>
  </si>
  <si>
    <t xml:space="preserve"> 2020-01-21 15:44:01</t>
  </si>
  <si>
    <t>异形礼裙</t>
  </si>
  <si>
    <t xml:space="preserve"> 2020-01-22 03:10:01</t>
  </si>
  <si>
    <t xml:space="preserve"> 2020-01-21 16:14:01</t>
  </si>
  <si>
    <t>中国旅游大巴新西兰侧翻</t>
  </si>
  <si>
    <t xml:space="preserve"> 2020-01-22 01:36:02</t>
  </si>
  <si>
    <t xml:space="preserve"> 2020-01-21 15:38:01</t>
  </si>
  <si>
    <t>前NBA球员德隆蒂韦斯特流落街头</t>
  </si>
  <si>
    <t xml:space="preserve"> 2020-01-22 18:48:02</t>
  </si>
  <si>
    <t xml:space="preserve"> 2020-01-22 10:30:01</t>
  </si>
  <si>
    <t>新型肺炎确诊440例死亡9例</t>
  </si>
  <si>
    <t xml:space="preserve"> 2020-01-22 19:34:01</t>
  </si>
  <si>
    <t xml:space="preserve"> 2020-01-22 11:26:02</t>
  </si>
  <si>
    <t>新型冠状病毒来源是野生动物</t>
  </si>
  <si>
    <t xml:space="preserve"> 2020-01-22 17:46:01</t>
  </si>
  <si>
    <t>武汉给市民朋友的一封信</t>
  </si>
  <si>
    <t xml:space="preserve"> 2020-01-23 07:22:02</t>
  </si>
  <si>
    <t xml:space="preserve"> 2020-01-22 11:06:01</t>
  </si>
  <si>
    <t>新型肺炎病毒存在变异可能</t>
  </si>
  <si>
    <t xml:space="preserve"> 2020-01-22 21:42:02</t>
  </si>
  <si>
    <t xml:space="preserve"> 2020-01-22 10:12:02</t>
  </si>
  <si>
    <t>迪丽热九</t>
  </si>
  <si>
    <t xml:space="preserve"> 2020-01-22 21:56:02</t>
  </si>
  <si>
    <t xml:space="preserve"> 2020-01-22 09:34:01</t>
  </si>
  <si>
    <t>N95口罩</t>
  </si>
  <si>
    <t xml:space="preserve"> 2020-01-23 07:08:01</t>
  </si>
  <si>
    <t xml:space="preserve"> 2020-01-22 10:18:02</t>
  </si>
  <si>
    <t>国新办回应新型肺炎</t>
  </si>
  <si>
    <t xml:space="preserve"> 2020-01-22 16:36:02</t>
  </si>
  <si>
    <t xml:space="preserve"> 2020-01-22 08:56:01</t>
  </si>
  <si>
    <t>广东打击哄抬口罩价格行为</t>
  </si>
  <si>
    <t xml:space="preserve"> 2020-01-23 06:20:01</t>
  </si>
  <si>
    <t xml:space="preserve"> 2020-01-22 09:26:02</t>
  </si>
  <si>
    <t>陈思诚 不干折损同行的事</t>
  </si>
  <si>
    <t xml:space="preserve"> 2020-01-22 18:00:01</t>
  </si>
  <si>
    <t xml:space="preserve"> 2020-01-22 09:50:02</t>
  </si>
  <si>
    <t>央视记者探访武汉隔离病房</t>
  </si>
  <si>
    <t xml:space="preserve"> 2020-01-22 12:42:01</t>
  </si>
  <si>
    <t xml:space="preserve"> 2020-01-22 10:02:01</t>
  </si>
  <si>
    <t>卫健委专家组一成员被隔离</t>
  </si>
  <si>
    <t xml:space="preserve"> 2020-01-22 17:18:01</t>
  </si>
  <si>
    <t xml:space="preserve"> 2020-01-22 08:34:01</t>
  </si>
  <si>
    <t>84岁钟南山再战防疫最前线</t>
  </si>
  <si>
    <t xml:space="preserve"> 2020-01-22 15:50:02</t>
  </si>
  <si>
    <t xml:space="preserve"> 2020-01-22 08:24:01</t>
  </si>
  <si>
    <t>协和医院骨科医生自愿支援</t>
  </si>
  <si>
    <t xml:space="preserve"> 2020-01-22 16:54:01</t>
  </si>
  <si>
    <t>过年前最后2天</t>
  </si>
  <si>
    <t xml:space="preserve"> 2020-01-22 15:36:02</t>
  </si>
  <si>
    <t xml:space="preserve"> 2020-01-22 02:56:02</t>
  </si>
  <si>
    <t>江西确诊2例新型肺炎病例</t>
  </si>
  <si>
    <t xml:space="preserve"> 2020-01-23 08:40:02</t>
  </si>
  <si>
    <t xml:space="preserve"> 2020-01-22 11:40:01</t>
  </si>
  <si>
    <t>武汉市长回应万家宴</t>
  </si>
  <si>
    <t xml:space="preserve"> 2020-01-22 17:10:01</t>
  </si>
  <si>
    <t xml:space="preserve"> 2020-01-22 07:42:02</t>
  </si>
  <si>
    <t>淘宝所有口罩不允许涨价</t>
  </si>
  <si>
    <t xml:space="preserve"> 2020-01-22 22:44:02</t>
  </si>
  <si>
    <t>9个关于新型肺炎最新事实</t>
  </si>
  <si>
    <t xml:space="preserve"> 2020-01-22 17:48:02</t>
  </si>
  <si>
    <t>发给亲戚用</t>
  </si>
  <si>
    <t xml:space="preserve"> 2020-01-22 18:20:01</t>
  </si>
  <si>
    <t xml:space="preserve"> 2020-01-22 11:28:01</t>
  </si>
  <si>
    <t>姥姥为外孙女缝制粉色车衣</t>
  </si>
  <si>
    <t xml:space="preserve"> 2020-01-23 06:48:01</t>
  </si>
  <si>
    <t xml:space="preserve"> 2020-01-22 11:08:02</t>
  </si>
  <si>
    <t>囧妈</t>
  </si>
  <si>
    <t xml:space="preserve"> 2020-01-22 20:54:01</t>
  </si>
  <si>
    <t xml:space="preserve"> 2020-01-22 11:58:02</t>
  </si>
  <si>
    <t>口罩商3倍工资让回厂加班</t>
  </si>
  <si>
    <t xml:space="preserve"> 2020-01-22 15:10:02</t>
  </si>
  <si>
    <t xml:space="preserve"> 2020-01-22 09:38:01</t>
  </si>
  <si>
    <t>龙卷风蛋包饭做法</t>
  </si>
  <si>
    <t xml:space="preserve"> 2020-01-22 12:34:01</t>
  </si>
  <si>
    <t xml:space="preserve"> 2020-01-22 07:38:02</t>
  </si>
  <si>
    <t>长沙确诊首例新型肺炎病例</t>
  </si>
  <si>
    <t xml:space="preserve"> 2020-01-22 17:58:01</t>
  </si>
  <si>
    <t>湖北发布加强新型肺炎防控通告</t>
  </si>
  <si>
    <t xml:space="preserve"> 2020-01-22 12:46:02</t>
  </si>
  <si>
    <t xml:space="preserve"> 2020-01-22 03:26:02</t>
  </si>
  <si>
    <t>美国确诊首例新型肺炎病例</t>
  </si>
  <si>
    <t xml:space="preserve"> 2020-01-22 17:00:02</t>
  </si>
  <si>
    <t>武汉疫情防控全面升级</t>
  </si>
  <si>
    <t xml:space="preserve"> 2020-01-22 16:24:01</t>
  </si>
  <si>
    <t>斯文雅痞眼镜杀</t>
  </si>
  <si>
    <t xml:space="preserve"> 2020-01-22 18:06:02</t>
  </si>
  <si>
    <t xml:space="preserve"> 2020-01-22 10:56:01</t>
  </si>
  <si>
    <t>唐探3终极预告</t>
  </si>
  <si>
    <t xml:space="preserve"> 2020-01-22 16:32:02</t>
  </si>
  <si>
    <t xml:space="preserve"> 2020-01-22 11:54:01</t>
  </si>
  <si>
    <t>5分钟记录女儿20年的成长</t>
  </si>
  <si>
    <t xml:space="preserve"> 2020-01-22 16:08:01</t>
  </si>
  <si>
    <t>全副武装的白衣战士</t>
  </si>
  <si>
    <t xml:space="preserve"> 2020-01-22 15:16:01</t>
  </si>
  <si>
    <t>你为什么不参加同学聚会</t>
  </si>
  <si>
    <t xml:space="preserve"> 2020-01-22 17:08:01</t>
  </si>
  <si>
    <t>高中班主任用化学方程式写评语</t>
  </si>
  <si>
    <t xml:space="preserve"> 2020-01-23 06:58:01</t>
  </si>
  <si>
    <t>暂无证据证明已出现超级传播者</t>
  </si>
  <si>
    <t xml:space="preserve"> 2020-01-22 13:58:02</t>
  </si>
  <si>
    <t xml:space="preserve"> 2020-01-22 07:14:02</t>
  </si>
  <si>
    <t>美国2万人集会抗议政府禁枪</t>
  </si>
  <si>
    <t xml:space="preserve"> 2020-01-22 13:36:02</t>
  </si>
  <si>
    <t xml:space="preserve"> 2020-01-22 08:54:02</t>
  </si>
  <si>
    <t>过年如何巧妙的要红包</t>
  </si>
  <si>
    <t xml:space="preserve"> 2020-01-22 13:52:02</t>
  </si>
  <si>
    <t xml:space="preserve"> 2020-01-22 11:52:02</t>
  </si>
  <si>
    <t>霍华德参加扣篮大赛</t>
  </si>
  <si>
    <t>过年幸福小技巧</t>
  </si>
  <si>
    <t xml:space="preserve"> 2020-01-22 12:40:01</t>
  </si>
  <si>
    <t xml:space="preserve"> 2020-01-22 00:10:02</t>
  </si>
  <si>
    <t>宋寅好帅</t>
  </si>
  <si>
    <t xml:space="preserve"> 2020-01-22 12:50:01</t>
  </si>
  <si>
    <t xml:space="preserve"> 2020-01-22 03:12:02</t>
  </si>
  <si>
    <t>日本便利店数量首次减少</t>
  </si>
  <si>
    <t xml:space="preserve"> 2020-01-23 12:44:02</t>
  </si>
  <si>
    <t xml:space="preserve"> 2020-01-22 22:46:02</t>
  </si>
  <si>
    <t>新型肺炎已致湖北17人死亡</t>
  </si>
  <si>
    <t xml:space="preserve"> 2020-01-23 14:26:02</t>
  </si>
  <si>
    <t xml:space="preserve"> 2020-01-22 22:26:01</t>
  </si>
  <si>
    <t>武汉要求全市在公共场合佩戴口罩</t>
  </si>
  <si>
    <t xml:space="preserve"> 2020-01-30 14:02:01</t>
  </si>
  <si>
    <t xml:space="preserve"> 2020-01-22 23:26:02</t>
  </si>
  <si>
    <t>全国确诊新型肺炎病例</t>
  </si>
  <si>
    <t xml:space="preserve"> 2020-01-23 10:54:02</t>
  </si>
  <si>
    <t xml:space="preserve"> 2020-01-22 22:12:02</t>
  </si>
  <si>
    <t>确诊患者报销后自费部分由财政补助</t>
  </si>
  <si>
    <t xml:space="preserve"> 2020-01-23 16:52:01</t>
  </si>
  <si>
    <t xml:space="preserve"> 2020-01-22 18:22:01</t>
  </si>
  <si>
    <t>新型冠状病毒怕酒精不耐高温</t>
  </si>
  <si>
    <t xml:space="preserve"> 2020-01-23 09:04:01</t>
  </si>
  <si>
    <t xml:space="preserve"> 2020-01-22 21:58:02</t>
  </si>
  <si>
    <t>武汉对进出城车辆及人员实施疫情排查</t>
  </si>
  <si>
    <t>工信部紧急协调口罩生产</t>
  </si>
  <si>
    <t xml:space="preserve"> 2020-01-23 11:36:02</t>
  </si>
  <si>
    <t xml:space="preserve"> 2020-01-22 19:48:01</t>
  </si>
  <si>
    <t>三生三世枕上书</t>
  </si>
  <si>
    <t xml:space="preserve"> 2020-01-23 10:16:02</t>
  </si>
  <si>
    <t>武汉教育局回应中小学能否按期开学</t>
  </si>
  <si>
    <t xml:space="preserve"> 2020-01-22 19:58:01</t>
  </si>
  <si>
    <t>广西确诊2例新型肺炎病例</t>
  </si>
  <si>
    <t xml:space="preserve"> 2020-01-23 09:52:02</t>
  </si>
  <si>
    <t xml:space="preserve"> 2020-01-22 19:40:02</t>
  </si>
  <si>
    <t>专家介绍新型肺炎快速救治指南</t>
  </si>
  <si>
    <t xml:space="preserve"> 2020-01-23 08:54:01</t>
  </si>
  <si>
    <t>武汉医生的朋友圈</t>
  </si>
  <si>
    <t xml:space="preserve"> 2020-01-23 07:40:02</t>
  </si>
  <si>
    <t xml:space="preserve"> 2020-01-22 18:46:01</t>
  </si>
  <si>
    <t>三部门打击野生动物违法交易</t>
  </si>
  <si>
    <t xml:space="preserve"> 2020-01-23 08:32:01</t>
  </si>
  <si>
    <t>世界卫生组织专家组赴武汉市考察</t>
  </si>
  <si>
    <t xml:space="preserve"> 2020-01-23 04:20:02</t>
  </si>
  <si>
    <t xml:space="preserve"> 2020-01-22 16:02:02</t>
  </si>
  <si>
    <t>上海迪士尼调整票务政策</t>
  </si>
  <si>
    <t xml:space="preserve"> 2020-01-23 17:32:01</t>
  </si>
  <si>
    <t xml:space="preserve"> 2020-01-22 21:08:02</t>
  </si>
  <si>
    <t>美国爆发乙型流感</t>
  </si>
  <si>
    <t xml:space="preserve"> 2020-01-23 13:00:02</t>
  </si>
  <si>
    <t>东出昌大承认出轨</t>
  </si>
  <si>
    <t xml:space="preserve"> 2020-01-26 17:08:02</t>
  </si>
  <si>
    <t xml:space="preserve"> 2020-01-22 18:40:02</t>
  </si>
  <si>
    <t>蝙蝠</t>
  </si>
  <si>
    <t xml:space="preserve"> 2020-01-24 22:14:01</t>
  </si>
  <si>
    <t xml:space="preserve"> 2020-01-22 23:54:02</t>
  </si>
  <si>
    <t>疫情地图</t>
  </si>
  <si>
    <t xml:space="preserve"> 2020-01-23 10:24:02</t>
  </si>
  <si>
    <t xml:space="preserve"> 2020-01-22 22:30:02</t>
  </si>
  <si>
    <t>防范新型肺炎48字守则</t>
  </si>
  <si>
    <t xml:space="preserve"> 2020-01-23 15:12:02</t>
  </si>
  <si>
    <t>野味肺炎</t>
  </si>
  <si>
    <t xml:space="preserve"> 2020-01-23 13:14:01</t>
  </si>
  <si>
    <t xml:space="preserve"> 2020-01-22 21:18:01</t>
  </si>
  <si>
    <t>凤九太可爱了</t>
  </si>
  <si>
    <t xml:space="preserve"> 2020-01-23 11:42:01</t>
  </si>
  <si>
    <t>年轻人害怕的东西</t>
  </si>
  <si>
    <t xml:space="preserve"> 2020-01-23 11:28:02</t>
  </si>
  <si>
    <t xml:space="preserve"> 2020-01-22 22:28:01</t>
  </si>
  <si>
    <t>李现红丝绒西装</t>
  </si>
  <si>
    <t xml:space="preserve"> 2020-01-23 12:40:01</t>
  </si>
  <si>
    <t xml:space="preserve"> 2020-01-22 19:50:02</t>
  </si>
  <si>
    <t>现代年轻人的求生欲</t>
  </si>
  <si>
    <t xml:space="preserve"> 2020-01-23 01:22:02</t>
  </si>
  <si>
    <t xml:space="preserve"> 2020-01-22 21:44:02</t>
  </si>
  <si>
    <t>年终奖一人一头猪</t>
  </si>
  <si>
    <t xml:space="preserve"> 2020-01-23 11:16:02</t>
  </si>
  <si>
    <t xml:space="preserve"> 2020-01-22 19:18:01</t>
  </si>
  <si>
    <t>怎么劝说父母戴口罩</t>
  </si>
  <si>
    <t xml:space="preserve"> 2020-01-23 10:10:02</t>
  </si>
  <si>
    <t xml:space="preserve"> 2020-01-22 18:08:02</t>
  </si>
  <si>
    <t>拉夏贝尔一年关店4400家</t>
  </si>
  <si>
    <t xml:space="preserve"> 2020-01-23 07:44:01</t>
  </si>
  <si>
    <t xml:space="preserve"> 2020-01-22 21:54:01</t>
  </si>
  <si>
    <t>白宇直播</t>
  </si>
  <si>
    <t xml:space="preserve"> 2020-01-23 07:34:02</t>
  </si>
  <si>
    <t xml:space="preserve"> 2020-01-22 17:34:02</t>
  </si>
  <si>
    <t>湖北拟请求紧急支援口罩等医用物资</t>
  </si>
  <si>
    <t xml:space="preserve"> 2020-01-23 09:10:02</t>
  </si>
  <si>
    <t xml:space="preserve"> 2020-01-22 19:14:01</t>
  </si>
  <si>
    <t>肖战谢娜春晚后台合体</t>
  </si>
  <si>
    <t xml:space="preserve"> 2020-01-23 01:28:02</t>
  </si>
  <si>
    <t xml:space="preserve"> 2020-01-22 14:00:02</t>
  </si>
  <si>
    <t>儿童年轻人对病毒不易感</t>
  </si>
  <si>
    <t xml:space="preserve"> 2020-01-23 09:30:02</t>
  </si>
  <si>
    <t xml:space="preserve"> 2020-01-22 21:28:02</t>
  </si>
  <si>
    <t>春晚进行时</t>
  </si>
  <si>
    <t xml:space="preserve"> 2020-01-23 02:58:01</t>
  </si>
  <si>
    <t xml:space="preserve"> 2020-01-22 22:02:02</t>
  </si>
  <si>
    <t>毫无灵魂的鞭炮</t>
  </si>
  <si>
    <t xml:space="preserve"> 2020-01-22 13:30:02</t>
  </si>
  <si>
    <t>口罩头像</t>
  </si>
  <si>
    <t xml:space="preserve"> 2020-01-23 03:42:02</t>
  </si>
  <si>
    <t xml:space="preserve"> 2020-01-22 20:18:02</t>
  </si>
  <si>
    <t>哈里梅根纪念品被清仓甩卖</t>
  </si>
  <si>
    <t xml:space="preserve"> 2020-01-23 12:10:02</t>
  </si>
  <si>
    <t>让你模仿不是让你现原形</t>
  </si>
  <si>
    <t xml:space="preserve"> 2020-01-23 03:06:02</t>
  </si>
  <si>
    <t xml:space="preserve"> 2020-01-22 15:06:02</t>
  </si>
  <si>
    <t>女生出门前的化妆台</t>
  </si>
  <si>
    <t xml:space="preserve"> 2020-01-23 02:30:02</t>
  </si>
  <si>
    <t xml:space="preserve"> 2020-01-22 18:30:01</t>
  </si>
  <si>
    <t>熊孩子被卡洗衣机获救后要求保密</t>
  </si>
  <si>
    <t>过年我能懒成什么样</t>
  </si>
  <si>
    <t xml:space="preserve"> 2020-01-22 15:12:02</t>
  </si>
  <si>
    <t>用ECMO技术成功救治1新型肺炎患者</t>
  </si>
  <si>
    <t xml:space="preserve"> 2020-01-23 00:22:02</t>
  </si>
  <si>
    <t xml:space="preserve"> 2020-01-22 20:38:02</t>
  </si>
  <si>
    <t>安徽春晚节目单</t>
  </si>
  <si>
    <t xml:space="preserve"> 2020-01-23 01:58:02</t>
  </si>
  <si>
    <t xml:space="preserve"> 2020-01-22 15:42:01</t>
  </si>
  <si>
    <t>谭松韵读国超文集</t>
  </si>
  <si>
    <t xml:space="preserve"> 2020-01-23 00:52:01</t>
  </si>
  <si>
    <t>朝阳医院行凶嫌犯被批捕</t>
  </si>
  <si>
    <t>ECMO</t>
  </si>
  <si>
    <t xml:space="preserve"> 2020-01-23 04:36:02</t>
  </si>
  <si>
    <t xml:space="preserve"> 2020-01-22 16:38:01</t>
  </si>
  <si>
    <t>手机行李箱</t>
  </si>
  <si>
    <t xml:space="preserve"> 2020-01-23 22:52:01</t>
  </si>
  <si>
    <t xml:space="preserve"> 2020-01-23 11:08:02</t>
  </si>
  <si>
    <t>澳门取消所有春节庆祝活动</t>
  </si>
  <si>
    <t xml:space="preserve"> 2020-01-23 21:00:02</t>
  </si>
  <si>
    <t xml:space="preserve"> 2020-01-23 11:32:02</t>
  </si>
  <si>
    <t>广东发现6起家庭聚集性疫情</t>
  </si>
  <si>
    <t xml:space="preserve"> 2020-01-23 21:28:02</t>
  </si>
  <si>
    <t xml:space="preserve"> 2020-01-23 11:38:01</t>
  </si>
  <si>
    <t>肺炎疫情下的春运</t>
  </si>
  <si>
    <t xml:space="preserve"> 2020-01-24 07:12:02</t>
  </si>
  <si>
    <t xml:space="preserve"> 2020-01-23 09:38:02</t>
  </si>
  <si>
    <t>17例新型肺炎死亡病例病情公布</t>
  </si>
  <si>
    <t xml:space="preserve"> 2020-01-23 14:22:01</t>
  </si>
  <si>
    <t xml:space="preserve"> 2020-01-23 08:42:02</t>
  </si>
  <si>
    <t>春节档能不能改档</t>
  </si>
  <si>
    <t xml:space="preserve"> 2020-01-23 18:58:02</t>
  </si>
  <si>
    <t xml:space="preserve"> 2020-01-23 09:36:01</t>
  </si>
  <si>
    <t>央视春晚两个分会场改为录播</t>
  </si>
  <si>
    <t xml:space="preserve"> 2020-01-23 19:42:01</t>
  </si>
  <si>
    <t xml:space="preserve"> 2020-01-23 11:26:02</t>
  </si>
  <si>
    <t>李兰娟院士称普通民众暂不需要护目镜</t>
  </si>
  <si>
    <t xml:space="preserve"> 2020-01-23 03:08:02</t>
  </si>
  <si>
    <t>武汉封城</t>
  </si>
  <si>
    <t xml:space="preserve"> 2020-01-23 13:28:01</t>
  </si>
  <si>
    <t xml:space="preserve"> 2020-01-23 11:30:01</t>
  </si>
  <si>
    <t>山东新增4例新型肺炎确诊病例</t>
  </si>
  <si>
    <t xml:space="preserve"> 2020-01-23 18:04:01</t>
  </si>
  <si>
    <t xml:space="preserve"> 2020-01-23 08:38:01</t>
  </si>
  <si>
    <t>抗疫一线90后护士的手</t>
  </si>
  <si>
    <t xml:space="preserve"> 2020-01-23 15:56:02</t>
  </si>
  <si>
    <t xml:space="preserve"> 2020-01-23 11:44:02</t>
  </si>
  <si>
    <t>福建新增3例新型肺炎确诊病例</t>
  </si>
  <si>
    <t xml:space="preserve"> 2020-01-23 18:42:02</t>
  </si>
  <si>
    <t xml:space="preserve"> 2020-01-23 10:28:01</t>
  </si>
  <si>
    <t>陌生女孩为执勤民警送口罩</t>
  </si>
  <si>
    <t xml:space="preserve"> 2020-01-23 15:58:02</t>
  </si>
  <si>
    <t>四川新增3例新型肺炎确诊病例</t>
  </si>
  <si>
    <t xml:space="preserve"> 2020-01-23 16:48:02</t>
  </si>
  <si>
    <t xml:space="preserve"> 2020-01-23 07:24:02</t>
  </si>
  <si>
    <t>李兰娟回应新型肺炎6大疑问</t>
  </si>
  <si>
    <t>英国为武汉出发的直飞航班设立隔离区</t>
  </si>
  <si>
    <t xml:space="preserve"> 2020-01-23 18:34:02</t>
  </si>
  <si>
    <t xml:space="preserve"> 2020-01-23 10:12:02</t>
  </si>
  <si>
    <t>韩国首位变性士兵被开除</t>
  </si>
  <si>
    <t xml:space="preserve"> 2020-01-23 19:20:02</t>
  </si>
  <si>
    <t>医用外科口罩正确戴法</t>
  </si>
  <si>
    <t xml:space="preserve"> 2020-01-23 21:46:02</t>
  </si>
  <si>
    <t xml:space="preserve"> 2020-01-23 09:48:02</t>
  </si>
  <si>
    <t>成都一公司车站免费发10万个口罩</t>
  </si>
  <si>
    <t xml:space="preserve"> 2020-01-23 18:08:02</t>
  </si>
  <si>
    <t xml:space="preserve"> 2020-01-23 09:02:02</t>
  </si>
  <si>
    <t>英国主持人怪声说中文被指种族歧视</t>
  </si>
  <si>
    <t xml:space="preserve"> 2020-01-23 20:08:02</t>
  </si>
  <si>
    <t xml:space="preserve"> 2020-01-23 09:06:01</t>
  </si>
  <si>
    <t>冯薪朵</t>
  </si>
  <si>
    <t xml:space="preserve"> 2020-01-23 18:24:01</t>
  </si>
  <si>
    <t xml:space="preserve"> 2020-01-23 10:20:01</t>
  </si>
  <si>
    <t>新科娘</t>
  </si>
  <si>
    <t xml:space="preserve"> 2020-01-23 19:54:02</t>
  </si>
  <si>
    <t xml:space="preserve"> 2020-01-23 07:42:02</t>
  </si>
  <si>
    <t>女生过年化妆有多难</t>
  </si>
  <si>
    <t xml:space="preserve"> 2020-01-23 20:06:01</t>
  </si>
  <si>
    <t xml:space="preserve"> 2020-01-23 07:10:01</t>
  </si>
  <si>
    <t>男版李子柒</t>
  </si>
  <si>
    <t xml:space="preserve"> 2020-01-23 17:08:01</t>
  </si>
  <si>
    <t xml:space="preserve"> 2020-01-23 02:00:02</t>
  </si>
  <si>
    <t>护目镜</t>
  </si>
  <si>
    <t xml:space="preserve"> 2020-01-23 18:30:01</t>
  </si>
  <si>
    <t>陈情令日本定档</t>
  </si>
  <si>
    <t xml:space="preserve"> 2020-01-23 15:16:01</t>
  </si>
  <si>
    <t>3岁男童智商142</t>
  </si>
  <si>
    <t xml:space="preserve"> 2020-01-23 17:24:02</t>
  </si>
  <si>
    <t xml:space="preserve"> 2020-01-23 10:32:02</t>
  </si>
  <si>
    <t>黄山风景区雪后初霁</t>
  </si>
  <si>
    <t xml:space="preserve"> 2020-01-23 12:36:01</t>
  </si>
  <si>
    <t xml:space="preserve"> 2020-01-23 00:24:02</t>
  </si>
  <si>
    <t>江苏确诊首例新型肺炎病例</t>
  </si>
  <si>
    <t xml:space="preserve"> 2020-01-23 21:58:02</t>
  </si>
  <si>
    <t>北大呼吸发哥</t>
  </si>
  <si>
    <t xml:space="preserve"> 2020-01-23 18:46:01</t>
  </si>
  <si>
    <t xml:space="preserve"> 2020-01-23 11:14:01</t>
  </si>
  <si>
    <t>春节最美逆行者</t>
  </si>
  <si>
    <t xml:space="preserve"> 2020-01-23 12:20:01</t>
  </si>
  <si>
    <t xml:space="preserve"> 2020-01-23 09:08:01</t>
  </si>
  <si>
    <t>湖北主持人戴口罩播报</t>
  </si>
  <si>
    <t xml:space="preserve"> 2020-01-23 14:32:02</t>
  </si>
  <si>
    <t xml:space="preserve"> 2020-01-23 02:48:02</t>
  </si>
  <si>
    <t>武汉公交地铁暂停运营</t>
  </si>
  <si>
    <t xml:space="preserve"> 2020-01-23 16:26:02</t>
  </si>
  <si>
    <t xml:space="preserve"> 2020-01-23 08:52:01</t>
  </si>
  <si>
    <t>医护人员齐喊武汉必胜</t>
  </si>
  <si>
    <t xml:space="preserve"> 2020-01-23 12:18:01</t>
  </si>
  <si>
    <t xml:space="preserve"> 2020-01-23 01:18:01</t>
  </si>
  <si>
    <t>黑龙江确诊首例新型肺炎病例</t>
  </si>
  <si>
    <t xml:space="preserve"> 2020-01-23 12:50:01</t>
  </si>
  <si>
    <t>武汉机场火车站离汉通道暂时关闭</t>
  </si>
  <si>
    <t xml:space="preserve"> 2020-01-23 16:36:01</t>
  </si>
  <si>
    <t xml:space="preserve"> 2020-01-23 10:34:02</t>
  </si>
  <si>
    <t>你有哪些不可告人的秘密</t>
  </si>
  <si>
    <t xml:space="preserve"> 2020-01-23 14:00:02</t>
  </si>
  <si>
    <t>2020中超赛程出炉</t>
  </si>
  <si>
    <t xml:space="preserve"> 2020-01-24 10:46:01</t>
  </si>
  <si>
    <t xml:space="preserve"> 2020-01-23 22:44:02</t>
  </si>
  <si>
    <t>广东启动重大突发公共卫生事件一级响应</t>
  </si>
  <si>
    <t xml:space="preserve"> 2020-01-24 13:06:02</t>
  </si>
  <si>
    <t xml:space="preserve"> 2020-01-23 23:26:02</t>
  </si>
  <si>
    <t>王鸥原生家庭故事</t>
  </si>
  <si>
    <t xml:space="preserve"> 2020-01-24 12:06:02</t>
  </si>
  <si>
    <t xml:space="preserve"> 2020-01-23 22:48:02</t>
  </si>
  <si>
    <t>武汉将以小汤山模式建医院</t>
  </si>
  <si>
    <t xml:space="preserve"> 2020-01-24 10:54:02</t>
  </si>
  <si>
    <t xml:space="preserve"> 2020-01-23 21:30:02</t>
  </si>
  <si>
    <t>小汤山非典医疗队请战书</t>
  </si>
  <si>
    <t xml:space="preserve"> 2020-01-24 10:44:02</t>
  </si>
  <si>
    <t xml:space="preserve"> 2020-01-23 18:44:02</t>
  </si>
  <si>
    <t>武汉一名新型肺炎患者被成功救治</t>
  </si>
  <si>
    <t xml:space="preserve"> 2020-01-24 07:44:02</t>
  </si>
  <si>
    <t xml:space="preserve"> 2020-01-23 20:24:02</t>
  </si>
  <si>
    <t>武汉7名医生在请战书上按下红手印</t>
  </si>
  <si>
    <t xml:space="preserve"> 2020-01-24 08:58:01</t>
  </si>
  <si>
    <t xml:space="preserve"> 2020-01-23 21:54:01</t>
  </si>
  <si>
    <t>故宫博物院闭馆</t>
  </si>
  <si>
    <t xml:space="preserve"> 2020-01-23 22:02:02</t>
  </si>
  <si>
    <t>各地医生驰援湖北</t>
  </si>
  <si>
    <t xml:space="preserve"> 2020-01-24 10:40:01</t>
  </si>
  <si>
    <t xml:space="preserve"> 2020-01-23 22:50:02</t>
  </si>
  <si>
    <t>大明风华大结局</t>
  </si>
  <si>
    <t xml:space="preserve"> 2020-01-24 09:18:02</t>
  </si>
  <si>
    <t xml:space="preserve"> 2020-01-23 21:36:01</t>
  </si>
  <si>
    <t>防控肺炎父母不听劝怎么办</t>
  </si>
  <si>
    <t xml:space="preserve"> 2020-01-24 08:40:02</t>
  </si>
  <si>
    <t xml:space="preserve"> 2020-01-23 18:26:01</t>
  </si>
  <si>
    <t>央视春晚节目单</t>
  </si>
  <si>
    <t xml:space="preserve"> 2020-01-24 08:06:01</t>
  </si>
  <si>
    <t xml:space="preserve"> 2020-01-23 20:12:02</t>
  </si>
  <si>
    <t>湖北中小学开学确定延期</t>
  </si>
  <si>
    <t xml:space="preserve"> 2020-01-24 09:36:02</t>
  </si>
  <si>
    <t xml:space="preserve"> 2020-01-23 22:34:02</t>
  </si>
  <si>
    <t>民航机票免收退票费</t>
  </si>
  <si>
    <t xml:space="preserve"> 2020-01-24 11:22:01</t>
  </si>
  <si>
    <t xml:space="preserve"> 2020-01-23 22:00:02</t>
  </si>
  <si>
    <t>新型肺炎症状</t>
  </si>
  <si>
    <t xml:space="preserve"> 2020-03-28 11:34:02</t>
  </si>
  <si>
    <t xml:space="preserve"> 2020-01-23 23:12:01</t>
  </si>
  <si>
    <t>我家那闺女</t>
  </si>
  <si>
    <t xml:space="preserve"> 2020-01-23 21:34:02</t>
  </si>
  <si>
    <t>湖北回应涨价菜</t>
  </si>
  <si>
    <t xml:space="preserve"> 2020-01-24 10:12:01</t>
  </si>
  <si>
    <t xml:space="preserve"> 2020-01-23 22:10:01</t>
  </si>
  <si>
    <t>江苏新增4例新冠肺炎</t>
  </si>
  <si>
    <t xml:space="preserve"> 2020-01-24 11:46:01</t>
  </si>
  <si>
    <t xml:space="preserve"> 2020-01-23 19:44:02</t>
  </si>
  <si>
    <t>丁香医生</t>
  </si>
  <si>
    <t xml:space="preserve"> 2020-01-24 09:58:02</t>
  </si>
  <si>
    <t>新加坡确认首例新型冠状病毒病例</t>
  </si>
  <si>
    <t xml:space="preserve"> 2020-01-24 09:56:02</t>
  </si>
  <si>
    <t xml:space="preserve"> 2020-01-23 21:24:01</t>
  </si>
  <si>
    <t>武汉86岁老专家坐轮椅出诊</t>
  </si>
  <si>
    <t xml:space="preserve"> 2020-01-24 11:00:02</t>
  </si>
  <si>
    <t xml:space="preserve"> 2020-01-23 21:20:02</t>
  </si>
  <si>
    <t>丁程鑫会考账号被盗</t>
  </si>
  <si>
    <t xml:space="preserve"> 2020-01-24 09:40:02</t>
  </si>
  <si>
    <t xml:space="preserve"> 2019-12-15 00:42:02</t>
  </si>
  <si>
    <t>周杰伦</t>
  </si>
  <si>
    <t xml:space="preserve"> 2020-01-24 08:24:01</t>
  </si>
  <si>
    <t>医护人员感染新型肺炎应认定工伤</t>
  </si>
  <si>
    <t xml:space="preserve"> 2020-01-24 08:12:02</t>
  </si>
  <si>
    <t xml:space="preserve"> 2020-01-23 18:16:02</t>
  </si>
  <si>
    <t>香菇炖鸡面</t>
  </si>
  <si>
    <t xml:space="preserve"> 2020-01-24 02:20:02</t>
  </si>
  <si>
    <t xml:space="preserve"> 2020-01-23 17:26:01</t>
  </si>
  <si>
    <t>中国游客巴厘岛拍照落海身亡</t>
  </si>
  <si>
    <t xml:space="preserve"> 2020-01-23 23:16:02</t>
  </si>
  <si>
    <t>甘肃确诊2例新型肺炎病例</t>
  </si>
  <si>
    <t xml:space="preserve"> 2020-01-24 11:12:02</t>
  </si>
  <si>
    <t>90后和长辈们的真实现状</t>
  </si>
  <si>
    <t xml:space="preserve"> 2020-01-24 08:22:01</t>
  </si>
  <si>
    <t>武汉新冠肺炎社会捐赠方式</t>
  </si>
  <si>
    <t>郑爽 双马尾</t>
  </si>
  <si>
    <t xml:space="preserve"> 2020-01-23 20:58:01</t>
  </si>
  <si>
    <t>德云社男团</t>
  </si>
  <si>
    <t xml:space="preserve"> 2020-01-24 10:24:02</t>
  </si>
  <si>
    <t>今年要不要出门拜年</t>
  </si>
  <si>
    <t xml:space="preserve"> 2020-01-24 08:42:02</t>
  </si>
  <si>
    <t xml:space="preserve"> 2020-01-23 18:10:02</t>
  </si>
  <si>
    <t>深圳2名新型肺炎患者痊愈</t>
  </si>
  <si>
    <t xml:space="preserve"> 2020-01-24 03:00:02</t>
  </si>
  <si>
    <t>新疆确诊2例新型肺炎</t>
  </si>
  <si>
    <t xml:space="preserve"> 2020-01-24 10:52:02</t>
  </si>
  <si>
    <t>年夜饭C位担当</t>
  </si>
  <si>
    <t xml:space="preserve"> 2020-01-24 07:00:01</t>
  </si>
  <si>
    <t xml:space="preserve"> 2020-01-23 17:58:01</t>
  </si>
  <si>
    <t>飞轮海成员祝福辰亦儒曾之乔</t>
  </si>
  <si>
    <t xml:space="preserve"> 2020-01-24 08:52:02</t>
  </si>
  <si>
    <t xml:space="preserve"> 2020-01-23 18:52:02</t>
  </si>
  <si>
    <t>过年聚餐要不要取消</t>
  </si>
  <si>
    <t xml:space="preserve"> 2020-01-24 00:14:02</t>
  </si>
  <si>
    <t xml:space="preserve"> 2020-01-23 20:36:01</t>
  </si>
  <si>
    <t>武汉封城后的市民生活</t>
  </si>
  <si>
    <t xml:space="preserve"> 2020-01-24 01:08:02</t>
  </si>
  <si>
    <t xml:space="preserve"> 2020-01-23 18:50:01</t>
  </si>
  <si>
    <t>陕西确诊3例新型肺炎</t>
  </si>
  <si>
    <t xml:space="preserve"> 2020-01-24 07:36:01</t>
  </si>
  <si>
    <t xml:space="preserve"> 2020-01-23 19:28:02</t>
  </si>
  <si>
    <t>北京取消大型活动</t>
  </si>
  <si>
    <t>打喷嚏的正确方式</t>
  </si>
  <si>
    <t xml:space="preserve"> 2020-01-24 00:04:02</t>
  </si>
  <si>
    <t>财政部拨10亿补助湖北防控疫情</t>
  </si>
  <si>
    <t xml:space="preserve"> 2020-01-24 07:16:02</t>
  </si>
  <si>
    <t xml:space="preserve"> 2020-01-23 14:08:02</t>
  </si>
  <si>
    <t>野味</t>
  </si>
  <si>
    <t xml:space="preserve"> 2020-01-24 00:54:01</t>
  </si>
  <si>
    <t>武汉文娱场所暂停营业</t>
  </si>
  <si>
    <t xml:space="preserve"> 2020-01-24 04:20:01</t>
  </si>
  <si>
    <t xml:space="preserve"> 2020-01-23 20:30:01</t>
  </si>
  <si>
    <t>全国铁路免收退票费</t>
  </si>
  <si>
    <t xml:space="preserve"> 2020-01-26 21:20:01</t>
  </si>
  <si>
    <t xml:space="preserve"> 2020-01-23 20:14:02</t>
  </si>
  <si>
    <t>天津春晚</t>
  </si>
  <si>
    <t xml:space="preserve"> 2020-01-24 06:16:01</t>
  </si>
  <si>
    <t>医生请战书</t>
  </si>
  <si>
    <t xml:space="preserve"> 2020-01-24 00:18:02</t>
  </si>
  <si>
    <t>清华北大暂停校园参观</t>
  </si>
  <si>
    <t xml:space="preserve"> 2020-01-24 20:20:02</t>
  </si>
  <si>
    <t>湖北一家三口去山东过年被举报</t>
  </si>
  <si>
    <t xml:space="preserve"> 2020-01-24 12:38:02</t>
  </si>
  <si>
    <t xml:space="preserve"> 2020-01-24 11:02:01</t>
  </si>
  <si>
    <t>囧妈初一上线免费播出</t>
  </si>
  <si>
    <t xml:space="preserve"> 2020-01-24 16:10:01</t>
  </si>
  <si>
    <t>全国确诊830例新型肺炎病例</t>
  </si>
  <si>
    <t xml:space="preserve"> 2020-01-24 19:38:02</t>
  </si>
  <si>
    <t xml:space="preserve"> 2020-01-24 11:10:01</t>
  </si>
  <si>
    <t>湖北商务厅副厅长感染新冠病毒</t>
  </si>
  <si>
    <t xml:space="preserve"> 2020-01-24 18:44:01</t>
  </si>
  <si>
    <t xml:space="preserve"> 2020-01-24 11:14:01</t>
  </si>
  <si>
    <t>钟南山任疫情应急科研攻关组长</t>
  </si>
  <si>
    <t xml:space="preserve"> 2020-01-24 15:22:01</t>
  </si>
  <si>
    <t xml:space="preserve"> 2020-01-24 09:42:02</t>
  </si>
  <si>
    <t>黑龙江死亡1例</t>
  </si>
  <si>
    <t xml:space="preserve"> 2020-01-24 14:54:01</t>
  </si>
  <si>
    <t>成都小哥在地铁免费发口罩</t>
  </si>
  <si>
    <t xml:space="preserve"> 2020-01-24 14:50:02</t>
  </si>
  <si>
    <t xml:space="preserve"> 2020-01-24 08:44:01</t>
  </si>
  <si>
    <t>从武汉回来请自行隔离</t>
  </si>
  <si>
    <t xml:space="preserve"> 2020-02-07 09:18:02</t>
  </si>
  <si>
    <t xml:space="preserve"> 2020-01-24 10:34:02</t>
  </si>
  <si>
    <t>新闻1+1</t>
  </si>
  <si>
    <t xml:space="preserve"> 2020-01-24 17:40:01</t>
  </si>
  <si>
    <t xml:space="preserve"> 2020-01-24 08:54:02</t>
  </si>
  <si>
    <t>高校必要时可调整教学安排</t>
  </si>
  <si>
    <t xml:space="preserve"> 2020-01-24 15:14:01</t>
  </si>
  <si>
    <t>广东累计家庭聚集性疫情10起</t>
  </si>
  <si>
    <t xml:space="preserve"> 2020-01-24 16:28:02</t>
  </si>
  <si>
    <t xml:space="preserve"> 2020-01-24 09:00:02</t>
  </si>
  <si>
    <t>新型肺炎已治愈34例</t>
  </si>
  <si>
    <t xml:space="preserve"> 2020-01-24 14:26:02</t>
  </si>
  <si>
    <t xml:space="preserve"> 2020-01-24 07:18:02</t>
  </si>
  <si>
    <t>湖北学校推迟开学时间</t>
  </si>
  <si>
    <t xml:space="preserve"> 2020-01-24 14:34:01</t>
  </si>
  <si>
    <t xml:space="preserve"> 2020-01-24 08:14:02</t>
  </si>
  <si>
    <t>武汉护士的朋友圈</t>
  </si>
  <si>
    <t xml:space="preserve"> 2020-01-24 13:22:01</t>
  </si>
  <si>
    <t xml:space="preserve"> 2020-01-24 11:24:01</t>
  </si>
  <si>
    <t>徐峥</t>
  </si>
  <si>
    <t xml:space="preserve"> 2020-01-24 18:08:01</t>
  </si>
  <si>
    <t>韩国确诊第二例新冠肺炎病例</t>
  </si>
  <si>
    <t xml:space="preserve"> 2020-01-24 12:54:02</t>
  </si>
  <si>
    <t xml:space="preserve"> 2020-01-24 10:00:02</t>
  </si>
  <si>
    <t>浙江确诊43例</t>
  </si>
  <si>
    <t xml:space="preserve"> 2020-01-24 19:56:02</t>
  </si>
  <si>
    <t xml:space="preserve"> 2020-01-24 11:16:02</t>
  </si>
  <si>
    <t>武汉版小汤山开建</t>
  </si>
  <si>
    <t xml:space="preserve"> 2020-01-24 13:40:02</t>
  </si>
  <si>
    <t>退票</t>
  </si>
  <si>
    <t xml:space="preserve"> 2020-01-24 15:24:01</t>
  </si>
  <si>
    <t>重庆新增确诊18例</t>
  </si>
  <si>
    <t xml:space="preserve"> 2020-01-24 02:22:02</t>
  </si>
  <si>
    <t>来抄河南的作业</t>
  </si>
  <si>
    <t xml:space="preserve"> 2020-01-24 14:00:01</t>
  </si>
  <si>
    <t xml:space="preserve"> 2020-01-24 10:48:01</t>
  </si>
  <si>
    <t>CBA暂停两周</t>
  </si>
  <si>
    <t xml:space="preserve"> 2020-01-24 17:30:02</t>
  </si>
  <si>
    <t>雍和宫闭馆</t>
  </si>
  <si>
    <t xml:space="preserve"> 2020-01-24 15:10:01</t>
  </si>
  <si>
    <t xml:space="preserve"> 2020-01-24 07:46:01</t>
  </si>
  <si>
    <t>武汉女医护人员自发剪掉长发</t>
  </si>
  <si>
    <t xml:space="preserve"> 2020-01-24 21:04:02</t>
  </si>
  <si>
    <t xml:space="preserve"> 2020-01-24 07:28:02</t>
  </si>
  <si>
    <t>除夕</t>
  </si>
  <si>
    <t xml:space="preserve"> 2020-01-24 13:04:01</t>
  </si>
  <si>
    <t xml:space="preserve"> 2020-01-24 10:42:01</t>
  </si>
  <si>
    <t>湖北10市公共交通停运</t>
  </si>
  <si>
    <t xml:space="preserve"> 2020-01-24 14:28:02</t>
  </si>
  <si>
    <t xml:space="preserve"> 2020-01-24 10:06:02</t>
  </si>
  <si>
    <t>NBA全明星首发名单</t>
  </si>
  <si>
    <t xml:space="preserve"> 2020-01-24 13:30:02</t>
  </si>
  <si>
    <t>海南省累计确诊8例新型肺炎</t>
  </si>
  <si>
    <t xml:space="preserve"> 2020-01-24 19:16:02</t>
  </si>
  <si>
    <t xml:space="preserve"> 2020-01-24 11:26:01</t>
  </si>
  <si>
    <t>新年头像</t>
  </si>
  <si>
    <t xml:space="preserve"> 2020-01-24 00:20:02</t>
  </si>
  <si>
    <t>林允拆快递</t>
  </si>
  <si>
    <t xml:space="preserve"> 2020-01-24 13:12:01</t>
  </si>
  <si>
    <t>适合除夕夜发布的文案</t>
  </si>
  <si>
    <t xml:space="preserve"> 2020-01-24 12:48:02</t>
  </si>
  <si>
    <t>新型冠状病毒预防教程</t>
  </si>
  <si>
    <t xml:space="preserve"> 2020-01-24 13:54:02</t>
  </si>
  <si>
    <t xml:space="preserve"> 2020-01-24 11:32:01</t>
  </si>
  <si>
    <t>春晚最火金句</t>
  </si>
  <si>
    <t xml:space="preserve"> 2020-01-24 12:46:02</t>
  </si>
  <si>
    <t xml:space="preserve"> 2020-01-24 03:48:02</t>
  </si>
  <si>
    <t>新型肺炎不构成国际突发卫生事件</t>
  </si>
  <si>
    <t xml:space="preserve"> 2020-01-24 14:04:01</t>
  </si>
  <si>
    <t>为了让长辈戴口罩有多拼</t>
  </si>
  <si>
    <t xml:space="preserve"> 2020-01-24 15:54:02</t>
  </si>
  <si>
    <t xml:space="preserve"> 2020-01-24 11:56:02</t>
  </si>
  <si>
    <t>退掉返乡车票的湖北旅客</t>
  </si>
  <si>
    <t xml:space="preserve"> 2020-01-24 12:10:02</t>
  </si>
  <si>
    <t xml:space="preserve"> 2020-01-24 11:40:02</t>
  </si>
  <si>
    <t>疾病数学实验揭示防护措施有多重要</t>
  </si>
  <si>
    <t xml:space="preserve"> 2020-01-24 12:18:02</t>
  </si>
  <si>
    <t xml:space="preserve"> 2019-12-31 20:28:02</t>
  </si>
  <si>
    <t>新年表情包</t>
  </si>
  <si>
    <t xml:space="preserve"> 2020-01-24 16:22:01</t>
  </si>
  <si>
    <t xml:space="preserve"> 2020-01-24 12:04:01</t>
  </si>
  <si>
    <t>武汉关闭过江隧道</t>
  </si>
  <si>
    <t xml:space="preserve"> 2020-01-24 19:34:02</t>
  </si>
  <si>
    <t>欢喜传媒终止囧妈保底协议</t>
  </si>
  <si>
    <t xml:space="preserve"> 2020-01-24 12:08:02</t>
  </si>
  <si>
    <t>春碗</t>
  </si>
  <si>
    <t xml:space="preserve"> 2020-01-24 19:54:01</t>
  </si>
  <si>
    <t>王者荣耀 更新</t>
  </si>
  <si>
    <t xml:space="preserve"> 2020-01-24 12:50:01</t>
  </si>
  <si>
    <t xml:space="preserve"> 2020-01-24 10:56:01</t>
  </si>
  <si>
    <t>北京多家演出机构取消春节演出</t>
  </si>
  <si>
    <t xml:space="preserve"> 2020-01-24 12:12:01</t>
  </si>
  <si>
    <t xml:space="preserve"> 2020-01-24 09:32:01</t>
  </si>
  <si>
    <t>正确脱戴口罩方法</t>
  </si>
  <si>
    <t xml:space="preserve"> 2020-01-25 13:08:02</t>
  </si>
  <si>
    <t xml:space="preserve"> 2020-01-24 22:38:01</t>
  </si>
  <si>
    <t>谁有尼格买提联系方式</t>
  </si>
  <si>
    <t xml:space="preserve"> 2020-01-25 06:50:01</t>
  </si>
  <si>
    <t xml:space="preserve"> 2020-01-25 00:04:02</t>
  </si>
  <si>
    <t>新年安康</t>
  </si>
  <si>
    <t xml:space="preserve"> 2020-01-25 11:48:01</t>
  </si>
  <si>
    <t xml:space="preserve"> 2020-01-24 23:38:02</t>
  </si>
  <si>
    <t>肖战说喜欢彪的</t>
  </si>
  <si>
    <t xml:space="preserve"> 2020-01-25 13:44:02</t>
  </si>
  <si>
    <t xml:space="preserve"> 2020-01-24 23:02:02</t>
  </si>
  <si>
    <t>周冬雨 卧蚕</t>
  </si>
  <si>
    <t xml:space="preserve"> 2020-01-25 09:36:02</t>
  </si>
  <si>
    <t xml:space="preserve"> 2020-01-24 21:34:01</t>
  </si>
  <si>
    <t>唯一没有彩排过的春晚节目</t>
  </si>
  <si>
    <t xml:space="preserve"> 2020-01-25 03:30:01</t>
  </si>
  <si>
    <t>安杰同志 我爱你</t>
  </si>
  <si>
    <t xml:space="preserve"> 2020-01-25 09:16:01</t>
  </si>
  <si>
    <t xml:space="preserve"> 2020-01-24 21:28:01</t>
  </si>
  <si>
    <t>重症隔离病房中的除夕</t>
  </si>
  <si>
    <t xml:space="preserve"> 2020-01-25 01:04:02</t>
  </si>
  <si>
    <t xml:space="preserve"> 2020-01-24 22:18:02</t>
  </si>
  <si>
    <t>广东21名医护人员连夜赴武汉</t>
  </si>
  <si>
    <t xml:space="preserve"> 2020-01-25 12:00:02</t>
  </si>
  <si>
    <t xml:space="preserve"> 2020-01-24 23:10:01</t>
  </si>
  <si>
    <t>春晚旗袍</t>
  </si>
  <si>
    <t xml:space="preserve"> 2020-01-25 07:50:02</t>
  </si>
  <si>
    <t xml:space="preserve"> 2020-01-24 21:36:02</t>
  </si>
  <si>
    <t>张小斐毛衣</t>
  </si>
  <si>
    <t xml:space="preserve"> 2020-01-25 01:30:02</t>
  </si>
  <si>
    <t xml:space="preserve"> 2020-01-24 21:52:02</t>
  </si>
  <si>
    <t>笼屉啊笼屉 谁是世界上最尴尬的人</t>
  </si>
  <si>
    <t xml:space="preserve"> 2020-01-25 00:56:02</t>
  </si>
  <si>
    <t xml:space="preserve"> 2020-01-24 19:26:02</t>
  </si>
  <si>
    <t>鼠年春晚节目单</t>
  </si>
  <si>
    <t xml:space="preserve"> 2020-01-25 08:22:02</t>
  </si>
  <si>
    <t>武汉医生的年夜饭</t>
  </si>
  <si>
    <t xml:space="preserve"> 2020-01-25 01:14:02</t>
  </si>
  <si>
    <t xml:space="preserve"> 2020-01-24 23:20:01</t>
  </si>
  <si>
    <t>想要变彭于晏的箱子</t>
  </si>
  <si>
    <t xml:space="preserve"> 2020-01-25 10:30:01</t>
  </si>
  <si>
    <t xml:space="preserve"> 2020-01-24 23:30:02</t>
  </si>
  <si>
    <t>武汉医院呼吁市民别送慰问品</t>
  </si>
  <si>
    <t xml:space="preserve"> 2020-01-25 08:14:01</t>
  </si>
  <si>
    <t xml:space="preserve"> 2020-01-24 22:04:02</t>
  </si>
  <si>
    <t>吴磊吓得满头汗</t>
  </si>
  <si>
    <t xml:space="preserve"> 2020-01-25 11:32:01</t>
  </si>
  <si>
    <t xml:space="preserve"> 2020-01-24 23:26:01</t>
  </si>
  <si>
    <t>央视主播春晚朗诵后嘱咐网友</t>
  </si>
  <si>
    <t xml:space="preserve"> 2020-01-25 10:52:01</t>
  </si>
  <si>
    <t xml:space="preserve"> 2020-01-24 18:10:02</t>
  </si>
  <si>
    <t>新冠肺炎进入第二波流行上升期</t>
  </si>
  <si>
    <t xml:space="preserve"> 2020-01-25 07:22:01</t>
  </si>
  <si>
    <t>爸爸妈妈</t>
  </si>
  <si>
    <t xml:space="preserve"> 2020-01-25 09:30:02</t>
  </si>
  <si>
    <t xml:space="preserve"> 2020-01-24 23:12:02</t>
  </si>
  <si>
    <t>黄晓明大衣</t>
  </si>
  <si>
    <t xml:space="preserve"> 2020-01-25 08:34:02</t>
  </si>
  <si>
    <t xml:space="preserve"> 2020-01-24 23:52:01</t>
  </si>
  <si>
    <t>除夕夜重庆135位医生奔赴武汉</t>
  </si>
  <si>
    <t xml:space="preserve"> 2020-01-25 11:22:02</t>
  </si>
  <si>
    <t xml:space="preserve"> 2020-01-24 21:42:02</t>
  </si>
  <si>
    <t>河南15辆婚庆车秒变宣传车</t>
  </si>
  <si>
    <t xml:space="preserve"> 2020-01-25 04:24:01</t>
  </si>
  <si>
    <t xml:space="preserve"> 2020-01-24 20:32:01</t>
  </si>
  <si>
    <t>主持人鼻影</t>
  </si>
  <si>
    <t xml:space="preserve"> 2020-01-25 07:14:02</t>
  </si>
  <si>
    <t xml:space="preserve"> 2020-01-24 23:24:02</t>
  </si>
  <si>
    <t>父母爱情 圆满了</t>
  </si>
  <si>
    <t>王俊凯腿好长</t>
  </si>
  <si>
    <t xml:space="preserve"> 2020-01-25 08:46:02</t>
  </si>
  <si>
    <t xml:space="preserve"> 2020-01-24 21:50:02</t>
  </si>
  <si>
    <t>秦岚张若昀演夫妻</t>
  </si>
  <si>
    <t xml:space="preserve"> 2020-01-25 09:38:02</t>
  </si>
  <si>
    <t xml:space="preserve"> 2020-01-24 21:54:02</t>
  </si>
  <si>
    <t>北京累计确诊病例36例</t>
  </si>
  <si>
    <t xml:space="preserve"> 2020-01-25 01:00:02</t>
  </si>
  <si>
    <t xml:space="preserve"> 2020-01-24 21:06:01</t>
  </si>
  <si>
    <t>春晚抗肺炎朗诵看哭了</t>
  </si>
  <si>
    <t xml:space="preserve"> 2020-01-25 08:18:01</t>
  </si>
  <si>
    <t xml:space="preserve"> 2020-01-24 20:00:02</t>
  </si>
  <si>
    <t>央视春晚</t>
  </si>
  <si>
    <t xml:space="preserve"> 2020-01-25 07:28:01</t>
  </si>
  <si>
    <t xml:space="preserve"> 2020-01-24 22:24:02</t>
  </si>
  <si>
    <t>李现比心</t>
  </si>
  <si>
    <t xml:space="preserve"> 2020-01-25 07:20:01</t>
  </si>
  <si>
    <t xml:space="preserve"> 2020-01-24 20:26:02</t>
  </si>
  <si>
    <t>佟丽娅好美</t>
  </si>
  <si>
    <t xml:space="preserve"> 2020-01-25 03:46:02</t>
  </si>
  <si>
    <t xml:space="preserve"> 2020-01-24 21:46:02</t>
  </si>
  <si>
    <t>武汉征集6000台出租车</t>
  </si>
  <si>
    <t xml:space="preserve"> 2020-01-25 09:08:02</t>
  </si>
  <si>
    <t xml:space="preserve"> 2020-01-24 20:04:02</t>
  </si>
  <si>
    <t>武汉小汤山医院定名火神山医院</t>
  </si>
  <si>
    <t xml:space="preserve"> 2020-01-25 12:30:02</t>
  </si>
  <si>
    <t xml:space="preserve"> 2020-01-24 21:20:02</t>
  </si>
  <si>
    <t>拜年</t>
  </si>
  <si>
    <t xml:space="preserve"> 2020-01-25 01:26:01</t>
  </si>
  <si>
    <t xml:space="preserve"> 2020-01-24 23:48:02</t>
  </si>
  <si>
    <t>李宇春站在收割机上唱歌</t>
  </si>
  <si>
    <t xml:space="preserve"> 2020-01-25 10:56:02</t>
  </si>
  <si>
    <t xml:space="preserve"> 2020-01-24 21:26:02</t>
  </si>
  <si>
    <t>马丽沈腾小品应景</t>
  </si>
  <si>
    <t xml:space="preserve"> 2020-01-25 10:10:02</t>
  </si>
  <si>
    <t xml:space="preserve"> 2020-01-24 20:58:01</t>
  </si>
  <si>
    <t>武汉版小汤山工人年夜饭</t>
  </si>
  <si>
    <t xml:space="preserve"> 2020-01-25 07:08:01</t>
  </si>
  <si>
    <t xml:space="preserve"> 2020-01-24 23:58:01</t>
  </si>
  <si>
    <t>新年好</t>
  </si>
  <si>
    <t xml:space="preserve"> 2020-01-25 09:40:02</t>
  </si>
  <si>
    <t xml:space="preserve"> 2020-01-25 00:00:02</t>
  </si>
  <si>
    <t>我的祖国还是得郭兰英来唱</t>
  </si>
  <si>
    <t xml:space="preserve"> 2020-01-25 00:54:02</t>
  </si>
  <si>
    <t xml:space="preserve"> 2020-01-24 22:00:02</t>
  </si>
  <si>
    <t>陈坤好嫩</t>
  </si>
  <si>
    <t xml:space="preserve"> 2020-01-25 00:10:02</t>
  </si>
  <si>
    <t xml:space="preserve"> 2020-01-24 22:46:01</t>
  </si>
  <si>
    <t>黄晓明金靖绕口令</t>
  </si>
  <si>
    <t xml:space="preserve"> 2020-01-25 00:20:02</t>
  </si>
  <si>
    <t xml:space="preserve"> 2020-01-24 22:02:01</t>
  </si>
  <si>
    <t>医护人员隔离缓冲区拜年</t>
  </si>
  <si>
    <t>广西启动一级响应</t>
  </si>
  <si>
    <t xml:space="preserve"> 2020-01-24 17:06:02</t>
  </si>
  <si>
    <t>年夜饭</t>
  </si>
  <si>
    <t xml:space="preserve"> 2020-01-25 00:38:01</t>
  </si>
  <si>
    <t>山东启动一级响应</t>
  </si>
  <si>
    <t xml:space="preserve"> 2020-01-25 00:18:01</t>
  </si>
  <si>
    <t xml:space="preserve"> 2020-01-24 22:16:02</t>
  </si>
  <si>
    <t>首都机场大兴机场将对旅客体温检测</t>
  </si>
  <si>
    <t xml:space="preserve"> 2020-01-25 07:54:02</t>
  </si>
  <si>
    <t xml:space="preserve"> 2020-01-24 21:32:02</t>
  </si>
  <si>
    <t>春晚小品</t>
  </si>
  <si>
    <t xml:space="preserve"> 2020-01-25 04:40:01</t>
  </si>
  <si>
    <t xml:space="preserve"> 2020-01-24 22:12:02</t>
  </si>
  <si>
    <t>春晚魔术</t>
  </si>
  <si>
    <t xml:space="preserve"> 2020-01-25 18:00:02</t>
  </si>
  <si>
    <t>新加坡抵杭州一架航班所有乘客隔离</t>
  </si>
  <si>
    <t xml:space="preserve"> 2020-01-25 19:58:01</t>
  </si>
  <si>
    <t xml:space="preserve"> 2020-01-25 11:44:01</t>
  </si>
  <si>
    <t>陶勇 如果做不了手术可以做研究</t>
  </si>
  <si>
    <t xml:space="preserve"> 2020-01-25 17:32:02</t>
  </si>
  <si>
    <t xml:space="preserve"> 2020-01-25 10:46:02</t>
  </si>
  <si>
    <t>上海民政局取消2月2日结婚登记</t>
  </si>
  <si>
    <t xml:space="preserve"> 2020-01-25 17:58:02</t>
  </si>
  <si>
    <t xml:space="preserve"> 2020-01-25 10:04:01</t>
  </si>
  <si>
    <t>火神山医院将于2月1日建成</t>
  </si>
  <si>
    <t xml:space="preserve"> 2020-01-25 17:28:01</t>
  </si>
  <si>
    <t xml:space="preserve"> 2020-01-25 09:34:02</t>
  </si>
  <si>
    <t>广东发现1起工作同事聚集性疫情</t>
  </si>
  <si>
    <t xml:space="preserve"> 2020-01-25 16:08:02</t>
  </si>
  <si>
    <t xml:space="preserve"> 2020-01-25 08:16:01</t>
  </si>
  <si>
    <t>贾玲的B站老公都在台下坐着呢</t>
  </si>
  <si>
    <t xml:space="preserve"> 2020-01-25 15:50:02</t>
  </si>
  <si>
    <t>重庆累计确诊57例病例</t>
  </si>
  <si>
    <t xml:space="preserve"> 2020-01-25 15:44:02</t>
  </si>
  <si>
    <t xml:space="preserve"> 2020-01-25 07:52:02</t>
  </si>
  <si>
    <t>首个新冠病毒检测试剂盒通过检验</t>
  </si>
  <si>
    <t xml:space="preserve"> 2020-01-25 13:54:02</t>
  </si>
  <si>
    <t xml:space="preserve"> 2020-01-25 11:36:01</t>
  </si>
  <si>
    <t>北京又一名新型肺炎患者痊愈出院</t>
  </si>
  <si>
    <t xml:space="preserve"> 2020-01-25 14:56:01</t>
  </si>
  <si>
    <t xml:space="preserve"> 2020-01-25 11:24:02</t>
  </si>
  <si>
    <t>三所军医大学450人医疗队支援湖北</t>
  </si>
  <si>
    <t xml:space="preserve"> 2020-01-25 15:14:01</t>
  </si>
  <si>
    <t xml:space="preserve"> 2020-01-25 11:34:01</t>
  </si>
  <si>
    <t>替代性创伤</t>
  </si>
  <si>
    <t xml:space="preserve"> 2020-01-25 07:30:02</t>
  </si>
  <si>
    <t>当彭昱畅听到一直单身一直爽</t>
  </si>
  <si>
    <t xml:space="preserve"> 2020-01-25 14:20:01</t>
  </si>
  <si>
    <t xml:space="preserve"> 2020-01-25 11:16:01</t>
  </si>
  <si>
    <t>湖南新增19例新型肺炎确诊病例</t>
  </si>
  <si>
    <t xml:space="preserve"> 2020-01-25 17:00:02</t>
  </si>
  <si>
    <t>李宇春 幸福长流母亲河</t>
  </si>
  <si>
    <t xml:space="preserve"> 2020-01-25 16:28:01</t>
  </si>
  <si>
    <t xml:space="preserve"> 2020-01-25 09:46:01</t>
  </si>
  <si>
    <t>河南新增23例确诊病例</t>
  </si>
  <si>
    <t xml:space="preserve"> 2020-01-25 19:18:01</t>
  </si>
  <si>
    <t xml:space="preserve"> 2020-01-25 11:10:01</t>
  </si>
  <si>
    <t>张天爱好仙</t>
  </si>
  <si>
    <t xml:space="preserve"> 2020-01-25 18:44:02</t>
  </si>
  <si>
    <t>陈总 夫人已经不演您的电影了</t>
  </si>
  <si>
    <t xml:space="preserve"> 2020-01-25 16:02:01</t>
  </si>
  <si>
    <t xml:space="preserve"> 2020-01-25 10:54:01</t>
  </si>
  <si>
    <t>四川新增13例确诊病例</t>
  </si>
  <si>
    <t xml:space="preserve"> 2020-01-25 14:58:01</t>
  </si>
  <si>
    <t xml:space="preserve"> 2020-01-25 01:02:01</t>
  </si>
  <si>
    <t>除夕夜的武汉</t>
  </si>
  <si>
    <t xml:space="preserve"> 2020-01-25 15:32:01</t>
  </si>
  <si>
    <t xml:space="preserve"> 2020-01-25 01:40:01</t>
  </si>
  <si>
    <t>我姥爷不要我了</t>
  </si>
  <si>
    <t xml:space="preserve"> 2020-01-25 19:14:02</t>
  </si>
  <si>
    <t xml:space="preserve"> 2020-01-25 07:16:02</t>
  </si>
  <si>
    <t>佟丽娅口红</t>
  </si>
  <si>
    <t xml:space="preserve"> 2020-01-25 23:18:02</t>
  </si>
  <si>
    <t xml:space="preserve"> 2020-01-25 11:52:01</t>
  </si>
  <si>
    <t>新年吃的第一顿饭是什么</t>
  </si>
  <si>
    <t xml:space="preserve"> 2020-01-25 14:18:01</t>
  </si>
  <si>
    <t>我们一起选择希望</t>
  </si>
  <si>
    <t xml:space="preserve"> 2020-01-25 15:36:02</t>
  </si>
  <si>
    <t xml:space="preserve"> 2020-01-25 09:42:01</t>
  </si>
  <si>
    <t>医生挨个进隔离病房互相打气</t>
  </si>
  <si>
    <t xml:space="preserve"> 2020-01-25 18:58:01</t>
  </si>
  <si>
    <t xml:space="preserve"> 2020-01-25 09:12:02</t>
  </si>
  <si>
    <t>大年初一</t>
  </si>
  <si>
    <t xml:space="preserve"> 2020-01-25 15:28:01</t>
  </si>
  <si>
    <t>追星女孩 募捐</t>
  </si>
  <si>
    <t xml:space="preserve"> 2020-01-25 15:22:01</t>
  </si>
  <si>
    <t xml:space="preserve"> 2020-01-25 07:24:02</t>
  </si>
  <si>
    <t>商务部紧急协调200多万只口罩</t>
  </si>
  <si>
    <t xml:space="preserve"> 2020-01-25 16:14:02</t>
  </si>
  <si>
    <t xml:space="preserve"> 2020-01-25 08:48:02</t>
  </si>
  <si>
    <t>黄晓明说的青岛话</t>
  </si>
  <si>
    <t xml:space="preserve"> 2020-01-25 19:08:02</t>
  </si>
  <si>
    <t>梁武东医生因新冠肺炎去世</t>
  </si>
  <si>
    <t xml:space="preserve"> 2020-02-14 11:26:01</t>
  </si>
  <si>
    <t xml:space="preserve"> 2020-01-24 15:34:01</t>
  </si>
  <si>
    <t>封城日记</t>
  </si>
  <si>
    <t xml:space="preserve"> 2020-01-25 14:32:01</t>
  </si>
  <si>
    <t xml:space="preserve"> 2020-01-25 10:20:01</t>
  </si>
  <si>
    <t>江苏新增9例确诊病例</t>
  </si>
  <si>
    <t xml:space="preserve"> 2020-01-25 15:18:02</t>
  </si>
  <si>
    <t>150名解放军医护人员包机飞武汉</t>
  </si>
  <si>
    <t xml:space="preserve"> 2020-01-25 15:42:02</t>
  </si>
  <si>
    <t>新型肺炎已治愈38例</t>
  </si>
  <si>
    <t xml:space="preserve"> 2020-01-25 14:42:02</t>
  </si>
  <si>
    <t>易烊千玺腰封</t>
  </si>
  <si>
    <t xml:space="preserve"> 2020-01-25 15:40:01</t>
  </si>
  <si>
    <t>湖北累计报告新型肺炎病例729例</t>
  </si>
  <si>
    <t xml:space="preserve"> 2020-01-25 15:04:02</t>
  </si>
  <si>
    <t xml:space="preserve"> 2020-01-25 01:28:02</t>
  </si>
  <si>
    <t>肖战谢娜拥抱</t>
  </si>
  <si>
    <t xml:space="preserve"> 2020-01-25 12:36:01</t>
  </si>
  <si>
    <t xml:space="preserve"> 2020-01-25 10:36:01</t>
  </si>
  <si>
    <t>河北新增6例新型肺炎确诊病例</t>
  </si>
  <si>
    <t xml:space="preserve"> 2020-01-25 14:34:01</t>
  </si>
  <si>
    <t>春节最流行的拜年姿势</t>
  </si>
  <si>
    <t xml:space="preserve"> 2020-01-25 14:22:02</t>
  </si>
  <si>
    <t xml:space="preserve"> 2020-01-25 07:58:02</t>
  </si>
  <si>
    <t>法国确诊2例新型肺炎病例</t>
  </si>
  <si>
    <t xml:space="preserve"> 2020-01-25 12:52:02</t>
  </si>
  <si>
    <t>广东新增25例新型肺炎确诊病例</t>
  </si>
  <si>
    <t>浙江新增19例确诊病例</t>
  </si>
  <si>
    <t xml:space="preserve"> 2020-01-25 13:20:01</t>
  </si>
  <si>
    <t xml:space="preserve"> 2020-01-25 00:12:01</t>
  </si>
  <si>
    <t>那三个TFBOYS都长这么大了吗</t>
  </si>
  <si>
    <t xml:space="preserve"> 2020-01-25 12:48:01</t>
  </si>
  <si>
    <t>口罩不要随便扔</t>
  </si>
  <si>
    <t xml:space="preserve"> 2020-01-25 19:06:02</t>
  </si>
  <si>
    <t xml:space="preserve"> 2020-01-25 12:06:02</t>
  </si>
  <si>
    <t>1月22号K1068次列车4号车厢</t>
  </si>
  <si>
    <t xml:space="preserve"> 2020-01-25 13:26:01</t>
  </si>
  <si>
    <t xml:space="preserve"> 2020-01-25 08:32:02</t>
  </si>
  <si>
    <t>西藏昌都5.1级地震</t>
  </si>
  <si>
    <t xml:space="preserve"> 2020-01-25 12:10:01</t>
  </si>
  <si>
    <t xml:space="preserve"> 2020-01-25 07:10:01</t>
  </si>
  <si>
    <t>土耳其发生6.8级地震</t>
  </si>
  <si>
    <t xml:space="preserve"> 2020-02-12 19:48:02</t>
  </si>
  <si>
    <t xml:space="preserve"> 2020-01-25 17:12:02</t>
  </si>
  <si>
    <t>最新疫情地图</t>
  </si>
  <si>
    <t xml:space="preserve"> 2020-01-26 12:12:01</t>
  </si>
  <si>
    <t xml:space="preserve"> 2020-01-25 23:02:02</t>
  </si>
  <si>
    <t>陈佩斯朱时茂看自己孩子演吃面</t>
  </si>
  <si>
    <t xml:space="preserve"> 2020-01-26 09:58:01</t>
  </si>
  <si>
    <t xml:space="preserve"> 2020-01-25 21:56:02</t>
  </si>
  <si>
    <t>家有儿女 夏雨夏雪夏冰雹</t>
  </si>
  <si>
    <t xml:space="preserve"> 2020-01-26 13:02:01</t>
  </si>
  <si>
    <t xml:space="preserve"> 2020-01-25 22:34:01</t>
  </si>
  <si>
    <t>钟南山说动才动</t>
  </si>
  <si>
    <t xml:space="preserve"> 2020-01-26 13:12:01</t>
  </si>
  <si>
    <t xml:space="preserve"> 2020-01-25 21:46:02</t>
  </si>
  <si>
    <t>中国马蹄蝠</t>
  </si>
  <si>
    <t xml:space="preserve"> 2020-01-26 09:00:02</t>
  </si>
  <si>
    <t xml:space="preserve"> 2020-01-25 21:32:01</t>
  </si>
  <si>
    <t>准备去客厅散散心</t>
  </si>
  <si>
    <t xml:space="preserve"> 2020-01-26 09:24:02</t>
  </si>
  <si>
    <t xml:space="preserve"> 2020-01-25 23:22:02</t>
  </si>
  <si>
    <t>20日吉林JG4666大巴乘客</t>
  </si>
  <si>
    <t xml:space="preserve"> 2020-01-26 10:26:02</t>
  </si>
  <si>
    <t xml:space="preserve"> 2020-01-25 23:16:01</t>
  </si>
  <si>
    <t>张含韵 后妈茶话会</t>
  </si>
  <si>
    <t xml:space="preserve"> 2020-01-26 11:20:02</t>
  </si>
  <si>
    <t xml:space="preserve"> 2020-01-25 23:14:01</t>
  </si>
  <si>
    <t>北京卫视春晚剪辑</t>
  </si>
  <si>
    <t xml:space="preserve"> 2020-01-26 08:02:02</t>
  </si>
  <si>
    <t xml:space="preserve"> 2020-01-25 22:08:02</t>
  </si>
  <si>
    <t>武汉ICU医生的心愿</t>
  </si>
  <si>
    <t xml:space="preserve"> 2020-01-26 10:16:01</t>
  </si>
  <si>
    <t xml:space="preserve"> 2020-01-25 23:48:02</t>
  </si>
  <si>
    <t>武汉人夜晚隔空喊话</t>
  </si>
  <si>
    <t xml:space="preserve"> 2020-01-26 07:48:01</t>
  </si>
  <si>
    <t xml:space="preserve"> 2020-01-25 20:14:02</t>
  </si>
  <si>
    <t>麻将馆马上给我关门</t>
  </si>
  <si>
    <t xml:space="preserve"> 2020-01-26 07:08:02</t>
  </si>
  <si>
    <t>湖南台舞美</t>
  </si>
  <si>
    <t xml:space="preserve"> 2020-01-26 01:48:01</t>
  </si>
  <si>
    <t xml:space="preserve"> 2020-01-25 22:14:01</t>
  </si>
  <si>
    <t>湖北疫情防控举报方式</t>
  </si>
  <si>
    <t xml:space="preserve"> 2020-01-26 10:38:01</t>
  </si>
  <si>
    <t xml:space="preserve"> 2020-01-25 23:34:01</t>
  </si>
  <si>
    <t>延长假期</t>
  </si>
  <si>
    <t xml:space="preserve"> 2020-01-26 13:08:02</t>
  </si>
  <si>
    <t xml:space="preserve"> 2020-01-25 23:06:01</t>
  </si>
  <si>
    <t>我只有五分钟接受采访</t>
  </si>
  <si>
    <t xml:space="preserve"> 2020-01-25 23:04:02</t>
  </si>
  <si>
    <t>爱的迫降 停播</t>
  </si>
  <si>
    <t xml:space="preserve"> 2020-01-26 11:00:02</t>
  </si>
  <si>
    <t xml:space="preserve"> 2020-01-25 20:38:01</t>
  </si>
  <si>
    <t>和平精英崩了</t>
  </si>
  <si>
    <t xml:space="preserve"> 2020-01-25 22:58:02</t>
  </si>
  <si>
    <t>郑爽甜度超标</t>
  </si>
  <si>
    <t xml:space="preserve"> 2020-01-26 10:58:02</t>
  </si>
  <si>
    <t xml:space="preserve"> 2020-01-25 21:54:01</t>
  </si>
  <si>
    <t>微信运动前几名的互删一下</t>
  </si>
  <si>
    <t xml:space="preserve"> 2020-01-26 09:36:02</t>
  </si>
  <si>
    <t>广州城管局副局长被确诊新型肺炎</t>
  </si>
  <si>
    <t xml:space="preserve"> 2020-01-26 09:12:01</t>
  </si>
  <si>
    <t xml:space="preserve"> 2020-01-25 22:40:02</t>
  </si>
  <si>
    <t>香港将疫情应变级别提升至最高级</t>
  </si>
  <si>
    <t xml:space="preserve"> 2020-01-26 11:16:01</t>
  </si>
  <si>
    <t xml:space="preserve"> 2020-01-25 23:08:02</t>
  </si>
  <si>
    <t>这几天我的运动量</t>
  </si>
  <si>
    <t xml:space="preserve"> 2020-01-26 08:32:01</t>
  </si>
  <si>
    <t xml:space="preserve"> 2020-01-25 22:42:02</t>
  </si>
  <si>
    <t>物资如何送进武汉</t>
  </si>
  <si>
    <t xml:space="preserve"> 2020-01-26 11:30:02</t>
  </si>
  <si>
    <t xml:space="preserve"> 2020-01-25 23:32:02</t>
  </si>
  <si>
    <t>自由行</t>
  </si>
  <si>
    <t xml:space="preserve"> 2020-01-26 10:00:01</t>
  </si>
  <si>
    <t xml:space="preserve"> 2020-01-25 21:28:02</t>
  </si>
  <si>
    <t>武汉市内交通部分解禁</t>
  </si>
  <si>
    <t>春节在家真实状态</t>
  </si>
  <si>
    <t xml:space="preserve"> 2020-01-26 13:44:02</t>
  </si>
  <si>
    <t xml:space="preserve"> 2020-01-25 23:58:02</t>
  </si>
  <si>
    <t>东北野味</t>
  </si>
  <si>
    <t xml:space="preserve"> 2020-01-26 08:28:02</t>
  </si>
  <si>
    <t>央视记者武汉vlog</t>
  </si>
  <si>
    <t xml:space="preserve"> 2020-01-26 09:34:02</t>
  </si>
  <si>
    <t xml:space="preserve"> 2020-01-25 20:46:02</t>
  </si>
  <si>
    <t>陶勇医生苏醒</t>
  </si>
  <si>
    <t xml:space="preserve"> 2020-01-26 07:50:01</t>
  </si>
  <si>
    <t>22日深圳ZH4751次航班旅客</t>
  </si>
  <si>
    <t xml:space="preserve"> 2020-01-26 08:48:01</t>
  </si>
  <si>
    <t>苏大强谢广坤 作爹同框</t>
  </si>
  <si>
    <t xml:space="preserve"> 2020-01-26 08:56:02</t>
  </si>
  <si>
    <t xml:space="preserve"> 2020-01-25 19:02:02</t>
  </si>
  <si>
    <t>肺炎症状</t>
  </si>
  <si>
    <t xml:space="preserve"> 2020-01-26 13:34:01</t>
  </si>
  <si>
    <t xml:space="preserve"> 2020-01-26 00:00:02</t>
  </si>
  <si>
    <t>东莞真硬核</t>
  </si>
  <si>
    <t xml:space="preserve"> 2020-01-26 08:30:01</t>
  </si>
  <si>
    <t>家庭版抗疫措施怎么做</t>
  </si>
  <si>
    <t xml:space="preserve"> 2020-01-26 03:30:02</t>
  </si>
  <si>
    <t>青海启动一级响应</t>
  </si>
  <si>
    <t xml:space="preserve"> 2020-01-26 08:44:02</t>
  </si>
  <si>
    <t xml:space="preserve"> 2020-01-25 20:54:02</t>
  </si>
  <si>
    <t>30多种可能对新冠病毒有效药物</t>
  </si>
  <si>
    <t xml:space="preserve"> 2020-01-25 21:52:02</t>
  </si>
  <si>
    <t>和爸妈看肖战</t>
  </si>
  <si>
    <t xml:space="preserve"> 2020-01-26 07:10:02</t>
  </si>
  <si>
    <t xml:space="preserve"> 2020-01-25 19:00:02</t>
  </si>
  <si>
    <t>天津广播 你别太自信了</t>
  </si>
  <si>
    <t xml:space="preserve"> 2020-01-26 07:52:01</t>
  </si>
  <si>
    <t xml:space="preserve"> 2020-01-25 21:44:02</t>
  </si>
  <si>
    <t>全国旅行社团队游全部暂停</t>
  </si>
  <si>
    <t xml:space="preserve"> 2020-01-26 08:34:02</t>
  </si>
  <si>
    <t xml:space="preserve"> 2020-01-25 21:02:01</t>
  </si>
  <si>
    <t>内蒙古7例疑似病例全部确诊</t>
  </si>
  <si>
    <t xml:space="preserve"> 2020-01-26 01:22:02</t>
  </si>
  <si>
    <t xml:space="preserve"> 2020-01-25 22:26:01</t>
  </si>
  <si>
    <t>20日中巴晋C60695乘客</t>
  </si>
  <si>
    <t xml:space="preserve"> 2020-01-26 02:42:01</t>
  </si>
  <si>
    <t>云南新增6例新型肺炎病例</t>
  </si>
  <si>
    <t xml:space="preserve"> 2020-01-26 12:08:01</t>
  </si>
  <si>
    <t>柳叶刀</t>
  </si>
  <si>
    <t xml:space="preserve"> 2020-01-26 07:40:01</t>
  </si>
  <si>
    <t>党中央成立应对疫情领导工作小组</t>
  </si>
  <si>
    <t xml:space="preserve"> 2020-01-26 07:24:02</t>
  </si>
  <si>
    <t xml:space="preserve"> 2020-01-25 20:06:02</t>
  </si>
  <si>
    <t>湖南春晚</t>
  </si>
  <si>
    <t xml:space="preserve"> 2020-01-26 07:20:01</t>
  </si>
  <si>
    <t xml:space="preserve"> 2020-01-25 18:26:02</t>
  </si>
  <si>
    <t>火神山 雷神山</t>
  </si>
  <si>
    <t xml:space="preserve"> 2020-01-26 15:38:02</t>
  </si>
  <si>
    <t xml:space="preserve"> 2020-01-26 07:12:01</t>
  </si>
  <si>
    <t>传染病学专家表示疫情已刻不容缓</t>
  </si>
  <si>
    <t xml:space="preserve"> 2020-01-26 17:38:02</t>
  </si>
  <si>
    <t xml:space="preserve"> 2020-01-26 11:06:02</t>
  </si>
  <si>
    <t>大年初一全国票房仅181万</t>
  </si>
  <si>
    <t xml:space="preserve"> 2020-01-26 22:00:01</t>
  </si>
  <si>
    <t xml:space="preserve"> 2020-01-26 10:02:02</t>
  </si>
  <si>
    <t>多所高校延期开学</t>
  </si>
  <si>
    <t xml:space="preserve"> 2020-01-26 18:32:01</t>
  </si>
  <si>
    <t xml:space="preserve"> 2020-01-26 10:28:02</t>
  </si>
  <si>
    <t>明星捐款</t>
  </si>
  <si>
    <t xml:space="preserve"> 2020-01-26 18:16:01</t>
  </si>
  <si>
    <t xml:space="preserve"> 2020-01-26 11:34:02</t>
  </si>
  <si>
    <t>武汉现状</t>
  </si>
  <si>
    <t xml:space="preserve"> 2020-01-26 14:48:02</t>
  </si>
  <si>
    <t>武汉病毒核酸日检测量预计可达2000份</t>
  </si>
  <si>
    <t xml:space="preserve"> 2020-01-26 16:50:01</t>
  </si>
  <si>
    <t xml:space="preserve"> 2020-01-26 11:02:02</t>
  </si>
  <si>
    <t>野生动物有多少病毒</t>
  </si>
  <si>
    <t xml:space="preserve"> 2020-01-26 16:04:02</t>
  </si>
  <si>
    <t xml:space="preserve"> 2020-01-26 11:08:01</t>
  </si>
  <si>
    <t>北电中戏推迟艺考时间</t>
  </si>
  <si>
    <t xml:space="preserve"> 2020-01-26 15:06:01</t>
  </si>
  <si>
    <t>上海出现首例死亡病例</t>
  </si>
  <si>
    <t xml:space="preserve"> 2020-01-26 15:50:01</t>
  </si>
  <si>
    <t xml:space="preserve"> 2020-01-26 11:28:02</t>
  </si>
  <si>
    <t>广东汕头禁止车辆船只人员进入</t>
  </si>
  <si>
    <t xml:space="preserve"> 2020-01-26 15:42:01</t>
  </si>
  <si>
    <t xml:space="preserve"> 2020-01-26 11:46:01</t>
  </si>
  <si>
    <t>UP主实拍武汉</t>
  </si>
  <si>
    <t xml:space="preserve"> 2020-01-26 15:44:02</t>
  </si>
  <si>
    <t xml:space="preserve"> 2020-01-26 11:50:01</t>
  </si>
  <si>
    <t>口罩4小时用完后怎么处理</t>
  </si>
  <si>
    <t xml:space="preserve"> 2020-01-26 14:12:02</t>
  </si>
  <si>
    <t>24日武汉开往梅州D3286次乘客</t>
  </si>
  <si>
    <t xml:space="preserve"> 2020-01-26 13:00:02</t>
  </si>
  <si>
    <t>广东多地取消2月2日婚姻登记</t>
  </si>
  <si>
    <t xml:space="preserve"> 2020-03-21 17:48:02</t>
  </si>
  <si>
    <t xml:space="preserve"> 2020-01-26 10:44:02</t>
  </si>
  <si>
    <t>韩红</t>
  </si>
  <si>
    <t xml:space="preserve"> 2020-01-26 11:12:01</t>
  </si>
  <si>
    <t>口罩标准</t>
  </si>
  <si>
    <t xml:space="preserve"> 2020-01-26 14:54:01</t>
  </si>
  <si>
    <t>上海81套人工心肺发往武汉</t>
  </si>
  <si>
    <t xml:space="preserve"> 2020-01-26 16:10:02</t>
  </si>
  <si>
    <t>消毒液</t>
  </si>
  <si>
    <t xml:space="preserve"> 2020-01-26 14:14:02</t>
  </si>
  <si>
    <t>一动不动 按兵不动</t>
  </si>
  <si>
    <t xml:space="preserve"> 2020-01-26 15:04:01</t>
  </si>
  <si>
    <t>山西染病中巴乘客全部找到</t>
  </si>
  <si>
    <t>徐峥粉色夹克</t>
  </si>
  <si>
    <t xml:space="preserve"> 2020-01-27 07:20:02</t>
  </si>
  <si>
    <t xml:space="preserve"> 2020-01-26 11:36:02</t>
  </si>
  <si>
    <t>詹姆斯得分超科比</t>
  </si>
  <si>
    <t xml:space="preserve"> 2020-01-26 14:26:01</t>
  </si>
  <si>
    <t xml:space="preserve"> 2020-01-26 08:42:02</t>
  </si>
  <si>
    <t>河南新增51例确诊病例</t>
  </si>
  <si>
    <t xml:space="preserve"> 2020-01-26 14:10:02</t>
  </si>
  <si>
    <t xml:space="preserve"> 2020-01-26 07:22:01</t>
  </si>
  <si>
    <t>北京三名医生感染新型肺炎</t>
  </si>
  <si>
    <t xml:space="preserve"> 2020-01-26 16:00:02</t>
  </si>
  <si>
    <t xml:space="preserve"> 2020-01-26 09:02:02</t>
  </si>
  <si>
    <t>大年初二</t>
  </si>
  <si>
    <t xml:space="preserve"> 2020-01-26 14:18:01</t>
  </si>
  <si>
    <t xml:space="preserve"> 2020-01-26 08:06:02</t>
  </si>
  <si>
    <t>沈腾努力一本正经</t>
  </si>
  <si>
    <t xml:space="preserve"> 2020-01-26 14:22:02</t>
  </si>
  <si>
    <t>河南村庄为阻走亲友挖掘机断路</t>
  </si>
  <si>
    <t xml:space="preserve"> 2020-01-26 14:06:01</t>
  </si>
  <si>
    <t>抗艾滋病药物可试用新型肺炎</t>
  </si>
  <si>
    <t xml:space="preserve"> 2020-01-26 10:46:02</t>
  </si>
  <si>
    <t>湖南新增重症病例6例</t>
  </si>
  <si>
    <t>医生请战书上的5个感叹号</t>
  </si>
  <si>
    <t xml:space="preserve"> 2020-01-26 14:30:02</t>
  </si>
  <si>
    <t>浙江新增42例确诊病例</t>
  </si>
  <si>
    <t xml:space="preserve"> 2020-01-26 12:46:01</t>
  </si>
  <si>
    <t>四川新增新型肺炎16例</t>
  </si>
  <si>
    <t xml:space="preserve"> 2020-01-26 13:20:02</t>
  </si>
  <si>
    <t>黄冈版小汤山医院</t>
  </si>
  <si>
    <t>广东新增新型肺炎20例</t>
  </si>
  <si>
    <t xml:space="preserve"> 2020-01-26 13:14:01</t>
  </si>
  <si>
    <t>宣传标语也太硬核了</t>
  </si>
  <si>
    <t xml:space="preserve"> 2020-01-26 12:16:02</t>
  </si>
  <si>
    <t xml:space="preserve"> 2020-01-26 07:42:01</t>
  </si>
  <si>
    <t>武汉一餐馆24小时为医护人员送餐</t>
  </si>
  <si>
    <t xml:space="preserve"> 2020-01-26 15:26:02</t>
  </si>
  <si>
    <t>你家今年取消拜年了吗</t>
  </si>
  <si>
    <t xml:space="preserve"> 2020-01-26 12:14:02</t>
  </si>
  <si>
    <t>湖北累计新型肺炎1052例</t>
  </si>
  <si>
    <t xml:space="preserve"> 2020-01-26 12:32:01</t>
  </si>
  <si>
    <t>医护人员发放临时性工作补助</t>
  </si>
  <si>
    <t xml:space="preserve"> 2020-01-27 12:48:01</t>
  </si>
  <si>
    <t xml:space="preserve"> 2020-01-26 22:44:02</t>
  </si>
  <si>
    <t>500万人离开武汉</t>
  </si>
  <si>
    <t xml:space="preserve"> 2020-01-27 12:06:02</t>
  </si>
  <si>
    <t xml:space="preserve"> 2020-01-26 23:06:01</t>
  </si>
  <si>
    <t>湖北省长表示痛心内疚自责</t>
  </si>
  <si>
    <t xml:space="preserve"> 2020-01-27 09:54:01</t>
  </si>
  <si>
    <t xml:space="preserve"> 2020-01-26 21:50:01</t>
  </si>
  <si>
    <t>华南海鲜市场存在大量新冠病毒</t>
  </si>
  <si>
    <t xml:space="preserve"> 2020-01-27 10:22:01</t>
  </si>
  <si>
    <t xml:space="preserve"> 2020-01-26 22:24:02</t>
  </si>
  <si>
    <t>武汉确诊病例可能再增加约1000例</t>
  </si>
  <si>
    <t xml:space="preserve"> 2020-01-27 11:04:01</t>
  </si>
  <si>
    <t xml:space="preserve"> 2020-01-26 23:20:02</t>
  </si>
  <si>
    <t>9个月婴儿新型肺炎病例</t>
  </si>
  <si>
    <t xml:space="preserve"> 2020-01-27 08:42:02</t>
  </si>
  <si>
    <t xml:space="preserve"> 2020-01-26 19:16:02</t>
  </si>
  <si>
    <t>这19列车次车厢内有新型肺炎患者</t>
  </si>
  <si>
    <t xml:space="preserve"> 2020-01-27 09:32:01</t>
  </si>
  <si>
    <t xml:space="preserve"> 2020-01-26 19:54:02</t>
  </si>
  <si>
    <t>快乐大本营取消播出</t>
  </si>
  <si>
    <t xml:space="preserve"> 2020-01-27 05:08:01</t>
  </si>
  <si>
    <t xml:space="preserve"> 2020-01-26 17:10:02</t>
  </si>
  <si>
    <t>北京大中小学幼儿园延期开学</t>
  </si>
  <si>
    <t xml:space="preserve"> 2020-01-27 09:44:01</t>
  </si>
  <si>
    <t xml:space="preserve"> 2020-01-26 18:46:02</t>
  </si>
  <si>
    <t>万万没想到这个问题会成真</t>
  </si>
  <si>
    <t xml:space="preserve"> 2020-01-27 09:30:02</t>
  </si>
  <si>
    <t xml:space="preserve"> 2020-01-26 19:14:01</t>
  </si>
  <si>
    <t>武汉火神山医院第一间病房建成</t>
  </si>
  <si>
    <t xml:space="preserve"> 2020-01-27 08:06:02</t>
  </si>
  <si>
    <t xml:space="preserve"> 2020-01-26 19:34:02</t>
  </si>
  <si>
    <t>延假期 晚开学 少开会</t>
  </si>
  <si>
    <t xml:space="preserve"> 2020-01-27 08:32:01</t>
  </si>
  <si>
    <t xml:space="preserve"> 2020-01-26 20:18:02</t>
  </si>
  <si>
    <t>今晚没有白岩松对话钟南山</t>
  </si>
  <si>
    <t xml:space="preserve"> 2020-01-27 09:20:01</t>
  </si>
  <si>
    <t xml:space="preserve"> 2020-01-26 22:08:02</t>
  </si>
  <si>
    <t>武汉协和医护人员临床症状得到控制</t>
  </si>
  <si>
    <t xml:space="preserve"> 2020-01-27 11:44:02</t>
  </si>
  <si>
    <t xml:space="preserve"> 2020-01-26 22:42:01</t>
  </si>
  <si>
    <t>散装江苏</t>
  </si>
  <si>
    <t xml:space="preserve"> 2020-01-27 12:14:02</t>
  </si>
  <si>
    <t xml:space="preserve"> 2020-01-26 22:16:02</t>
  </si>
  <si>
    <t>韩红更新捐款名单</t>
  </si>
  <si>
    <t xml:space="preserve"> 2020-01-27 09:52:02</t>
  </si>
  <si>
    <t xml:space="preserve"> 2020-01-26 22:32:02</t>
  </si>
  <si>
    <t>武汉市长戴口罩召开新闻发布会</t>
  </si>
  <si>
    <t xml:space="preserve"> 2020-01-27 09:56:02</t>
  </si>
  <si>
    <t xml:space="preserve"> 2020-01-26 21:58:02</t>
  </si>
  <si>
    <t>北大清华推迟春季开学时间</t>
  </si>
  <si>
    <t xml:space="preserve"> 2020-01-27 10:06:01</t>
  </si>
  <si>
    <t xml:space="preserve"> 2020-01-26 20:30:02</t>
  </si>
  <si>
    <t>首座假期延长城市</t>
  </si>
  <si>
    <t xml:space="preserve"> 2020-01-26 22:30:02</t>
  </si>
  <si>
    <t>体会到了嫔妃们被禁足的滋味</t>
  </si>
  <si>
    <t xml:space="preserve"> 2020-01-26 21:44:02</t>
  </si>
  <si>
    <t>本草大药房</t>
  </si>
  <si>
    <t xml:space="preserve"> 2020-01-27 08:30:02</t>
  </si>
  <si>
    <t>青瓦台</t>
  </si>
  <si>
    <t xml:space="preserve"> 2020-01-26 22:22:02</t>
  </si>
  <si>
    <t>药店10倍价格卖口罩被查处</t>
  </si>
  <si>
    <t xml:space="preserve"> 2020-01-27 09:40:01</t>
  </si>
  <si>
    <t>过年坐个素月子</t>
  </si>
  <si>
    <t xml:space="preserve"> 2020-01-26 21:52:01</t>
  </si>
  <si>
    <t>宋茜演技</t>
  </si>
  <si>
    <t xml:space="preserve"> 2020-01-27 09:24:01</t>
  </si>
  <si>
    <t xml:space="preserve"> 2020-01-26 20:20:01</t>
  </si>
  <si>
    <t>无锡密切接触者拒不配合被强制隔离</t>
  </si>
  <si>
    <t xml:space="preserve"> 2020-02-24 11:34:01</t>
  </si>
  <si>
    <t xml:space="preserve"> 2020-01-26 18:54:01</t>
  </si>
  <si>
    <t>日本</t>
  </si>
  <si>
    <t xml:space="preserve"> 2020-01-26 18:28:01</t>
  </si>
  <si>
    <t>叶问次子去世</t>
  </si>
  <si>
    <t xml:space="preserve"> 2020-01-27 09:22:01</t>
  </si>
  <si>
    <t xml:space="preserve"> 2020-01-26 19:28:02</t>
  </si>
  <si>
    <t>让福建人试着说一句防护服</t>
  </si>
  <si>
    <t xml:space="preserve"> 2020-01-27 02:34:02</t>
  </si>
  <si>
    <t xml:space="preserve"> 2020-01-26 23:44:02</t>
  </si>
  <si>
    <t>云南新增5例确诊病例</t>
  </si>
  <si>
    <t xml:space="preserve"> 2020-01-26 23:54:01</t>
  </si>
  <si>
    <t>新相亲大会金鑫</t>
  </si>
  <si>
    <t xml:space="preserve"> 2020-03-01 23:02:02</t>
  </si>
  <si>
    <t>新相亲大会</t>
  </si>
  <si>
    <t xml:space="preserve"> 2020-01-27 09:00:02</t>
  </si>
  <si>
    <t xml:space="preserve"> 2020-01-26 19:46:02</t>
  </si>
  <si>
    <t>北京市不封城</t>
  </si>
  <si>
    <t xml:space="preserve"> 2020-02-18 15:30:01</t>
  </si>
  <si>
    <t xml:space="preserve"> 2020-01-26 20:24:02</t>
  </si>
  <si>
    <t>下一站是幸福</t>
  </si>
  <si>
    <t xml:space="preserve"> 2020-01-26 20:32:02</t>
  </si>
  <si>
    <t>买10万只口罩租车运回家乡</t>
  </si>
  <si>
    <t xml:space="preserve"> 2020-01-27 08:46:01</t>
  </si>
  <si>
    <t xml:space="preserve"> 2020-01-26 21:02:02</t>
  </si>
  <si>
    <t>雷神山医院工人没谈报酬就赶到工地</t>
  </si>
  <si>
    <t xml:space="preserve"> 2020-01-26 22:28:01</t>
  </si>
  <si>
    <t>孟鹤堂周九良晋级</t>
  </si>
  <si>
    <t xml:space="preserve"> 2020-01-26 17:48:01</t>
  </si>
  <si>
    <t>村官隐瞒4家属从武汉来被免职</t>
  </si>
  <si>
    <t xml:space="preserve"> 2020-01-27 08:36:02</t>
  </si>
  <si>
    <t xml:space="preserve"> 2020-01-26 17:54:02</t>
  </si>
  <si>
    <t>丁凯乐</t>
  </si>
  <si>
    <t xml:space="preserve"> 2020-01-27 02:46:02</t>
  </si>
  <si>
    <t xml:space="preserve"> 2020-01-26 17:16:02</t>
  </si>
  <si>
    <t>患者确诊前坐遍青岛所有地铁</t>
  </si>
  <si>
    <t xml:space="preserve"> 2020-01-27 07:34:02</t>
  </si>
  <si>
    <t>适当延长春节假期</t>
  </si>
  <si>
    <t xml:space="preserve"> 2020-01-27 07:46:01</t>
  </si>
  <si>
    <t>华为向武汉捐赠3000万</t>
  </si>
  <si>
    <t xml:space="preserve"> 2020-01-27 08:08:01</t>
  </si>
  <si>
    <t xml:space="preserve"> 2020-01-26 21:16:02</t>
  </si>
  <si>
    <t>内蒙古30吨马铃薯驰援武汉</t>
  </si>
  <si>
    <t xml:space="preserve"> 2020-01-27 08:14:02</t>
  </si>
  <si>
    <t xml:space="preserve"> 2020-01-26 19:58:01</t>
  </si>
  <si>
    <t>葡萄干</t>
  </si>
  <si>
    <t xml:space="preserve"> 2020-01-27 02:30:01</t>
  </si>
  <si>
    <t xml:space="preserve"> 2020-01-26 14:32:02</t>
  </si>
  <si>
    <t>香港迪士尼乐园及海洋公园暂停开放</t>
  </si>
  <si>
    <t xml:space="preserve"> 2020-01-27 04:04:01</t>
  </si>
  <si>
    <t xml:space="preserve"> 2020-01-26 16:06:02</t>
  </si>
  <si>
    <t>十四冬推迟</t>
  </si>
  <si>
    <t xml:space="preserve"> 2020-01-27 05:30:01</t>
  </si>
  <si>
    <t xml:space="preserve"> 2020-01-26 17:32:02</t>
  </si>
  <si>
    <t>费德勒 澳网</t>
  </si>
  <si>
    <t xml:space="preserve"> 2020-01-27 08:56:01</t>
  </si>
  <si>
    <t>武汉</t>
  </si>
  <si>
    <t xml:space="preserve"> 2020-01-27 19:18:01</t>
  </si>
  <si>
    <t xml:space="preserve"> 2020-01-27 10:42:02</t>
  </si>
  <si>
    <t>安徽出现聚集性疫情</t>
  </si>
  <si>
    <t xml:space="preserve"> 2020-01-27 18:14:02</t>
  </si>
  <si>
    <t>浙江成功分离到新型冠状病毒毒株</t>
  </si>
  <si>
    <t xml:space="preserve"> 2020-01-28 03:20:02</t>
  </si>
  <si>
    <t xml:space="preserve"> 2020-01-27 11:18:02</t>
  </si>
  <si>
    <t>科比直升机失事原因</t>
  </si>
  <si>
    <t xml:space="preserve"> 2020-01-27 18:50:02</t>
  </si>
  <si>
    <t xml:space="preserve"> 2020-01-27 10:26:01</t>
  </si>
  <si>
    <t>我不想成为下一个乔丹</t>
  </si>
  <si>
    <t xml:space="preserve"> 2020-01-27 18:04:02</t>
  </si>
  <si>
    <t>全国累计确诊新型肺炎2744例</t>
  </si>
  <si>
    <t xml:space="preserve"> 2020-01-27 20:36:01</t>
  </si>
  <si>
    <t xml:space="preserve"> 2020-01-27 11:50:01</t>
  </si>
  <si>
    <t>总理来武汉</t>
  </si>
  <si>
    <t xml:space="preserve"> 2020-01-28 06:30:01</t>
  </si>
  <si>
    <t xml:space="preserve"> 2020-01-27 07:24:02</t>
  </si>
  <si>
    <t>詹姆斯得知科比去世泪崩</t>
  </si>
  <si>
    <t xml:space="preserve"> 2020-01-28 04:22:02</t>
  </si>
  <si>
    <t xml:space="preserve"> 2020-01-27 08:44:02</t>
  </si>
  <si>
    <t>可以重启2020吗</t>
  </si>
  <si>
    <t xml:space="preserve"> 2020-01-28 07:04:01</t>
  </si>
  <si>
    <t xml:space="preserve"> 2020-01-27 07:06:02</t>
  </si>
  <si>
    <t>科比去世</t>
  </si>
  <si>
    <t xml:space="preserve"> 2020-01-27 16:10:02</t>
  </si>
  <si>
    <t>无聊到跟Siri玩成语接龙</t>
  </si>
  <si>
    <t xml:space="preserve"> 2020-01-27 13:52:02</t>
  </si>
  <si>
    <t>凌晨四点的洛杉矶</t>
  </si>
  <si>
    <t xml:space="preserve"> 2020-01-27 16:04:02</t>
  </si>
  <si>
    <t xml:space="preserve"> 2020-01-27 11:46:02</t>
  </si>
  <si>
    <t>格莱美现场悬挂科比球衣</t>
  </si>
  <si>
    <t xml:space="preserve"> 2020-01-27 18:02:02</t>
  </si>
  <si>
    <t>格莱美</t>
  </si>
  <si>
    <t xml:space="preserve"> 2020-01-27 12:44:02</t>
  </si>
  <si>
    <t xml:space="preserve"> 2020-01-27 10:50:01</t>
  </si>
  <si>
    <t>香港确诊病例增至8例</t>
  </si>
  <si>
    <t xml:space="preserve"> 2020-01-28 07:16:01</t>
  </si>
  <si>
    <t xml:space="preserve"> 2020-01-27 11:10:01</t>
  </si>
  <si>
    <t>湖北3名干部防控疫情不力被查处</t>
  </si>
  <si>
    <t xml:space="preserve"> 2020-01-28 05:24:02</t>
  </si>
  <si>
    <t xml:space="preserve"> 2020-01-27 07:52:01</t>
  </si>
  <si>
    <t>还没和詹姆斯儿子恋爱</t>
  </si>
  <si>
    <t xml:space="preserve"> 2020-01-27 16:20:01</t>
  </si>
  <si>
    <t xml:space="preserve"> 2020-01-27 10:14:02</t>
  </si>
  <si>
    <t>武汉民宗委原主任去世</t>
  </si>
  <si>
    <t xml:space="preserve"> 2020-01-27 18:40:01</t>
  </si>
  <si>
    <t>清华博士宅在家给猫讲函数</t>
  </si>
  <si>
    <t xml:space="preserve"> 2020-01-27 17:44:02</t>
  </si>
  <si>
    <t xml:space="preserve"> 2020-01-27 09:08:02</t>
  </si>
  <si>
    <t>强行带疑染新型肺炎孩子离境被捕</t>
  </si>
  <si>
    <t xml:space="preserve"> 2020-01-27 13:04:02</t>
  </si>
  <si>
    <t xml:space="preserve"> 2020-01-27 11:12:02</t>
  </si>
  <si>
    <t>16日乘晋M81162客车乘客</t>
  </si>
  <si>
    <t xml:space="preserve"> 2020-01-27 13:34:02</t>
  </si>
  <si>
    <t>防弹少年团 格莱美</t>
  </si>
  <si>
    <t xml:space="preserve"> 2020-01-27 12:50:02</t>
  </si>
  <si>
    <t xml:space="preserve"> 2020-01-27 09:36:01</t>
  </si>
  <si>
    <t>交通部要求各地公路交通不中断</t>
  </si>
  <si>
    <t xml:space="preserve"> 2020-01-27 13:48:01</t>
  </si>
  <si>
    <t>戴口罩自拍大赛</t>
  </si>
  <si>
    <t xml:space="preserve"> 2020-01-27 13:40:01</t>
  </si>
  <si>
    <t>16日国航CA8275航班乘客</t>
  </si>
  <si>
    <t xml:space="preserve"> 2020-01-27 14:30:02</t>
  </si>
  <si>
    <t>长发护士抗击疫情剪光头</t>
  </si>
  <si>
    <t xml:space="preserve"> 2020-01-27 13:16:02</t>
  </si>
  <si>
    <t>手机打碟大赛</t>
  </si>
  <si>
    <t xml:space="preserve"> 2020-01-27 13:46:01</t>
  </si>
  <si>
    <t>武汉开设1元店供应1元蔬菜</t>
  </si>
  <si>
    <t xml:space="preserve"> 2020-01-27 14:38:02</t>
  </si>
  <si>
    <t xml:space="preserve"> 2020-01-27 09:58:02</t>
  </si>
  <si>
    <t>亲爱的篮球</t>
  </si>
  <si>
    <t xml:space="preserve"> 2020-01-27 13:10:01</t>
  </si>
  <si>
    <t xml:space="preserve"> 2020-01-27 11:42:02</t>
  </si>
  <si>
    <t>卫健委疫情防控发布会</t>
  </si>
  <si>
    <t xml:space="preserve"> 2020-01-27 12:34:02</t>
  </si>
  <si>
    <t xml:space="preserve"> 2020-01-27 11:00:02</t>
  </si>
  <si>
    <t>浙江暂停省际道路客运</t>
  </si>
  <si>
    <t>重庆暂停省际道路客运班车</t>
  </si>
  <si>
    <t xml:space="preserve"> 2020-01-27 08:58:02</t>
  </si>
  <si>
    <t>河南累计确诊新型肺炎增至128例</t>
  </si>
  <si>
    <t xml:space="preserve"> 2020-01-27 02:50:02</t>
  </si>
  <si>
    <t>春节假期延长至2月2日</t>
  </si>
  <si>
    <t xml:space="preserve"> 2020-01-27 13:32:02</t>
  </si>
  <si>
    <t>宋威龙</t>
  </si>
  <si>
    <t xml:space="preserve"> 2020-01-27 13:20:02</t>
  </si>
  <si>
    <t>上海累计确诊53例新型肺炎</t>
  </si>
  <si>
    <t xml:space="preserve"> 2020-01-27 13:30:01</t>
  </si>
  <si>
    <t>武汉市民客厅跳广场舞解压</t>
  </si>
  <si>
    <t xml:space="preserve"> 2020-01-27 08:10:01</t>
  </si>
  <si>
    <t>无聊时喜欢的人都不找你</t>
  </si>
  <si>
    <t xml:space="preserve"> 2020-01-27 16:06:02</t>
  </si>
  <si>
    <t>火车票免费退票措施</t>
  </si>
  <si>
    <t xml:space="preserve"> 2020-01-27 12:58:02</t>
  </si>
  <si>
    <t xml:space="preserve"> 2019-11-02 13:22:01</t>
  </si>
  <si>
    <t>雅思</t>
  </si>
  <si>
    <t xml:space="preserve"> 2020-01-27 20:14:01</t>
  </si>
  <si>
    <t xml:space="preserve"> 2020-01-27 12:08:02</t>
  </si>
  <si>
    <t>郎朗吉娜 格莱美</t>
  </si>
  <si>
    <t xml:space="preserve"> 2020-01-27 20:00:02</t>
  </si>
  <si>
    <t>河南村长</t>
  </si>
  <si>
    <t>交通委表示北京不会封城</t>
  </si>
  <si>
    <t>发改委下达3亿元支持疫情应对</t>
  </si>
  <si>
    <t xml:space="preserve"> 2020-01-28 07:46:02</t>
  </si>
  <si>
    <t xml:space="preserve"> 2020-01-27 07:56:02</t>
  </si>
  <si>
    <t>NBA悼念科比</t>
  </si>
  <si>
    <t>黑曼巴精神</t>
  </si>
  <si>
    <t xml:space="preserve"> 2020-01-28 13:24:02</t>
  </si>
  <si>
    <t xml:space="preserve"> 2020-01-27 22:38:01</t>
  </si>
  <si>
    <t>专家回应假期是否需再延长</t>
  </si>
  <si>
    <t>抗病毒喷剂</t>
  </si>
  <si>
    <t xml:space="preserve"> 2020-01-28 12:16:02</t>
  </si>
  <si>
    <t xml:space="preserve"> 2020-01-27 22:48:02</t>
  </si>
  <si>
    <t>开窗唱歌可能传播病毒</t>
  </si>
  <si>
    <t xml:space="preserve"> 2020-02-02 12:26:02</t>
  </si>
  <si>
    <t xml:space="preserve"> 2020-01-27 21:48:02</t>
  </si>
  <si>
    <t>白岩松</t>
  </si>
  <si>
    <t xml:space="preserve"> 2020-01-28 11:30:02</t>
  </si>
  <si>
    <t xml:space="preserve"> 2020-01-27 22:40:02</t>
  </si>
  <si>
    <t>西藏启动二级响应</t>
  </si>
  <si>
    <t xml:space="preserve"> 2020-01-28 12:56:01</t>
  </si>
  <si>
    <t xml:space="preserve"> 2020-01-27 23:36:02</t>
  </si>
  <si>
    <t>教育部通知延期开学</t>
  </si>
  <si>
    <t xml:space="preserve"> 2020-01-28 11:40:02</t>
  </si>
  <si>
    <t xml:space="preserve"> 2020-01-27 23:08:01</t>
  </si>
  <si>
    <t>塔利班击落美CIA客机</t>
  </si>
  <si>
    <t xml:space="preserve"> 2020-01-28 11:06:02</t>
  </si>
  <si>
    <t xml:space="preserve"> 2020-01-27 21:10:02</t>
  </si>
  <si>
    <t>广东首株新型冠状病毒毒株分离</t>
  </si>
  <si>
    <t xml:space="preserve"> 2020-01-28 12:00:02</t>
  </si>
  <si>
    <t xml:space="preserve"> 2020-01-27 23:38:01</t>
  </si>
  <si>
    <t>全国指定接待湖北游客酒店信息</t>
  </si>
  <si>
    <t xml:space="preserve"> 2020-01-28 10:00:02</t>
  </si>
  <si>
    <t xml:space="preserve"> 2020-01-27 21:54:01</t>
  </si>
  <si>
    <t>深圳又一例确诊病例治愈出院</t>
  </si>
  <si>
    <t xml:space="preserve"> 2020-01-28 09:38:01</t>
  </si>
  <si>
    <t xml:space="preserve"> 2020-01-27 18:16:02</t>
  </si>
  <si>
    <t>阿富汗航班坠毁</t>
  </si>
  <si>
    <t xml:space="preserve"> 2020-01-28 01:06:01</t>
  </si>
  <si>
    <t xml:space="preserve"> 2020-01-27 22:06:02</t>
  </si>
  <si>
    <t>湖北开设床位10万张</t>
  </si>
  <si>
    <t xml:space="preserve"> 2020-01-28 05:26:01</t>
  </si>
  <si>
    <t xml:space="preserve"> 2020-01-27 20:16:02</t>
  </si>
  <si>
    <t>黑龙江暂停全部省际包车客运</t>
  </si>
  <si>
    <t xml:space="preserve"> 2020-01-28 13:12:01</t>
  </si>
  <si>
    <t xml:space="preserve"> 2020-01-27 22:58:02</t>
  </si>
  <si>
    <t>科比录音</t>
  </si>
  <si>
    <t xml:space="preserve"> 2020-01-28 10:02:02</t>
  </si>
  <si>
    <t xml:space="preserve"> 2020-01-27 21:26:01</t>
  </si>
  <si>
    <t>玩吧崩了</t>
  </si>
  <si>
    <t xml:space="preserve"> 2020-01-28 11:22:02</t>
  </si>
  <si>
    <t xml:space="preserve"> 2020-01-27 15:28:02</t>
  </si>
  <si>
    <t>科比老婆</t>
  </si>
  <si>
    <t xml:space="preserve"> 2020-01-28 12:04:01</t>
  </si>
  <si>
    <t xml:space="preserve"> 2020-01-27 21:44:02</t>
  </si>
  <si>
    <t>宋茜宋威龙CP感</t>
  </si>
  <si>
    <t xml:space="preserve"> 2020-01-28 12:44:02</t>
  </si>
  <si>
    <t xml:space="preserve"> 2020-01-27 22:24:02</t>
  </si>
  <si>
    <t>在客厅都能干什么</t>
  </si>
  <si>
    <t xml:space="preserve"> 2020-01-28 13:32:02</t>
  </si>
  <si>
    <t xml:space="preserve"> 2020-01-27 18:06:01</t>
  </si>
  <si>
    <t>余甜</t>
  </si>
  <si>
    <t xml:space="preserve"> 2020-02-26 11:12:02</t>
  </si>
  <si>
    <t xml:space="preserve"> 2020-01-27 22:42:01</t>
  </si>
  <si>
    <t>浪漫医生金师傅</t>
  </si>
  <si>
    <t xml:space="preserve"> 2020-01-28 11:28:01</t>
  </si>
  <si>
    <t>北京高三统考或将营造不见面环境</t>
  </si>
  <si>
    <t xml:space="preserve"> 2020-01-28 10:44:02</t>
  </si>
  <si>
    <t xml:space="preserve"> 2020-01-27 20:52:02</t>
  </si>
  <si>
    <t>巴基斯坦出现5例疑似病例</t>
  </si>
  <si>
    <t xml:space="preserve"> 2020-01-28 10:38:02</t>
  </si>
  <si>
    <t xml:space="preserve"> 2020-01-27 22:46:02</t>
  </si>
  <si>
    <t>柬埔寨首例确诊病例</t>
  </si>
  <si>
    <t xml:space="preserve"> 2020-01-28 11:04:02</t>
  </si>
  <si>
    <t xml:space="preserve"> 2020-01-27 18:26:02</t>
  </si>
  <si>
    <t>女儿举报父母外出打牌聚会</t>
  </si>
  <si>
    <t xml:space="preserve"> 2020-01-28 11:38:02</t>
  </si>
  <si>
    <t xml:space="preserve"> 2020-01-27 23:54:01</t>
  </si>
  <si>
    <t>江苏省2月17日前不开学</t>
  </si>
  <si>
    <t xml:space="preserve"> 2020-01-27 19:00:02</t>
  </si>
  <si>
    <t>海南首例新型肺炎病例死亡</t>
  </si>
  <si>
    <t xml:space="preserve"> 2020-01-28 11:08:01</t>
  </si>
  <si>
    <t xml:space="preserve"> 2020-01-27 17:46:02</t>
  </si>
  <si>
    <t>徐小柚子</t>
  </si>
  <si>
    <t xml:space="preserve"> 2020-01-28 10:56:01</t>
  </si>
  <si>
    <t xml:space="preserve"> 2020-01-27 18:56:02</t>
  </si>
  <si>
    <t>现在觉得自己真宅还是假宅</t>
  </si>
  <si>
    <t xml:space="preserve"> 2020-01-28 13:16:02</t>
  </si>
  <si>
    <t>年下直球</t>
  </si>
  <si>
    <t xml:space="preserve"> 2020-01-28 08:40:02</t>
  </si>
  <si>
    <t xml:space="preserve"> 2020-01-27 20:48:01</t>
  </si>
  <si>
    <t>武汉小区组织唱国歌</t>
  </si>
  <si>
    <t xml:space="preserve"> 2020-01-28 01:32:01</t>
  </si>
  <si>
    <t xml:space="preserve"> 2020-01-27 14:50:01</t>
  </si>
  <si>
    <t>什么是聚集性病例</t>
  </si>
  <si>
    <t xml:space="preserve"> 2020-01-28 11:48:01</t>
  </si>
  <si>
    <t xml:space="preserve"> 2020-01-27 20:56:02</t>
  </si>
  <si>
    <t>火神山施工现场航拍</t>
  </si>
  <si>
    <t xml:space="preserve"> 2020-01-28 08:46:01</t>
  </si>
  <si>
    <t xml:space="preserve"> 2020-01-27 15:38:02</t>
  </si>
  <si>
    <t>记者探访华南海鲜市场</t>
  </si>
  <si>
    <t xml:space="preserve"> 2020-01-28 07:50:01</t>
  </si>
  <si>
    <t xml:space="preserve"> 2020-01-27 19:36:02</t>
  </si>
  <si>
    <t>二选一</t>
  </si>
  <si>
    <t xml:space="preserve"> 2020-01-28 09:22:01</t>
  </si>
  <si>
    <t xml:space="preserve"> 2020-01-27 19:48:02</t>
  </si>
  <si>
    <t>免除个人负担政策扩大至疑似病人</t>
  </si>
  <si>
    <t xml:space="preserve"> 2020-01-28 01:16:02</t>
  </si>
  <si>
    <t xml:space="preserve"> 2020-01-27 18:54:01</t>
  </si>
  <si>
    <t>浙江延期开学</t>
  </si>
  <si>
    <t xml:space="preserve"> 2020-01-28 10:30:01</t>
  </si>
  <si>
    <t xml:space="preserve"> 2020-01-28 00:00:02</t>
  </si>
  <si>
    <t>山东2万副护目镜驰援武汉</t>
  </si>
  <si>
    <t xml:space="preserve"> 2020-01-28 11:02:02</t>
  </si>
  <si>
    <t xml:space="preserve"> 2020-01-28 00:04:02</t>
  </si>
  <si>
    <t>民航免费退票政策延长</t>
  </si>
  <si>
    <t xml:space="preserve"> 2020-01-27 18:46:01</t>
  </si>
  <si>
    <t>山东首个新型冠状病毒检测产品</t>
  </si>
  <si>
    <t xml:space="preserve"> 2020-01-28 12:10:02</t>
  </si>
  <si>
    <t xml:space="preserve"> 2020-01-28 00:08:02</t>
  </si>
  <si>
    <t>浙江延期复工</t>
  </si>
  <si>
    <t xml:space="preserve"> 2020-01-28 03:58:02</t>
  </si>
  <si>
    <t xml:space="preserve"> 2020-01-27 20:02:02</t>
  </si>
  <si>
    <t>无锡推迟复工复业</t>
  </si>
  <si>
    <t>云南推迟开学</t>
  </si>
  <si>
    <t xml:space="preserve"> 2020-01-28 08:06:01</t>
  </si>
  <si>
    <t xml:space="preserve"> 2020-01-27 14:08:02</t>
  </si>
  <si>
    <t>如果你出现浑身乏力和酸痛</t>
  </si>
  <si>
    <t xml:space="preserve"> 2020-01-27 16:16:02</t>
  </si>
  <si>
    <t>武汉市长承认信息披露不及时</t>
  </si>
  <si>
    <t xml:space="preserve"> 2020-01-28 19:02:02</t>
  </si>
  <si>
    <t xml:space="preserve"> 2020-01-28 10:40:02</t>
  </si>
  <si>
    <t>全国累计确诊病例4515例</t>
  </si>
  <si>
    <t xml:space="preserve"> 2020-01-28 18:38:01</t>
  </si>
  <si>
    <t xml:space="preserve"> 2020-01-28 11:10:01</t>
  </si>
  <si>
    <t>大年初四</t>
  </si>
  <si>
    <t xml:space="preserve"> 2020-01-28 21:28:02</t>
  </si>
  <si>
    <t>詹姆斯悼念科比</t>
  </si>
  <si>
    <t xml:space="preserve"> 2020-01-28 19:00:02</t>
  </si>
  <si>
    <t xml:space="preserve"> 2020-01-28 11:32:02</t>
  </si>
  <si>
    <t>丹麦媒体刊载辱华漫画</t>
  </si>
  <si>
    <t xml:space="preserve"> 2020-01-28 16:36:01</t>
  </si>
  <si>
    <t xml:space="preserve"> 2020-01-28 08:42:02</t>
  </si>
  <si>
    <t>新型冠状病毒倍增时间比SARS短</t>
  </si>
  <si>
    <t xml:space="preserve"> 2020-01-28 15:54:01</t>
  </si>
  <si>
    <t xml:space="preserve"> 2020-01-28 08:08:02</t>
  </si>
  <si>
    <t>新型冠状病毒对所有年龄组都易感</t>
  </si>
  <si>
    <t xml:space="preserve"> 2020-01-28 16:32:01</t>
  </si>
  <si>
    <t>美疾控中心对华旅行警告升至最高级别</t>
  </si>
  <si>
    <t xml:space="preserve"> 2020-01-28 17:56:02</t>
  </si>
  <si>
    <t xml:space="preserve"> 2020-01-28 10:04:02</t>
  </si>
  <si>
    <t>新型冠状病毒可通过接触传播</t>
  </si>
  <si>
    <t xml:space="preserve"> 2020-01-28 17:32:02</t>
  </si>
  <si>
    <t xml:space="preserve"> 2020-01-28 11:50:01</t>
  </si>
  <si>
    <t>轻症病人1周左右恢复</t>
  </si>
  <si>
    <t xml:space="preserve"> 2020-01-28 18:04:02</t>
  </si>
  <si>
    <t>福建防疫一线医生车祸身亡</t>
  </si>
  <si>
    <t xml:space="preserve"> 2020-01-28 16:38:01</t>
  </si>
  <si>
    <t xml:space="preserve"> 2020-01-28 09:10:01</t>
  </si>
  <si>
    <t>湖北新增1291例确诊病例</t>
  </si>
  <si>
    <t xml:space="preserve"> 2020-01-28 16:52:02</t>
  </si>
  <si>
    <t xml:space="preserve"> 2020-01-28 09:04:02</t>
  </si>
  <si>
    <t>河南首例死亡病例病情</t>
  </si>
  <si>
    <t xml:space="preserve"> 2020-01-28 14:42:01</t>
  </si>
  <si>
    <t xml:space="preserve"> 2020-01-28 08:48:02</t>
  </si>
  <si>
    <t>广西寻超5000名同行乘客</t>
  </si>
  <si>
    <t xml:space="preserve"> 2020-01-28 14:28:02</t>
  </si>
  <si>
    <t xml:space="preserve"> 2020-01-28 08:22:02</t>
  </si>
  <si>
    <t>进藏者一律定点隔离观察14天</t>
  </si>
  <si>
    <t xml:space="preserve"> 2020-01-28 20:28:01</t>
  </si>
  <si>
    <t>毕志飞怒斥徐峥</t>
  </si>
  <si>
    <t xml:space="preserve"> 2020-01-28 16:10:02</t>
  </si>
  <si>
    <t xml:space="preserve"> 2020-01-28 11:20:02</t>
  </si>
  <si>
    <t>科比所乘直升机没有黑匣子</t>
  </si>
  <si>
    <t xml:space="preserve"> 2020-01-28 16:42:02</t>
  </si>
  <si>
    <t xml:space="preserve"> 2020-01-28 11:44:02</t>
  </si>
  <si>
    <t>消费者质疑口罩太贵遭殴打</t>
  </si>
  <si>
    <t xml:space="preserve"> 2020-01-28 13:40:02</t>
  </si>
  <si>
    <t xml:space="preserve"> 2020-01-28 08:16:01</t>
  </si>
  <si>
    <t>最难配出文案的一张图</t>
  </si>
  <si>
    <t xml:space="preserve"> 2020-01-28 16:24:01</t>
  </si>
  <si>
    <t xml:space="preserve"> 2020-01-28 10:58:02</t>
  </si>
  <si>
    <t>广东新增42例新型肺炎</t>
  </si>
  <si>
    <t xml:space="preserve"> 2020-01-28 07:18:02</t>
  </si>
  <si>
    <t>打发无聊的快乐宝藏</t>
  </si>
  <si>
    <t xml:space="preserve"> 2020-01-28 14:58:02</t>
  </si>
  <si>
    <t xml:space="preserve"> 2020-01-28 07:52:02</t>
  </si>
  <si>
    <t>如何区分感冒流感和新型肺炎</t>
  </si>
  <si>
    <t xml:space="preserve"> 2020-01-28 16:50:01</t>
  </si>
  <si>
    <t xml:space="preserve"> 2020-01-28 11:46:02</t>
  </si>
  <si>
    <t>北京铁路部分列车将临时停运</t>
  </si>
  <si>
    <t xml:space="preserve"> 2020-01-28 15:46:02</t>
  </si>
  <si>
    <t>四川新增21例新型肺炎</t>
  </si>
  <si>
    <t xml:space="preserve"> 2020-01-28 14:52:01</t>
  </si>
  <si>
    <t xml:space="preserve"> 2020-01-28 09:40:02</t>
  </si>
  <si>
    <t>江苏新增23例新型肺炎</t>
  </si>
  <si>
    <t xml:space="preserve"> 2020-01-28 15:08:02</t>
  </si>
  <si>
    <t>河北新增15例新型肺炎</t>
  </si>
  <si>
    <t xml:space="preserve"> 2020-01-28 14:26:02</t>
  </si>
  <si>
    <t xml:space="preserve"> 2020-01-28 09:48:01</t>
  </si>
  <si>
    <t>安徽新增36例新型肺炎</t>
  </si>
  <si>
    <t xml:space="preserve"> 2020-01-28 14:04:02</t>
  </si>
  <si>
    <t xml:space="preserve"> 2020-01-28 09:26:02</t>
  </si>
  <si>
    <t>山东新增确诊12例新型肺炎</t>
  </si>
  <si>
    <t xml:space="preserve"> 2020-01-28 12:50:02</t>
  </si>
  <si>
    <t xml:space="preserve"> 2020-01-28 08:34:02</t>
  </si>
  <si>
    <t>天津成立疫情医疗救治总医院</t>
  </si>
  <si>
    <t xml:space="preserve"> 2020-01-28 13:58:01</t>
  </si>
  <si>
    <t xml:space="preserve"> 2020-01-28 10:32:02</t>
  </si>
  <si>
    <t>重庆新增22例新型肺炎</t>
  </si>
  <si>
    <t xml:space="preserve"> 2020-01-28 12:26:01</t>
  </si>
  <si>
    <t xml:space="preserve"> 2020-01-28 10:46:02</t>
  </si>
  <si>
    <t>吉林新增新型肺炎2例</t>
  </si>
  <si>
    <t xml:space="preserve"> 2020-01-28 12:54:01</t>
  </si>
  <si>
    <t>河南新增确诊40例新型肺炎</t>
  </si>
  <si>
    <t xml:space="preserve"> 2020-01-28 12:28:01</t>
  </si>
  <si>
    <t>德国确诊首例新型冠状病毒患者</t>
  </si>
  <si>
    <t>新疆新增确诊5例新型肺炎</t>
  </si>
  <si>
    <t xml:space="preserve"> 2020-01-28 12:06:01</t>
  </si>
  <si>
    <t>武汉协和医院3名被感染医护人员出院</t>
  </si>
  <si>
    <t xml:space="preserve"> 2020-01-28 16:54:01</t>
  </si>
  <si>
    <t xml:space="preserve"> 2020-01-28 12:02:01</t>
  </si>
  <si>
    <t>过年被禁足的你</t>
  </si>
  <si>
    <t xml:space="preserve"> 2020-01-28 12:42:02</t>
  </si>
  <si>
    <t>国家卫健委通报出院标准</t>
  </si>
  <si>
    <t xml:space="preserve"> 2020-01-28 14:20:01</t>
  </si>
  <si>
    <t xml:space="preserve"> 2020-01-27 11:58:01</t>
  </si>
  <si>
    <t>疫情联防联控实时播报</t>
  </si>
  <si>
    <t xml:space="preserve"> 2020-01-28 07:48:01</t>
  </si>
  <si>
    <t>山西新增7例确诊病例</t>
  </si>
  <si>
    <t xml:space="preserve"> 2020-01-29 09:14:02</t>
  </si>
  <si>
    <t xml:space="preserve"> 2020-01-28 19:50:02</t>
  </si>
  <si>
    <t>不会因春运返程出现大传染</t>
  </si>
  <si>
    <t xml:space="preserve"> 2020-01-29 11:52:02</t>
  </si>
  <si>
    <t xml:space="preserve"> 2020-01-28 22:32:01</t>
  </si>
  <si>
    <t>武汉市委书记回应歧视湖北人</t>
  </si>
  <si>
    <t xml:space="preserve"> 2020-01-29 14:26:02</t>
  </si>
  <si>
    <t xml:space="preserve"> 2020-01-28 23:08:02</t>
  </si>
  <si>
    <t>新型肺炎疫情可能元宵节前好转</t>
  </si>
  <si>
    <t xml:space="preserve"> 2020-01-29 12:58:01</t>
  </si>
  <si>
    <t xml:space="preserve"> 2020-01-28 22:48:02</t>
  </si>
  <si>
    <t>林俊杰 Stay With You</t>
  </si>
  <si>
    <t xml:space="preserve"> 2020-01-29 09:54:01</t>
  </si>
  <si>
    <t xml:space="preserve"> 2020-01-28 22:52:01</t>
  </si>
  <si>
    <t>未经批准擅自断路将依法处置</t>
  </si>
  <si>
    <t xml:space="preserve"> 2020-01-29 11:54:02</t>
  </si>
  <si>
    <t xml:space="preserve"> 2020-01-28 20:40:01</t>
  </si>
  <si>
    <t>火神山医院效果图</t>
  </si>
  <si>
    <t xml:space="preserve"> 2020-01-29 10:26:01</t>
  </si>
  <si>
    <t xml:space="preserve"> 2020-01-28 20:00:02</t>
  </si>
  <si>
    <t>钟南山强调目前不要出行</t>
  </si>
  <si>
    <t xml:space="preserve"> 2020-01-29 16:38:01</t>
  </si>
  <si>
    <t xml:space="preserve"> 2020-01-28 22:56:01</t>
  </si>
  <si>
    <t>科比 时代周刊封面</t>
  </si>
  <si>
    <t xml:space="preserve"> 2020-01-29 07:30:02</t>
  </si>
  <si>
    <t xml:space="preserve"> 2020-01-28 20:30:02</t>
  </si>
  <si>
    <t>武汉87岁婆婆治愈出院</t>
  </si>
  <si>
    <t xml:space="preserve"> 2020-01-29 12:54:01</t>
  </si>
  <si>
    <t xml:space="preserve"> 2020-01-28 23:18:02</t>
  </si>
  <si>
    <t>还要多久能出疫苗</t>
  </si>
  <si>
    <t xml:space="preserve"> 2020-01-29 08:58:02</t>
  </si>
  <si>
    <t xml:space="preserve"> 2020-01-28 22:34:02</t>
  </si>
  <si>
    <t>英国本月底将正式脱欧</t>
  </si>
  <si>
    <t xml:space="preserve"> 2020-01-29 08:50:01</t>
  </si>
  <si>
    <t xml:space="preserve"> 2020-01-28 19:38:02</t>
  </si>
  <si>
    <t>疫情1周或10天左右达到高峰</t>
  </si>
  <si>
    <t xml:space="preserve"> 2020-01-29 10:20:02</t>
  </si>
  <si>
    <t xml:space="preserve"> 2020-01-28 22:20:02</t>
  </si>
  <si>
    <t>数据增长是否意味着疫情扩散加剧</t>
  </si>
  <si>
    <t xml:space="preserve"> 2020-01-29 08:16:01</t>
  </si>
  <si>
    <t>WHO</t>
  </si>
  <si>
    <t xml:space="preserve"> 2020-01-29 15:36:02</t>
  </si>
  <si>
    <t xml:space="preserve"> 2020-01-28 23:10:02</t>
  </si>
  <si>
    <t>科比大女儿</t>
  </si>
  <si>
    <t xml:space="preserve"> 2020-01-29 15:46:02</t>
  </si>
  <si>
    <t xml:space="preserve"> 2020-01-28 23:34:01</t>
  </si>
  <si>
    <t>体会到了萧亚轩的快乐</t>
  </si>
  <si>
    <t xml:space="preserve"> 2020-01-29 11:50:02</t>
  </si>
  <si>
    <t xml:space="preserve"> 2020-01-28 22:22:02</t>
  </si>
  <si>
    <t>水貂</t>
  </si>
  <si>
    <t xml:space="preserve"> 2020-01-29 09:50:01</t>
  </si>
  <si>
    <t xml:space="preserve"> 2020-01-28 21:30:01</t>
  </si>
  <si>
    <t>台湾首起家庭聚集性病例</t>
  </si>
  <si>
    <t xml:space="preserve"> 2020-01-29 11:34:01</t>
  </si>
  <si>
    <t>重庆复工时间</t>
  </si>
  <si>
    <t xml:space="preserve"> 2020-01-29 08:26:02</t>
  </si>
  <si>
    <t xml:space="preserve"> 2020-01-28 21:16:01</t>
  </si>
  <si>
    <t>分离到三株新型冠状病毒毒株</t>
  </si>
  <si>
    <t xml:space="preserve"> 2020-01-29 08:30:01</t>
  </si>
  <si>
    <t>今天星期几</t>
  </si>
  <si>
    <t xml:space="preserve"> 2020-01-29 12:42:01</t>
  </si>
  <si>
    <t xml:space="preserve"> 2020-01-28 17:30:02</t>
  </si>
  <si>
    <t>泰国亚航</t>
  </si>
  <si>
    <t xml:space="preserve"> 2020-01-29 10:32:02</t>
  </si>
  <si>
    <t xml:space="preserve"> 2020-01-28 21:06:02</t>
  </si>
  <si>
    <t>宋威龙好会</t>
  </si>
  <si>
    <t xml:space="preserve"> 2020-01-29 07:50:02</t>
  </si>
  <si>
    <t>这个假期大家的不同状态</t>
  </si>
  <si>
    <t xml:space="preserve"> 2020-01-29 11:06:01</t>
  </si>
  <si>
    <t xml:space="preserve"> 2020-01-28 23:00:02</t>
  </si>
  <si>
    <t>专家回应日常是否要戴手套</t>
  </si>
  <si>
    <t xml:space="preserve"> 2020-01-29 08:08:01</t>
  </si>
  <si>
    <t xml:space="preserve"> 2020-01-28 23:04:01</t>
  </si>
  <si>
    <t>院士回应无症状感染者也传染</t>
  </si>
  <si>
    <t xml:space="preserve"> 2020-01-29 09:38:02</t>
  </si>
  <si>
    <t>世卫组织将尽快派出国际专家考察组</t>
  </si>
  <si>
    <t xml:space="preserve"> 2020-01-29 08:40:01</t>
  </si>
  <si>
    <t xml:space="preserve"> 2020-01-28 18:50:02</t>
  </si>
  <si>
    <t>明星年前体重大曝光</t>
  </si>
  <si>
    <t xml:space="preserve"> 2020-01-29 08:14:02</t>
  </si>
  <si>
    <t xml:space="preserve"> 2020-01-28 18:42:02</t>
  </si>
  <si>
    <t>黄石原市长去世</t>
  </si>
  <si>
    <t xml:space="preserve"> 2020-01-29 06:12:02</t>
  </si>
  <si>
    <t>疫情死亡率会再降低</t>
  </si>
  <si>
    <t xml:space="preserve"> 2020-01-29 09:10:02</t>
  </si>
  <si>
    <t xml:space="preserve"> 2020-01-28 21:34:02</t>
  </si>
  <si>
    <t>你见过最硬核的烟花</t>
  </si>
  <si>
    <t xml:space="preserve"> 2020-01-29 08:20:02</t>
  </si>
  <si>
    <t xml:space="preserve"> 2020-01-28 20:14:01</t>
  </si>
  <si>
    <t>广东累计确诊207例新型肺炎</t>
  </si>
  <si>
    <t xml:space="preserve"> 2020-01-29 02:56:02</t>
  </si>
  <si>
    <t xml:space="preserve"> 2020-01-28 17:48:02</t>
  </si>
  <si>
    <t>女子武汉返乡无症状亲人被确诊</t>
  </si>
  <si>
    <t xml:space="preserve"> 2020-01-29 07:10:02</t>
  </si>
  <si>
    <t xml:space="preserve"> 2020-01-28 18:30:01</t>
  </si>
  <si>
    <t>超市买回的东西都要消毒吗</t>
  </si>
  <si>
    <t xml:space="preserve"> 2020-01-29 07:24:02</t>
  </si>
  <si>
    <t xml:space="preserve"> 2020-01-28 21:36:02</t>
  </si>
  <si>
    <t>东台地震</t>
  </si>
  <si>
    <t xml:space="preserve"> 2020-01-29 07:20:01</t>
  </si>
  <si>
    <t>无症状</t>
  </si>
  <si>
    <t xml:space="preserve"> 2020-01-29 02:36:02</t>
  </si>
  <si>
    <t xml:space="preserve"> 2020-01-28 22:46:02</t>
  </si>
  <si>
    <t>检测能力提升导致确诊病例数据陡增</t>
  </si>
  <si>
    <t xml:space="preserve"> 2020-01-29 06:04:01</t>
  </si>
  <si>
    <t xml:space="preserve"> 2020-01-28 23:14:01</t>
  </si>
  <si>
    <t>国考面试推迟</t>
  </si>
  <si>
    <t xml:space="preserve"> 2020-01-29 00:28:02</t>
  </si>
  <si>
    <t xml:space="preserve"> 2020-01-28 20:24:02</t>
  </si>
  <si>
    <t>崔娃</t>
  </si>
  <si>
    <t xml:space="preserve"> 2020-01-29 03:56:02</t>
  </si>
  <si>
    <t xml:space="preserve"> 2020-01-28 15:58:02</t>
  </si>
  <si>
    <t>麦迪流泪回忆科比</t>
  </si>
  <si>
    <t xml:space="preserve"> 2020-01-29 11:10:02</t>
  </si>
  <si>
    <t xml:space="preserve"> 2020-01-28 23:38:01</t>
  </si>
  <si>
    <t>专家回应无症状患者也会传染</t>
  </si>
  <si>
    <t xml:space="preserve"> 2020-01-29 13:30:01</t>
  </si>
  <si>
    <t xml:space="preserve"> 2020-01-28 23:32:02</t>
  </si>
  <si>
    <t>美国发行鼠年邮票</t>
  </si>
  <si>
    <t xml:space="preserve"> 2020-01-29 09:22:01</t>
  </si>
  <si>
    <t xml:space="preserve"> 2020-01-28 23:22:01</t>
  </si>
  <si>
    <t>雷神山开始搭建板房</t>
  </si>
  <si>
    <t xml:space="preserve"> 2020-01-29 07:26:01</t>
  </si>
  <si>
    <t>钟南山最新采访</t>
  </si>
  <si>
    <t>财政部预拨疫情防控补助44亿元</t>
  </si>
  <si>
    <t xml:space="preserve"> 2020-01-29 07:52:01</t>
  </si>
  <si>
    <t xml:space="preserve"> 2020-01-28 19:54:02</t>
  </si>
  <si>
    <t>内地赴澳门自由行签注暂停</t>
  </si>
  <si>
    <t xml:space="preserve"> 2020-01-29 19:00:02</t>
  </si>
  <si>
    <t xml:space="preserve"> 2020-01-29 10:34:02</t>
  </si>
  <si>
    <t>新型肺炎确诊人数超过非典</t>
  </si>
  <si>
    <t xml:space="preserve"> 2020-01-29 16:28:01</t>
  </si>
  <si>
    <t xml:space="preserve"> 2020-01-29 11:36:02</t>
  </si>
  <si>
    <t>陕西出现一名3岁确诊患者</t>
  </si>
  <si>
    <t xml:space="preserve"> 2020-01-29 15:26:01</t>
  </si>
  <si>
    <t xml:space="preserve"> 2020-01-29 09:34:01</t>
  </si>
  <si>
    <t>日本确诊大巴司机曾载大连旅行团</t>
  </si>
  <si>
    <t xml:space="preserve"> 2020-01-29 16:34:02</t>
  </si>
  <si>
    <t xml:space="preserve"> 2020-01-29 08:28:01</t>
  </si>
  <si>
    <t>全国累计确诊新型肺炎5974例</t>
  </si>
  <si>
    <t xml:space="preserve"> 2020-01-29 16:54:02</t>
  </si>
  <si>
    <t xml:space="preserve"> 2020-01-29 09:40:02</t>
  </si>
  <si>
    <t>一病例曾从北京西站坐地铁到北京南站</t>
  </si>
  <si>
    <t xml:space="preserve"> 2020-01-29 15:56:01</t>
  </si>
  <si>
    <t xml:space="preserve"> 2020-01-29 07:32:01</t>
  </si>
  <si>
    <t>金银潭医院院长身患渐冻症</t>
  </si>
  <si>
    <t xml:space="preserve"> 2020-01-29 14:06:02</t>
  </si>
  <si>
    <t xml:space="preserve"> 2020-01-29 08:32:02</t>
  </si>
  <si>
    <t>西藏新增1例疑似病例</t>
  </si>
  <si>
    <t xml:space="preserve"> 2020-01-29 14:10:02</t>
  </si>
  <si>
    <t xml:space="preserve"> 2020-01-29 11:12:01</t>
  </si>
  <si>
    <t>重庆首例确诊病例治愈出院</t>
  </si>
  <si>
    <t xml:space="preserve"> 2020-01-29 13:58:01</t>
  </si>
  <si>
    <t xml:space="preserve"> 2020-01-29 10:28:01</t>
  </si>
  <si>
    <t>白宫暂时不暂停中美航班</t>
  </si>
  <si>
    <t xml:space="preserve"> 2020-01-29 15:54:02</t>
  </si>
  <si>
    <t xml:space="preserve"> 2020-01-29 09:24:01</t>
  </si>
  <si>
    <t>浙江新增123例新型肺炎</t>
  </si>
  <si>
    <t xml:space="preserve"> 2020-01-29 16:16:01</t>
  </si>
  <si>
    <t>广东新增53例新型肺炎</t>
  </si>
  <si>
    <t xml:space="preserve"> 2020-01-29 13:44:01</t>
  </si>
  <si>
    <t>黄冈版小汤山正式启用</t>
  </si>
  <si>
    <t xml:space="preserve"> 2020-01-29 13:12:02</t>
  </si>
  <si>
    <t xml:space="preserve"> 2020-01-29 08:10:02</t>
  </si>
  <si>
    <t>湖北新增840例新型肺炎</t>
  </si>
  <si>
    <t xml:space="preserve"> 2020-01-29 16:40:01</t>
  </si>
  <si>
    <t xml:space="preserve"> 2020-01-29 11:22:01</t>
  </si>
  <si>
    <t>妈妈在武汉隔离病房去世</t>
  </si>
  <si>
    <t xml:space="preserve"> 2020-01-29 21:34:01</t>
  </si>
  <si>
    <t>科比遗体</t>
  </si>
  <si>
    <t xml:space="preserve"> 2020-01-29 17:16:02</t>
  </si>
  <si>
    <t xml:space="preserve"> 2020-01-29 09:56:01</t>
  </si>
  <si>
    <t>香港大学 疫苗</t>
  </si>
  <si>
    <t xml:space="preserve"> 2020-01-29 17:02:02</t>
  </si>
  <si>
    <t xml:space="preserve"> 2020-01-29 09:16:02</t>
  </si>
  <si>
    <t>师铭泽 徐立</t>
  </si>
  <si>
    <t xml:space="preserve"> 2020-01-29 15:50:02</t>
  </si>
  <si>
    <t>早知道假期这样你会干什么</t>
  </si>
  <si>
    <t xml:space="preserve"> 2020-01-29 16:58:02</t>
  </si>
  <si>
    <t xml:space="preserve"> 2020-01-29 09:00:02</t>
  </si>
  <si>
    <t>春节新型约饭方式</t>
  </si>
  <si>
    <t xml:space="preserve"> 2020-01-29 16:24:02</t>
  </si>
  <si>
    <t>最害怕听到吃饭两个字</t>
  </si>
  <si>
    <t xml:space="preserve"> 2020-01-29 15:22:01</t>
  </si>
  <si>
    <t xml:space="preserve"> 2020-01-29 07:12:01</t>
  </si>
  <si>
    <t>古巴7.7级地震</t>
  </si>
  <si>
    <t xml:space="preserve"> 2020-01-29 14:18:02</t>
  </si>
  <si>
    <t>海军医疗队员在ICU的独特印记</t>
  </si>
  <si>
    <t xml:space="preserve"> 2020-01-29 14:32:02</t>
  </si>
  <si>
    <t>机长Vlog记录医疗队驰援武汉</t>
  </si>
  <si>
    <t xml:space="preserve"> 2020-01-29 07:22:01</t>
  </si>
  <si>
    <t>初五迎财神</t>
  </si>
  <si>
    <t xml:space="preserve"> 2020-01-29 08:18:02</t>
  </si>
  <si>
    <t>心安理得宅在家有多爽</t>
  </si>
  <si>
    <t xml:space="preserve"> 2020-01-29 13:20:01</t>
  </si>
  <si>
    <t xml:space="preserve"> 2020-01-29 11:40:02</t>
  </si>
  <si>
    <t>世界卫生组织将派专家团队访华</t>
  </si>
  <si>
    <t xml:space="preserve"> 2020-02-09 13:54:01</t>
  </si>
  <si>
    <t xml:space="preserve"> 2020-01-29 09:28:02</t>
  </si>
  <si>
    <t>江苏新增29例新型肺炎</t>
  </si>
  <si>
    <t xml:space="preserve"> 2020-01-29 12:38:01</t>
  </si>
  <si>
    <t xml:space="preserve"> 2020-01-29 09:52:02</t>
  </si>
  <si>
    <t>山东新增26例新型肺炎</t>
  </si>
  <si>
    <t xml:space="preserve"> 2020-01-29 12:40:01</t>
  </si>
  <si>
    <t xml:space="preserve"> 2020-01-29 08:42:01</t>
  </si>
  <si>
    <t>河南新增38例新型肺炎</t>
  </si>
  <si>
    <t xml:space="preserve"> 2020-01-29 09:04:01</t>
  </si>
  <si>
    <t>安徽新增46例新型肺炎</t>
  </si>
  <si>
    <t xml:space="preserve"> 2020-01-29 15:02:02</t>
  </si>
  <si>
    <t xml:space="preserve"> 2020-01-29 10:08:01</t>
  </si>
  <si>
    <t>贵州无新增病例</t>
  </si>
  <si>
    <t xml:space="preserve"> 2020-01-29 14:56:01</t>
  </si>
  <si>
    <t xml:space="preserve"> 2020-01-29 11:56:02</t>
  </si>
  <si>
    <t>西安地铁实行乘客实名登记</t>
  </si>
  <si>
    <t xml:space="preserve"> 2020-01-29 13:02:02</t>
  </si>
  <si>
    <t xml:space="preserve"> 2020-01-29 00:12:02</t>
  </si>
  <si>
    <t>青岛外卖</t>
  </si>
  <si>
    <t xml:space="preserve"> 2020-01-29 16:10:01</t>
  </si>
  <si>
    <t>美联航宣布暂停24个中美往返航班</t>
  </si>
  <si>
    <t xml:space="preserve"> 2020-01-29 12:36:01</t>
  </si>
  <si>
    <t xml:space="preserve"> 2020-01-29 09:36:01</t>
  </si>
  <si>
    <t>四川新增18例新型肺炎</t>
  </si>
  <si>
    <t xml:space="preserve"> 2020-01-29 11:08:02</t>
  </si>
  <si>
    <t>吉林新增1例新型肺炎</t>
  </si>
  <si>
    <t xml:space="preserve"> 2020-01-29 13:08:02</t>
  </si>
  <si>
    <t xml:space="preserve"> 2020-01-29 12:00:02</t>
  </si>
  <si>
    <t>内蒙古新增3例新型肺炎</t>
  </si>
  <si>
    <t xml:space="preserve"> 2020-01-29 12:50:01</t>
  </si>
  <si>
    <t xml:space="preserve"> 2020-01-29 10:44:01</t>
  </si>
  <si>
    <t>巴西出现1例疑似病例</t>
  </si>
  <si>
    <t xml:space="preserve"> 2020-01-29 15:48:02</t>
  </si>
  <si>
    <t>大主宰新预告</t>
  </si>
  <si>
    <t xml:space="preserve"> 2020-01-29 10:22:02</t>
  </si>
  <si>
    <t>黑龙江新增7例新型肺炎</t>
  </si>
  <si>
    <t xml:space="preserve"> 2020-01-30 09:20:01</t>
  </si>
  <si>
    <t xml:space="preserve"> 2020-01-29 19:48:02</t>
  </si>
  <si>
    <t>治愈患者还会二次感染吗</t>
  </si>
  <si>
    <t xml:space="preserve"> 2020-01-30 10:58:01</t>
  </si>
  <si>
    <t xml:space="preserve"> 2020-01-29 23:10:02</t>
  </si>
  <si>
    <t>李兰娟回应返程人员是否要隔离</t>
  </si>
  <si>
    <t xml:space="preserve"> 2020-02-02 13:38:01</t>
  </si>
  <si>
    <t xml:space="preserve"> 2020-01-29 23:02:02</t>
  </si>
  <si>
    <t>疫情仍处于扩散阶段</t>
  </si>
  <si>
    <t xml:space="preserve"> 2020-01-30 12:44:01</t>
  </si>
  <si>
    <t xml:space="preserve"> 2020-01-29 22:04:01</t>
  </si>
  <si>
    <t>央视偶尔也要皮一下</t>
  </si>
  <si>
    <t xml:space="preserve"> 2020-01-30 11:02:01</t>
  </si>
  <si>
    <t xml:space="preserve"> 2020-01-29 22:02:02</t>
  </si>
  <si>
    <t>湖北省长回应网友批评</t>
  </si>
  <si>
    <t xml:space="preserve"> 2020-01-30 12:16:01</t>
  </si>
  <si>
    <t xml:space="preserve"> 2020-01-29 20:10:02</t>
  </si>
  <si>
    <t>疫情拐点将出现</t>
  </si>
  <si>
    <t xml:space="preserve"> 2020-01-30 08:14:02</t>
  </si>
  <si>
    <t xml:space="preserve"> 2020-01-29 21:52:02</t>
  </si>
  <si>
    <t>钟南山参与危重患者远程会诊</t>
  </si>
  <si>
    <t xml:space="preserve"> 2020-01-30 09:04:02</t>
  </si>
  <si>
    <t xml:space="preserve"> 2020-01-29 20:04:02</t>
  </si>
  <si>
    <t>夫妻确诊前自驾游途经五省市</t>
  </si>
  <si>
    <t xml:space="preserve"> 2020-01-30 10:46:01</t>
  </si>
  <si>
    <t xml:space="preserve"> 2020-01-29 17:58:01</t>
  </si>
  <si>
    <t>李九松去世</t>
  </si>
  <si>
    <t xml:space="preserve"> 2020-01-30 09:14:02</t>
  </si>
  <si>
    <t xml:space="preserve"> 2020-01-29 20:50:02</t>
  </si>
  <si>
    <t>西藏启动一级响应</t>
  </si>
  <si>
    <t xml:space="preserve"> 2020-01-30 09:22:01</t>
  </si>
  <si>
    <t xml:space="preserve"> 2020-01-29 22:40:02</t>
  </si>
  <si>
    <t>金银潭医院院长夫人痊愈</t>
  </si>
  <si>
    <t xml:space="preserve"> 2020-01-30 10:10:02</t>
  </si>
  <si>
    <t>湖北省长向医护人员鞠躬</t>
  </si>
  <si>
    <t xml:space="preserve"> 2020-01-30 09:10:02</t>
  </si>
  <si>
    <t xml:space="preserve"> 2020-01-29 22:12:02</t>
  </si>
  <si>
    <t>武汉病毒所筛出较好抑制病毒药物</t>
  </si>
  <si>
    <t xml:space="preserve"> 2020-01-30 08:18:02</t>
  </si>
  <si>
    <t xml:space="preserve"> 2020-01-29 21:42:02</t>
  </si>
  <si>
    <t>湖北企业复工不早于2月13日</t>
  </si>
  <si>
    <t xml:space="preserve"> 2020-01-30 08:02:01</t>
  </si>
  <si>
    <t xml:space="preserve"> 2020-01-29 21:06:01</t>
  </si>
  <si>
    <t>允许疫情高发区人员适当延期返程</t>
  </si>
  <si>
    <t xml:space="preserve"> 2020-01-30 08:30:01</t>
  </si>
  <si>
    <t>顺丰</t>
  </si>
  <si>
    <t xml:space="preserve"> 2020-01-30 12:24:02</t>
  </si>
  <si>
    <t>中国女足在澳洲被隔离14天</t>
  </si>
  <si>
    <t xml:space="preserve"> 2020-01-30 12:22:02</t>
  </si>
  <si>
    <t xml:space="preserve"> 2020-01-29 23:24:01</t>
  </si>
  <si>
    <t>温州高速</t>
  </si>
  <si>
    <t xml:space="preserve"> 2020-01-30 13:18:02</t>
  </si>
  <si>
    <t xml:space="preserve"> 2020-01-29 20:26:02</t>
  </si>
  <si>
    <t>一周前 一周后</t>
  </si>
  <si>
    <t xml:space="preserve"> 2020-01-30 09:18:01</t>
  </si>
  <si>
    <t xml:space="preserve"> 2020-01-29 23:16:02</t>
  </si>
  <si>
    <t>曾光</t>
  </si>
  <si>
    <t xml:space="preserve"> 2020-01-30 09:30:02</t>
  </si>
  <si>
    <t xml:space="preserve"> 2020-01-29 22:20:02</t>
  </si>
  <si>
    <t>四川首例死亡病例</t>
  </si>
  <si>
    <t xml:space="preserve"> 2020-01-30 09:06:01</t>
  </si>
  <si>
    <t xml:space="preserve"> 2020-01-29 20:28:01</t>
  </si>
  <si>
    <t>宋威龙谭松韵新戏路透</t>
  </si>
  <si>
    <t xml:space="preserve"> 2020-01-30 11:12:01</t>
  </si>
  <si>
    <t xml:space="preserve"> 2020-01-29 21:56:01</t>
  </si>
  <si>
    <t>北京冬奥会首场测试赛取消</t>
  </si>
  <si>
    <t xml:space="preserve"> 2020-01-30 10:36:01</t>
  </si>
  <si>
    <t xml:space="preserve"> 2020-01-29 19:24:02</t>
  </si>
  <si>
    <t>韩确诊男子6天内走遍首尔京畿地区</t>
  </si>
  <si>
    <t xml:space="preserve"> 2020-01-30 10:30:01</t>
  </si>
  <si>
    <t xml:space="preserve"> 2020-01-29 19:52:01</t>
  </si>
  <si>
    <t>丢掉衣服腾出行李箱装5800个口罩</t>
  </si>
  <si>
    <t xml:space="preserve"> 2020-01-30 09:12:01</t>
  </si>
  <si>
    <t xml:space="preserve"> 2020-01-29 21:32:02</t>
  </si>
  <si>
    <t>试试你的裤子</t>
  </si>
  <si>
    <t>湖南5人聚餐后被确诊为新冠肺炎</t>
  </si>
  <si>
    <t>疫情结束见面谁也别笑谁胖</t>
  </si>
  <si>
    <t xml:space="preserve"> 2020-01-30 10:50:01</t>
  </si>
  <si>
    <t xml:space="preserve"> 2020-01-29 23:54:02</t>
  </si>
  <si>
    <t>广东5名感染境外人士将受同等待遇</t>
  </si>
  <si>
    <t xml:space="preserve"> 2020-01-30 08:12:01</t>
  </si>
  <si>
    <t xml:space="preserve"> 2020-01-29 20:30:02</t>
  </si>
  <si>
    <t>华山医院</t>
  </si>
  <si>
    <t xml:space="preserve"> 2020-01-30 01:30:01</t>
  </si>
  <si>
    <t xml:space="preserve"> 2020-01-29 19:02:02</t>
  </si>
  <si>
    <t>广东确诊5例外籍和境外人士感染</t>
  </si>
  <si>
    <t xml:space="preserve"> 2020-01-30 08:48:02</t>
  </si>
  <si>
    <t xml:space="preserve"> 2020-01-29 19:46:02</t>
  </si>
  <si>
    <t>春节我为什么五天没洗头</t>
  </si>
  <si>
    <t xml:space="preserve"> 2020-01-30 08:08:02</t>
  </si>
  <si>
    <t xml:space="preserve"> 2020-01-29 20:34:01</t>
  </si>
  <si>
    <t>全国人民花式抗疫大赏</t>
  </si>
  <si>
    <t xml:space="preserve"> 2020-01-30 09:08:02</t>
  </si>
  <si>
    <t xml:space="preserve"> 2020-01-29 17:50:02</t>
  </si>
  <si>
    <t>在家收外卖快递会被传染吗</t>
  </si>
  <si>
    <t xml:space="preserve"> 2020-01-30 07:50:02</t>
  </si>
  <si>
    <t>宅在家能无聊到什么程度</t>
  </si>
  <si>
    <t xml:space="preserve"> 2020-01-30 08:42:01</t>
  </si>
  <si>
    <t xml:space="preserve"> 2020-01-29 17:32:02</t>
  </si>
  <si>
    <t>等国家说可以出门的时候</t>
  </si>
  <si>
    <t xml:space="preserve"> 2020-01-30 07:34:02</t>
  </si>
  <si>
    <t xml:space="preserve"> 2020-01-29 18:20:01</t>
  </si>
  <si>
    <t>病毒在毛质衣物上存活时间更短</t>
  </si>
  <si>
    <t xml:space="preserve"> 2020-01-29 21:00:01</t>
  </si>
  <si>
    <t>医护人员的睡姿</t>
  </si>
  <si>
    <t xml:space="preserve"> 2020-01-30 03:48:02</t>
  </si>
  <si>
    <t xml:space="preserve"> 2020-01-29 18:22:02</t>
  </si>
  <si>
    <t>工信部回应口罩告急</t>
  </si>
  <si>
    <t xml:space="preserve"> 2020-01-30 09:02:01</t>
  </si>
  <si>
    <t xml:space="preserve"> 2020-01-29 23:58:02</t>
  </si>
  <si>
    <t>货车司机给收费员送防护手套</t>
  </si>
  <si>
    <t xml:space="preserve"> 2020-01-30 07:28:02</t>
  </si>
  <si>
    <t>普通人口罩不必一次一换</t>
  </si>
  <si>
    <t xml:space="preserve"> 2020-01-30 09:54:02</t>
  </si>
  <si>
    <t xml:space="preserve"> 2020-01-29 17:04:02</t>
  </si>
  <si>
    <t>互联网公司复工时间表</t>
  </si>
  <si>
    <t xml:space="preserve"> 2020-01-30 05:04:01</t>
  </si>
  <si>
    <t xml:space="preserve"> 2020-01-29 19:28:02</t>
  </si>
  <si>
    <t>西藏通报首例新型肺炎疑似病例</t>
  </si>
  <si>
    <t xml:space="preserve"> 2020-01-30 02:48:02</t>
  </si>
  <si>
    <t xml:space="preserve"> 2020-01-29 16:44:02</t>
  </si>
  <si>
    <t>离京教师不要求立即返回</t>
  </si>
  <si>
    <t xml:space="preserve"> 2020-01-30 07:20:02</t>
  </si>
  <si>
    <t xml:space="preserve"> 2020-01-29 18:00:02</t>
  </si>
  <si>
    <t>武汉伢</t>
  </si>
  <si>
    <t xml:space="preserve"> 2020-01-30 07:36:01</t>
  </si>
  <si>
    <t>澳大利亚成功培育新型冠状病毒样本</t>
  </si>
  <si>
    <t xml:space="preserve"> 2020-01-30 07:24:02</t>
  </si>
  <si>
    <t xml:space="preserve"> 2020-01-29 19:10:01</t>
  </si>
  <si>
    <t>新年发财妆</t>
  </si>
  <si>
    <t xml:space="preserve"> 2020-02-14 15:44:02</t>
  </si>
  <si>
    <t xml:space="preserve"> 2020-01-29 20:36:02</t>
  </si>
  <si>
    <t>中国医生</t>
  </si>
  <si>
    <t xml:space="preserve"> 2020-01-31 10:46:02</t>
  </si>
  <si>
    <t xml:space="preserve"> 2020-01-30 09:56:02</t>
  </si>
  <si>
    <t>科比妻子发声</t>
  </si>
  <si>
    <t xml:space="preserve"> 2020-01-30 19:32:02</t>
  </si>
  <si>
    <t xml:space="preserve"> 2020-01-30 11:00:02</t>
  </si>
  <si>
    <t>女军医摘下口罩后落泪</t>
  </si>
  <si>
    <t xml:space="preserve"> 2020-01-30 16:28:02</t>
  </si>
  <si>
    <t xml:space="preserve"> 2020-01-30 10:12:02</t>
  </si>
  <si>
    <t>宠物接触到疫情也需隔离</t>
  </si>
  <si>
    <t xml:space="preserve"> 2020-01-30 16:18:02</t>
  </si>
  <si>
    <t xml:space="preserve"> 2020-01-30 08:04:01</t>
  </si>
  <si>
    <t>全国累计确诊新型肺炎7711例</t>
  </si>
  <si>
    <t xml:space="preserve"> 2020-01-30 15:02:01</t>
  </si>
  <si>
    <t xml:space="preserve"> 2020-01-30 09:42:01</t>
  </si>
  <si>
    <t>感染者向他人吐口水或追刑责</t>
  </si>
  <si>
    <t xml:space="preserve"> 2020-01-30 09:34:02</t>
  </si>
  <si>
    <t>2月底日产口罩1.8亿只</t>
  </si>
  <si>
    <t xml:space="preserve"> 2020-01-30 15:14:02</t>
  </si>
  <si>
    <t>顺丰回应快递员拦截包裹卖口罩</t>
  </si>
  <si>
    <t xml:space="preserve"> 2020-01-30 14:50:01</t>
  </si>
  <si>
    <t>首批包机返日人员查出3例确诊病例</t>
  </si>
  <si>
    <t xml:space="preserve"> 2020-01-30 14:56:02</t>
  </si>
  <si>
    <t xml:space="preserve"> 2020-01-30 07:30:02</t>
  </si>
  <si>
    <t>雷神山医院全部通电</t>
  </si>
  <si>
    <t xml:space="preserve"> 2020-01-30 15:32:02</t>
  </si>
  <si>
    <t xml:space="preserve"> 2020-01-30 08:16:02</t>
  </si>
  <si>
    <t>西藏确诊首例新型肺炎</t>
  </si>
  <si>
    <t xml:space="preserve"> 2020-01-30 16:24:02</t>
  </si>
  <si>
    <t>大年初六</t>
  </si>
  <si>
    <t xml:space="preserve"> 2020-01-30 13:56:01</t>
  </si>
  <si>
    <t xml:space="preserve"> 2020-01-30 09:32:02</t>
  </si>
  <si>
    <t>浙江新增132例新型肺炎</t>
  </si>
  <si>
    <t xml:space="preserve"> 2020-01-30 12:58:01</t>
  </si>
  <si>
    <t>武汉首例高龄重症病人康复出院</t>
  </si>
  <si>
    <t xml:space="preserve"> 2020-01-31 10:44:02</t>
  </si>
  <si>
    <t xml:space="preserve"> 2020-01-30 10:48:01</t>
  </si>
  <si>
    <t>科比妻子更换头像</t>
  </si>
  <si>
    <t xml:space="preserve"> 2020-01-30 14:14:02</t>
  </si>
  <si>
    <t xml:space="preserve"> 2020-01-30 10:52:01</t>
  </si>
  <si>
    <t>北京将严惩隐瞒疫情等失职犯罪</t>
  </si>
  <si>
    <t xml:space="preserve"> 2020-01-31 10:24:02</t>
  </si>
  <si>
    <t xml:space="preserve"> 2020-01-30 11:14:01</t>
  </si>
  <si>
    <t>医院用机器人给病人送药</t>
  </si>
  <si>
    <t xml:space="preserve"> 2020-01-30 17:14:02</t>
  </si>
  <si>
    <t xml:space="preserve"> 2020-01-30 11:36:02</t>
  </si>
  <si>
    <t>这几天我的心情</t>
  </si>
  <si>
    <t xml:space="preserve"> 2020-01-30 15:56:01</t>
  </si>
  <si>
    <t xml:space="preserve"> 2020-01-30 11:52:01</t>
  </si>
  <si>
    <t>汕头确诊病例中11例为家庭聚集性病例</t>
  </si>
  <si>
    <t xml:space="preserve"> 2020-01-30 17:28:01</t>
  </si>
  <si>
    <t xml:space="preserve"> 2020-01-30 11:42:02</t>
  </si>
  <si>
    <t>奥拉迪波复出</t>
  </si>
  <si>
    <t xml:space="preserve"> 2020-01-30 14:06:02</t>
  </si>
  <si>
    <t xml:space="preserve"> 2020-01-30 09:48:01</t>
  </si>
  <si>
    <t>山西大巴车一乘客确诊新型肺炎</t>
  </si>
  <si>
    <t xml:space="preserve"> 2020-01-30 14:04:02</t>
  </si>
  <si>
    <t xml:space="preserve"> 2020-01-30 10:38:02</t>
  </si>
  <si>
    <t>87岁抗美援朝老兵捐赠2万只口罩</t>
  </si>
  <si>
    <t xml:space="preserve"> 2020-01-30 15:34:02</t>
  </si>
  <si>
    <t xml:space="preserve"> 2020-01-30 07:38:02</t>
  </si>
  <si>
    <t>曼城不敌曼联</t>
  </si>
  <si>
    <t xml:space="preserve"> 2020-01-30 15:46:01</t>
  </si>
  <si>
    <t>山东复工时间</t>
  </si>
  <si>
    <t xml:space="preserve"> 2020-01-31 17:22:02</t>
  </si>
  <si>
    <t>世界卫生组织</t>
  </si>
  <si>
    <t xml:space="preserve"> 2020-01-30 12:54:02</t>
  </si>
  <si>
    <t xml:space="preserve"> 2020-01-30 10:40:01</t>
  </si>
  <si>
    <t>吉林首例确诊患者出院</t>
  </si>
  <si>
    <t xml:space="preserve"> 2020-01-30 13:38:02</t>
  </si>
  <si>
    <t>西藏拉萨寻同车乘客</t>
  </si>
  <si>
    <t xml:space="preserve"> 2020-01-30 13:14:02</t>
  </si>
  <si>
    <t xml:space="preserve"> 2020-01-30 11:34:02</t>
  </si>
  <si>
    <t>北京新增3例新型肺炎</t>
  </si>
  <si>
    <t xml:space="preserve"> 2020-01-30 12:42:02</t>
  </si>
  <si>
    <t>汉莎航空停飞内地73班航线</t>
  </si>
  <si>
    <t xml:space="preserve"> 2020-01-30 10:04:01</t>
  </si>
  <si>
    <t>欧盟议会合唱欢送英国脱欧</t>
  </si>
  <si>
    <t xml:space="preserve"> 2020-01-30 10:00:02</t>
  </si>
  <si>
    <t>湖南新增56例新型肺炎</t>
  </si>
  <si>
    <t xml:space="preserve"> 2020-01-31 16:12:02</t>
  </si>
  <si>
    <t xml:space="preserve"> 2020-01-30 11:40:02</t>
  </si>
  <si>
    <t>欧洲议会通过英国脱欧</t>
  </si>
  <si>
    <t xml:space="preserve"> 2020-01-30 13:42:01</t>
  </si>
  <si>
    <t xml:space="preserve"> 2020-01-30 10:34:02</t>
  </si>
  <si>
    <t>福建新增17例新型肺炎</t>
  </si>
  <si>
    <t xml:space="preserve"> 2020-01-30 12:56:02</t>
  </si>
  <si>
    <t xml:space="preserve"> 2020-01-30 07:26:01</t>
  </si>
  <si>
    <t>金银潭医院院长回应患渐冻症</t>
  </si>
  <si>
    <t xml:space="preserve"> 2020-01-30 13:04:02</t>
  </si>
  <si>
    <t xml:space="preserve"> 2020-01-30 09:16:02</t>
  </si>
  <si>
    <t>加拿大航空暂停所有直航中国航班</t>
  </si>
  <si>
    <t xml:space="preserve"> 2020-01-30 12:40:02</t>
  </si>
  <si>
    <t xml:space="preserve"> 2020-01-30 07:22:01</t>
  </si>
  <si>
    <t>芬兰确诊首例病例</t>
  </si>
  <si>
    <t xml:space="preserve"> 2020-01-30 12:36:02</t>
  </si>
  <si>
    <t xml:space="preserve"> 2020-01-30 08:10:02</t>
  </si>
  <si>
    <t>隔离日记</t>
  </si>
  <si>
    <t xml:space="preserve"> 2020-01-30 16:40:01</t>
  </si>
  <si>
    <t xml:space="preserve"> 2020-01-30 12:00:01</t>
  </si>
  <si>
    <t>北京取消2月2日办理结婚登记</t>
  </si>
  <si>
    <t xml:space="preserve"> 2020-01-30 12:46:01</t>
  </si>
  <si>
    <t>雷神山医院规模扩大</t>
  </si>
  <si>
    <t>安徽新增48例新型肺炎</t>
  </si>
  <si>
    <t xml:space="preserve"> 2020-01-30 13:30:02</t>
  </si>
  <si>
    <t xml:space="preserve"> 2020-01-30 08:22:01</t>
  </si>
  <si>
    <t>防疫横幅土味文案</t>
  </si>
  <si>
    <t xml:space="preserve"> 2020-01-31 13:50:02</t>
  </si>
  <si>
    <t xml:space="preserve"> 2020-01-30 22:54:02</t>
  </si>
  <si>
    <t>演员田成仁去世</t>
  </si>
  <si>
    <t xml:space="preserve"> 2020-01-31 08:56:02</t>
  </si>
  <si>
    <t xml:space="preserve"> 2020-01-30 23:08:02</t>
  </si>
  <si>
    <t>湖北新增确诊病例317人</t>
  </si>
  <si>
    <t xml:space="preserve"> 2020-01-31 14:44:01</t>
  </si>
  <si>
    <t xml:space="preserve"> 2020-01-30 22:06:02</t>
  </si>
  <si>
    <t>黄冈卫健委主任唐志红被免职</t>
  </si>
  <si>
    <t xml:space="preserve"> 2020-01-31 09:22:02</t>
  </si>
  <si>
    <t xml:space="preserve"> 2020-01-30 21:06:01</t>
  </si>
  <si>
    <t>高福</t>
  </si>
  <si>
    <t xml:space="preserve"> 2020-01-31 16:38:02</t>
  </si>
  <si>
    <t xml:space="preserve"> 2020-01-30 23:20:02</t>
  </si>
  <si>
    <t>暖春小花的爷爷走了</t>
  </si>
  <si>
    <t xml:space="preserve"> 2020-01-31 15:46:01</t>
  </si>
  <si>
    <t xml:space="preserve"> 2020-01-30 23:36:02</t>
  </si>
  <si>
    <t>官方通报火神山医院冲突</t>
  </si>
  <si>
    <t xml:space="preserve"> 2020-01-31 13:14:01</t>
  </si>
  <si>
    <t xml:space="preserve"> 2020-01-30 20:44:02</t>
  </si>
  <si>
    <t>北京由输入期向扩散期过渡</t>
  </si>
  <si>
    <t xml:space="preserve"> 2020-01-31 14:36:01</t>
  </si>
  <si>
    <t xml:space="preserve"> 2020-01-30 19:22:02</t>
  </si>
  <si>
    <t>萧亚轩 平平无奇恋爱小天才</t>
  </si>
  <si>
    <t xml:space="preserve"> 2020-01-31 15:06:01</t>
  </si>
  <si>
    <t xml:space="preserve"> 2020-01-30 22:44:02</t>
  </si>
  <si>
    <t>火神山现场</t>
  </si>
  <si>
    <t xml:space="preserve"> 2020-01-31 11:22:01</t>
  </si>
  <si>
    <t xml:space="preserve"> 2020-01-30 22:40:01</t>
  </si>
  <si>
    <t>湖北检测能力日均约4000份</t>
  </si>
  <si>
    <t xml:space="preserve"> 2020-01-31 08:28:02</t>
  </si>
  <si>
    <t xml:space="preserve"> 2020-01-30 21:40:01</t>
  </si>
  <si>
    <t>湖北省委书记为疫情逝者表示哀悼</t>
  </si>
  <si>
    <t xml:space="preserve"> 2020-01-31 12:56:02</t>
  </si>
  <si>
    <t xml:space="preserve"> 2020-01-30 18:06:02</t>
  </si>
  <si>
    <t>詹姆斯纹身</t>
  </si>
  <si>
    <t xml:space="preserve"> 2020-01-31 07:52:01</t>
  </si>
  <si>
    <t xml:space="preserve"> 2020-01-30 20:26:02</t>
  </si>
  <si>
    <t>广州首两例感染儿童出院</t>
  </si>
  <si>
    <t xml:space="preserve"> 2020-01-31 14:42:01</t>
  </si>
  <si>
    <t xml:space="preserve"> 2020-01-30 21:20:01</t>
  </si>
  <si>
    <t>一企业30人开会11人传染</t>
  </si>
  <si>
    <t xml:space="preserve"> 2020-01-31 14:10:02</t>
  </si>
  <si>
    <t xml:space="preserve"> 2020-01-30 20:14:02</t>
  </si>
  <si>
    <t>Kaia</t>
  </si>
  <si>
    <t xml:space="preserve"> 2020-01-31 14:50:01</t>
  </si>
  <si>
    <t xml:space="preserve"> 2020-01-30 21:30:02</t>
  </si>
  <si>
    <t>欧阳娜娜王源 台词</t>
  </si>
  <si>
    <t xml:space="preserve"> 2020-01-31 16:00:02</t>
  </si>
  <si>
    <t xml:space="preserve"> 2020-01-30 21:26:01</t>
  </si>
  <si>
    <t>宋威龙 年下男</t>
  </si>
  <si>
    <t xml:space="preserve"> 2020-01-31 17:44:01</t>
  </si>
  <si>
    <t xml:space="preserve"> 2020-01-30 21:44:02</t>
  </si>
  <si>
    <t>在家的我被逼成什么样了</t>
  </si>
  <si>
    <t xml:space="preserve"> 2020-01-31 12:22:01</t>
  </si>
  <si>
    <t xml:space="preserve"> 2020-01-30 18:18:01</t>
  </si>
  <si>
    <t>黄冈卫健委</t>
  </si>
  <si>
    <t xml:space="preserve"> 2020-01-31 15:50:02</t>
  </si>
  <si>
    <t xml:space="preserve"> 2020-01-30 19:52:01</t>
  </si>
  <si>
    <t>你见过最硬核的口罩</t>
  </si>
  <si>
    <t xml:space="preserve"> 2020-01-31 07:48:01</t>
  </si>
  <si>
    <t xml:space="preserve"> 2020-01-30 14:36:01</t>
  </si>
  <si>
    <t>玩吧又崩了</t>
  </si>
  <si>
    <t xml:space="preserve"> 2020-01-31 09:42:01</t>
  </si>
  <si>
    <t xml:space="preserve"> 2020-01-30 23:42:02</t>
  </si>
  <si>
    <t>29日南宁病例同行人员</t>
  </si>
  <si>
    <t xml:space="preserve"> 2020-03-01 07:30:02</t>
  </si>
  <si>
    <t xml:space="preserve"> 2020-01-30 20:02:01</t>
  </si>
  <si>
    <t>大主宰</t>
  </si>
  <si>
    <t xml:space="preserve"> 2020-01-31 12:28:01</t>
  </si>
  <si>
    <t>湖北松滋市委书记黄祥龙疑似感染</t>
  </si>
  <si>
    <t xml:space="preserve"> 2020-01-31 15:32:02</t>
  </si>
  <si>
    <t xml:space="preserve"> 2020-01-30 23:24:01</t>
  </si>
  <si>
    <t>湖北累计收到捐赠物资615.43万件</t>
  </si>
  <si>
    <t xml:space="preserve"> 2020-02-01 00:10:02</t>
  </si>
  <si>
    <t xml:space="preserve"> 2020-01-30 21:56:02</t>
  </si>
  <si>
    <t>疫情防控物资企业复工复产</t>
  </si>
  <si>
    <t xml:space="preserve"> 2020-01-31 14:22:02</t>
  </si>
  <si>
    <t xml:space="preserve"> 2020-01-30 22:24:02</t>
  </si>
  <si>
    <t>当武汉物资运输车经过收费站</t>
  </si>
  <si>
    <t xml:space="preserve"> 2020-01-31 13:28:01</t>
  </si>
  <si>
    <t xml:space="preserve"> 2020-01-30 16:44:02</t>
  </si>
  <si>
    <t>姜思达</t>
  </si>
  <si>
    <t xml:space="preserve"> 2020-01-31 12:18:02</t>
  </si>
  <si>
    <t xml:space="preserve"> 2020-01-30 21:10:01</t>
  </si>
  <si>
    <t>上海医疗专家组长回应党员上一线</t>
  </si>
  <si>
    <t xml:space="preserve"> 2020-01-31 13:56:02</t>
  </si>
  <si>
    <t xml:space="preserve"> 2020-01-30 22:14:02</t>
  </si>
  <si>
    <t>诗词大会 彭敏</t>
  </si>
  <si>
    <t xml:space="preserve"> 2020-01-31 08:34:02</t>
  </si>
  <si>
    <t xml:space="preserve"> 2019-11-04 09:22:01</t>
  </si>
  <si>
    <t>周立波</t>
  </si>
  <si>
    <t xml:space="preserve"> 2020-01-31 13:04:02</t>
  </si>
  <si>
    <t xml:space="preserve"> 2020-01-30 19:38:01</t>
  </si>
  <si>
    <t>查扣假冒伪劣口罩38万余只</t>
  </si>
  <si>
    <t xml:space="preserve"> 2020-01-30 17:58:01</t>
  </si>
  <si>
    <t>卫生局副局长泄露患者隐私被查处</t>
  </si>
  <si>
    <t xml:space="preserve"> 2020-01-31 10:20:02</t>
  </si>
  <si>
    <t xml:space="preserve"> 2020-01-30 16:30:02</t>
  </si>
  <si>
    <t>除夕与初六对比图</t>
  </si>
  <si>
    <t xml:space="preserve"> 2020-01-31 16:58:01</t>
  </si>
  <si>
    <t xml:space="preserve"> 2020-01-30 21:46:01</t>
  </si>
  <si>
    <t>疫情过后你最想见的人</t>
  </si>
  <si>
    <t xml:space="preserve"> 2020-01-30 23:38:01</t>
  </si>
  <si>
    <t>湖北省委书记回应一床难求</t>
  </si>
  <si>
    <t xml:space="preserve"> 2020-01-31 13:38:02</t>
  </si>
  <si>
    <t>返程后如何做好个人防护</t>
  </si>
  <si>
    <t xml:space="preserve"> 2020-01-31 10:56:02</t>
  </si>
  <si>
    <t xml:space="preserve"> 2020-01-30 18:40:01</t>
  </si>
  <si>
    <t>打护士肺炎病人家属被刑拘</t>
  </si>
  <si>
    <t xml:space="preserve"> 2020-01-31 09:00:02</t>
  </si>
  <si>
    <t xml:space="preserve"> 2020-01-30 19:56:01</t>
  </si>
  <si>
    <t>戴口罩 胡星到</t>
  </si>
  <si>
    <t xml:space="preserve"> 2020-01-31 01:18:01</t>
  </si>
  <si>
    <t xml:space="preserve"> 2020-01-30 17:18:01</t>
  </si>
  <si>
    <t>宁桓宇</t>
  </si>
  <si>
    <t xml:space="preserve"> 2020-01-31 15:26:02</t>
  </si>
  <si>
    <t xml:space="preserve"> 2020-01-30 16:14:01</t>
  </si>
  <si>
    <t>这几天我最想不通的事</t>
  </si>
  <si>
    <t xml:space="preserve"> 2020-01-31 08:16:02</t>
  </si>
  <si>
    <t>湖北疫情期间开展网络教学</t>
  </si>
  <si>
    <t xml:space="preserve"> 2020-01-31 02:36:02</t>
  </si>
  <si>
    <t xml:space="preserve"> 2020-01-30 13:20:01</t>
  </si>
  <si>
    <t>欧文流泪悼念科比</t>
  </si>
  <si>
    <t xml:space="preserve"> 2020-01-31 05:38:01</t>
  </si>
  <si>
    <t xml:space="preserve"> 2020-01-30 17:38:01</t>
  </si>
  <si>
    <t>费德勒状态</t>
  </si>
  <si>
    <t xml:space="preserve"> 2020-01-31 01:06:02</t>
  </si>
  <si>
    <t xml:space="preserve"> 2020-01-30 13:06:01</t>
  </si>
  <si>
    <t>各级财政支持疫情防控273亿元</t>
  </si>
  <si>
    <t xml:space="preserve"> 2020-01-31 00:40:01</t>
  </si>
  <si>
    <t xml:space="preserve"> 2020-01-30 17:50:02</t>
  </si>
  <si>
    <t>疫情结束后最想吃的东西</t>
  </si>
  <si>
    <t xml:space="preserve"> 2020-01-31 18:52:02</t>
  </si>
  <si>
    <t xml:space="preserve"> 2020-01-31 11:24:01</t>
  </si>
  <si>
    <t>中国决定派包机接海外湖北公民回家</t>
  </si>
  <si>
    <t xml:space="preserve"> 2020-01-31 13:20:02</t>
  </si>
  <si>
    <t>全国累计确诊9692例</t>
  </si>
  <si>
    <t xml:space="preserve"> 2020-01-31 23:34:02</t>
  </si>
  <si>
    <t xml:space="preserve"> 2020-01-31 11:36:02</t>
  </si>
  <si>
    <t>北方大城市将投放储备蔬菜</t>
  </si>
  <si>
    <t xml:space="preserve"> 2020-01-31 10:34:02</t>
  </si>
  <si>
    <t>疾控中心回应发表论文</t>
  </si>
  <si>
    <t>重庆飞南通航班83人被医学观察</t>
  </si>
  <si>
    <t xml:space="preserve"> 2020-01-31 18:38:01</t>
  </si>
  <si>
    <t>浙江新增109例新型肺炎</t>
  </si>
  <si>
    <t xml:space="preserve"> 2020-01-31 22:46:01</t>
  </si>
  <si>
    <t xml:space="preserve"> 2020-01-31 10:48:02</t>
  </si>
  <si>
    <t>NBA全明星赛改制</t>
  </si>
  <si>
    <t xml:space="preserve"> 2020-01-31 17:06:01</t>
  </si>
  <si>
    <t xml:space="preserve"> 2020-01-31 08:30:02</t>
  </si>
  <si>
    <t>河北企业复工不早于2月9日</t>
  </si>
  <si>
    <t xml:space="preserve"> 2020-01-31 19:56:02</t>
  </si>
  <si>
    <t xml:space="preserve"> 2020-01-31 11:52:01</t>
  </si>
  <si>
    <t>河南复工期限推迟</t>
  </si>
  <si>
    <t xml:space="preserve"> 2020-01-31 16:54:02</t>
  </si>
  <si>
    <t xml:space="preserve"> 2020-01-31 08:46:02</t>
  </si>
  <si>
    <t>14日T156和K1454次乘客</t>
  </si>
  <si>
    <t xml:space="preserve"> 2020-01-31 17:46:02</t>
  </si>
  <si>
    <t xml:space="preserve"> 2020-01-31 10:06:02</t>
  </si>
  <si>
    <t>河南新增74例新型肺炎</t>
  </si>
  <si>
    <t xml:space="preserve"> 2020-02-08 18:50:02</t>
  </si>
  <si>
    <t xml:space="preserve"> 2020-01-31 10:22:02</t>
  </si>
  <si>
    <t>网易严选崩了</t>
  </si>
  <si>
    <t xml:space="preserve"> 2020-01-31 18:28:02</t>
  </si>
  <si>
    <t xml:space="preserve"> 2020-01-31 07:54:01</t>
  </si>
  <si>
    <t>美国出现首例人传人病例</t>
  </si>
  <si>
    <t xml:space="preserve"> 2020-01-31 20:26:01</t>
  </si>
  <si>
    <t xml:space="preserve"> 2020-01-31 10:42:02</t>
  </si>
  <si>
    <t>NBA全明星替补阵容</t>
  </si>
  <si>
    <t xml:space="preserve"> 2020-01-31 18:12:02</t>
  </si>
  <si>
    <t xml:space="preserve"> 2020-01-31 09:02:01</t>
  </si>
  <si>
    <t>意大利首次确诊两例病例</t>
  </si>
  <si>
    <t xml:space="preserve"> 2020-01-31 19:22:02</t>
  </si>
  <si>
    <t xml:space="preserve"> 2020-01-31 08:36:01</t>
  </si>
  <si>
    <t>湖北新增1220例</t>
  </si>
  <si>
    <t xml:space="preserve"> 2020-01-31 18:00:02</t>
  </si>
  <si>
    <t xml:space="preserve"> 2020-01-31 11:34:01</t>
  </si>
  <si>
    <t>陕西新增24例新型肺炎</t>
  </si>
  <si>
    <t xml:space="preserve"> 2020-01-31 17:38:02</t>
  </si>
  <si>
    <t xml:space="preserve"> 2020-01-31 10:38:02</t>
  </si>
  <si>
    <t>安徽新增37例新型肺炎</t>
  </si>
  <si>
    <t xml:space="preserve"> 2020-02-01 00:02:01</t>
  </si>
  <si>
    <t xml:space="preserve"> 2020-01-31 12:02:01</t>
  </si>
  <si>
    <t>人类拍到迄今最清晰的太阳照片</t>
  </si>
  <si>
    <t xml:space="preserve"> 2020-02-01 14:22:02</t>
  </si>
  <si>
    <t xml:space="preserve"> 2020-01-31 23:10:02</t>
  </si>
  <si>
    <t>双黄连可抑制新型冠状病毒</t>
  </si>
  <si>
    <t xml:space="preserve"> 2020-02-01 09:34:01</t>
  </si>
  <si>
    <t xml:space="preserve"> 2020-01-31 21:48:01</t>
  </si>
  <si>
    <t>意大利宣布进入国家紧急状态</t>
  </si>
  <si>
    <t xml:space="preserve"> 2020-02-01 01:14:02</t>
  </si>
  <si>
    <t xml:space="preserve"> 2020-01-31 22:54:02</t>
  </si>
  <si>
    <t>62个国家对中国公民实施入境管制</t>
  </si>
  <si>
    <t xml:space="preserve"> 2020-02-01 13:36:02</t>
  </si>
  <si>
    <t xml:space="preserve"> 2020-01-31 23:12:02</t>
  </si>
  <si>
    <t>倪妮给王鸥推荐什么生发液</t>
  </si>
  <si>
    <t xml:space="preserve"> 2020-02-01 09:46:01</t>
  </si>
  <si>
    <t xml:space="preserve"> 2020-01-31 22:24:03</t>
  </si>
  <si>
    <t>武汉共收到社会捐款25.86亿元</t>
  </si>
  <si>
    <t xml:space="preserve"> 2020-02-01 08:44:01</t>
  </si>
  <si>
    <t xml:space="preserve"> 2020-01-31 21:10:01</t>
  </si>
  <si>
    <t>武汉金银潭医院20名患者集体出院</t>
  </si>
  <si>
    <t xml:space="preserve"> 2020-02-01 09:28:01</t>
  </si>
  <si>
    <t xml:space="preserve"> 2020-01-31 21:58:01</t>
  </si>
  <si>
    <t>白岩松对话湖北省委副书记</t>
  </si>
  <si>
    <t xml:space="preserve"> 2020-02-01 10:30:01</t>
  </si>
  <si>
    <t xml:space="preserve"> 2020-01-31 23:02:01</t>
  </si>
  <si>
    <t>武汉协和医院收到急需物资</t>
  </si>
  <si>
    <t xml:space="preserve"> 2020-02-01 08:54:02</t>
  </si>
  <si>
    <t xml:space="preserve"> 2020-01-31 22:26:02</t>
  </si>
  <si>
    <t>澳大利亚首都宣布进入紧急状态</t>
  </si>
  <si>
    <t xml:space="preserve"> 2020-02-01 10:28:02</t>
  </si>
  <si>
    <t xml:space="preserve"> 2020-01-31 22:48:01</t>
  </si>
  <si>
    <t>每天刷微博的心情</t>
  </si>
  <si>
    <t xml:space="preserve"> 2020-02-01 12:50:02</t>
  </si>
  <si>
    <t xml:space="preserve"> 2020-01-31 23:50:01</t>
  </si>
  <si>
    <t>武汉蔬菜存量3.44万吨</t>
  </si>
  <si>
    <t xml:space="preserve"> 2020-02-01 10:34:02</t>
  </si>
  <si>
    <t xml:space="preserve"> 2020-01-31 23:26:02</t>
  </si>
  <si>
    <t>湖北回应红十字会物资供应问题</t>
  </si>
  <si>
    <t xml:space="preserve"> 2020-02-01 08:10:02</t>
  </si>
  <si>
    <t xml:space="preserve"> 2020-01-31 19:54:02</t>
  </si>
  <si>
    <t>仁爱医院院长回应口罩使用情况</t>
  </si>
  <si>
    <t xml:space="preserve"> 2020-02-01 08:20:01</t>
  </si>
  <si>
    <t xml:space="preserve"> 2020-01-31 22:18:02</t>
  </si>
  <si>
    <t>火神山2月3日可收治病人</t>
  </si>
  <si>
    <t xml:space="preserve"> 2020-03-28 21:20:02</t>
  </si>
  <si>
    <t>高晓松</t>
  </si>
  <si>
    <t xml:space="preserve"> 2020-02-01 11:36:01</t>
  </si>
  <si>
    <t>三生三世枕上书白浅预告</t>
  </si>
  <si>
    <t xml:space="preserve"> 2020-01-31 22:44:01</t>
  </si>
  <si>
    <t>蒋梦婕爸爸观点</t>
  </si>
  <si>
    <t xml:space="preserve"> 2020-02-01 12:52:01</t>
  </si>
  <si>
    <t xml:space="preserve"> 2020-01-31 23:16:02</t>
  </si>
  <si>
    <t>赵海山</t>
  </si>
  <si>
    <t xml:space="preserve"> 2020-02-01 09:50:02</t>
  </si>
  <si>
    <t xml:space="preserve"> 2020-01-31 22:40:02</t>
  </si>
  <si>
    <t>林生斌</t>
  </si>
  <si>
    <t xml:space="preserve"> 2020-02-01 11:14:01</t>
  </si>
  <si>
    <t xml:space="preserve"> 2020-01-31 23:40:02</t>
  </si>
  <si>
    <t>贺繁星人设</t>
  </si>
  <si>
    <t xml:space="preserve"> 2020-02-01 09:20:02</t>
  </si>
  <si>
    <t xml:space="preserve"> 2020-01-31 19:52:02</t>
  </si>
  <si>
    <t>吴佩慈四胎生女</t>
  </si>
  <si>
    <t xml:space="preserve"> 2020-02-01 11:04:01</t>
  </si>
  <si>
    <t xml:space="preserve"> 2020-01-31 23:04:01</t>
  </si>
  <si>
    <t>温州开学时间</t>
  </si>
  <si>
    <t>学校的便宜一点都别想占</t>
  </si>
  <si>
    <t xml:space="preserve"> 2020-02-01 09:40:02</t>
  </si>
  <si>
    <t xml:space="preserve"> 2020-01-31 19:58:01</t>
  </si>
  <si>
    <t>杭州红十字会</t>
  </si>
  <si>
    <t xml:space="preserve"> 2020-01-31 18:16:01</t>
  </si>
  <si>
    <t>主持人直播咳嗽</t>
  </si>
  <si>
    <t xml:space="preserve"> 2020-02-01 07:20:01</t>
  </si>
  <si>
    <t xml:space="preserve"> 2020-01-31 22:10:01</t>
  </si>
  <si>
    <t>6万余名医务工作者奋战武汉</t>
  </si>
  <si>
    <t xml:space="preserve"> 2020-02-01 10:24:01</t>
  </si>
  <si>
    <t>重庆发布报菜名</t>
  </si>
  <si>
    <t xml:space="preserve"> 2020-02-01 07:38:02</t>
  </si>
  <si>
    <t>治愈患者有再感染风险</t>
  </si>
  <si>
    <t xml:space="preserve"> 2020-02-01 10:50:01</t>
  </si>
  <si>
    <t xml:space="preserve"> 2020-01-31 23:28:01</t>
  </si>
  <si>
    <t>武汉市委书记回应协和医院缺不缺物资</t>
  </si>
  <si>
    <t>日本多地驰援中国</t>
  </si>
  <si>
    <t xml:space="preserve"> 2020-02-01 07:44:01</t>
  </si>
  <si>
    <t>矢野浩二捐赠13万个口罩</t>
  </si>
  <si>
    <t xml:space="preserve"> 2020-02-01 09:32:01</t>
  </si>
  <si>
    <t>网易严选又崩了</t>
  </si>
  <si>
    <t xml:space="preserve"> 2020-02-01 09:52:02</t>
  </si>
  <si>
    <t>叶鹿鸣 好笑</t>
  </si>
  <si>
    <t xml:space="preserve"> 2020-02-01 01:18:02</t>
  </si>
  <si>
    <t xml:space="preserve"> 2020-01-31 21:06:01</t>
  </si>
  <si>
    <t>中疾控回应何时发现病毒人传人</t>
  </si>
  <si>
    <t xml:space="preserve"> 2020-02-01 08:40:02</t>
  </si>
  <si>
    <t xml:space="preserve"> 2020-01-31 18:42:02</t>
  </si>
  <si>
    <t>孩子对着新闻联播喊爸爸</t>
  </si>
  <si>
    <t xml:space="preserve"> 2020-02-01 08:16:02</t>
  </si>
  <si>
    <t xml:space="preserve"> 2020-01-31 20:04:01</t>
  </si>
  <si>
    <t>韩国人隔离处居民抗议</t>
  </si>
  <si>
    <t xml:space="preserve"> 2020-01-31 16:04:01</t>
  </si>
  <si>
    <t>终于把爸爸憋疯了</t>
  </si>
  <si>
    <t xml:space="preserve"> 2020-01-31 18:34:02</t>
  </si>
  <si>
    <t>我国过去一周进口5622.8万个口罩</t>
  </si>
  <si>
    <t xml:space="preserve"> 2020-01-31 18:30:01</t>
  </si>
  <si>
    <t>在家的你有多谨慎</t>
  </si>
  <si>
    <t xml:space="preserve"> 2020-02-01 09:56:02</t>
  </si>
  <si>
    <t xml:space="preserve"> 2020-01-31 23:56:02</t>
  </si>
  <si>
    <t>刘亦菲骑马动作戏</t>
  </si>
  <si>
    <t xml:space="preserve"> 2020-02-01 04:08:02</t>
  </si>
  <si>
    <t>返京人员无法进入社区可打12345</t>
  </si>
  <si>
    <t xml:space="preserve"> 2020-01-31 23:44:01</t>
  </si>
  <si>
    <t>这几天刷微博的我</t>
  </si>
  <si>
    <t xml:space="preserve"> 2020-02-01 00:04:01</t>
  </si>
  <si>
    <t>责成慈善机构每3天发布一次受捐情况</t>
  </si>
  <si>
    <t xml:space="preserve"> 2020-02-01 07:16:01</t>
  </si>
  <si>
    <t xml:space="preserve"> 2020-01-31 19:48:02</t>
  </si>
  <si>
    <t>湖北将适当延长春节假期</t>
  </si>
  <si>
    <t xml:space="preserve"> 2020-02-01 07:28:02</t>
  </si>
  <si>
    <t xml:space="preserve"> 2020-01-31 21:20:01</t>
  </si>
  <si>
    <t>俄罗斯确诊2例新型肺炎</t>
  </si>
  <si>
    <t xml:space="preserve"> 2020-02-01 06:52:02</t>
  </si>
  <si>
    <t xml:space="preserve"> 2020-01-31 18:54:02</t>
  </si>
  <si>
    <t>广州房地产租赁协会倡议减租</t>
  </si>
  <si>
    <t xml:space="preserve"> 2020-02-01 00:22:02</t>
  </si>
  <si>
    <t xml:space="preserve"> 2020-01-31 12:24:01</t>
  </si>
  <si>
    <t>给爸妈做道菜</t>
  </si>
  <si>
    <t xml:space="preserve"> 2020-02-01 00:20:02</t>
  </si>
  <si>
    <t xml:space="preserve"> 2020-01-31 20:20:02</t>
  </si>
  <si>
    <t>广州预约买口罩</t>
  </si>
  <si>
    <t xml:space="preserve"> 2020-02-01 16:48:02</t>
  </si>
  <si>
    <t xml:space="preserve"> 2020-02-01 07:58:02</t>
  </si>
  <si>
    <t>请勿抢购自行服用双黄连口服液</t>
  </si>
  <si>
    <t xml:space="preserve"> 2020-02-01 18:10:02</t>
  </si>
  <si>
    <t xml:space="preserve"> 2020-02-01 11:24:02</t>
  </si>
  <si>
    <t>重庆首例死亡病例</t>
  </si>
  <si>
    <t xml:space="preserve"> 2020-02-02 23:30:02</t>
  </si>
  <si>
    <t>美国宣布进入公共卫生紧急状态</t>
  </si>
  <si>
    <t xml:space="preserve"> 2020-02-02 07:40:02</t>
  </si>
  <si>
    <t xml:space="preserve"> 2020-02-01 08:36:01</t>
  </si>
  <si>
    <t>红十字会</t>
  </si>
  <si>
    <t xml:space="preserve"> 2020-02-01 16:54:02</t>
  </si>
  <si>
    <t xml:space="preserve"> 2020-02-01 08:56:02</t>
  </si>
  <si>
    <t>武汉小姐姐每天给医院做饭800份</t>
  </si>
  <si>
    <t xml:space="preserve"> 2020-02-02 06:38:01</t>
  </si>
  <si>
    <t xml:space="preserve"> 2020-02-01 09:54:02</t>
  </si>
  <si>
    <t>总台记者探访武汉红十字会</t>
  </si>
  <si>
    <t xml:space="preserve"> 2020-02-02 07:30:02</t>
  </si>
  <si>
    <t xml:space="preserve"> 2020-02-01 08:22:02</t>
  </si>
  <si>
    <t>全国累计确诊新型肺炎11791例</t>
  </si>
  <si>
    <t xml:space="preserve"> 2020-02-01 16:16:02</t>
  </si>
  <si>
    <t>黄冈市华家河镇书记镇长被免职</t>
  </si>
  <si>
    <t xml:space="preserve"> 2020-02-01 09:02:02</t>
  </si>
  <si>
    <t>抗击埃博拉女军医再次驰援湖北</t>
  </si>
  <si>
    <t xml:space="preserve"> 2020-02-01 14:28:01</t>
  </si>
  <si>
    <t xml:space="preserve"> 2020-02-01 07:46:01</t>
  </si>
  <si>
    <t>双黄莲蓉月饼 双黄连</t>
  </si>
  <si>
    <t xml:space="preserve"> 2020-02-01 13:28:02</t>
  </si>
  <si>
    <t xml:space="preserve"> 2020-02-01 09:48:01</t>
  </si>
  <si>
    <t>韩红谈慈善</t>
  </si>
  <si>
    <t xml:space="preserve"> 2020-02-02 06:32:02</t>
  </si>
  <si>
    <t xml:space="preserve"> 2020-02-01 11:22:01</t>
  </si>
  <si>
    <t>杭州红十字会收支每日公布</t>
  </si>
  <si>
    <t xml:space="preserve"> 2020-02-01 18:14:01</t>
  </si>
  <si>
    <t xml:space="preserve"> 2020-02-01 10:04:02</t>
  </si>
  <si>
    <t>湖人主场致敬科比</t>
  </si>
  <si>
    <t xml:space="preserve"> 2020-02-01 07:22:01</t>
  </si>
  <si>
    <t>丁香园</t>
  </si>
  <si>
    <t xml:space="preserve"> 2020-03-20 22:28:02</t>
  </si>
  <si>
    <t xml:space="preserve"> 2020-02-01 10:36:02</t>
  </si>
  <si>
    <t>Lisa</t>
  </si>
  <si>
    <t xml:space="preserve"> 2020-02-01 18:02:02</t>
  </si>
  <si>
    <t>疫情结束前不要和家人吵架</t>
  </si>
  <si>
    <t xml:space="preserve"> 2020-02-01 16:58:02</t>
  </si>
  <si>
    <t xml:space="preserve"> 2020-02-01 11:38:02</t>
  </si>
  <si>
    <t>隐瞒发热症状被立案侦查</t>
  </si>
  <si>
    <t xml:space="preserve"> 2020-02-01 15:30:02</t>
  </si>
  <si>
    <t xml:space="preserve"> 2020-02-01 08:46:02</t>
  </si>
  <si>
    <t>陈铭</t>
  </si>
  <si>
    <t xml:space="preserve"> 2020-02-01 15:46:02</t>
  </si>
  <si>
    <t xml:space="preserve"> 2020-02-01 11:46:01</t>
  </si>
  <si>
    <t>詹姆斯更衣柜挂科比球衣</t>
  </si>
  <si>
    <t xml:space="preserve"> 2020-02-01 18:34:02</t>
  </si>
  <si>
    <t xml:space="preserve"> 2020-02-01 08:18:01</t>
  </si>
  <si>
    <t>戴上口罩后的颜值变化</t>
  </si>
  <si>
    <t xml:space="preserve"> 2020-02-01 15:36:01</t>
  </si>
  <si>
    <t>日本地震</t>
  </si>
  <si>
    <t xml:space="preserve"> 2020-02-01 19:20:02</t>
  </si>
  <si>
    <t xml:space="preserve"> 2020-02-01 11:34:02</t>
  </si>
  <si>
    <t>欧文54分</t>
  </si>
  <si>
    <t xml:space="preserve"> 2020-02-01 17:02:02</t>
  </si>
  <si>
    <t xml:space="preserve"> 2020-02-01 07:40:02</t>
  </si>
  <si>
    <t>湖南延迟企业复工和学校开学</t>
  </si>
  <si>
    <t xml:space="preserve"> 2020-02-01 14:52:01</t>
  </si>
  <si>
    <t>市民深夜排百米长队买双黄连</t>
  </si>
  <si>
    <t xml:space="preserve"> 2020-02-01 15:14:02</t>
  </si>
  <si>
    <t xml:space="preserve"> 2020-02-01 09:36:02</t>
  </si>
  <si>
    <t>热干面糯米饭加油</t>
  </si>
  <si>
    <t xml:space="preserve"> 2020-02-01 16:32:01</t>
  </si>
  <si>
    <t>上海药物所回应</t>
  </si>
  <si>
    <t xml:space="preserve"> 2020-02-01 13:42:01</t>
  </si>
  <si>
    <t xml:space="preserve"> 2020-02-01 08:42:01</t>
  </si>
  <si>
    <t>外交部回应美不友善言论</t>
  </si>
  <si>
    <t xml:space="preserve"> 2020-02-01 15:10:02</t>
  </si>
  <si>
    <t xml:space="preserve"> 2020-02-01 11:00:02</t>
  </si>
  <si>
    <t>广东新增127例新型肺炎病例</t>
  </si>
  <si>
    <t xml:space="preserve"> 2020-02-01 17:08:02</t>
  </si>
  <si>
    <t xml:space="preserve"> 2020-02-01 11:40:02</t>
  </si>
  <si>
    <t>滞留海外湖北籍同胞回国瞬间</t>
  </si>
  <si>
    <t xml:space="preserve"> 2020-02-02 13:30:02</t>
  </si>
  <si>
    <t>英国正式脱欧</t>
  </si>
  <si>
    <t xml:space="preserve"> 2020-02-01 13:52:01</t>
  </si>
  <si>
    <t xml:space="preserve"> 2020-02-01 11:16:02</t>
  </si>
  <si>
    <t>山东新增18例确诊病例</t>
  </si>
  <si>
    <t xml:space="preserve"> 2020-02-01 14:50:02</t>
  </si>
  <si>
    <t xml:space="preserve"> 2020-02-01 09:30:02</t>
  </si>
  <si>
    <t>速度与激情9预告</t>
  </si>
  <si>
    <t xml:space="preserve"> 2020-02-01 15:00:02</t>
  </si>
  <si>
    <t xml:space="preserve"> 2020-02-01 10:32:02</t>
  </si>
  <si>
    <t>听南方人说绕口令太解压了</t>
  </si>
  <si>
    <t xml:space="preserve"> 2020-02-01 15:06:02</t>
  </si>
  <si>
    <t xml:space="preserve"> 2020-02-01 10:52:01</t>
  </si>
  <si>
    <t>四川新增30例新型肺炎病例</t>
  </si>
  <si>
    <t xml:space="preserve"> 2020-02-01 14:32:02</t>
  </si>
  <si>
    <t>林允 可爱</t>
  </si>
  <si>
    <t xml:space="preserve"> 2020-02-01 13:06:02</t>
  </si>
  <si>
    <t>科学的事情我们不想说得太过</t>
  </si>
  <si>
    <t xml:space="preserve"> 2020-02-01 13:48:02</t>
  </si>
  <si>
    <t xml:space="preserve"> 2020-02-01 07:18:01</t>
  </si>
  <si>
    <t>藿香正气</t>
  </si>
  <si>
    <t xml:space="preserve"> 2020-02-01 13:20:02</t>
  </si>
  <si>
    <t>河南新增70例确诊病例</t>
  </si>
  <si>
    <t xml:space="preserve"> 2020-02-01 09:58:01</t>
  </si>
  <si>
    <t>德国首起家庭成员间感染病例</t>
  </si>
  <si>
    <t xml:space="preserve"> 2020-02-01 10:10:02</t>
  </si>
  <si>
    <t>睡到不知道星期几的你</t>
  </si>
  <si>
    <t xml:space="preserve"> 2020-02-01 14:30:02</t>
  </si>
  <si>
    <t xml:space="preserve"> 2020-02-01 11:50:02</t>
  </si>
  <si>
    <t>西安延迟复工</t>
  </si>
  <si>
    <t xml:space="preserve"> 2020-02-01 12:24:01</t>
  </si>
  <si>
    <t>陕西新增15例新型肺炎病例</t>
  </si>
  <si>
    <t>二月你好</t>
  </si>
  <si>
    <t xml:space="preserve"> 2020-02-01 12:14:01</t>
  </si>
  <si>
    <t>天津延期复工开学</t>
  </si>
  <si>
    <t xml:space="preserve"> 2020-02-02 13:06:01</t>
  </si>
  <si>
    <t xml:space="preserve"> 2020-02-01 22:26:01</t>
  </si>
  <si>
    <t>湖南禽流感</t>
  </si>
  <si>
    <t xml:space="preserve"> 2020-02-02 12:10:02</t>
  </si>
  <si>
    <t xml:space="preserve"> 2020-02-01 22:02:01</t>
  </si>
  <si>
    <t>萧亚轩男朋友</t>
  </si>
  <si>
    <t xml:space="preserve"> 2020-02-02 11:10:01</t>
  </si>
  <si>
    <t xml:space="preserve"> 2020-02-01 19:18:02</t>
  </si>
  <si>
    <t>武汉红十字会保安拦央视记者</t>
  </si>
  <si>
    <t xml:space="preserve"> 2020-02-02 11:26:02</t>
  </si>
  <si>
    <t xml:space="preserve"> 2020-02-01 23:16:01</t>
  </si>
  <si>
    <t>黄冈处理处分党员干部337人</t>
  </si>
  <si>
    <t xml:space="preserve"> 2020-02-02 10:36:01</t>
  </si>
  <si>
    <t xml:space="preserve"> 2020-02-01 20:44:02</t>
  </si>
  <si>
    <t>武汉红十字会辟谣拦扣医疗物资</t>
  </si>
  <si>
    <t xml:space="preserve"> 2020-02-02 09:44:01</t>
  </si>
  <si>
    <t xml:space="preserve"> 2020-02-01 22:12:02</t>
  </si>
  <si>
    <t>火神山医院将直接接收捐赠物资</t>
  </si>
  <si>
    <t xml:space="preserve"> 2020-02-02 09:28:02</t>
  </si>
  <si>
    <t xml:space="preserve"> 2020-02-01 17:22:02</t>
  </si>
  <si>
    <t>湖北红十字会将对责任人追责</t>
  </si>
  <si>
    <t xml:space="preserve"> 2020-02-02 10:00:01</t>
  </si>
  <si>
    <t xml:space="preserve"> 2020-02-01 21:56:02</t>
  </si>
  <si>
    <t>湖北春节假期延长</t>
  </si>
  <si>
    <t xml:space="preserve"> 2020-02-02 07:42:02</t>
  </si>
  <si>
    <t xml:space="preserve"> 2020-02-01 20:12:02</t>
  </si>
  <si>
    <t>17日D615次3车厢乘客</t>
  </si>
  <si>
    <t xml:space="preserve"> 2020-02-02 08:34:01</t>
  </si>
  <si>
    <t xml:space="preserve"> 2020-02-01 20:08:01</t>
  </si>
  <si>
    <t>双黄连对新型冠状病毒不具针对性</t>
  </si>
  <si>
    <t xml:space="preserve"> 2020-02-02 09:22:02</t>
  </si>
  <si>
    <t>我不是药神原型支援抗疫</t>
  </si>
  <si>
    <t xml:space="preserve"> 2020-02-02 11:28:02</t>
  </si>
  <si>
    <t>央行将提供3000亿元专项再贷款</t>
  </si>
  <si>
    <t xml:space="preserve"> 2020-02-17 08:04:02</t>
  </si>
  <si>
    <t>韩剧TV崩了</t>
  </si>
  <si>
    <t>宋慧乔声援武汉</t>
  </si>
  <si>
    <t xml:space="preserve"> 2020-02-01 21:02:02</t>
  </si>
  <si>
    <t>巴基斯坦</t>
  </si>
  <si>
    <t xml:space="preserve"> 2020-02-02 11:46:01</t>
  </si>
  <si>
    <t xml:space="preserve"> 2020-02-01 21:20:02</t>
  </si>
  <si>
    <t>奥恰洛夫战胜樊振东</t>
  </si>
  <si>
    <t xml:space="preserve"> 2020-02-02 10:16:02</t>
  </si>
  <si>
    <t>父母奋战一线儿子独自照顾自己</t>
  </si>
  <si>
    <t xml:space="preserve"> 2020-02-02 07:52:02</t>
  </si>
  <si>
    <t xml:space="preserve"> 2020-02-01 14:34:01</t>
  </si>
  <si>
    <t>武汉动物园</t>
  </si>
  <si>
    <t xml:space="preserve"> 2020-02-02 08:40:02</t>
  </si>
  <si>
    <t>9省物资直达武汉协和</t>
  </si>
  <si>
    <t xml:space="preserve"> 2020-02-02 08:04:02</t>
  </si>
  <si>
    <t xml:space="preserve"> 2020-02-01 16:22:02</t>
  </si>
  <si>
    <t>22岁感染科护士的手</t>
  </si>
  <si>
    <t xml:space="preserve"> 2020-02-02 09:16:01</t>
  </si>
  <si>
    <t xml:space="preserve"> 2020-02-01 17:40:02</t>
  </si>
  <si>
    <t>以前和现在问在干嘛的区别</t>
  </si>
  <si>
    <t xml:space="preserve"> 2020-02-01 17:12:01</t>
  </si>
  <si>
    <t>黑龙江 疫情期公职人员聚餐一律开除</t>
  </si>
  <si>
    <t xml:space="preserve"> 2020-02-02 04:42:02</t>
  </si>
  <si>
    <t xml:space="preserve"> 2020-02-01 17:44:01</t>
  </si>
  <si>
    <t>滇池海鸥</t>
  </si>
  <si>
    <t xml:space="preserve"> 2020-02-02 07:18:01</t>
  </si>
  <si>
    <t>疫情期间停止影视剧拍摄</t>
  </si>
  <si>
    <t xml:space="preserve"> 2020-02-02 07:02:01</t>
  </si>
  <si>
    <t xml:space="preserve"> 2020-02-01 16:10:01</t>
  </si>
  <si>
    <t>武汉红十字会存在调拨不及时问题</t>
  </si>
  <si>
    <t xml:space="preserve"> 2020-02-01 15:16:01</t>
  </si>
  <si>
    <t>圣彼得堡体育馆坍塌</t>
  </si>
  <si>
    <t xml:space="preserve"> 2020-02-02 08:28:02</t>
  </si>
  <si>
    <t>双黄连</t>
  </si>
  <si>
    <t xml:space="preserve"> 2020-02-01 19:46:01</t>
  </si>
  <si>
    <t>武汉火神山医院基础施工完成</t>
  </si>
  <si>
    <t xml:space="preserve"> 2020-02-01 20:02:02</t>
  </si>
  <si>
    <t>杭州市民可免费预约申领口罩</t>
  </si>
  <si>
    <t xml:space="preserve"> 2020-02-02 16:02:01</t>
  </si>
  <si>
    <t xml:space="preserve"> 2019-10-30 19:44:02</t>
  </si>
  <si>
    <t>马苏</t>
  </si>
  <si>
    <t xml:space="preserve"> 2020-02-02 00:02:01</t>
  </si>
  <si>
    <t>黄冈市长回应疾控负责人一问三不知</t>
  </si>
  <si>
    <t xml:space="preserve"> 2020-02-02 09:46:02</t>
  </si>
  <si>
    <t xml:space="preserve"> 2020-02-02 00:00:02</t>
  </si>
  <si>
    <t>西藏无新增无危重症无死亡病例</t>
  </si>
  <si>
    <t xml:space="preserve"> 2020-02-02 00:48:01</t>
  </si>
  <si>
    <t>野味disco</t>
  </si>
  <si>
    <t xml:space="preserve"> 2020-02-01 18:04:02</t>
  </si>
  <si>
    <t>北京延期开学看护子女工资照发</t>
  </si>
  <si>
    <t xml:space="preserve"> 2020-02-02 05:42:01</t>
  </si>
  <si>
    <t xml:space="preserve"> 2020-02-01 12:54:01</t>
  </si>
  <si>
    <t>全明星致敬科比</t>
  </si>
  <si>
    <t xml:space="preserve"> 2020-02-02 00:28:01</t>
  </si>
  <si>
    <t>武汉你好吗</t>
  </si>
  <si>
    <t xml:space="preserve"> 2020-02-02 07:14:02</t>
  </si>
  <si>
    <t xml:space="preserve"> 2020-02-01 14:54:02</t>
  </si>
  <si>
    <t>苹果关闭大陆零售店至9日</t>
  </si>
  <si>
    <t xml:space="preserve"> 2020-02-02 08:54:02</t>
  </si>
  <si>
    <t>国乒提前包揽女单四强</t>
  </si>
  <si>
    <t xml:space="preserve"> 2020-02-03 07:02:02</t>
  </si>
  <si>
    <t>澳网</t>
  </si>
  <si>
    <t xml:space="preserve"> 2020-02-02 00:18:01</t>
  </si>
  <si>
    <t>央视记者采访武汉协和医院</t>
  </si>
  <si>
    <t xml:space="preserve"> 2020-02-02 20:50:01</t>
  </si>
  <si>
    <t xml:space="preserve"> 2020-02-02 11:00:02</t>
  </si>
  <si>
    <t>最早发现疫情的武汉女医生</t>
  </si>
  <si>
    <t xml:space="preserve"> 2020-02-02 20:20:01</t>
  </si>
  <si>
    <t>哈尔滨春节聚餐致多人感染</t>
  </si>
  <si>
    <t xml:space="preserve"> 2020-02-02 17:38:02</t>
  </si>
  <si>
    <t xml:space="preserve"> 2020-02-02 09:32:02</t>
  </si>
  <si>
    <t>卫星图看武汉今昔对比</t>
  </si>
  <si>
    <t xml:space="preserve"> 2020-02-02 13:34:01</t>
  </si>
  <si>
    <t xml:space="preserve"> 2020-02-02 10:12:01</t>
  </si>
  <si>
    <t>N95口罩 KN95口罩</t>
  </si>
  <si>
    <t xml:space="preserve"> 2020-02-02 17:06:02</t>
  </si>
  <si>
    <t xml:space="preserve"> 2020-02-02 09:30:02</t>
  </si>
  <si>
    <t>救治成功率高于甲流和禽流感</t>
  </si>
  <si>
    <t xml:space="preserve"> 2020-02-02 15:04:02</t>
  </si>
  <si>
    <t>确诊患者粪便中检出病毒RNA阳性</t>
  </si>
  <si>
    <t xml:space="preserve"> 2020-02-03 03:32:02</t>
  </si>
  <si>
    <t xml:space="preserve"> 2020-02-02 07:12:02</t>
  </si>
  <si>
    <t>20200202</t>
  </si>
  <si>
    <t xml:space="preserve"> 2020-02-02 17:30:01</t>
  </si>
  <si>
    <t xml:space="preserve"> 2020-02-02 11:30:02</t>
  </si>
  <si>
    <t>多所高校派医护人员驰援武汉</t>
  </si>
  <si>
    <t xml:space="preserve"> 2020-02-02 14:30:02</t>
  </si>
  <si>
    <t xml:space="preserve"> 2020-02-02 11:12:02</t>
  </si>
  <si>
    <t>无权阻止无症状返京人员进社区</t>
  </si>
  <si>
    <t xml:space="preserve"> 2020-02-02 14:32:02</t>
  </si>
  <si>
    <t>目前没有新型冠状病毒变异证据</t>
  </si>
  <si>
    <t xml:space="preserve"> 2020-02-14 15:00:02</t>
  </si>
  <si>
    <t xml:space="preserve"> 2019-11-21 11:46:01</t>
  </si>
  <si>
    <t>北京下雪</t>
  </si>
  <si>
    <t xml:space="preserve"> 2020-02-02 17:48:01</t>
  </si>
  <si>
    <t xml:space="preserve"> 2020-02-02 11:44:01</t>
  </si>
  <si>
    <t>专家提醒注意消化系统传播风险</t>
  </si>
  <si>
    <t xml:space="preserve"> 2020-02-02 14:58:02</t>
  </si>
  <si>
    <t xml:space="preserve"> 2020-02-02 07:44:01</t>
  </si>
  <si>
    <t>中国红十字会总会派工作组赴湖北武汉</t>
  </si>
  <si>
    <t xml:space="preserve"> 2020-02-02 16:00:02</t>
  </si>
  <si>
    <t xml:space="preserve"> 2020-02-02 11:50:01</t>
  </si>
  <si>
    <t>胡海泉</t>
  </si>
  <si>
    <t xml:space="preserve"> 2020-02-02 20:48:01</t>
  </si>
  <si>
    <t>各地复工复课时间表</t>
  </si>
  <si>
    <t xml:space="preserve"> 2020-02-02 17:26:02</t>
  </si>
  <si>
    <t xml:space="preserve"> 2020-02-02 11:48:02</t>
  </si>
  <si>
    <t>河北一区委书记因控疫不力被问责</t>
  </si>
  <si>
    <t xml:space="preserve"> 2020-02-02 08:46:01</t>
  </si>
  <si>
    <t>全国累计确诊新型肺炎14380例</t>
  </si>
  <si>
    <t xml:space="preserve"> 2020-02-02 17:04:02</t>
  </si>
  <si>
    <t>这几天宅在家才知道的事</t>
  </si>
  <si>
    <t xml:space="preserve"> 2020-02-02 18:40:01</t>
  </si>
  <si>
    <t xml:space="preserve"> 2020-02-02 10:02:02</t>
  </si>
  <si>
    <t>德普</t>
  </si>
  <si>
    <t xml:space="preserve"> 2020-02-02 17:28:02</t>
  </si>
  <si>
    <t>武汉金银潭医院接受社会捐赠公告</t>
  </si>
  <si>
    <t xml:space="preserve"> 2020-02-02 18:22:02</t>
  </si>
  <si>
    <t>空军8架大型运输机抵达武汉</t>
  </si>
  <si>
    <t xml:space="preserve"> 2020-02-02 11:42:01</t>
  </si>
  <si>
    <t>菲律宾出现首例死亡病例</t>
  </si>
  <si>
    <t xml:space="preserve"> 2020-02-02 08:30:01</t>
  </si>
  <si>
    <t>儿童要佩戴专用的一次性口罩</t>
  </si>
  <si>
    <t xml:space="preserve"> 2020-02-02 13:58:02</t>
  </si>
  <si>
    <t xml:space="preserve"> 2020-02-02 10:38:01</t>
  </si>
  <si>
    <t>李兰娟院士带队抵达武汉</t>
  </si>
  <si>
    <t xml:space="preserve"> 2020-02-02 13:14:02</t>
  </si>
  <si>
    <t>上海药物研究所声明</t>
  </si>
  <si>
    <t xml:space="preserve"> 2020-02-02 14:42:01</t>
  </si>
  <si>
    <t xml:space="preserve"> 2020-02-02 07:32:01</t>
  </si>
  <si>
    <t>蔡紫主持人大赛冠军</t>
  </si>
  <si>
    <t xml:space="preserve"> 2020-02-02 13:54:01</t>
  </si>
  <si>
    <t xml:space="preserve"> 2020-02-02 09:54:02</t>
  </si>
  <si>
    <t>只想过个普通的20200202</t>
  </si>
  <si>
    <t xml:space="preserve"> 2020-02-02 12:36:01</t>
  </si>
  <si>
    <t xml:space="preserve"> 2020-02-02 00:16:02</t>
  </si>
  <si>
    <t>周震南欧阳娜娜 封面</t>
  </si>
  <si>
    <t xml:space="preserve"> 2020-02-02 13:24:01</t>
  </si>
  <si>
    <t xml:space="preserve"> 2020-02-02 00:34:02</t>
  </si>
  <si>
    <t>贺军翔好帅</t>
  </si>
  <si>
    <t xml:space="preserve"> 2020-02-02 10:58:02</t>
  </si>
  <si>
    <t>江苏新增34例确诊病例</t>
  </si>
  <si>
    <t xml:space="preserve"> 2020-02-02 14:28:01</t>
  </si>
  <si>
    <t xml:space="preserve"> 2020-02-02 10:20:01</t>
  </si>
  <si>
    <t>山东累计确诊病例225例</t>
  </si>
  <si>
    <t xml:space="preserve"> 2020-02-02 17:14:01</t>
  </si>
  <si>
    <t xml:space="preserve"> 2020-02-02 08:38:02</t>
  </si>
  <si>
    <t>实名羡慕萧亚轩</t>
  </si>
  <si>
    <t xml:space="preserve"> 2020-02-02 11:52:01</t>
  </si>
  <si>
    <t>湖南4人防控疫情不力被停职</t>
  </si>
  <si>
    <t xml:space="preserve"> 2020-02-02 13:18:02</t>
  </si>
  <si>
    <t xml:space="preserve"> 2020-02-02 10:30:01</t>
  </si>
  <si>
    <t>四川新增24例确诊病例</t>
  </si>
  <si>
    <t xml:space="preserve"> 2020-02-02 12:44:01</t>
  </si>
  <si>
    <t>浙江新增62例确诊病例</t>
  </si>
  <si>
    <t xml:space="preserve"> 2020-02-02 21:12:02</t>
  </si>
  <si>
    <t xml:space="preserve"> 2020-02-02 11:54:01</t>
  </si>
  <si>
    <t>最近几天的你</t>
  </si>
  <si>
    <t xml:space="preserve"> 2020-02-02 12:50:01</t>
  </si>
  <si>
    <t>湖北新增1921例确诊病例</t>
  </si>
  <si>
    <t>医用口罩信息可网上查询</t>
  </si>
  <si>
    <t xml:space="preserve"> 2020-02-02 12:34:01</t>
  </si>
  <si>
    <t xml:space="preserve"> 2020-02-02 07:04:02</t>
  </si>
  <si>
    <t>可直接与武汉医院对接捐赠</t>
  </si>
  <si>
    <t xml:space="preserve"> 2020-02-02 21:22:01</t>
  </si>
  <si>
    <t xml:space="preserve"> 2020-02-02 12:06:01</t>
  </si>
  <si>
    <t>安徽长丰回应女子卖捐赠口罩</t>
  </si>
  <si>
    <t xml:space="preserve"> 2020-02-02 12:30:02</t>
  </si>
  <si>
    <t>美国发现第8名感染病人</t>
  </si>
  <si>
    <t xml:space="preserve"> 2020-02-02 12:22:02</t>
  </si>
  <si>
    <t>空城日记</t>
  </si>
  <si>
    <t xml:space="preserve"> 2020-02-03 12:56:02</t>
  </si>
  <si>
    <t xml:space="preserve"> 2020-02-02 22:48:01</t>
  </si>
  <si>
    <t>钟南山称疑似病例自行隔离非常危险</t>
  </si>
  <si>
    <t xml:space="preserve"> 2020-02-03 09:54:01</t>
  </si>
  <si>
    <t xml:space="preserve"> 2020-02-02 22:30:01</t>
  </si>
  <si>
    <t>目前已初步筛选出三种治疗药物</t>
  </si>
  <si>
    <t xml:space="preserve"> 2020-02-03 08:16:02</t>
  </si>
  <si>
    <t xml:space="preserve"> 2020-02-02 20:22:01</t>
  </si>
  <si>
    <t>地方不得以任何名义截留调用医疗物资</t>
  </si>
  <si>
    <t xml:space="preserve"> 2020-02-03 08:56:01</t>
  </si>
  <si>
    <t xml:space="preserve"> 2020-02-02 21:38:02</t>
  </si>
  <si>
    <t>邹韵好稳</t>
  </si>
  <si>
    <t xml:space="preserve"> 2020-02-03 10:40:02</t>
  </si>
  <si>
    <t xml:space="preserve"> 2020-02-02 22:36:02</t>
  </si>
  <si>
    <t>白岩松对话温州市市长</t>
  </si>
  <si>
    <t xml:space="preserve"> 2020-02-16 23:30:02</t>
  </si>
  <si>
    <t xml:space="preserve"> 2020-02-02 22:10:02</t>
  </si>
  <si>
    <t>想见你直播</t>
  </si>
  <si>
    <t xml:space="preserve"> 2020-02-03 08:02:02</t>
  </si>
  <si>
    <t xml:space="preserve"> 2020-02-02 20:38:01</t>
  </si>
  <si>
    <t>湖北省特别是武汉市物资需要是重中之重</t>
  </si>
  <si>
    <t xml:space="preserve"> 2020-02-03 09:26:02</t>
  </si>
  <si>
    <t xml:space="preserve"> 2020-02-02 17:34:01</t>
  </si>
  <si>
    <t>新增病例住在确诊病例楼上</t>
  </si>
  <si>
    <t xml:space="preserve"> 2020-02-03 08:58:01</t>
  </si>
  <si>
    <t xml:space="preserve"> 2020-02-02 18:42:02</t>
  </si>
  <si>
    <t>山东发现聚集性疫情60起</t>
  </si>
  <si>
    <t xml:space="preserve"> 2020-02-03 07:26:02</t>
  </si>
  <si>
    <t xml:space="preserve"> 2020-02-02 18:30:02</t>
  </si>
  <si>
    <t>深圳首次出现3例社区传播病例</t>
  </si>
  <si>
    <t xml:space="preserve"> 2020-02-03 03:26:02</t>
  </si>
  <si>
    <t xml:space="preserve"> 2020-02-02 21:14:01</t>
  </si>
  <si>
    <t>黄冈也收到直达救援物资</t>
  </si>
  <si>
    <t xml:space="preserve"> 2020-02-03 07:40:02</t>
  </si>
  <si>
    <t xml:space="preserve"> 2020-02-02 21:52:02</t>
  </si>
  <si>
    <t>钟南山谈疫情防控最新情况</t>
  </si>
  <si>
    <t xml:space="preserve"> 2020-02-02 22:02:01</t>
  </si>
  <si>
    <t>冯硕被淘汰</t>
  </si>
  <si>
    <t xml:space="preserve"> 2020-02-03 11:12:02</t>
  </si>
  <si>
    <t xml:space="preserve"> 2020-02-02 23:34:03</t>
  </si>
  <si>
    <t>深圳女房东主动降租80万</t>
  </si>
  <si>
    <t xml:space="preserve"> 2020-02-03 10:42:02</t>
  </si>
  <si>
    <t xml:space="preserve"> 2020-02-02 21:24:01</t>
  </si>
  <si>
    <t>网友请愿海王2开除艾梅伯</t>
  </si>
  <si>
    <t xml:space="preserve"> 2020-02-03 11:18:02</t>
  </si>
  <si>
    <t xml:space="preserve"> 2020-02-02 23:26:02</t>
  </si>
  <si>
    <t>民企接手武汉红会物资工作</t>
  </si>
  <si>
    <t xml:space="preserve"> 2020-02-03 11:50:02</t>
  </si>
  <si>
    <t xml:space="preserve"> 2020-02-02 23:52:02</t>
  </si>
  <si>
    <t>许昕背后击球</t>
  </si>
  <si>
    <t xml:space="preserve"> 2020-02-02 20:30:02</t>
  </si>
  <si>
    <t>20200202文案</t>
  </si>
  <si>
    <t xml:space="preserve"> 2020-02-03 09:40:02</t>
  </si>
  <si>
    <t>未来一段时间不会出现大客流返京</t>
  </si>
  <si>
    <t xml:space="preserve"> 2020-02-02 23:06:02</t>
  </si>
  <si>
    <t>施展 天天向上</t>
  </si>
  <si>
    <t xml:space="preserve"> 2020-02-03 11:14:01</t>
  </si>
  <si>
    <t xml:space="preserve"> 2020-02-02 23:00:02</t>
  </si>
  <si>
    <t>想见你 李子维</t>
  </si>
  <si>
    <t xml:space="preserve"> 2020-02-03 10:24:01</t>
  </si>
  <si>
    <t>高晓攀输了</t>
  </si>
  <si>
    <t xml:space="preserve"> 2020-02-03 09:28:02</t>
  </si>
  <si>
    <t xml:space="preserve"> 2020-02-02 22:28:02</t>
  </si>
  <si>
    <t>杭州九种行为一律追究刑责</t>
  </si>
  <si>
    <t xml:space="preserve"> 2020-02-02 23:12:02</t>
  </si>
  <si>
    <t>我们最好的时光 就是现在</t>
  </si>
  <si>
    <t xml:space="preserve"> 2020-02-03 10:46:02</t>
  </si>
  <si>
    <t xml:space="preserve"> 2020-02-02 22:58:02</t>
  </si>
  <si>
    <t>宅家美食日记</t>
  </si>
  <si>
    <t xml:space="preserve"> 2020-02-03 07:32:02</t>
  </si>
  <si>
    <t xml:space="preserve"> 2020-02-02 22:04:02</t>
  </si>
  <si>
    <t>王嘉宁</t>
  </si>
  <si>
    <t xml:space="preserve"> 2020-02-03 07:34:02</t>
  </si>
  <si>
    <t>恢复上班后北京地铁将控制满载率</t>
  </si>
  <si>
    <t xml:space="preserve"> 2020-02-02 15:54:01</t>
  </si>
  <si>
    <t>春节这几天才知道的真相</t>
  </si>
  <si>
    <t xml:space="preserve"> 2020-02-03 00:46:02</t>
  </si>
  <si>
    <t xml:space="preserve"> 2020-02-02 22:38:02</t>
  </si>
  <si>
    <t>吕长泽</t>
  </si>
  <si>
    <t xml:space="preserve"> 2020-02-03 04:10:01</t>
  </si>
  <si>
    <t xml:space="preserve"> 2020-02-02 17:08:02</t>
  </si>
  <si>
    <t>避免往人身上喷消毒剂</t>
  </si>
  <si>
    <t xml:space="preserve"> 2020-02-03 04:48:02</t>
  </si>
  <si>
    <t xml:space="preserve"> 2020-02-02 18:56:01</t>
  </si>
  <si>
    <t>郑容和演唱会</t>
  </si>
  <si>
    <t xml:space="preserve"> 2020-03-05 18:52:02</t>
  </si>
  <si>
    <t xml:space="preserve"> 2020-02-02 22:56:02</t>
  </si>
  <si>
    <t>豆瓣崩了</t>
  </si>
  <si>
    <t xml:space="preserve"> 2020-04-06 08:06:02</t>
  </si>
  <si>
    <t>欢乐喜剧人</t>
  </si>
  <si>
    <t xml:space="preserve"> 2020-02-02 18:44:01</t>
  </si>
  <si>
    <t>当你感到无聊时就去学习</t>
  </si>
  <si>
    <t xml:space="preserve"> 2020-02-03 07:30:01</t>
  </si>
  <si>
    <t xml:space="preserve"> 2020-02-02 23:56:01</t>
  </si>
  <si>
    <t>蔡毅</t>
  </si>
  <si>
    <t xml:space="preserve"> 2020-02-03 03:22:01</t>
  </si>
  <si>
    <t>金银潭医院一天37人出院</t>
  </si>
  <si>
    <t xml:space="preserve"> 2020-02-03 02:56:02</t>
  </si>
  <si>
    <t xml:space="preserve"> 2020-02-02 17:16:01</t>
  </si>
  <si>
    <t>邓紫棋新歌</t>
  </si>
  <si>
    <t xml:space="preserve"> 2020-02-03 08:32:02</t>
  </si>
  <si>
    <t xml:space="preserve"> 2020-02-03 00:00:02</t>
  </si>
  <si>
    <t>德国确诊病例增至10例</t>
  </si>
  <si>
    <t xml:space="preserve"> 2020-02-03 00:52:02</t>
  </si>
  <si>
    <t>钟南山回应病毒粪口传播风险</t>
  </si>
  <si>
    <t xml:space="preserve"> 2020-02-03 02:30:02</t>
  </si>
  <si>
    <t xml:space="preserve"> 2020-02-02 16:30:02</t>
  </si>
  <si>
    <t>央行将投放1.2万亿元流动性</t>
  </si>
  <si>
    <t xml:space="preserve"> 2020-02-03 00:36:02</t>
  </si>
  <si>
    <t xml:space="preserve"> 2020-02-02 12:38:02</t>
  </si>
  <si>
    <t>武汉高三学生网上开学</t>
  </si>
  <si>
    <t xml:space="preserve"> 2020-02-02 15:48:02</t>
  </si>
  <si>
    <t>非诚勿扰陈洁</t>
  </si>
  <si>
    <t xml:space="preserve"> 2020-02-03 10:08:02</t>
  </si>
  <si>
    <t>C罗尤文生涯第50球</t>
  </si>
  <si>
    <t xml:space="preserve"> 2020-02-02 22:00:01</t>
  </si>
  <si>
    <t>济州岛暂停免签</t>
  </si>
  <si>
    <t xml:space="preserve"> 2020-02-03 20:28:01</t>
  </si>
  <si>
    <t xml:space="preserve"> 2020-02-03 11:32:02</t>
  </si>
  <si>
    <t>确诊病例门把手测出病毒核酸</t>
  </si>
  <si>
    <t xml:space="preserve"> 2020-02-03 19:14:02</t>
  </si>
  <si>
    <t xml:space="preserve"> 2020-02-03 11:16:01</t>
  </si>
  <si>
    <t>核酸检测试剂产量是疑似患者40倍</t>
  </si>
  <si>
    <t xml:space="preserve"> 2020-02-03 16:48:02</t>
  </si>
  <si>
    <t xml:space="preserve"> 2020-02-03 07:28:02</t>
  </si>
  <si>
    <t>董卿 枪响之后没有赢家</t>
  </si>
  <si>
    <t xml:space="preserve"> 2020-02-03 17:18:02</t>
  </si>
  <si>
    <t xml:space="preserve"> 2020-02-03 09:56:02</t>
  </si>
  <si>
    <t>武汉家中滞留宠物救援</t>
  </si>
  <si>
    <t xml:space="preserve"> 2020-02-03 17:58:02</t>
  </si>
  <si>
    <t xml:space="preserve"> 2020-02-03 08:34:01</t>
  </si>
  <si>
    <t>市民逃生时还不忘戴上口罩</t>
  </si>
  <si>
    <t xml:space="preserve"> 2020-02-04 01:54:01</t>
  </si>
  <si>
    <t>超级碗</t>
  </si>
  <si>
    <t xml:space="preserve"> 2020-02-03 16:10:01</t>
  </si>
  <si>
    <t xml:space="preserve"> 2020-02-03 08:50:02</t>
  </si>
  <si>
    <t>排爆可疑包裹发现里面是口罩</t>
  </si>
  <si>
    <t xml:space="preserve"> 2020-02-03 14:54:02</t>
  </si>
  <si>
    <t>全国累计确诊新型肺炎17205例</t>
  </si>
  <si>
    <t xml:space="preserve"> 2020-02-04 10:08:01</t>
  </si>
  <si>
    <t xml:space="preserve"> 2020-02-03 11:20:02</t>
  </si>
  <si>
    <t>发改委回应口罩紧缺问题</t>
  </si>
  <si>
    <t xml:space="preserve"> 2020-02-03 19:02:01</t>
  </si>
  <si>
    <t>深圳一新增患者为外卖骑手</t>
  </si>
  <si>
    <t xml:space="preserve"> 2020-02-03 16:52:01</t>
  </si>
  <si>
    <t xml:space="preserve"> 2020-02-03 11:34:02</t>
  </si>
  <si>
    <t>解放军承担武汉市民物资配送供应</t>
  </si>
  <si>
    <t xml:space="preserve"> 2020-02-03 18:24:01</t>
  </si>
  <si>
    <t xml:space="preserve"> 2020-02-03 11:00:02</t>
  </si>
  <si>
    <t>口罩全国日产2000多万只</t>
  </si>
  <si>
    <t xml:space="preserve"> 2020-02-03 22:58:01</t>
  </si>
  <si>
    <t xml:space="preserve"> 2020-02-03 10:58:02</t>
  </si>
  <si>
    <t>国乒赛季首秀4金收官</t>
  </si>
  <si>
    <t xml:space="preserve"> 2020-02-03 14:44:01</t>
  </si>
  <si>
    <t xml:space="preserve"> 2020-02-03 09:42:02</t>
  </si>
  <si>
    <t>金银潭医院院长说坐轮椅前想多做点事</t>
  </si>
  <si>
    <t xml:space="preserve"> 2020-02-03 19:10:02</t>
  </si>
  <si>
    <t xml:space="preserve"> 2020-02-03 10:44:02</t>
  </si>
  <si>
    <t>失误才是儿童表演的亮点</t>
  </si>
  <si>
    <t xml:space="preserve"> 2020-02-03 19:52:02</t>
  </si>
  <si>
    <t xml:space="preserve"> 2020-02-03 11:26:02</t>
  </si>
  <si>
    <t>柯佳嬿演技</t>
  </si>
  <si>
    <t xml:space="preserve"> 2020-02-17 14:22:01</t>
  </si>
  <si>
    <t xml:space="preserve"> 2019-10-28 09:28:01</t>
  </si>
  <si>
    <t>北京地铁</t>
  </si>
  <si>
    <t xml:space="preserve"> 2020-02-25 17:22:01</t>
  </si>
  <si>
    <t xml:space="preserve"> 2020-02-03 07:14:02</t>
  </si>
  <si>
    <t>科比</t>
  </si>
  <si>
    <t xml:space="preserve"> 2020-02-03 15:24:01</t>
  </si>
  <si>
    <t>火神山医院不设门诊</t>
  </si>
  <si>
    <t xml:space="preserve"> 2020-02-03 19:00:01</t>
  </si>
  <si>
    <t xml:space="preserve"> 2020-02-03 11:02:02</t>
  </si>
  <si>
    <t>刘亦菲舞剑</t>
  </si>
  <si>
    <t xml:space="preserve"> 2020-02-03 13:42:01</t>
  </si>
  <si>
    <t>成都地震现场视频</t>
  </si>
  <si>
    <t xml:space="preserve"> 2020-02-03 14:32:01</t>
  </si>
  <si>
    <t>济南大哥放下500斤消毒原液后离开</t>
  </si>
  <si>
    <t xml:space="preserve"> 2020-02-03 22:06:02</t>
  </si>
  <si>
    <t>夏奇拉 中场表演</t>
  </si>
  <si>
    <t xml:space="preserve"> 2020-02-03 07:38:02</t>
  </si>
  <si>
    <t>湖北确诊病例破万</t>
  </si>
  <si>
    <t xml:space="preserve"> 2020-02-03 17:20:02</t>
  </si>
  <si>
    <t>火神山医院内部</t>
  </si>
  <si>
    <t xml:space="preserve"> 2020-02-03 14:38:02</t>
  </si>
  <si>
    <t>金银潭医院院长真实故事改编漫画</t>
  </si>
  <si>
    <t xml:space="preserve"> 2020-02-10 11:20:02</t>
  </si>
  <si>
    <t xml:space="preserve"> 2020-02-03 09:30:02</t>
  </si>
  <si>
    <t>开工大吉</t>
  </si>
  <si>
    <t xml:space="preserve"> 2020-02-03 22:42:02</t>
  </si>
  <si>
    <t>超级碗大片预告</t>
  </si>
  <si>
    <t xml:space="preserve"> 2020-02-03 13:50:02</t>
  </si>
  <si>
    <t>宅在家的人能有多无聊</t>
  </si>
  <si>
    <t xml:space="preserve"> 2020-02-03 14:48:01</t>
  </si>
  <si>
    <t xml:space="preserve"> 2020-02-03 10:26:01</t>
  </si>
  <si>
    <t>广东新增79例确诊病例</t>
  </si>
  <si>
    <t xml:space="preserve"> 2020-02-03 16:26:02</t>
  </si>
  <si>
    <t xml:space="preserve"> 2020-02-03 09:00:02</t>
  </si>
  <si>
    <t>花木兰终极预告</t>
  </si>
  <si>
    <t xml:space="preserve"> 2020-02-03 09:34:01</t>
  </si>
  <si>
    <t>莆田步行街火灾基本扑灭</t>
  </si>
  <si>
    <t xml:space="preserve"> 2020-02-03 13:28:01</t>
  </si>
  <si>
    <t xml:space="preserve"> 2020-02-03 07:36:01</t>
  </si>
  <si>
    <t>伦敦发生持刀伤人事件</t>
  </si>
  <si>
    <t xml:space="preserve"> 2020-02-03 13:34:02</t>
  </si>
  <si>
    <t xml:space="preserve"> 2020-02-03 00:24:02</t>
  </si>
  <si>
    <t>成都5.1级地震</t>
  </si>
  <si>
    <t xml:space="preserve"> 2020-02-03 13:32:02</t>
  </si>
  <si>
    <t>疫情期间人际交往有多难</t>
  </si>
  <si>
    <t>防弹少年团 EGO</t>
  </si>
  <si>
    <t xml:space="preserve"> 2020-02-03 15:08:02</t>
  </si>
  <si>
    <t>千份爱心外卖送武汉雷神山医院</t>
  </si>
  <si>
    <t xml:space="preserve"> 2020-02-03 13:14:01</t>
  </si>
  <si>
    <t xml:space="preserve"> 2020-02-03 00:22:01</t>
  </si>
  <si>
    <t>陈韵如假扮黄雨萱</t>
  </si>
  <si>
    <t xml:space="preserve"> 2020-02-03 13:06:01</t>
  </si>
  <si>
    <t>每天三种情绪来回切换</t>
  </si>
  <si>
    <t xml:space="preserve"> 2020-02-03 23:00:02</t>
  </si>
  <si>
    <t>穆里尼奥变脸</t>
  </si>
  <si>
    <t xml:space="preserve"> 2020-02-03 12:30:02</t>
  </si>
  <si>
    <t>口罩等物资需求缺口还很大</t>
  </si>
  <si>
    <t xml:space="preserve"> 2020-02-03 13:16:01</t>
  </si>
  <si>
    <t>像极了最近几天的你</t>
  </si>
  <si>
    <t xml:space="preserve"> 2020-02-03 13:36:01</t>
  </si>
  <si>
    <t>浙江新增63例确诊病例</t>
  </si>
  <si>
    <t xml:space="preserve"> 2020-02-03 12:42:02</t>
  </si>
  <si>
    <t>安徽新增68例确诊病例</t>
  </si>
  <si>
    <t xml:space="preserve"> 2020-02-14 17:40:01</t>
  </si>
  <si>
    <t xml:space="preserve"> 2020-02-03 12:00:02</t>
  </si>
  <si>
    <t>武汉定点医院病床剩余情况</t>
  </si>
  <si>
    <t xml:space="preserve"> 2020-02-03 12:14:02</t>
  </si>
  <si>
    <t xml:space="preserve"> 2020-02-03 08:12:01</t>
  </si>
  <si>
    <t>驻鄂部队50台卡车运送200吨物资</t>
  </si>
  <si>
    <t xml:space="preserve"> 2020-02-03 12:22:01</t>
  </si>
  <si>
    <t>陈梦 女单冠军</t>
  </si>
  <si>
    <t xml:space="preserve"> 2020-02-03 12:08:01</t>
  </si>
  <si>
    <t xml:space="preserve"> 2020-02-03 09:20:02</t>
  </si>
  <si>
    <t>河南新增73例确诊病例</t>
  </si>
  <si>
    <t xml:space="preserve"> 2020-02-04 09:48:02</t>
  </si>
  <si>
    <t>福尔摩斯式破解病毒传染迷局</t>
  </si>
  <si>
    <t xml:space="preserve"> 2020-02-04 09:36:02</t>
  </si>
  <si>
    <t xml:space="preserve"> 2020-02-03 20:44:01</t>
  </si>
  <si>
    <t>北京发现41起聚集性病例</t>
  </si>
  <si>
    <t xml:space="preserve"> 2020-02-03 23:20:02</t>
  </si>
  <si>
    <t>康复期和出院患者没有传染性</t>
  </si>
  <si>
    <t xml:space="preserve"> 2020-02-04 11:56:02</t>
  </si>
  <si>
    <t xml:space="preserve"> 2020-02-03 21:42:02</t>
  </si>
  <si>
    <t>姜Gary儿子</t>
  </si>
  <si>
    <t xml:space="preserve"> 2020-02-04 10:50:02</t>
  </si>
  <si>
    <t xml:space="preserve"> 2020-02-03 21:32:02</t>
  </si>
  <si>
    <t>陆绎今夏分手</t>
  </si>
  <si>
    <t xml:space="preserve"> 2020-02-04 13:16:01</t>
  </si>
  <si>
    <t>宝石gem回应野狼disco涉侵权</t>
  </si>
  <si>
    <t xml:space="preserve"> 2020-02-04 09:26:02</t>
  </si>
  <si>
    <t xml:space="preserve"> 2020-02-03 18:28:02</t>
  </si>
  <si>
    <t>盛骏宣布已结婚生子</t>
  </si>
  <si>
    <t xml:space="preserve"> 2020-02-04 08:02:02</t>
  </si>
  <si>
    <t xml:space="preserve"> 2020-02-03 18:26:01</t>
  </si>
  <si>
    <t>英语专四专八考试时间调整</t>
  </si>
  <si>
    <t xml:space="preserve"> 2020-02-04 08:50:01</t>
  </si>
  <si>
    <t xml:space="preserve"> 2020-02-03 19:36:02</t>
  </si>
  <si>
    <t>宁波一次聚餐祈福25人确诊</t>
  </si>
  <si>
    <t xml:space="preserve"> 2020-02-04 09:24:02</t>
  </si>
  <si>
    <t>希望看到这些热搜</t>
  </si>
  <si>
    <t xml:space="preserve"> 2020-02-04 09:04:01</t>
  </si>
  <si>
    <t xml:space="preserve"> 2020-02-03 20:30:02</t>
  </si>
  <si>
    <t>天津再备3座小汤山</t>
  </si>
  <si>
    <t xml:space="preserve"> 2020-02-04 08:48:01</t>
  </si>
  <si>
    <t>火神山医院接诊首批患者</t>
  </si>
  <si>
    <t xml:space="preserve"> 2020-02-04 08:12:02</t>
  </si>
  <si>
    <t xml:space="preserve"> 2020-02-03 22:44:01</t>
  </si>
  <si>
    <t>火神山医院药品供应充足</t>
  </si>
  <si>
    <t xml:space="preserve"> 2020-02-04 08:22:01</t>
  </si>
  <si>
    <t xml:space="preserve"> 2020-02-03 17:04:01</t>
  </si>
  <si>
    <t>李兰娟回应疫苗进展</t>
  </si>
  <si>
    <t xml:space="preserve"> 2020-02-04 11:44:02</t>
  </si>
  <si>
    <t xml:space="preserve"> 2020-02-03 22:34:01</t>
  </si>
  <si>
    <t>新冠病毒可存活5天由飞沫等传播</t>
  </si>
  <si>
    <t xml:space="preserve"> 2020-02-04 14:02:01</t>
  </si>
  <si>
    <t xml:space="preserve"> 2020-02-03 23:26:02</t>
  </si>
  <si>
    <t>卡戴珊</t>
  </si>
  <si>
    <t xml:space="preserve"> 2020-02-04 10:56:02</t>
  </si>
  <si>
    <t xml:space="preserve"> 2020-02-03 22:36:02</t>
  </si>
  <si>
    <t>居民穿过5米消毒通道进小区</t>
  </si>
  <si>
    <t xml:space="preserve"> 2020-02-04 10:48:01</t>
  </si>
  <si>
    <t xml:space="preserve"> 2020-02-03 22:50:02</t>
  </si>
  <si>
    <t>上海推迟调整社保缴费基数</t>
  </si>
  <si>
    <t xml:space="preserve"> 2020-02-26 12:56:02</t>
  </si>
  <si>
    <t xml:space="preserve"> 2020-02-03 21:08:01</t>
  </si>
  <si>
    <t>孔雪儿</t>
  </si>
  <si>
    <t xml:space="preserve"> 2020-02-03 20:08:02</t>
  </si>
  <si>
    <t>宝石gem经纪人回应</t>
  </si>
  <si>
    <t xml:space="preserve"> 2020-02-03 21:12:02</t>
  </si>
  <si>
    <t>丛笑人设</t>
  </si>
  <si>
    <t xml:space="preserve"> 2020-02-04 08:14:02</t>
  </si>
  <si>
    <t xml:space="preserve"> 2020-02-03 19:12:02</t>
  </si>
  <si>
    <t>武汉最新城市宣传片</t>
  </si>
  <si>
    <t xml:space="preserve"> 2020-02-04 08:42:02</t>
  </si>
  <si>
    <t xml:space="preserve"> 2020-02-03 18:52:01</t>
  </si>
  <si>
    <t>emoji猜地名</t>
  </si>
  <si>
    <t xml:space="preserve"> 2020-02-04 09:10:02</t>
  </si>
  <si>
    <t xml:space="preserve"> 2020-02-03 20:56:02</t>
  </si>
  <si>
    <t>在家看完了哪些剧和动漫</t>
  </si>
  <si>
    <t xml:space="preserve"> 2020-02-22 00:10:01</t>
  </si>
  <si>
    <t xml:space="preserve"> 2020-01-29 22:16:02</t>
  </si>
  <si>
    <t>李兰娟</t>
  </si>
  <si>
    <t xml:space="preserve"> 2020-02-04 10:10:01</t>
  </si>
  <si>
    <t xml:space="preserve"> 2020-02-03 12:32:01</t>
  </si>
  <si>
    <t>发改委回应疫情对中国经济影响</t>
  </si>
  <si>
    <t xml:space="preserve"> 2020-02-04 08:44:02</t>
  </si>
  <si>
    <t xml:space="preserve"> 2020-02-03 18:02:02</t>
  </si>
  <si>
    <t>无湖北接触史返京人员无须14天监督观察</t>
  </si>
  <si>
    <t xml:space="preserve"> 2020-02-04 09:02:02</t>
  </si>
  <si>
    <t xml:space="preserve"> 2020-02-03 22:16:01</t>
  </si>
  <si>
    <t>白岩松对话李兰娟</t>
  </si>
  <si>
    <t xml:space="preserve"> 2020-02-04 07:02:01</t>
  </si>
  <si>
    <t>疫情流行期不办大型聚集性活动考试</t>
  </si>
  <si>
    <t xml:space="preserve"> 2020-02-04 07:34:01</t>
  </si>
  <si>
    <t xml:space="preserve"> 2020-02-03 15:26:01</t>
  </si>
  <si>
    <t>远程办公</t>
  </si>
  <si>
    <t xml:space="preserve"> 2020-02-04 07:36:02</t>
  </si>
  <si>
    <t xml:space="preserve"> 2020-02-03 20:02:02</t>
  </si>
  <si>
    <t>北京地铁将对未戴口罩乘客劝离</t>
  </si>
  <si>
    <t xml:space="preserve"> 2020-02-03 16:28:01</t>
  </si>
  <si>
    <t>过多睡眠不利于当前健康调整</t>
  </si>
  <si>
    <t xml:space="preserve"> 2020-02-04 08:26:01</t>
  </si>
  <si>
    <t xml:space="preserve"> 2020-02-03 18:56:02</t>
  </si>
  <si>
    <t>之前的目标太遥远了</t>
  </si>
  <si>
    <t>北京复兴医院出现聚集性病例</t>
  </si>
  <si>
    <t xml:space="preserve"> 2020-02-03 20:38:01</t>
  </si>
  <si>
    <t>上海电信IPTV</t>
  </si>
  <si>
    <t xml:space="preserve"> 2020-02-04 00:14:01</t>
  </si>
  <si>
    <t>外交部辟谣美方称对疫情提供巨大帮助</t>
  </si>
  <si>
    <t xml:space="preserve"> 2020-02-04 07:20:01</t>
  </si>
  <si>
    <t xml:space="preserve"> 2020-02-03 15:18:01</t>
  </si>
  <si>
    <t>我的英雄学院</t>
  </si>
  <si>
    <t xml:space="preserve"> 2020-02-04 07:08:02</t>
  </si>
  <si>
    <t>金银潭医院首批中医药参与治疗患者出院</t>
  </si>
  <si>
    <t xml:space="preserve"> 2020-02-03 15:10:01</t>
  </si>
  <si>
    <t>令人骄傲的饭圈女孩们</t>
  </si>
  <si>
    <t xml:space="preserve"> 2020-02-04 07:00:02</t>
  </si>
  <si>
    <t xml:space="preserve"> 2020-02-03 17:36:01</t>
  </si>
  <si>
    <t>GFRIEND回归</t>
  </si>
  <si>
    <t xml:space="preserve"> 2020-02-03 14:56:02</t>
  </si>
  <si>
    <t>新增治愈病例连续4天超过死亡病例</t>
  </si>
  <si>
    <t xml:space="preserve"> 2020-02-04 02:04:01</t>
  </si>
  <si>
    <t xml:space="preserve"> 2020-02-03 13:08:02</t>
  </si>
  <si>
    <t>在家想念以前出游的日子</t>
  </si>
  <si>
    <t xml:space="preserve"> 2020-02-04 00:56:01</t>
  </si>
  <si>
    <t xml:space="preserve"> 2020-02-03 12:58:01</t>
  </si>
  <si>
    <t>冯潇霆曾诚加盟申花</t>
  </si>
  <si>
    <t xml:space="preserve"> 2020-02-04 01:06:02</t>
  </si>
  <si>
    <t>超级碗酋长夺冠</t>
  </si>
  <si>
    <t xml:space="preserve"> 2020-02-04 18:24:01</t>
  </si>
  <si>
    <t xml:space="preserve"> 2020-02-04 07:22:02</t>
  </si>
  <si>
    <t>教育部致全国大学生的一封信</t>
  </si>
  <si>
    <t xml:space="preserve"> 2020-02-04 19:36:01</t>
  </si>
  <si>
    <t xml:space="preserve"> 2020-02-04 11:36:02</t>
  </si>
  <si>
    <t>贵州1个月女婴确诊新型肺炎</t>
  </si>
  <si>
    <t xml:space="preserve"> 2020-02-04 18:18:01</t>
  </si>
  <si>
    <t xml:space="preserve"> 2020-02-04 11:14:02</t>
  </si>
  <si>
    <t>香港首例死亡病例</t>
  </si>
  <si>
    <t xml:space="preserve"> 2020-02-04 21:08:02</t>
  </si>
  <si>
    <t xml:space="preserve"> 2020-02-04 11:00:02</t>
  </si>
  <si>
    <t>为什么现在还没到出门的时候</t>
  </si>
  <si>
    <t xml:space="preserve"> 2020-02-04 18:10:02</t>
  </si>
  <si>
    <t xml:space="preserve"> 2020-02-04 10:02:01</t>
  </si>
  <si>
    <t>安七炫郑柔美恋情</t>
  </si>
  <si>
    <t xml:space="preserve"> 2020-02-04 14:52:01</t>
  </si>
  <si>
    <t xml:space="preserve"> 2020-02-04 10:58:01</t>
  </si>
  <si>
    <t>不主张没得病的人用双黄连预防</t>
  </si>
  <si>
    <t xml:space="preserve"> 2020-02-04 15:44:01</t>
  </si>
  <si>
    <t xml:space="preserve"> 2020-02-04 11:06:02</t>
  </si>
  <si>
    <t>杜富国妹妹坚守抗疫一线</t>
  </si>
  <si>
    <t xml:space="preserve"> 2020-02-04 15:10:02</t>
  </si>
  <si>
    <t>全国累计确诊新型肺炎20438例</t>
  </si>
  <si>
    <t xml:space="preserve"> 2020-02-04 15:24:02</t>
  </si>
  <si>
    <t xml:space="preserve"> 2020-02-04 11:46:02</t>
  </si>
  <si>
    <t>河北承德公布确诊病例行程轨迹</t>
  </si>
  <si>
    <t xml:space="preserve"> 2020-02-04 15:14:02</t>
  </si>
  <si>
    <t>湖南长沙4名确诊患者集体出院</t>
  </si>
  <si>
    <t xml:space="preserve"> 2020-02-04 16:22:01</t>
  </si>
  <si>
    <t>没有一个春天不会到来</t>
  </si>
  <si>
    <t xml:space="preserve"> 2020-02-05 07:04:02</t>
  </si>
  <si>
    <t xml:space="preserve"> 2020-02-04 11:58:01</t>
  </si>
  <si>
    <t>正式开学前不要提前网上教学</t>
  </si>
  <si>
    <t xml:space="preserve"> 2020-02-04 16:14:02</t>
  </si>
  <si>
    <t xml:space="preserve"> 2020-02-04 10:30:02</t>
  </si>
  <si>
    <t>陈韵如的性格</t>
  </si>
  <si>
    <t xml:space="preserve"> 2020-02-04 15:06:02</t>
  </si>
  <si>
    <t xml:space="preserve"> 2020-02-04 08:24:01</t>
  </si>
  <si>
    <t>李兰娟说坐电梯不必戴手套</t>
  </si>
  <si>
    <t xml:space="preserve"> 2020-02-04 20:02:01</t>
  </si>
  <si>
    <t xml:space="preserve"> 2020-02-04 11:28:02</t>
  </si>
  <si>
    <t>阿婆攒9000元欲捐武汉被拒大哭</t>
  </si>
  <si>
    <t xml:space="preserve"> 2020-02-04 18:46:01</t>
  </si>
  <si>
    <t xml:space="preserve"> 2020-02-04 09:54:01</t>
  </si>
  <si>
    <t>义乌火车站</t>
  </si>
  <si>
    <t xml:space="preserve"> 2020-02-04 13:24:02</t>
  </si>
  <si>
    <t xml:space="preserve"> 2020-02-04 09:50:02</t>
  </si>
  <si>
    <t>最后一次牵手凝视</t>
  </si>
  <si>
    <t xml:space="preserve"> 2020-02-04 16:00:01</t>
  </si>
  <si>
    <t xml:space="preserve"> 2020-02-04 08:52:02</t>
  </si>
  <si>
    <t>陈漫 博肖衣橱</t>
  </si>
  <si>
    <t xml:space="preserve"> 2020-02-04 19:12:02</t>
  </si>
  <si>
    <t xml:space="preserve"> 2020-02-04 11:16:02</t>
  </si>
  <si>
    <t>穿军装的玄彬</t>
  </si>
  <si>
    <t xml:space="preserve"> 2020-02-04 22:12:02</t>
  </si>
  <si>
    <t>春饼</t>
  </si>
  <si>
    <t xml:space="preserve"> 2020-02-04 20:18:02</t>
  </si>
  <si>
    <t xml:space="preserve"> 2020-02-04 10:22:02</t>
  </si>
  <si>
    <t>杭州小区</t>
  </si>
  <si>
    <t xml:space="preserve"> 2020-02-04 16:04:02</t>
  </si>
  <si>
    <t xml:space="preserve"> 2020-02-04 10:32:01</t>
  </si>
  <si>
    <t>广东新增确诊病例114例</t>
  </si>
  <si>
    <t xml:space="preserve"> 2020-02-04 14:24:02</t>
  </si>
  <si>
    <t xml:space="preserve"> 2020-02-04 08:16:01</t>
  </si>
  <si>
    <t>湖北以外地区有序逐渐恢复交通</t>
  </si>
  <si>
    <t xml:space="preserve"> 2020-02-04 15:32:02</t>
  </si>
  <si>
    <t xml:space="preserve"> 2020-02-04 08:30:02</t>
  </si>
  <si>
    <t>桐谷美玲怀孕</t>
  </si>
  <si>
    <t xml:space="preserve"> 2020-02-04 14:46:02</t>
  </si>
  <si>
    <t>武汉全市开展消毒杀菌</t>
  </si>
  <si>
    <t xml:space="preserve"> 2020-02-04 19:44:01</t>
  </si>
  <si>
    <t xml:space="preserve"> 2020-02-04 07:12:01</t>
  </si>
  <si>
    <t>立春</t>
  </si>
  <si>
    <t xml:space="preserve"> 2020-02-04 15:02:01</t>
  </si>
  <si>
    <t xml:space="preserve"> 2020-02-04 07:04:01</t>
  </si>
  <si>
    <t>疫情过后的第一件事</t>
  </si>
  <si>
    <t xml:space="preserve"> 2020-02-06 16:52:02</t>
  </si>
  <si>
    <t xml:space="preserve"> 2020-02-04 08:28:01</t>
  </si>
  <si>
    <t>方舱医院</t>
  </si>
  <si>
    <t>想见你 细节</t>
  </si>
  <si>
    <t xml:space="preserve"> 2020-02-04 12:20:02</t>
  </si>
  <si>
    <t xml:space="preserve"> 2020-02-04 10:52:02</t>
  </si>
  <si>
    <t>内蒙古回应住确诊病例楼上被感染</t>
  </si>
  <si>
    <t xml:space="preserve"> 2020-02-04 12:24:02</t>
  </si>
  <si>
    <t>疑似感染医生奔跑为物资车引路</t>
  </si>
  <si>
    <t xml:space="preserve"> 2020-02-04 14:06:02</t>
  </si>
  <si>
    <t xml:space="preserve"> 2020-02-04 09:38:02</t>
  </si>
  <si>
    <t>浙江新增确诊病例105例</t>
  </si>
  <si>
    <t xml:space="preserve"> 2020-02-04 07:26:01</t>
  </si>
  <si>
    <t>确诊老人隐瞒致百余人密切接触</t>
  </si>
  <si>
    <t xml:space="preserve"> 2020-02-04 12:28:01</t>
  </si>
  <si>
    <t xml:space="preserve"> 2020-02-04 08:46:01</t>
  </si>
  <si>
    <t>杭州所有村庄小区单位封闭式管理</t>
  </si>
  <si>
    <t xml:space="preserve"> 2020-02-04 13:48:01</t>
  </si>
  <si>
    <t>河南新增109例确诊病例</t>
  </si>
  <si>
    <t xml:space="preserve"> 2020-02-04 11:10:01</t>
  </si>
  <si>
    <t>安徽新增确诊病例72例</t>
  </si>
  <si>
    <t xml:space="preserve"> 2020-02-04 13:42:02</t>
  </si>
  <si>
    <t xml:space="preserve"> 2019-11-09 07:38:02</t>
  </si>
  <si>
    <t>李银河</t>
  </si>
  <si>
    <t xml:space="preserve"> 2020-02-04 13:14:01</t>
  </si>
  <si>
    <t xml:space="preserve"> 2020-02-04 10:44:02</t>
  </si>
  <si>
    <t>上海新增5例确诊病例</t>
  </si>
  <si>
    <t xml:space="preserve"> 2020-02-04 09:12:02</t>
  </si>
  <si>
    <t>江苏新增确诊病例37例</t>
  </si>
  <si>
    <t xml:space="preserve"> 2020-02-04 17:20:02</t>
  </si>
  <si>
    <t>武汉洪山体育馆800张病床就位</t>
  </si>
  <si>
    <t>江西新增确诊病例85例</t>
  </si>
  <si>
    <t xml:space="preserve"> 2020-02-04 15:08:02</t>
  </si>
  <si>
    <t>中山11月大婴儿治愈出院</t>
  </si>
  <si>
    <t xml:space="preserve"> 2020-02-04 12:46:02</t>
  </si>
  <si>
    <t xml:space="preserve"> 2020-02-04 12:04:02</t>
  </si>
  <si>
    <t>没有发现宠物传染新型冠状病毒</t>
  </si>
  <si>
    <t xml:space="preserve"> 2020-02-04 12:08:02</t>
  </si>
  <si>
    <t xml:space="preserve"> 2020-02-04 07:38:01</t>
  </si>
  <si>
    <t>火神山医院转运病人现场</t>
  </si>
  <si>
    <t>海南最小感染者仅3个月</t>
  </si>
  <si>
    <t xml:space="preserve"> 2020-02-04 13:02:02</t>
  </si>
  <si>
    <t xml:space="preserve"> 2020-02-04 08:04:02</t>
  </si>
  <si>
    <t>杭州非涉及生活必需公共场所一律关闭</t>
  </si>
  <si>
    <t xml:space="preserve"> 2020-02-04 07:32:01</t>
  </si>
  <si>
    <t>四川宜宾3.9级地震</t>
  </si>
  <si>
    <t xml:space="preserve"> 2020-02-05 10:14:02</t>
  </si>
  <si>
    <t xml:space="preserve"> 2020-02-04 20:44:02</t>
  </si>
  <si>
    <t>哈尔滨所有小区封闭管理</t>
  </si>
  <si>
    <t xml:space="preserve"> 2020-02-05 09:46:01</t>
  </si>
  <si>
    <t xml:space="preserve"> 2020-02-04 22:36:02</t>
  </si>
  <si>
    <t>武汉确诊死亡病例平均年龄68岁</t>
  </si>
  <si>
    <t xml:space="preserve"> 2020-02-05 11:12:02</t>
  </si>
  <si>
    <t xml:space="preserve"> 2020-02-04 23:30:02</t>
  </si>
  <si>
    <t>试剂盒检测时间缩短到1天</t>
  </si>
  <si>
    <t xml:space="preserve"> 2020-02-05 11:38:01</t>
  </si>
  <si>
    <t xml:space="preserve"> 2020-02-04 21:10:01</t>
  </si>
  <si>
    <t>贺繁星带叶鹿鸣参加同学聚会</t>
  </si>
  <si>
    <t xml:space="preserve"> 2020-02-05 08:34:02</t>
  </si>
  <si>
    <t xml:space="preserve"> 2020-02-04 22:10:01</t>
  </si>
  <si>
    <t>湖北禁止堆砌断路中断公路交通</t>
  </si>
  <si>
    <t xml:space="preserve"> 2020-02-05 01:32:02</t>
  </si>
  <si>
    <t xml:space="preserve"> 2020-02-04 20:04:02</t>
  </si>
  <si>
    <t>BewhY 周震南</t>
  </si>
  <si>
    <t xml:space="preserve"> 2020-02-05 09:52:02</t>
  </si>
  <si>
    <t xml:space="preserve"> 2020-02-04 17:54:01</t>
  </si>
  <si>
    <t>李兰娟院士团队重大成果</t>
  </si>
  <si>
    <t xml:space="preserve"> 2020-02-05 10:58:01</t>
  </si>
  <si>
    <t xml:space="preserve"> 2020-02-04 18:54:01</t>
  </si>
  <si>
    <t>火神山无接触收银超市</t>
  </si>
  <si>
    <t xml:space="preserve"> 2020-02-05 09:20:02</t>
  </si>
  <si>
    <t>5个废弃口罩换1块肥皂</t>
  </si>
  <si>
    <t xml:space="preserve"> 2020-02-05 08:46:02</t>
  </si>
  <si>
    <t xml:space="preserve"> 2020-02-04 20:06:02</t>
  </si>
  <si>
    <t>再增加2000名医护人员支援湖北</t>
  </si>
  <si>
    <t xml:space="preserve"> 2020-02-05 10:04:02</t>
  </si>
  <si>
    <t xml:space="preserve"> 2020-02-04 17:38:02</t>
  </si>
  <si>
    <t>武汉发热门诊就诊人次增幅已放缓</t>
  </si>
  <si>
    <t xml:space="preserve"> 2020-02-05 09:34:02</t>
  </si>
  <si>
    <t xml:space="preserve"> 2020-02-04 18:32:02</t>
  </si>
  <si>
    <t>金银潭医院院长记功奖励</t>
  </si>
  <si>
    <t xml:space="preserve"> 2020-02-05 08:32:02</t>
  </si>
  <si>
    <t xml:space="preserve"> 2020-02-04 18:02:01</t>
  </si>
  <si>
    <t>阿比朵尔</t>
  </si>
  <si>
    <t xml:space="preserve"> 2020-02-05 09:06:02</t>
  </si>
  <si>
    <t xml:space="preserve"> 2020-02-04 22:06:02</t>
  </si>
  <si>
    <t>白岩松对话火神山医院副院长</t>
  </si>
  <si>
    <t xml:space="preserve"> 2020-02-05 12:38:02</t>
  </si>
  <si>
    <t>泫雅身材</t>
  </si>
  <si>
    <t xml:space="preserve"> 2020-02-05 12:40:01</t>
  </si>
  <si>
    <t xml:space="preserve"> 2020-02-04 23:46:02</t>
  </si>
  <si>
    <t>提前复工老板拘留5天</t>
  </si>
  <si>
    <t>心疼元宋</t>
  </si>
  <si>
    <t xml:space="preserve"> 2020-02-04 23:32:02</t>
  </si>
  <si>
    <t>南京实施小区封闭式管理</t>
  </si>
  <si>
    <t xml:space="preserve"> 2020-02-05 10:42:02</t>
  </si>
  <si>
    <t>假期有人找和没人找的心理</t>
  </si>
  <si>
    <t xml:space="preserve"> 2020-02-05 07:20:02</t>
  </si>
  <si>
    <t xml:space="preserve"> 2020-02-04 19:26:02</t>
  </si>
  <si>
    <t>武汉超市3天后关门系谣言</t>
  </si>
  <si>
    <t xml:space="preserve"> 2020-02-05 09:14:02</t>
  </si>
  <si>
    <t xml:space="preserve"> 2020-02-04 22:48:02</t>
  </si>
  <si>
    <t>景德镇实施封闭式管理</t>
  </si>
  <si>
    <t xml:space="preserve"> 2020-02-05 12:04:02</t>
  </si>
  <si>
    <t xml:space="preserve"> 2020-02-04 22:24:02</t>
  </si>
  <si>
    <t>小熊绅士</t>
  </si>
  <si>
    <t xml:space="preserve"> 2020-02-05 09:24:02</t>
  </si>
  <si>
    <t xml:space="preserve"> 2020-02-04 21:26:02</t>
  </si>
  <si>
    <t>内蒙古40余人防疫不力被通报</t>
  </si>
  <si>
    <t xml:space="preserve"> 2020-02-05 10:56:02</t>
  </si>
  <si>
    <t>黑莓手机将停产</t>
  </si>
  <si>
    <t xml:space="preserve"> 2020-02-04 23:14:02</t>
  </si>
  <si>
    <t>交警远程监控喊阿姨戴口罩</t>
  </si>
  <si>
    <t xml:space="preserve"> 2020-02-05 11:54:02</t>
  </si>
  <si>
    <t>手写加油接力</t>
  </si>
  <si>
    <t xml:space="preserve"> 2020-02-04 18:28:02</t>
  </si>
  <si>
    <t>疫情打破了你哪些计划</t>
  </si>
  <si>
    <t xml:space="preserve"> 2020-02-10 12:14:02</t>
  </si>
  <si>
    <t>网课</t>
  </si>
  <si>
    <t xml:space="preserve"> 2020-02-05 09:10:01</t>
  </si>
  <si>
    <t xml:space="preserve"> 2020-02-04 22:30:01</t>
  </si>
  <si>
    <t>方舱医院1100张床位5日启用</t>
  </si>
  <si>
    <t xml:space="preserve"> 2020-02-04 17:22:02</t>
  </si>
  <si>
    <t>确诊病例隐瞒信息接触多人被立案</t>
  </si>
  <si>
    <t xml:space="preserve"> 2020-02-05 07:26:02</t>
  </si>
  <si>
    <t xml:space="preserve"> 2020-02-04 17:36:02</t>
  </si>
  <si>
    <t>油价下调</t>
  </si>
  <si>
    <t xml:space="preserve"> 2020-02-05 09:22:01</t>
  </si>
  <si>
    <t xml:space="preserve"> 2020-02-04 18:26:02</t>
  </si>
  <si>
    <t>最硬核科蜜</t>
  </si>
  <si>
    <t xml:space="preserve"> 2020-02-05 08:50:02</t>
  </si>
  <si>
    <t xml:space="preserve"> 2020-02-04 16:48:01</t>
  </si>
  <si>
    <t>外交部回应日本网友给武汉加油</t>
  </si>
  <si>
    <t xml:space="preserve"> 2020-02-05 07:48:01</t>
  </si>
  <si>
    <t>科比与女儿遗体已移交家人</t>
  </si>
  <si>
    <t xml:space="preserve"> 2020-02-05 08:12:02</t>
  </si>
  <si>
    <t xml:space="preserve"> 2020-02-04 20:10:02</t>
  </si>
  <si>
    <t>唐山公布确诊病例行程轨迹</t>
  </si>
  <si>
    <t xml:space="preserve"> 2020-02-05 08:08:02</t>
  </si>
  <si>
    <t xml:space="preserve"> 2020-02-04 15:46:02</t>
  </si>
  <si>
    <t>确诊病例病死率2.1%</t>
  </si>
  <si>
    <t xml:space="preserve"> 2020-02-05 10:46:02</t>
  </si>
  <si>
    <t xml:space="preserve"> 2020-02-04 14:56:01</t>
  </si>
  <si>
    <t>如何避免上网课被老师提问</t>
  </si>
  <si>
    <t xml:space="preserve"> 2020-02-05 07:24:02</t>
  </si>
  <si>
    <t xml:space="preserve"> 2020-02-04 13:50:02</t>
  </si>
  <si>
    <t>张雨剑采访</t>
  </si>
  <si>
    <t xml:space="preserve"> 2020-02-05 08:16:01</t>
  </si>
  <si>
    <t xml:space="preserve"> 2020-02-04 20:38:02</t>
  </si>
  <si>
    <t>黑龙江查扣假冒伪劣口罩2万余个</t>
  </si>
  <si>
    <t xml:space="preserve"> 2020-02-05 08:04:01</t>
  </si>
  <si>
    <t xml:space="preserve"> 2020-02-04 18:12:02</t>
  </si>
  <si>
    <t>达芦那韦</t>
  </si>
  <si>
    <t xml:space="preserve"> 2020-02-05 03:04:02</t>
  </si>
  <si>
    <t xml:space="preserve"> 2020-02-04 20:28:02</t>
  </si>
  <si>
    <t>火神山医院已纳入医保定点</t>
  </si>
  <si>
    <t xml:space="preserve"> 2020-02-05 07:30:02</t>
  </si>
  <si>
    <t>湖南90后乡镇医生劳累过度猝死</t>
  </si>
  <si>
    <t xml:space="preserve"> 2020-02-05 11:22:02</t>
  </si>
  <si>
    <t xml:space="preserve"> 2020-02-04 23:24:02</t>
  </si>
  <si>
    <t>登贝莱受伤</t>
  </si>
  <si>
    <t xml:space="preserve"> 2020-02-05 07:58:01</t>
  </si>
  <si>
    <t xml:space="preserve"> 2020-02-04 16:02:02</t>
  </si>
  <si>
    <t>北京查获2万多只假冒3M口罩</t>
  </si>
  <si>
    <t xml:space="preserve"> 2020-02-06 07:24:01</t>
  </si>
  <si>
    <t xml:space="preserve"> 2020-02-05 08:18:01</t>
  </si>
  <si>
    <t>全国累计确诊新型肺炎24324例</t>
  </si>
  <si>
    <t xml:space="preserve"> 2020-02-05 18:44:02</t>
  </si>
  <si>
    <t xml:space="preserve"> 2020-02-05 10:40:02</t>
  </si>
  <si>
    <t>患者隐瞒情况致68名医务人员被隔离</t>
  </si>
  <si>
    <t xml:space="preserve"> 2020-02-06 00:24:02</t>
  </si>
  <si>
    <t>2.4万余门在线课程免费开放</t>
  </si>
  <si>
    <t xml:space="preserve"> 2020-02-05 19:44:01</t>
  </si>
  <si>
    <t xml:space="preserve"> 2020-02-05 11:44:01</t>
  </si>
  <si>
    <t>日本载3700人邮轮被隔离</t>
  </si>
  <si>
    <t xml:space="preserve"> 2020-02-05 17:20:02</t>
  </si>
  <si>
    <t>李兰娟每天只睡3小时</t>
  </si>
  <si>
    <t xml:space="preserve"> 2020-02-05 17:16:01</t>
  </si>
  <si>
    <t>首架俄罗斯军机飞抵武汉</t>
  </si>
  <si>
    <t xml:space="preserve"> 2020-02-05 14:30:01</t>
  </si>
  <si>
    <t>天津首例死亡病例</t>
  </si>
  <si>
    <t xml:space="preserve"> 2020-02-05 16:34:02</t>
  </si>
  <si>
    <t xml:space="preserve"> 2020-02-05 10:52:01</t>
  </si>
  <si>
    <t>高校教师线上教学计入教学工作量</t>
  </si>
  <si>
    <t xml:space="preserve"> 2020-02-05 15:44:01</t>
  </si>
  <si>
    <t xml:space="preserve"> 2020-02-05 09:58:01</t>
  </si>
  <si>
    <t>寻504个车次航班同行乘客</t>
  </si>
  <si>
    <t xml:space="preserve"> 2020-02-05 17:50:02</t>
  </si>
  <si>
    <t xml:space="preserve"> 2020-02-05 09:08:02</t>
  </si>
  <si>
    <t>男子武汉返乡却谎称菲律宾回来</t>
  </si>
  <si>
    <t xml:space="preserve"> 2020-02-05 14:18:01</t>
  </si>
  <si>
    <t xml:space="preserve"> 2020-02-05 10:44:01</t>
  </si>
  <si>
    <t>广东新增73例新型肺炎</t>
  </si>
  <si>
    <t xml:space="preserve"> 2020-02-05 14:40:01</t>
  </si>
  <si>
    <t xml:space="preserve"> 2020-02-05 07:28:01</t>
  </si>
  <si>
    <t>北京卫健委 建议适当延缓非急诊手术</t>
  </si>
  <si>
    <t xml:space="preserve"> 2020-02-05 15:02:02</t>
  </si>
  <si>
    <t xml:space="preserve"> 2020-02-05 07:22:02</t>
  </si>
  <si>
    <t>全国调配1000名ICU护士</t>
  </si>
  <si>
    <t xml:space="preserve"> 2020-02-05 13:20:02</t>
  </si>
  <si>
    <t xml:space="preserve"> 2020-02-05 09:16:02</t>
  </si>
  <si>
    <t>河南新增89例新型肺炎</t>
  </si>
  <si>
    <t xml:space="preserve"> 2020-02-05 19:58:02</t>
  </si>
  <si>
    <t xml:space="preserve"> 2020-02-05 10:48:02</t>
  </si>
  <si>
    <t>团购5万只口罩一撕就碎</t>
  </si>
  <si>
    <t xml:space="preserve"> 2020-02-05 20:08:02</t>
  </si>
  <si>
    <t xml:space="preserve"> 2020-02-05 11:14:01</t>
  </si>
  <si>
    <t>值班大爷太累忘记关喇叭</t>
  </si>
  <si>
    <t xml:space="preserve"> 2020-02-05 20:52:02</t>
  </si>
  <si>
    <t>可以做到手机长期静音的人</t>
  </si>
  <si>
    <t xml:space="preserve"> 2020-02-05 15:08:02</t>
  </si>
  <si>
    <t>女子多次隐瞒疫情发生地行程被立案</t>
  </si>
  <si>
    <t xml:space="preserve"> 2020-02-06 07:32:02</t>
  </si>
  <si>
    <t xml:space="preserve"> 2020-02-05 11:48:02</t>
  </si>
  <si>
    <t>躺着玩手机也能锻炼身体</t>
  </si>
  <si>
    <t xml:space="preserve"> 2020-02-05 18:06:02</t>
  </si>
  <si>
    <t xml:space="preserve"> 2020-02-05 10:54:02</t>
  </si>
  <si>
    <t>戴口罩不勒耳朵的方法</t>
  </si>
  <si>
    <t xml:space="preserve"> 2020-02-05 18:30:01</t>
  </si>
  <si>
    <t xml:space="preserve"> 2020-02-05 08:58:02</t>
  </si>
  <si>
    <t>贺繁星叶鹿鸣绝交</t>
  </si>
  <si>
    <t xml:space="preserve"> 2020-02-05 17:18:02</t>
  </si>
  <si>
    <t xml:space="preserve"> 2020-02-05 09:48:02</t>
  </si>
  <si>
    <t>世卫组织总干事讲话时干咳</t>
  </si>
  <si>
    <t xml:space="preserve"> 2020-02-05 14:26:02</t>
  </si>
  <si>
    <t xml:space="preserve"> 2020-02-05 10:38:01</t>
  </si>
  <si>
    <t>莫兰特晒杜兰特FMVP照片</t>
  </si>
  <si>
    <t xml:space="preserve"> 2020-02-05 17:22:02</t>
  </si>
  <si>
    <t xml:space="preserve"> 2020-02-05 08:10:02</t>
  </si>
  <si>
    <t>男子出门戴十几层口罩</t>
  </si>
  <si>
    <t xml:space="preserve"> 2020-02-05 17:36:02</t>
  </si>
  <si>
    <t>齐齐哈尔肺炎疫情</t>
  </si>
  <si>
    <t xml:space="preserve"> 2020-02-05 15:30:02</t>
  </si>
  <si>
    <t xml:space="preserve"> 2020-02-05 07:50:01</t>
  </si>
  <si>
    <t>戳爷 布布</t>
  </si>
  <si>
    <t xml:space="preserve"> 2020-02-05 18:34:01</t>
  </si>
  <si>
    <t xml:space="preserve"> 2020-02-05 11:00:02</t>
  </si>
  <si>
    <t>北京又下雪了</t>
  </si>
  <si>
    <t xml:space="preserve"> 2020-02-05 19:42:01</t>
  </si>
  <si>
    <t xml:space="preserve"> 2020-02-05 11:18:02</t>
  </si>
  <si>
    <t>字母哥大帽锡安</t>
  </si>
  <si>
    <t xml:space="preserve"> 2020-02-05 14:50:02</t>
  </si>
  <si>
    <t xml:space="preserve"> 2020-02-05 10:16:02</t>
  </si>
  <si>
    <t>94岁老奶奶的特殊党费</t>
  </si>
  <si>
    <t xml:space="preserve"> 2020-02-06 07:36:01</t>
  </si>
  <si>
    <t>假如一觉醒来疫情消失了</t>
  </si>
  <si>
    <t xml:space="preserve"> 2020-02-05 14:58:01</t>
  </si>
  <si>
    <t>国内年龄最小新型肺炎患者</t>
  </si>
  <si>
    <t xml:space="preserve"> 2020-02-05 20:56:02</t>
  </si>
  <si>
    <t xml:space="preserve"> 2020-02-05 11:56:01</t>
  </si>
  <si>
    <t>在家办公怎么感觉更累了</t>
  </si>
  <si>
    <t xml:space="preserve"> 2020-02-05 13:52:02</t>
  </si>
  <si>
    <t xml:space="preserve"> 2020-02-05 09:56:01</t>
  </si>
  <si>
    <t>浙江龙港一民房坍塌致2死8伤</t>
  </si>
  <si>
    <t xml:space="preserve"> 2020-02-05 13:12:02</t>
  </si>
  <si>
    <t>网民编造解放军进城全面接管被刑拘</t>
  </si>
  <si>
    <t xml:space="preserve"> 2020-02-05 08:36:01</t>
  </si>
  <si>
    <t>居家消毒液怎么选</t>
  </si>
  <si>
    <t xml:space="preserve"> 2020-02-05 12:48:01</t>
  </si>
  <si>
    <t>山东新增23例新型肺炎</t>
  </si>
  <si>
    <t xml:space="preserve"> 2020-02-05 13:36:01</t>
  </si>
  <si>
    <t xml:space="preserve"> 2020-02-05 11:06:02</t>
  </si>
  <si>
    <t>国羽三项排名世界第一</t>
  </si>
  <si>
    <t xml:space="preserve"> 2020-02-07 08:26:02</t>
  </si>
  <si>
    <t>瑞德西韦</t>
  </si>
  <si>
    <t xml:space="preserve"> 2020-02-05 11:52:01</t>
  </si>
  <si>
    <t>9岁女孩画抗疫漫画</t>
  </si>
  <si>
    <t xml:space="preserve"> 2020-02-05 13:00:02</t>
  </si>
  <si>
    <t xml:space="preserve"> 2020-02-05 09:26:01</t>
  </si>
  <si>
    <t>武汉方舱医院增至11家</t>
  </si>
  <si>
    <t xml:space="preserve"> 2020-02-05 12:12:01</t>
  </si>
  <si>
    <t xml:space="preserve"> 2020-01-27 12:16:02</t>
  </si>
  <si>
    <t>寻找染病车船飞机乘客</t>
  </si>
  <si>
    <t xml:space="preserve"> 2020-02-05 20:04:02</t>
  </si>
  <si>
    <t>深圳一确诊病例被立案侦查</t>
  </si>
  <si>
    <t xml:space="preserve"> 2020-02-05 13:58:02</t>
  </si>
  <si>
    <t>全国累计治愈出院892例</t>
  </si>
  <si>
    <t xml:space="preserve"> 2020-02-05 12:30:02</t>
  </si>
  <si>
    <t>浙江新增66例新型肺炎</t>
  </si>
  <si>
    <t xml:space="preserve"> 2020-02-06 10:28:01</t>
  </si>
  <si>
    <t>2020年中央一号文件</t>
  </si>
  <si>
    <t xml:space="preserve"> 2020-02-06 09:22:02</t>
  </si>
  <si>
    <t xml:space="preserve"> 2020-02-05 21:46:01</t>
  </si>
  <si>
    <t>湖北再次紧急下达2亿补助救治场所</t>
  </si>
  <si>
    <t xml:space="preserve"> 2020-02-06 08:56:02</t>
  </si>
  <si>
    <t xml:space="preserve"> 2020-02-05 22:18:01</t>
  </si>
  <si>
    <t>确保疑似确诊病例应收尽收应治尽治</t>
  </si>
  <si>
    <t xml:space="preserve"> 2020-02-06 13:56:02</t>
  </si>
  <si>
    <t xml:space="preserve"> 2020-02-05 23:12:01</t>
  </si>
  <si>
    <t>周洁琼报平安</t>
  </si>
  <si>
    <t xml:space="preserve"> 2020-02-06 13:24:01</t>
  </si>
  <si>
    <t xml:space="preserve"> 2020-02-05 22:16:01</t>
  </si>
  <si>
    <t>小红袄是谁</t>
  </si>
  <si>
    <t xml:space="preserve"> 2020-02-06 11:28:02</t>
  </si>
  <si>
    <t xml:space="preserve"> 2020-02-05 19:54:02</t>
  </si>
  <si>
    <t>十天前的我和十天后的我家人</t>
  </si>
  <si>
    <t xml:space="preserve"> 2020-02-06 11:26:02</t>
  </si>
  <si>
    <t xml:space="preserve"> 2020-02-05 21:02:02</t>
  </si>
  <si>
    <t>贺繁星元宋分手</t>
  </si>
  <si>
    <t xml:space="preserve"> 2020-02-06 11:46:02</t>
  </si>
  <si>
    <t>孙杨给杭州防疫站民警点外卖</t>
  </si>
  <si>
    <t xml:space="preserve"> 2020-02-06 10:30:02</t>
  </si>
  <si>
    <t xml:space="preserve"> 2020-02-05 22:28:01</t>
  </si>
  <si>
    <t>武汉定点医院只收治确诊重症危重症等病例</t>
  </si>
  <si>
    <t xml:space="preserve"> 2020-02-06 08:48:02</t>
  </si>
  <si>
    <t xml:space="preserve"> 2020-02-05 22:14:01</t>
  </si>
  <si>
    <t>武汉火眼实验室试运行</t>
  </si>
  <si>
    <t xml:space="preserve"> 2020-02-06 08:36:02</t>
  </si>
  <si>
    <t xml:space="preserve"> 2020-02-05 20:00:02</t>
  </si>
  <si>
    <t>江苏药店购退烧止咳药需实名登记</t>
  </si>
  <si>
    <t xml:space="preserve"> 2020-02-06 09:32:02</t>
  </si>
  <si>
    <t>铁路再次调整免费退票</t>
  </si>
  <si>
    <t xml:space="preserve"> 2020-02-06 08:32:01</t>
  </si>
  <si>
    <t xml:space="preserve"> 2020-02-05 20:10:02</t>
  </si>
  <si>
    <t>不可将酒精用于大面积喷洒</t>
  </si>
  <si>
    <t xml:space="preserve"> 2020-02-06 09:54:02</t>
  </si>
  <si>
    <t>蓬莱间结局</t>
  </si>
  <si>
    <t xml:space="preserve"> 2020-02-06 09:14:02</t>
  </si>
  <si>
    <t xml:space="preserve"> 2020-02-05 22:24:02</t>
  </si>
  <si>
    <t>芒果TV崩了</t>
  </si>
  <si>
    <t xml:space="preserve"> 2020-02-06 14:22:01</t>
  </si>
  <si>
    <t xml:space="preserve"> 2020-02-05 21:28:01</t>
  </si>
  <si>
    <t>章子怡评论李佳琦</t>
  </si>
  <si>
    <t xml:space="preserve"> 2020-02-06 10:38:02</t>
  </si>
  <si>
    <t xml:space="preserve"> 2020-02-05 23:06:02</t>
  </si>
  <si>
    <t>建议把CT作为诊断手段之一</t>
  </si>
  <si>
    <t xml:space="preserve"> 2020-02-06 12:14:01</t>
  </si>
  <si>
    <t xml:space="preserve"> 2020-02-05 23:50:02</t>
  </si>
  <si>
    <t>谷歌跌出万亿俱乐部</t>
  </si>
  <si>
    <t xml:space="preserve"> 2020-02-06 13:06:01</t>
  </si>
  <si>
    <t xml:space="preserve"> 2020-02-05 21:04:02</t>
  </si>
  <si>
    <t>贺灿阳房子塌了</t>
  </si>
  <si>
    <t xml:space="preserve"> 2020-02-06 10:44:01</t>
  </si>
  <si>
    <t xml:space="preserve"> 2020-02-05 23:16:02</t>
  </si>
  <si>
    <t>辽宁全省小区封闭管理</t>
  </si>
  <si>
    <t xml:space="preserve"> 2020-02-16 13:48:01</t>
  </si>
  <si>
    <t xml:space="preserve"> 2020-02-05 22:50:02</t>
  </si>
  <si>
    <t>下一站是幸福预告</t>
  </si>
  <si>
    <t xml:space="preserve"> 2020-02-06 12:38:02</t>
  </si>
  <si>
    <t xml:space="preserve"> 2020-02-05 20:48:02</t>
  </si>
  <si>
    <t>火神山医院患者吃些什么</t>
  </si>
  <si>
    <t xml:space="preserve"> 2020-02-06 10:36:01</t>
  </si>
  <si>
    <t xml:space="preserve"> 2020-02-05 20:54:02</t>
  </si>
  <si>
    <t>宝宝被感染隔离护士成临时妈妈</t>
  </si>
  <si>
    <t xml:space="preserve"> 2020-02-06 10:04:01</t>
  </si>
  <si>
    <t xml:space="preserve"> 2020-02-05 19:06:02</t>
  </si>
  <si>
    <t>晋江村民瞒报致3000多人被监测</t>
  </si>
  <si>
    <t xml:space="preserve"> 2020-02-16 12:02:02</t>
  </si>
  <si>
    <t xml:space="preserve"> 2020-02-05 19:46:01</t>
  </si>
  <si>
    <t>李荣浩</t>
  </si>
  <si>
    <t xml:space="preserve"> 2020-02-06 09:24:02</t>
  </si>
  <si>
    <t>A50 涨</t>
  </si>
  <si>
    <t xml:space="preserve"> 2020-02-06 07:18:02</t>
  </si>
  <si>
    <t xml:space="preserve"> 2020-02-05 21:48:01</t>
  </si>
  <si>
    <t>宁波地铁明日起暂停运营</t>
  </si>
  <si>
    <t xml:space="preserve"> 2020-02-06 07:54:01</t>
  </si>
  <si>
    <t xml:space="preserve"> 2020-02-05 18:14:02</t>
  </si>
  <si>
    <t>柬埔寨首相访华</t>
  </si>
  <si>
    <t xml:space="preserve"> 2020-02-06 10:02:02</t>
  </si>
  <si>
    <t xml:space="preserve"> 2020-02-05 18:46:02</t>
  </si>
  <si>
    <t>用口水涂抹电梯按键被行拘</t>
  </si>
  <si>
    <t xml:space="preserve"> 2020-02-06 09:26:02</t>
  </si>
  <si>
    <t xml:space="preserve"> 2020-02-05 22:22:02</t>
  </si>
  <si>
    <t>132个隔离点集中隔离5425人</t>
  </si>
  <si>
    <t xml:space="preserve"> 2020-02-06 09:00:02</t>
  </si>
  <si>
    <t xml:space="preserve"> 2020-02-05 18:08:02</t>
  </si>
  <si>
    <t>信阳急需N95口罩1.3万个</t>
  </si>
  <si>
    <t xml:space="preserve"> 2020-02-06 08:12:02</t>
  </si>
  <si>
    <t xml:space="preserve"> 2020-02-05 15:50:02</t>
  </si>
  <si>
    <t>潘粤明为儿子庆生</t>
  </si>
  <si>
    <t xml:space="preserve"> 2020-02-05 23:14:02</t>
  </si>
  <si>
    <t>无人机硬核劝退聚众打牌</t>
  </si>
  <si>
    <t>广州一患者隐瞒病情被立案</t>
  </si>
  <si>
    <t>白岩松对话王辰院士</t>
  </si>
  <si>
    <t xml:space="preserve"> 2020-02-06 08:14:02</t>
  </si>
  <si>
    <t>年前的我与现在的我</t>
  </si>
  <si>
    <t xml:space="preserve"> 2020-02-06 08:38:01</t>
  </si>
  <si>
    <t xml:space="preserve"> 2020-02-05 17:40:02</t>
  </si>
  <si>
    <t>厦门环岛路</t>
  </si>
  <si>
    <t>新相亲大会杨玲</t>
  </si>
  <si>
    <t xml:space="preserve"> 2020-02-06 09:02:02</t>
  </si>
  <si>
    <t xml:space="preserve"> 2020-02-05 17:32:02</t>
  </si>
  <si>
    <t>无人机给隔离居民空投蔬菜</t>
  </si>
  <si>
    <t xml:space="preserve"> 2020-02-05 16:44:01</t>
  </si>
  <si>
    <t>口罩产量持续上升</t>
  </si>
  <si>
    <t xml:space="preserve"> 2020-02-06 08:18:01</t>
  </si>
  <si>
    <t xml:space="preserve"> 2020-02-05 21:38:02</t>
  </si>
  <si>
    <t>坚决打击囤积居奇发疫情财</t>
  </si>
  <si>
    <t xml:space="preserve"> 2020-02-06 02:52:02</t>
  </si>
  <si>
    <t xml:space="preserve"> 2020-02-05 14:42:01</t>
  </si>
  <si>
    <t>上海各级各类学校2月底前不开学</t>
  </si>
  <si>
    <t xml:space="preserve"> 2020-02-06 08:26:01</t>
  </si>
  <si>
    <t>上海地铁不戴口罩不得进站</t>
  </si>
  <si>
    <t xml:space="preserve"> 2020-02-06 01:28:02</t>
  </si>
  <si>
    <t xml:space="preserve"> 2020-02-05 15:04:01</t>
  </si>
  <si>
    <t>冠状病毒对紫外线和热敏感</t>
  </si>
  <si>
    <t xml:space="preserve"> 2020-02-06 03:38:02</t>
  </si>
  <si>
    <t>全国首个测温巡逻机器人</t>
  </si>
  <si>
    <t xml:space="preserve"> 2020-02-06 00:22:02</t>
  </si>
  <si>
    <t xml:space="preserve"> 2020-02-05 16:38:02</t>
  </si>
  <si>
    <t>新型肺炎新增疑似病例明显减少</t>
  </si>
  <si>
    <t xml:space="preserve"> 2020-02-06 17:46:01</t>
  </si>
  <si>
    <t>停产10年口罩生产线恢复生产</t>
  </si>
  <si>
    <t xml:space="preserve"> 2020-02-06 17:20:01</t>
  </si>
  <si>
    <t xml:space="preserve"> 2020-02-06 07:28:01</t>
  </si>
  <si>
    <t>出门买菜未戴口罩被感染</t>
  </si>
  <si>
    <t xml:space="preserve"> 2020-02-06 16:18:02</t>
  </si>
  <si>
    <t xml:space="preserve"> 2020-02-06 08:58:02</t>
  </si>
  <si>
    <t>全国非湖北地区确诊病例连降两日</t>
  </si>
  <si>
    <t xml:space="preserve"> 2020-02-06 15:52:02</t>
  </si>
  <si>
    <t xml:space="preserve"> 2020-02-06 07:58:02</t>
  </si>
  <si>
    <t>全国累计确诊新型肺炎28018例</t>
  </si>
  <si>
    <t xml:space="preserve"> 2020-02-06 16:16:02</t>
  </si>
  <si>
    <t xml:space="preserve"> 2020-02-06 09:56:01</t>
  </si>
  <si>
    <t>日本邮轮累计20人感染新冠肺炎</t>
  </si>
  <si>
    <t xml:space="preserve"> 2020-02-06 16:04:01</t>
  </si>
  <si>
    <t>口罩日产量已达到1480万只</t>
  </si>
  <si>
    <t xml:space="preserve"> 2020-02-06 15:04:02</t>
  </si>
  <si>
    <t>儿子确诊90岁母亲陪护4天4夜</t>
  </si>
  <si>
    <t xml:space="preserve"> 2020-02-06 15:58:02</t>
  </si>
  <si>
    <t xml:space="preserve"> 2020-02-06 10:32:02</t>
  </si>
  <si>
    <t>新一代载人飞船试验船4月首飞</t>
  </si>
  <si>
    <t xml:space="preserve"> 2020-02-06 15:36:02</t>
  </si>
  <si>
    <t xml:space="preserve"> 2020-02-06 10:06:02</t>
  </si>
  <si>
    <t>医护夫妻通过声音眼神认出彼此</t>
  </si>
  <si>
    <t xml:space="preserve"> 2020-02-06 15:44:01</t>
  </si>
  <si>
    <t xml:space="preserve"> 2020-02-06 09:34:02</t>
  </si>
  <si>
    <t>方舱医院床位多会传染吗</t>
  </si>
  <si>
    <t xml:space="preserve"> 2020-02-06 12:48:02</t>
  </si>
  <si>
    <t xml:space="preserve"> 2020-02-06 10:46:02</t>
  </si>
  <si>
    <t>央视元宵晚会取消观众设置</t>
  </si>
  <si>
    <t xml:space="preserve"> 2020-02-06 19:22:02</t>
  </si>
  <si>
    <t xml:space="preserve"> 2020-02-06 11:58:01</t>
  </si>
  <si>
    <t>为什么还不能预判疫情拐点</t>
  </si>
  <si>
    <t xml:space="preserve"> 2020-02-06 13:54:02</t>
  </si>
  <si>
    <t xml:space="preserve"> 2020-02-06 09:48:01</t>
  </si>
  <si>
    <t>北京减免中小微企业房租</t>
  </si>
  <si>
    <t xml:space="preserve"> 2020-02-06 18:18:02</t>
  </si>
  <si>
    <t xml:space="preserve"> 2020-02-06 11:30:02</t>
  </si>
  <si>
    <t>纸尿裤内衣工厂转做口罩</t>
  </si>
  <si>
    <t xml:space="preserve"> 2020-02-06 18:32:01</t>
  </si>
  <si>
    <t xml:space="preserve"> 2020-02-06 11:48:01</t>
  </si>
  <si>
    <t>朴有天将重新开始活动</t>
  </si>
  <si>
    <t xml:space="preserve"> 2020-02-06 18:00:02</t>
  </si>
  <si>
    <t xml:space="preserve"> 2020-02-06 07:38:01</t>
  </si>
  <si>
    <t>这两天女孩子的指甲</t>
  </si>
  <si>
    <t xml:space="preserve"> 2020-02-06 17:34:01</t>
  </si>
  <si>
    <t xml:space="preserve"> 2020-02-06 10:20:02</t>
  </si>
  <si>
    <t>人生第一次我们这样过年</t>
  </si>
  <si>
    <t xml:space="preserve"> 2020-02-06 17:18:02</t>
  </si>
  <si>
    <t xml:space="preserve"> 2020-02-06 10:50:01</t>
  </si>
  <si>
    <t>广东发布二号口罩令</t>
  </si>
  <si>
    <t xml:space="preserve"> 2020-02-06 17:06:02</t>
  </si>
  <si>
    <t xml:space="preserve"> 2020-02-06 09:28:01</t>
  </si>
  <si>
    <t>北京大雪</t>
  </si>
  <si>
    <t xml:space="preserve"> 2020-02-06 20:00:02</t>
  </si>
  <si>
    <t>肺炎一号</t>
  </si>
  <si>
    <t xml:space="preserve"> 2020-02-06 15:24:01</t>
  </si>
  <si>
    <t>四川内江查获50余万个三无口罩</t>
  </si>
  <si>
    <t xml:space="preserve"> 2020-02-06 15:38:02</t>
  </si>
  <si>
    <t>伊戈达拉 热火</t>
  </si>
  <si>
    <t xml:space="preserve"> 2020-02-06 15:12:01</t>
  </si>
  <si>
    <t xml:space="preserve"> 2020-02-06 07:34:02</t>
  </si>
  <si>
    <t>特朗普免遭弹劾</t>
  </si>
  <si>
    <t xml:space="preserve"> 2020-02-06 14:26:02</t>
  </si>
  <si>
    <t xml:space="preserve"> 2020-02-06 10:34:02</t>
  </si>
  <si>
    <t>店铺老板殴打防疫人员被拘10日</t>
  </si>
  <si>
    <t xml:space="preserve"> 2020-02-06 15:16:01</t>
  </si>
  <si>
    <t xml:space="preserve"> 2020-02-06 09:04:02</t>
  </si>
  <si>
    <t>汶川村民自发支援武汉100吨蔬菜</t>
  </si>
  <si>
    <t xml:space="preserve"> 2020-02-06 15:06:02</t>
  </si>
  <si>
    <t xml:space="preserve"> 2020-02-06 07:22:01</t>
  </si>
  <si>
    <t>如果没有疫情你在干嘛</t>
  </si>
  <si>
    <t xml:space="preserve"> 2020-02-06 13:48:02</t>
  </si>
  <si>
    <t>河南新增87例新型肺炎</t>
  </si>
  <si>
    <t xml:space="preserve"> 2020-02-06 14:36:02</t>
  </si>
  <si>
    <t xml:space="preserve"> 2020-02-06 08:34:01</t>
  </si>
  <si>
    <t>武汉两个硬任务</t>
  </si>
  <si>
    <t xml:space="preserve"> 2020-02-06 13:14:01</t>
  </si>
  <si>
    <t>浙江新增59例新型肺炎</t>
  </si>
  <si>
    <t xml:space="preserve"> 2020-02-06 14:58:02</t>
  </si>
  <si>
    <t>贵州一女子编造防疫情谣言被拘</t>
  </si>
  <si>
    <t xml:space="preserve"> 2020-02-06 14:06:02</t>
  </si>
  <si>
    <t xml:space="preserve"> 2020-02-06 08:28:01</t>
  </si>
  <si>
    <t>英国小学生用中文合唱给中国加油</t>
  </si>
  <si>
    <t xml:space="preserve"> 2020-02-06 14:42:01</t>
  </si>
  <si>
    <t xml:space="preserve"> 2020-02-06 10:40:02</t>
  </si>
  <si>
    <t>武汉首个方舱医院开始收治病人</t>
  </si>
  <si>
    <t>河北防疫期间7人聚众赌博被拘</t>
  </si>
  <si>
    <t xml:space="preserve"> 2020-02-06 12:50:01</t>
  </si>
  <si>
    <t>江苏新增32例新型肺炎</t>
  </si>
  <si>
    <t xml:space="preserve"> 2020-02-06 13:32:02</t>
  </si>
  <si>
    <t xml:space="preserve"> 2020-02-06 09:12:01</t>
  </si>
  <si>
    <t>土耳其波音客机滑出跑道已致3死</t>
  </si>
  <si>
    <t xml:space="preserve"> 2020-02-06 13:36:02</t>
  </si>
  <si>
    <t>执勤民警回家蹲楼道吃饭</t>
  </si>
  <si>
    <t xml:space="preserve"> 2020-02-06 13:08:01</t>
  </si>
  <si>
    <t>广东新增74例新型肺炎</t>
  </si>
  <si>
    <t xml:space="preserve"> 2020-02-06 12:40:01</t>
  </si>
  <si>
    <t>安徽新增61例新型肺炎</t>
  </si>
  <si>
    <t xml:space="preserve"> 2020-02-06 12:34:02</t>
  </si>
  <si>
    <t xml:space="preserve"> 2020-02-06 09:58:02</t>
  </si>
  <si>
    <t>江西新增52例新型肺炎</t>
  </si>
  <si>
    <t xml:space="preserve"> 2020-02-06 12:20:02</t>
  </si>
  <si>
    <t xml:space="preserve"> 2020-02-06 08:52:02</t>
  </si>
  <si>
    <t>随州一县医院多项防护物资库存为0</t>
  </si>
  <si>
    <t xml:space="preserve"> 2020-02-06 12:18:01</t>
  </si>
  <si>
    <t>你手机通讯录里的奇葩备注</t>
  </si>
  <si>
    <t xml:space="preserve"> 2020-02-07 14:44:01</t>
  </si>
  <si>
    <t xml:space="preserve"> 2020-02-06 22:28:02</t>
  </si>
  <si>
    <t>湖北副省长回应武汉市民网络求助</t>
  </si>
  <si>
    <t xml:space="preserve"> 2020-02-07 13:14:01</t>
  </si>
  <si>
    <t xml:space="preserve"> 2020-02-06 21:00:02</t>
  </si>
  <si>
    <t>钟南山谈抗病毒特效药</t>
  </si>
  <si>
    <t xml:space="preserve"> 2020-02-07 12:22:02</t>
  </si>
  <si>
    <t xml:space="preserve"> 2020-02-06 22:00:02</t>
  </si>
  <si>
    <t>陶勇 心中的梦</t>
  </si>
  <si>
    <t xml:space="preserve"> 2020-02-07 14:00:02</t>
  </si>
  <si>
    <t xml:space="preserve"> 2020-02-06 22:22:01</t>
  </si>
  <si>
    <t>南京一患者排队买烤鸭时被感染</t>
  </si>
  <si>
    <t xml:space="preserve"> 2020-02-07 14:08:01</t>
  </si>
  <si>
    <t xml:space="preserve"> 2020-02-06 23:30:02</t>
  </si>
  <si>
    <t>用生命预警的英雄</t>
  </si>
  <si>
    <t xml:space="preserve"> 2020-02-07 12:26:01</t>
  </si>
  <si>
    <t xml:space="preserve"> 2020-02-06 23:06:02</t>
  </si>
  <si>
    <t>关于新冠肺炎的30个真相</t>
  </si>
  <si>
    <t xml:space="preserve"> 2020-02-07 13:38:01</t>
  </si>
  <si>
    <t xml:space="preserve"> 2020-02-06 22:24:01</t>
  </si>
  <si>
    <t>回家后怎么消毒</t>
  </si>
  <si>
    <t xml:space="preserve"> 2020-02-07 10:14:02</t>
  </si>
  <si>
    <t xml:space="preserve"> 2020-02-06 21:42:02</t>
  </si>
  <si>
    <t>中日友好医院辟谣瑞德西韦效果显著</t>
  </si>
  <si>
    <t xml:space="preserve"> 2020-02-07 12:10:01</t>
  </si>
  <si>
    <t>如何区分感冒流感和新冠肺炎</t>
  </si>
  <si>
    <t xml:space="preserve"> 2020-02-07 00:54:02</t>
  </si>
  <si>
    <t xml:space="preserve"> 2020-02-06 22:48:02</t>
  </si>
  <si>
    <t>李文亮医生去世</t>
  </si>
  <si>
    <t xml:space="preserve"> 2020-02-07 10:58:02</t>
  </si>
  <si>
    <t xml:space="preserve"> 2020-02-06 18:40:02</t>
  </si>
  <si>
    <t>如果理发店再不开门</t>
  </si>
  <si>
    <t xml:space="preserve"> 2020-02-07 11:12:01</t>
  </si>
  <si>
    <t xml:space="preserve"> 2020-02-06 18:48:02</t>
  </si>
  <si>
    <t>民警收走麻将中的四个壹万</t>
  </si>
  <si>
    <t xml:space="preserve"> 2020-02-07 09:04:02</t>
  </si>
  <si>
    <t>坚持两周把病毒闷死</t>
  </si>
  <si>
    <t xml:space="preserve"> 2020-02-07 10:02:01</t>
  </si>
  <si>
    <t xml:space="preserve"> 2020-02-06 21:50:01</t>
  </si>
  <si>
    <t>四大行 近期定期存款到期将自动延期</t>
  </si>
  <si>
    <t xml:space="preserve"> 2020-03-25 07:56:02</t>
  </si>
  <si>
    <t xml:space="preserve"> 2019-12-04 16:44:01</t>
  </si>
  <si>
    <t>撒野</t>
  </si>
  <si>
    <t xml:space="preserve"> 2020-02-07 12:50:01</t>
  </si>
  <si>
    <t xml:space="preserve"> 2020-02-06 19:20:02</t>
  </si>
  <si>
    <t>疫情上报第一人记大功</t>
  </si>
  <si>
    <t xml:space="preserve"> 2020-02-07 15:50:01</t>
  </si>
  <si>
    <t xml:space="preserve"> 2020-02-06 23:28:02</t>
  </si>
  <si>
    <t>下一站是幸福编剧</t>
  </si>
  <si>
    <t xml:space="preserve"> 2020-02-07 02:50:02</t>
  </si>
  <si>
    <t>孙宇晨与巴菲特共进晚餐</t>
  </si>
  <si>
    <t xml:space="preserve"> 2020-02-06 23:04:02</t>
  </si>
  <si>
    <t>呼和浩特多名公职人员被处理</t>
  </si>
  <si>
    <t xml:space="preserve"> 2020-02-07 14:30:01</t>
  </si>
  <si>
    <t xml:space="preserve"> 2020-02-06 22:32:01</t>
  </si>
  <si>
    <t>上楼请踢我一脚</t>
  </si>
  <si>
    <t xml:space="preserve"> 2020-02-07 00:18:01</t>
  </si>
  <si>
    <t xml:space="preserve"> 2020-02-06 23:32:02</t>
  </si>
  <si>
    <t>李文亮医生最后一条微博</t>
  </si>
  <si>
    <t xml:space="preserve"> 2020-02-07 11:44:02</t>
  </si>
  <si>
    <t xml:space="preserve"> 2020-02-06 19:38:01</t>
  </si>
  <si>
    <t>李娜捐赠300万</t>
  </si>
  <si>
    <t xml:space="preserve"> 2020-02-07 09:00:02</t>
  </si>
  <si>
    <t xml:space="preserve"> 2020-02-06 23:08:02</t>
  </si>
  <si>
    <t>贵州直升机对医学观察区喷洒消毒</t>
  </si>
  <si>
    <t xml:space="preserve"> 2020-02-07 11:26:02</t>
  </si>
  <si>
    <t xml:space="preserve"> 2020-02-06 21:46:01</t>
  </si>
  <si>
    <t>郑州一滴滴司机确诊新冠肺炎</t>
  </si>
  <si>
    <t xml:space="preserve"> 2020-02-07 09:08:01</t>
  </si>
  <si>
    <t xml:space="preserve"> 2020-02-06 18:14:02</t>
  </si>
  <si>
    <t>科比女儿球衣退役</t>
  </si>
  <si>
    <t xml:space="preserve"> 2020-02-06 23:00:02</t>
  </si>
  <si>
    <t>xiaolwl</t>
  </si>
  <si>
    <t xml:space="preserve"> 2020-02-07 10:36:01</t>
  </si>
  <si>
    <t xml:space="preserve"> 2020-02-06 22:44:02</t>
  </si>
  <si>
    <t>文旅部 暂退旅行社80%质量保证金</t>
  </si>
  <si>
    <t xml:space="preserve"> 2020-02-07 11:52:01</t>
  </si>
  <si>
    <t xml:space="preserve"> 2020-02-06 19:50:02</t>
  </si>
  <si>
    <t>国家邮政局呼吁让快递员进小区</t>
  </si>
  <si>
    <t xml:space="preserve"> 2020-02-07 09:58:01</t>
  </si>
  <si>
    <t xml:space="preserve"> 2020-02-06 17:36:01</t>
  </si>
  <si>
    <t>R1SE换预防疫情头像</t>
  </si>
  <si>
    <t xml:space="preserve"> 2020-02-07 00:24:02</t>
  </si>
  <si>
    <t>疫情吹哨人</t>
  </si>
  <si>
    <t xml:space="preserve"> 2020-02-06 22:40:01</t>
  </si>
  <si>
    <t>诗词大会韩亚轩</t>
  </si>
  <si>
    <t xml:space="preserve"> 2020-02-07 11:36:01</t>
  </si>
  <si>
    <t xml:space="preserve"> 2020-02-06 20:02:02</t>
  </si>
  <si>
    <t>水果姐中文为武汉加油</t>
  </si>
  <si>
    <t xml:space="preserve"> 2020-02-07 10:34:02</t>
  </si>
  <si>
    <t xml:space="preserve"> 2020-02-06 18:44:01</t>
  </si>
  <si>
    <t>林忆莲</t>
  </si>
  <si>
    <t xml:space="preserve"> 2020-02-07 07:50:02</t>
  </si>
  <si>
    <t xml:space="preserve"> 2020-02-06 16:20:01</t>
  </si>
  <si>
    <t>大理将暂扣口罩全部放行退还</t>
  </si>
  <si>
    <t xml:space="preserve"> 2020-02-06 23:16:02</t>
  </si>
  <si>
    <t>随州医用物资库存仅供3天使用</t>
  </si>
  <si>
    <t xml:space="preserve"> 2020-02-07 10:20:02</t>
  </si>
  <si>
    <t xml:space="preserve"> 2020-02-06 22:16:02</t>
  </si>
  <si>
    <t>匈牙利辱华运动员被禁赛一年</t>
  </si>
  <si>
    <t xml:space="preserve"> 2020-02-07 09:28:01</t>
  </si>
  <si>
    <t>武汉全民体温监测</t>
  </si>
  <si>
    <t xml:space="preserve"> 2020-02-07 00:58:01</t>
  </si>
  <si>
    <t xml:space="preserve"> 2020-02-06 22:36:02</t>
  </si>
  <si>
    <t>18米长绳吊保温桶为民警送饭</t>
  </si>
  <si>
    <t xml:space="preserve"> 2020-02-07 08:42:01</t>
  </si>
  <si>
    <t xml:space="preserve"> 2020-02-06 15:46:01</t>
  </si>
  <si>
    <t>大火过后的澳大利亚</t>
  </si>
  <si>
    <t xml:space="preserve"> 2020-02-07 07:46:02</t>
  </si>
  <si>
    <t xml:space="preserve"> 2020-02-06 17:12:01</t>
  </si>
  <si>
    <t>该追星的追星该追剧的追剧</t>
  </si>
  <si>
    <t xml:space="preserve"> 2020-02-15 00:12:02</t>
  </si>
  <si>
    <t xml:space="preserve"> 2020-02-06 21:40:02</t>
  </si>
  <si>
    <t>小红袄</t>
  </si>
  <si>
    <t xml:space="preserve"> 2020-02-07 10:06:02</t>
  </si>
  <si>
    <t>上海发生两起聚集性疫情</t>
  </si>
  <si>
    <t xml:space="preserve"> 2020-02-06 18:54:02</t>
  </si>
  <si>
    <t>电脑模拟仿真疫情趋势</t>
  </si>
  <si>
    <t xml:space="preserve"> 2020-02-07 11:16:01</t>
  </si>
  <si>
    <t xml:space="preserve"> 2020-02-06 21:14:01</t>
  </si>
  <si>
    <t>北京2月20日后公布考研初试成绩</t>
  </si>
  <si>
    <t xml:space="preserve"> 2020-02-07 16:58:01</t>
  </si>
  <si>
    <t xml:space="preserve"> 2020-02-07 09:06:02</t>
  </si>
  <si>
    <t>天津一患者致973人被隔离</t>
  </si>
  <si>
    <t xml:space="preserve"> 2020-02-07 18:34:01</t>
  </si>
  <si>
    <t xml:space="preserve"> 2020-02-07 11:28:02</t>
  </si>
  <si>
    <t>新冠肺炎患者个人负担费用财政兜底</t>
  </si>
  <si>
    <t xml:space="preserve"> 2020-02-07 16:20:02</t>
  </si>
  <si>
    <t xml:space="preserve"> 2020-02-07 11:00:02</t>
  </si>
  <si>
    <t>上海个人隐瞒疫情将列入征信黑名单</t>
  </si>
  <si>
    <t xml:space="preserve"> 2020-02-07 19:58:02</t>
  </si>
  <si>
    <t xml:space="preserve"> 2020-02-07 10:04:02</t>
  </si>
  <si>
    <t>穿山甲</t>
  </si>
  <si>
    <t xml:space="preserve"> 2020-02-07 17:10:02</t>
  </si>
  <si>
    <t xml:space="preserve"> 2020-02-07 11:06:01</t>
  </si>
  <si>
    <t>北京要求疫情高发区人员暂不返京</t>
  </si>
  <si>
    <t xml:space="preserve"> 2020-02-07 16:08:01</t>
  </si>
  <si>
    <t xml:space="preserve"> 2020-02-07 11:38:02</t>
  </si>
  <si>
    <t>西藏连续8天无新增或疑似</t>
  </si>
  <si>
    <t>钻石公主号邮轮新增41例新冠肺炎</t>
  </si>
  <si>
    <t xml:space="preserve"> 2020-02-07 16:56:01</t>
  </si>
  <si>
    <t xml:space="preserve"> 2020-02-07 11:14:02</t>
  </si>
  <si>
    <t>央行两天投放基础货币1.7万亿元</t>
  </si>
  <si>
    <t xml:space="preserve"> 2020-02-07 17:06:02</t>
  </si>
  <si>
    <t xml:space="preserve"> 2020-02-07 11:46:02</t>
  </si>
  <si>
    <t>钱七虎院士向武汉捐款650万</t>
  </si>
  <si>
    <t>全国累计确诊新型肺炎31161例</t>
  </si>
  <si>
    <t xml:space="preserve"> 2020-02-07 15:58:02</t>
  </si>
  <si>
    <t xml:space="preserve"> 2020-02-07 10:00:02</t>
  </si>
  <si>
    <t>胡绍任雷神山医院院长</t>
  </si>
  <si>
    <t xml:space="preserve"> 2020-02-07 15:12:02</t>
  </si>
  <si>
    <t>土耳其飞机事故2中国人重伤</t>
  </si>
  <si>
    <t xml:space="preserve"> 2020-02-07 12:34:02</t>
  </si>
  <si>
    <t xml:space="preserve"> 2020-02-07 09:02:02</t>
  </si>
  <si>
    <t>NBA全明星队长选人</t>
  </si>
  <si>
    <t>浙江累计确诊病例破千</t>
  </si>
  <si>
    <t xml:space="preserve"> 2020-02-07 16:38:01</t>
  </si>
  <si>
    <t>北京确诊和疑似新冠肺炎无须个人付费</t>
  </si>
  <si>
    <t xml:space="preserve"> 2020-02-07 16:16:02</t>
  </si>
  <si>
    <t>广东累计确诊1018例</t>
  </si>
  <si>
    <t xml:space="preserve"> 2020-02-07 15:32:02</t>
  </si>
  <si>
    <t xml:space="preserve"> 2020-02-07 10:22:02</t>
  </si>
  <si>
    <t>民警组织乘客面对面建群</t>
  </si>
  <si>
    <t>我的发型和动漫人物一样了</t>
  </si>
  <si>
    <t xml:space="preserve"> 2020-02-07 19:10:02</t>
  </si>
  <si>
    <t>李文亮去世</t>
  </si>
  <si>
    <t xml:space="preserve"> 2020-02-07 15:56:02</t>
  </si>
  <si>
    <t xml:space="preserve"> 2020-02-07 11:32:02</t>
  </si>
  <si>
    <t>南京医院用机器人发药</t>
  </si>
  <si>
    <t xml:space="preserve"> 2020-02-07 16:00:02</t>
  </si>
  <si>
    <t xml:space="preserve"> 2020-02-07 07:48:02</t>
  </si>
  <si>
    <t>拉塞尔威金斯互换</t>
  </si>
  <si>
    <t xml:space="preserve"> 2020-02-07 14:50:01</t>
  </si>
  <si>
    <t>莫里斯加盟快船</t>
  </si>
  <si>
    <t xml:space="preserve"> 2020-02-07 15:52:01</t>
  </si>
  <si>
    <t xml:space="preserve"> 2020-02-07 11:18:01</t>
  </si>
  <si>
    <t>各级财政共安排疫情防控资金667.4亿元</t>
  </si>
  <si>
    <t xml:space="preserve"> 2020-02-07 14:54:02</t>
  </si>
  <si>
    <t xml:space="preserve"> 2020-02-07 09:10:02</t>
  </si>
  <si>
    <t>黑龙江讷河4.1级地震</t>
  </si>
  <si>
    <t xml:space="preserve"> 2020-02-07 14:48:02</t>
  </si>
  <si>
    <t xml:space="preserve"> 2020-02-07 08:12:01</t>
  </si>
  <si>
    <t>巴萨皇马国王杯出局</t>
  </si>
  <si>
    <t xml:space="preserve"> 2020-02-07 14:16:02</t>
  </si>
  <si>
    <t xml:space="preserve"> 2020-02-07 07:20:02</t>
  </si>
  <si>
    <t>湖北新增2447例新型肺炎</t>
  </si>
  <si>
    <t xml:space="preserve"> 2020-02-07 13:24:01</t>
  </si>
  <si>
    <t xml:space="preserve"> 2020-02-07 09:30:02</t>
  </si>
  <si>
    <t>秦皇岛公布2名新增确诊病例轨迹</t>
  </si>
  <si>
    <t xml:space="preserve"> 2020-02-07 14:34:02</t>
  </si>
  <si>
    <t xml:space="preserve"> 2020-02-07 08:44:01</t>
  </si>
  <si>
    <t>黑龙江黑河3.8级地震</t>
  </si>
  <si>
    <t xml:space="preserve"> 2020-02-07 13:32:01</t>
  </si>
  <si>
    <t xml:space="preserve"> 2020-02-07 08:28:02</t>
  </si>
  <si>
    <t>重庆累计确诊411例</t>
  </si>
  <si>
    <t xml:space="preserve"> 2020-02-07 11:54:02</t>
  </si>
  <si>
    <t>北京新增23例新型肺炎</t>
  </si>
  <si>
    <t xml:space="preserve"> 2020-02-07 00:10:02</t>
  </si>
  <si>
    <t>雷神山医院用传递窗送药</t>
  </si>
  <si>
    <t xml:space="preserve"> 2020-02-07 12:18:02</t>
  </si>
  <si>
    <t xml:space="preserve"> 2020-02-07 00:14:02</t>
  </si>
  <si>
    <t>瑞德西韦临床试验在金银潭医院启动</t>
  </si>
  <si>
    <t xml:space="preserve"> 2020-02-07 22:10:01</t>
  </si>
  <si>
    <t>李文亮医生被认定为工伤</t>
  </si>
  <si>
    <t xml:space="preserve"> 2020-02-08 14:02:02</t>
  </si>
  <si>
    <t xml:space="preserve"> 2020-02-07 23:26:01</t>
  </si>
  <si>
    <t>春节延长假期间上班先安排补休</t>
  </si>
  <si>
    <t xml:space="preserve"> 2020-02-08 11:00:02</t>
  </si>
  <si>
    <t xml:space="preserve"> 2020-02-07 21:32:02</t>
  </si>
  <si>
    <t>北京首次公布疑似病例数量</t>
  </si>
  <si>
    <t xml:space="preserve"> 2020-02-08 11:56:01</t>
  </si>
  <si>
    <t xml:space="preserve"> 2020-02-07 21:18:02</t>
  </si>
  <si>
    <t>周深 大鱼</t>
  </si>
  <si>
    <t xml:space="preserve"> 2020-02-08 10:34:01</t>
  </si>
  <si>
    <t xml:space="preserve"> 2020-02-07 19:56:01</t>
  </si>
  <si>
    <t>钟南山称疫情拐点还要几天</t>
  </si>
  <si>
    <t xml:space="preserve"> 2020-02-08 10:26:01</t>
  </si>
  <si>
    <t xml:space="preserve"> 2020-02-07 22:14:02</t>
  </si>
  <si>
    <t>全国超20人故意隐瞒致人感染被立案</t>
  </si>
  <si>
    <t xml:space="preserve"> 2020-02-08 01:44:02</t>
  </si>
  <si>
    <t xml:space="preserve"> 2020-02-07 16:40:01</t>
  </si>
  <si>
    <t>全面调查李文亮事件</t>
  </si>
  <si>
    <t xml:space="preserve"> 2020-02-08 07:54:02</t>
  </si>
  <si>
    <t xml:space="preserve"> 2020-02-07 23:12:01</t>
  </si>
  <si>
    <t>新华网评 深深致敬 深深悼念</t>
  </si>
  <si>
    <t xml:space="preserve"> 2020-02-08 08:08:02</t>
  </si>
  <si>
    <t xml:space="preserve"> 2020-02-07 20:32:02</t>
  </si>
  <si>
    <t>教育部 未经学校批准不准返校</t>
  </si>
  <si>
    <t xml:space="preserve"> 2020-02-08 10:00:02</t>
  </si>
  <si>
    <t xml:space="preserve"> 2020-02-07 22:50:01</t>
  </si>
  <si>
    <t>钟南山称一些治疗药物有苗头但还需观察</t>
  </si>
  <si>
    <t xml:space="preserve"> 2020-02-08 10:48:02</t>
  </si>
  <si>
    <t>送别李文亮 愿天日昭昭</t>
  </si>
  <si>
    <t xml:space="preserve"> 2020-02-07 23:50:02</t>
  </si>
  <si>
    <t>武汉氧气供应量紧张</t>
  </si>
  <si>
    <t xml:space="preserve"> 2020-02-08 08:58:02</t>
  </si>
  <si>
    <t xml:space="preserve"> 2020-02-07 21:58:02</t>
  </si>
  <si>
    <t>深圳所有小区封闭管理</t>
  </si>
  <si>
    <t xml:space="preserve"> 2020-02-08 09:08:02</t>
  </si>
  <si>
    <t xml:space="preserve"> 2020-02-07 16:28:01</t>
  </si>
  <si>
    <t>16省份一省包一市支援湖北</t>
  </si>
  <si>
    <t xml:space="preserve"> 2020-02-15 12:00:02</t>
  </si>
  <si>
    <t xml:space="preserve"> 2020-02-07 23:22:02</t>
  </si>
  <si>
    <t>维嘉妈妈</t>
  </si>
  <si>
    <t xml:space="preserve"> 2020-02-08 09:32:01</t>
  </si>
  <si>
    <t xml:space="preserve"> 2020-02-07 23:48:02</t>
  </si>
  <si>
    <t>月晕</t>
  </si>
  <si>
    <t xml:space="preserve"> 2020-02-07 18:16:01</t>
  </si>
  <si>
    <t>杨幂白浅大婚造型</t>
  </si>
  <si>
    <t xml:space="preserve"> 2020-02-08 11:44:01</t>
  </si>
  <si>
    <t xml:space="preserve"> 2020-02-07 23:16:02</t>
  </si>
  <si>
    <t>澳大利亚山火后遗症</t>
  </si>
  <si>
    <t xml:space="preserve"> 2020-02-08 12:42:01</t>
  </si>
  <si>
    <t xml:space="preserve"> 2020-02-07 21:08:02</t>
  </si>
  <si>
    <t>济南一家三代6口人感染</t>
  </si>
  <si>
    <t xml:space="preserve"> 2020-02-08 11:24:01</t>
  </si>
  <si>
    <t xml:space="preserve"> 2020-02-07 22:48:01</t>
  </si>
  <si>
    <t>叶青缇下线</t>
  </si>
  <si>
    <t xml:space="preserve"> 2020-02-08 09:26:02</t>
  </si>
  <si>
    <t xml:space="preserve"> 2020-02-07 17:28:01</t>
  </si>
  <si>
    <t>周杰捐献两万斤大米</t>
  </si>
  <si>
    <t xml:space="preserve"> 2020-02-08 11:18:02</t>
  </si>
  <si>
    <t>高三教师自制花式直播设备</t>
  </si>
  <si>
    <t xml:space="preserve"> 2020-02-08 08:28:02</t>
  </si>
  <si>
    <t xml:space="preserve"> 2020-02-07 23:32:02</t>
  </si>
  <si>
    <t>106辆军用卡车为武汉运生活物资</t>
  </si>
  <si>
    <t xml:space="preserve"> 2020-02-08 09:12:01</t>
  </si>
  <si>
    <t xml:space="preserve"> 2020-02-07 22:12:01</t>
  </si>
  <si>
    <t>米希亚 现在好想见你</t>
  </si>
  <si>
    <t xml:space="preserve"> 2020-02-08 10:54:01</t>
  </si>
  <si>
    <t xml:space="preserve"> 2020-02-07 21:28:01</t>
  </si>
  <si>
    <t>白浅上线</t>
  </si>
  <si>
    <t xml:space="preserve"> 2020-02-08 11:10:01</t>
  </si>
  <si>
    <t>一张图看懂新冠肺炎</t>
  </si>
  <si>
    <t xml:space="preserve"> 2020-02-08 07:14:01</t>
  </si>
  <si>
    <t>羽生结弦</t>
  </si>
  <si>
    <t xml:space="preserve"> 2020-02-08 09:34:02</t>
  </si>
  <si>
    <t xml:space="preserve"> 2020-02-07 23:00:02</t>
  </si>
  <si>
    <t>华晨宇 寒鸦少年</t>
  </si>
  <si>
    <t xml:space="preserve"> 2020-02-08 08:42:02</t>
  </si>
  <si>
    <t xml:space="preserve"> 2020-02-07 16:42:01</t>
  </si>
  <si>
    <t>超市里买菜的都是男同志</t>
  </si>
  <si>
    <t xml:space="preserve"> 2020-02-08 09:48:02</t>
  </si>
  <si>
    <t xml:space="preserve"> 2020-02-07 18:44:02</t>
  </si>
  <si>
    <t>用面包盒自制1600个防护面罩捐医院</t>
  </si>
  <si>
    <t xml:space="preserve"> 2020-03-04 08:46:02</t>
  </si>
  <si>
    <t>陈薇</t>
  </si>
  <si>
    <t xml:space="preserve"> 2020-02-08 09:38:02</t>
  </si>
  <si>
    <t xml:space="preserve"> 2020-02-07 23:40:02</t>
  </si>
  <si>
    <t>成都小区封闭管理</t>
  </si>
  <si>
    <t xml:space="preserve"> 2020-02-08 08:48:01</t>
  </si>
  <si>
    <t xml:space="preserve"> 2020-02-07 18:50:02</t>
  </si>
  <si>
    <t>人一闲下来满脑子都是才华</t>
  </si>
  <si>
    <t xml:space="preserve"> 2020-02-08 05:22:01</t>
  </si>
  <si>
    <t xml:space="preserve"> 2020-02-07 20:50:01</t>
  </si>
  <si>
    <t>广东学校2月底前不开学</t>
  </si>
  <si>
    <t xml:space="preserve"> 2020-02-08 07:32:02</t>
  </si>
  <si>
    <t xml:space="preserve"> 2020-02-07 17:38:02</t>
  </si>
  <si>
    <t>吃过最奇葩的汤圆</t>
  </si>
  <si>
    <t xml:space="preserve"> 2020-02-08 07:22:02</t>
  </si>
  <si>
    <t xml:space="preserve"> 2020-02-07 20:08:02</t>
  </si>
  <si>
    <t>火神山医院一日三餐吃什么</t>
  </si>
  <si>
    <t xml:space="preserve"> 2020-02-08 10:30:02</t>
  </si>
  <si>
    <t xml:space="preserve"> 2020-02-07 23:18:02</t>
  </si>
  <si>
    <t>羽生结弦第19次打破世界纪录</t>
  </si>
  <si>
    <t xml:space="preserve"> 2020-02-08 12:16:01</t>
  </si>
  <si>
    <t xml:space="preserve"> 2020-02-07 23:52:02</t>
  </si>
  <si>
    <t>安徽学校2月底前不开学</t>
  </si>
  <si>
    <t xml:space="preserve"> 2020-02-08 12:46:02</t>
  </si>
  <si>
    <t xml:space="preserve"> 2020-02-07 23:56:02</t>
  </si>
  <si>
    <t>东京奥运不会因疫情取消</t>
  </si>
  <si>
    <t xml:space="preserve"> 2020-02-08 09:50:01</t>
  </si>
  <si>
    <t>返工潮如何做好防护</t>
  </si>
  <si>
    <t xml:space="preserve"> 2020-02-08 09:42:02</t>
  </si>
  <si>
    <t xml:space="preserve"> 2020-02-08 00:00:02</t>
  </si>
  <si>
    <t>武汉市将配合调查组调查李文亮事件</t>
  </si>
  <si>
    <t xml:space="preserve"> 2020-02-08 12:32:01</t>
  </si>
  <si>
    <t>教育部要求严格管控学校校门</t>
  </si>
  <si>
    <t xml:space="preserve"> 2020-02-08 08:14:02</t>
  </si>
  <si>
    <t xml:space="preserve"> 2020-02-08 00:04:02</t>
  </si>
  <si>
    <t>雷神山12天建设全纪录</t>
  </si>
  <si>
    <t xml:space="preserve"> 2020-02-08 07:20:02</t>
  </si>
  <si>
    <t xml:space="preserve"> 2020-02-07 20:00:02</t>
  </si>
  <si>
    <t>哭泣的胡明医生笑了</t>
  </si>
  <si>
    <t xml:space="preserve"> 2020-02-08 08:34:01</t>
  </si>
  <si>
    <t xml:space="preserve"> 2020-02-07 18:28:01</t>
  </si>
  <si>
    <t>楼下老板实行闭门营业</t>
  </si>
  <si>
    <t xml:space="preserve"> 2020-02-07 17:26:01</t>
  </si>
  <si>
    <t>南京抗疫医生徐辉离世</t>
  </si>
  <si>
    <t xml:space="preserve"> 2020-02-08 00:10:02</t>
  </si>
  <si>
    <t>武汉市民献花悼念李文亮</t>
  </si>
  <si>
    <t xml:space="preserve"> 2020-02-08 18:36:01</t>
  </si>
  <si>
    <t xml:space="preserve"> 2020-02-08 10:28:01</t>
  </si>
  <si>
    <t>出现咽拭子核酸检测三阴感染者</t>
  </si>
  <si>
    <t xml:space="preserve"> 2020-02-08 21:44:02</t>
  </si>
  <si>
    <t xml:space="preserve"> 2020-02-08 11:02:01</t>
  </si>
  <si>
    <t>王贺胜任湖北省委常委</t>
  </si>
  <si>
    <t xml:space="preserve"> 2020-02-08 17:22:02</t>
  </si>
  <si>
    <t xml:space="preserve"> 2020-02-08 10:22:02</t>
  </si>
  <si>
    <t>口罩和呼吸器全球储备不足</t>
  </si>
  <si>
    <t xml:space="preserve"> 2020-02-08 15:40:01</t>
  </si>
  <si>
    <t xml:space="preserve"> 2020-02-08 07:34:02</t>
  </si>
  <si>
    <t>黑龙江1只N95换5只一次性医用口罩</t>
  </si>
  <si>
    <t xml:space="preserve"> 2020-02-08 15:26:02</t>
  </si>
  <si>
    <t xml:space="preserve"> 2020-02-08 09:36:02</t>
  </si>
  <si>
    <t>对滞留省外的武汉市民启动返汉安排</t>
  </si>
  <si>
    <t xml:space="preserve"> 2020-02-08 08:40:02</t>
  </si>
  <si>
    <t>科比坠机事故初步报告</t>
  </si>
  <si>
    <t xml:space="preserve"> 2020-02-08 16:04:02</t>
  </si>
  <si>
    <t xml:space="preserve"> 2020-02-08 08:30:02</t>
  </si>
  <si>
    <t>全国累计确诊新型肺炎34546例</t>
  </si>
  <si>
    <t xml:space="preserve"> 2020-02-08 14:26:02</t>
  </si>
  <si>
    <t xml:space="preserve"> 2020-02-08 09:52:02</t>
  </si>
  <si>
    <t>公安部交管局 尽快恢复正常通行</t>
  </si>
  <si>
    <t xml:space="preserve"> 2020-02-09 06:50:01</t>
  </si>
  <si>
    <t xml:space="preserve"> 2020-02-08 07:16:01</t>
  </si>
  <si>
    <t>元宵节</t>
  </si>
  <si>
    <t xml:space="preserve"> 2020-02-09 10:16:02</t>
  </si>
  <si>
    <t xml:space="preserve"> 2020-02-08 11:48:01</t>
  </si>
  <si>
    <t>汤圆</t>
  </si>
  <si>
    <t xml:space="preserve"> 2020-02-08 16:22:02</t>
  </si>
  <si>
    <t>湖北以外地区新增病例连降四天</t>
  </si>
  <si>
    <t xml:space="preserve"> 2020-02-08 17:26:01</t>
  </si>
  <si>
    <t xml:space="preserve"> 2020-02-08 11:54:01</t>
  </si>
  <si>
    <t>当前湖北疫情呈现城市向农村蔓延态势</t>
  </si>
  <si>
    <t xml:space="preserve"> 2020-02-08 14:44:01</t>
  </si>
  <si>
    <t xml:space="preserve"> 2020-02-08 10:04:01</t>
  </si>
  <si>
    <t>医用口罩日产量超1400万只</t>
  </si>
  <si>
    <t xml:space="preserve"> 2020-03-30 09:08:02</t>
  </si>
  <si>
    <t xml:space="preserve"> 2019-11-21 20:14:02</t>
  </si>
  <si>
    <t>唐嫣</t>
  </si>
  <si>
    <t xml:space="preserve"> 2020-02-08 20:38:02</t>
  </si>
  <si>
    <t>苹果被罚款2500万欧元</t>
  </si>
  <si>
    <t xml:space="preserve"> 2020-02-08 20:36:01</t>
  </si>
  <si>
    <t>当老师适应了直播</t>
  </si>
  <si>
    <t xml:space="preserve"> 2020-02-08 15:58:02</t>
  </si>
  <si>
    <t xml:space="preserve"> 2020-02-08 11:14:02</t>
  </si>
  <si>
    <t>北京现第2例死亡病例</t>
  </si>
  <si>
    <t xml:space="preserve"> 2020-02-08 17:48:01</t>
  </si>
  <si>
    <t>危重病人拔管后紧拉医生的手</t>
  </si>
  <si>
    <t xml:space="preserve"> 2020-02-08 19:24:01</t>
  </si>
  <si>
    <t xml:space="preserve"> 2020-02-08 10:50:02</t>
  </si>
  <si>
    <t>王源煎牛排</t>
  </si>
  <si>
    <t xml:space="preserve"> 2020-02-08 19:48:02</t>
  </si>
  <si>
    <t>黄霄云奇袭毛不易</t>
  </si>
  <si>
    <t xml:space="preserve"> 2020-02-09 10:22:02</t>
  </si>
  <si>
    <t xml:space="preserve"> 2020-02-08 11:20:01</t>
  </si>
  <si>
    <t>陈一新</t>
  </si>
  <si>
    <t xml:space="preserve"> 2020-02-08 18:34:01</t>
  </si>
  <si>
    <t>父母回忆李文亮</t>
  </si>
  <si>
    <t xml:space="preserve"> 2020-02-08 15:02:02</t>
  </si>
  <si>
    <t>90后女孩建群为医生搭驿站</t>
  </si>
  <si>
    <t xml:space="preserve"> 2020-02-09 01:00:02</t>
  </si>
  <si>
    <t xml:space="preserve"> 2020-02-08 10:36:02</t>
  </si>
  <si>
    <t>李宇春肖战 岁岁平安</t>
  </si>
  <si>
    <t xml:space="preserve"> 2020-02-08 19:32:02</t>
  </si>
  <si>
    <t xml:space="preserve"> 2020-02-08 11:58:01</t>
  </si>
  <si>
    <t>北野武再婚</t>
  </si>
  <si>
    <t xml:space="preserve"> 2020-02-08 15:36:02</t>
  </si>
  <si>
    <t xml:space="preserve"> 2020-02-08 08:10:02</t>
  </si>
  <si>
    <t>甄姬新皮肤</t>
  </si>
  <si>
    <t xml:space="preserve"> 2020-02-08 17:10:02</t>
  </si>
  <si>
    <t xml:space="preserve"> 2020-02-08 07:56:02</t>
  </si>
  <si>
    <t>现在恋爱见一面真难</t>
  </si>
  <si>
    <t xml:space="preserve"> 2020-02-08 13:44:01</t>
  </si>
  <si>
    <t xml:space="preserve"> 2020-02-08 10:02:02</t>
  </si>
  <si>
    <t>医生感染新冠病毒自拍讲述抗争过程</t>
  </si>
  <si>
    <t xml:space="preserve"> 2020-02-08 16:28:02</t>
  </si>
  <si>
    <t xml:space="preserve"> 2020-02-08 08:16:02</t>
  </si>
  <si>
    <t>山东四川医疗队机场偶遇互道加油</t>
  </si>
  <si>
    <t xml:space="preserve"> 2020-02-08 14:58:01</t>
  </si>
  <si>
    <t xml:space="preserve"> 2020-02-08 09:14:01</t>
  </si>
  <si>
    <t>被鉴玉耽误的段子手</t>
  </si>
  <si>
    <t xml:space="preserve"> 2020-02-08 13:42:01</t>
  </si>
  <si>
    <t xml:space="preserve"> 2020-02-08 09:00:02</t>
  </si>
  <si>
    <t>中国船员讲述在日邮轮隔离</t>
  </si>
  <si>
    <t xml:space="preserve"> 2020-02-08 17:12:02</t>
  </si>
  <si>
    <t>上网课有多难</t>
  </si>
  <si>
    <t xml:space="preserve"> 2020-02-08 13:54:02</t>
  </si>
  <si>
    <t xml:space="preserve"> 2020-02-08 10:08:01</t>
  </si>
  <si>
    <t>江苏新增31例新型肺炎</t>
  </si>
  <si>
    <t xml:space="preserve"> 2020-02-08 13:12:01</t>
  </si>
  <si>
    <t>赣服通</t>
  </si>
  <si>
    <t>适合元宵节发朋友圈的句子</t>
  </si>
  <si>
    <t xml:space="preserve"> 2020-02-08 13:06:01</t>
  </si>
  <si>
    <t>解放军顺利运送285吨生活物资</t>
  </si>
  <si>
    <t xml:space="preserve"> 2020-02-08 19:00:02</t>
  </si>
  <si>
    <t xml:space="preserve"> 2020-02-08 12:00:02</t>
  </si>
  <si>
    <t>钟南山学生带队驰援武汉</t>
  </si>
  <si>
    <t xml:space="preserve"> 2020-02-08 10:38:02</t>
  </si>
  <si>
    <t>元宵节图片</t>
  </si>
  <si>
    <t xml:space="preserve"> 2020-02-08 12:54:02</t>
  </si>
  <si>
    <t xml:space="preserve"> 2020-02-08 09:40:02</t>
  </si>
  <si>
    <t>浙江新增42例新型肺炎</t>
  </si>
  <si>
    <t xml:space="preserve"> 2020-02-08 13:38:01</t>
  </si>
  <si>
    <t>扶贫办挂牌督战贫困县全部摘帽</t>
  </si>
  <si>
    <t xml:space="preserve"> 2020-02-08 09:28:01</t>
  </si>
  <si>
    <t>湖北省委党校新校区改造为定点医疗点</t>
  </si>
  <si>
    <t xml:space="preserve"> 2020-02-09 10:26:01</t>
  </si>
  <si>
    <t xml:space="preserve"> 2020-02-08 18:54:02</t>
  </si>
  <si>
    <t>延迟复工工资发放新政策</t>
  </si>
  <si>
    <t xml:space="preserve"> 2020-02-09 10:42:02</t>
  </si>
  <si>
    <t xml:space="preserve"> 2020-02-08 21:34:02</t>
  </si>
  <si>
    <t>中央赴湖北指导组要求应收尽收</t>
  </si>
  <si>
    <t xml:space="preserve"> 2020-02-09 07:30:02</t>
  </si>
  <si>
    <t xml:space="preserve"> 2020-02-08 20:52:01</t>
  </si>
  <si>
    <t>央视诗朗诵太感人了</t>
  </si>
  <si>
    <t xml:space="preserve"> 2020-02-09 13:24:01</t>
  </si>
  <si>
    <t xml:space="preserve"> 2020-02-08 21:06:02</t>
  </si>
  <si>
    <t>凤凰传奇只有玲花</t>
  </si>
  <si>
    <t xml:space="preserve"> 2020-02-09 08:30:01</t>
  </si>
  <si>
    <t xml:space="preserve"> 2020-02-08 21:04:02</t>
  </si>
  <si>
    <t>泰国枪击案</t>
  </si>
  <si>
    <t xml:space="preserve"> 2020-02-09 13:08:01</t>
  </si>
  <si>
    <t xml:space="preserve"> 2020-02-08 23:42:01</t>
  </si>
  <si>
    <t>王耀庆配音</t>
  </si>
  <si>
    <t xml:space="preserve"> 2020-02-09 12:36:01</t>
  </si>
  <si>
    <t xml:space="preserve"> 2020-02-08 21:46:02</t>
  </si>
  <si>
    <t>凯丽带着哭腔朗诵</t>
  </si>
  <si>
    <t xml:space="preserve"> 2020-02-09 10:30:02</t>
  </si>
  <si>
    <t xml:space="preserve"> 2020-02-08 20:48:02</t>
  </si>
  <si>
    <t>央视元宵节目主持人</t>
  </si>
  <si>
    <t xml:space="preserve"> 2020-02-09 07:20:02</t>
  </si>
  <si>
    <t>近期12315举报45%是口罩乱涨价</t>
  </si>
  <si>
    <t xml:space="preserve"> 2020-02-09 10:18:01</t>
  </si>
  <si>
    <t xml:space="preserve"> 2020-02-08 21:16:02</t>
  </si>
  <si>
    <t>你为什么感动又为什么彻夜难眠</t>
  </si>
  <si>
    <t xml:space="preserve"> 2020-02-09 12:24:02</t>
  </si>
  <si>
    <t xml:space="preserve"> 2020-02-08 22:46:02</t>
  </si>
  <si>
    <t>崔智友客串爱的迫降</t>
  </si>
  <si>
    <t xml:space="preserve"> 2020-02-09 14:38:02</t>
  </si>
  <si>
    <t xml:space="preserve"> 2020-02-08 21:30:01</t>
  </si>
  <si>
    <t>湖北整治6类形式主义官僚主义问题</t>
  </si>
  <si>
    <t xml:space="preserve"> 2020-02-09 11:20:01</t>
  </si>
  <si>
    <t xml:space="preserve"> 2020-02-08 20:24:02</t>
  </si>
  <si>
    <t>央视元宵特别节目</t>
  </si>
  <si>
    <t xml:space="preserve"> 2020-02-09 08:40:01</t>
  </si>
  <si>
    <t xml:space="preserve"> 2020-02-08 17:44:02</t>
  </si>
  <si>
    <t>李文亮妻子声明</t>
  </si>
  <si>
    <t xml:space="preserve"> 2020-02-09 08:58:02</t>
  </si>
  <si>
    <t xml:space="preserve"> 2020-02-08 23:34:02</t>
  </si>
  <si>
    <t>对医疗资源有断供风险地区点对点调度</t>
  </si>
  <si>
    <t xml:space="preserve"> 2020-02-09 13:48:02</t>
  </si>
  <si>
    <t xml:space="preserve"> 2020-02-08 22:26:02</t>
  </si>
  <si>
    <t>湖南卫视主持人撑起一台晚会</t>
  </si>
  <si>
    <t xml:space="preserve"> 2020-02-09 13:28:01</t>
  </si>
  <si>
    <t xml:space="preserve"> 2020-02-08 22:44:02</t>
  </si>
  <si>
    <t>黄景瑜体重</t>
  </si>
  <si>
    <t xml:space="preserve"> 2020-02-09 08:14:02</t>
  </si>
  <si>
    <t xml:space="preserve"> 2020-02-08 19:54:01</t>
  </si>
  <si>
    <t>小红书崩了</t>
  </si>
  <si>
    <t xml:space="preserve"> 2020-02-09 13:18:02</t>
  </si>
  <si>
    <t xml:space="preserve"> 2020-02-08 22:24:02</t>
  </si>
  <si>
    <t>姚明笑了</t>
  </si>
  <si>
    <t xml:space="preserve"> 2020-02-09 12:54:02</t>
  </si>
  <si>
    <t xml:space="preserve"> 2020-02-08 21:58:02</t>
  </si>
  <si>
    <t>白浅大婚</t>
  </si>
  <si>
    <t xml:space="preserve"> 2020-02-09 12:34:01</t>
  </si>
  <si>
    <t xml:space="preserve"> 2020-02-08 21:48:01</t>
  </si>
  <si>
    <t>陶红</t>
  </si>
  <si>
    <t xml:space="preserve"> 2020-04-08 20:46:02</t>
  </si>
  <si>
    <t xml:space="preserve"> 2019-11-28 19:08:02</t>
  </si>
  <si>
    <t>月亮</t>
  </si>
  <si>
    <t xml:space="preserve"> 2020-02-09 08:34:02</t>
  </si>
  <si>
    <t>湖南卫视弹幕观众席</t>
  </si>
  <si>
    <t xml:space="preserve"> 2020-03-27 11:44:02</t>
  </si>
  <si>
    <t xml:space="preserve"> 2019-11-28 21:14:02</t>
  </si>
  <si>
    <t>李佳琦直播</t>
  </si>
  <si>
    <t xml:space="preserve"> 2020-02-09 10:40:02</t>
  </si>
  <si>
    <t xml:space="preserve"> 2020-02-08 21:26:02</t>
  </si>
  <si>
    <t>陈道明的声音</t>
  </si>
  <si>
    <t xml:space="preserve"> 2020-02-09 10:20:02</t>
  </si>
  <si>
    <t xml:space="preserve"> 2020-02-08 18:38:01</t>
  </si>
  <si>
    <t>新冠肺炎患者产下男婴取名小汤圆</t>
  </si>
  <si>
    <t xml:space="preserve"> 2020-02-09 10:54:02</t>
  </si>
  <si>
    <t>新冠肺炎人人易感</t>
  </si>
  <si>
    <t xml:space="preserve"> 2020-02-09 09:24:01</t>
  </si>
  <si>
    <t>一美国公民死于新冠肺炎</t>
  </si>
  <si>
    <t xml:space="preserve"> 2020-02-09 12:48:01</t>
  </si>
  <si>
    <t xml:space="preserve"> 2020-02-08 21:20:01</t>
  </si>
  <si>
    <t>湖南元宵晚会有大傻</t>
  </si>
  <si>
    <t xml:space="preserve"> 2020-02-09 13:10:01</t>
  </si>
  <si>
    <t>隋文静韩聪夺冠</t>
  </si>
  <si>
    <t xml:space="preserve"> 2020-02-09 08:36:02</t>
  </si>
  <si>
    <t xml:space="preserve"> 2020-02-08 22:42:01</t>
  </si>
  <si>
    <t>防护服产量有增加但仍有缺口</t>
  </si>
  <si>
    <t xml:space="preserve"> 2020-02-09 11:42:01</t>
  </si>
  <si>
    <t xml:space="preserve"> 2020-02-08 23:16:02</t>
  </si>
  <si>
    <t>任子威夺冠</t>
  </si>
  <si>
    <t xml:space="preserve"> 2020-02-09 11:44:01</t>
  </si>
  <si>
    <t xml:space="preserve"> 2020-02-08 20:32:01</t>
  </si>
  <si>
    <t>张新成的汉阳门花园 催泪</t>
  </si>
  <si>
    <t xml:space="preserve"> 2020-02-09 07:58:01</t>
  </si>
  <si>
    <t>上海虹桥枢纽</t>
  </si>
  <si>
    <t xml:space="preserve"> 2020-02-09 10:10:02</t>
  </si>
  <si>
    <t xml:space="preserve"> 2020-02-08 21:08:02</t>
  </si>
  <si>
    <t>天耀中华</t>
  </si>
  <si>
    <t xml:space="preserve"> 2020-02-09 09:28:01</t>
  </si>
  <si>
    <t xml:space="preserve"> 2020-02-08 20:34:02</t>
  </si>
  <si>
    <t>武汉儿童医院普诊全部停诊</t>
  </si>
  <si>
    <t xml:space="preserve"> 2020-02-09 07:14:02</t>
  </si>
  <si>
    <t xml:space="preserve"> 2020-02-08 19:26:01</t>
  </si>
  <si>
    <t>元宵节晚会</t>
  </si>
  <si>
    <t xml:space="preserve"> 2020-02-09 09:38:01</t>
  </si>
  <si>
    <t xml:space="preserve"> 2020-02-08 17:40:02</t>
  </si>
  <si>
    <t>一次性口罩能否重复使用</t>
  </si>
  <si>
    <t xml:space="preserve"> 2020-02-09 07:40:02</t>
  </si>
  <si>
    <t xml:space="preserve"> 2020-02-08 20:20:02</t>
  </si>
  <si>
    <t>湖南卫视元宵晚会</t>
  </si>
  <si>
    <t xml:space="preserve"> 2020-02-09 11:50:01</t>
  </si>
  <si>
    <t>透解祛瘟颗粒获批临床使用</t>
  </si>
  <si>
    <t xml:space="preserve"> 2020-02-10 08:08:02</t>
  </si>
  <si>
    <t xml:space="preserve"> 2020-02-08 23:26:01</t>
  </si>
  <si>
    <t>爱的迫降预告</t>
  </si>
  <si>
    <t xml:space="preserve"> 2020-02-09 05:12:02</t>
  </si>
  <si>
    <t>内蒙古一确诊患者隐瞒行程被立案</t>
  </si>
  <si>
    <t xml:space="preserve"> 2020-02-09 03:02:02</t>
  </si>
  <si>
    <t xml:space="preserve"> 2020-02-08 19:52:01</t>
  </si>
  <si>
    <t>马嘉祺宋亚轩去李飞办公室舞狮子</t>
  </si>
  <si>
    <t xml:space="preserve"> 2020-02-09 08:46:02</t>
  </si>
  <si>
    <t xml:space="preserve"> 2020-02-08 15:28:02</t>
  </si>
  <si>
    <t>新冠肺炎传播途径包括气溶胶传播</t>
  </si>
  <si>
    <t xml:space="preserve"> 2020-02-09 08:48:02</t>
  </si>
  <si>
    <t>出征</t>
  </si>
  <si>
    <t xml:space="preserve"> 2020-02-09 13:12:01</t>
  </si>
  <si>
    <t xml:space="preserve"> 2020-02-08 21:28:01</t>
  </si>
  <si>
    <t>中国女篮进军东京奥运会</t>
  </si>
  <si>
    <t xml:space="preserve"> 2020-02-09 12:58:02</t>
  </si>
  <si>
    <t xml:space="preserve"> 2020-02-09 10:44:02</t>
  </si>
  <si>
    <t>北京公职人员不得戴N95医用口罩</t>
  </si>
  <si>
    <t xml:space="preserve"> 2020-02-09 19:38:01</t>
  </si>
  <si>
    <t xml:space="preserve"> 2020-02-09 11:38:02</t>
  </si>
  <si>
    <t>医疗界四大天团会师武汉</t>
  </si>
  <si>
    <t xml:space="preserve"> 2020-02-09 17:20:02</t>
  </si>
  <si>
    <t>童朝晖 新冠肺炎愈后6个月内不会再得</t>
  </si>
  <si>
    <t xml:space="preserve"> 2020-02-09 16:48:02</t>
  </si>
  <si>
    <t xml:space="preserve"> 2020-02-09 09:30:02</t>
  </si>
  <si>
    <t>患者隐瞒病情失去最佳治疗机会去世</t>
  </si>
  <si>
    <t xml:space="preserve"> 2020-02-09 16:16:02</t>
  </si>
  <si>
    <t xml:space="preserve"> 2020-02-09 07:32:02</t>
  </si>
  <si>
    <t>上海虹桥枢纽已发现体温异常101人</t>
  </si>
  <si>
    <t xml:space="preserve"> 2020-02-09 14:58:01</t>
  </si>
  <si>
    <t>蒋超良 两天内检测完武汉所有疑似患者</t>
  </si>
  <si>
    <t xml:space="preserve"> 2020-02-09 15:06:02</t>
  </si>
  <si>
    <t xml:space="preserve"> 2020-02-09 07:22:01</t>
  </si>
  <si>
    <t>空无一人的观众席</t>
  </si>
  <si>
    <t xml:space="preserve"> 2020-02-09 16:26:01</t>
  </si>
  <si>
    <t xml:space="preserve"> 2020-02-09 08:38:02</t>
  </si>
  <si>
    <t>全国累计确诊新冠肺炎37198例</t>
  </si>
  <si>
    <t xml:space="preserve"> 2020-02-09 15:44:02</t>
  </si>
  <si>
    <t xml:space="preserve"> 2020-02-09 10:24:02</t>
  </si>
  <si>
    <t>女篮两连胜后大喊武汉加油</t>
  </si>
  <si>
    <t xml:space="preserve"> 2020-02-09 16:38:02</t>
  </si>
  <si>
    <t xml:space="preserve"> 2020-02-09 11:06:02</t>
  </si>
  <si>
    <t>泰国枪击案凶手被击毙</t>
  </si>
  <si>
    <t xml:space="preserve"> 2020-02-09 15:46:02</t>
  </si>
  <si>
    <t xml:space="preserve"> 2020-02-09 10:48:02</t>
  </si>
  <si>
    <t>泰国枪击案致25死34伤</t>
  </si>
  <si>
    <t xml:space="preserve"> 2020-02-09 15:20:02</t>
  </si>
  <si>
    <t xml:space="preserve"> 2020-02-09 11:46:01</t>
  </si>
  <si>
    <t>疾控中心专家回应气溶胶传播</t>
  </si>
  <si>
    <t xml:space="preserve"> 2020-02-09 14:40:01</t>
  </si>
  <si>
    <t xml:space="preserve"> 2020-02-09 10:34:02</t>
  </si>
  <si>
    <t>重点医疗防护物资政府兜底采购收储</t>
  </si>
  <si>
    <t xml:space="preserve"> 2020-02-09 18:00:02</t>
  </si>
  <si>
    <t xml:space="preserve"> 2020-02-09 10:58:02</t>
  </si>
  <si>
    <t>小汤圆首次核酸测试结果</t>
  </si>
  <si>
    <t xml:space="preserve"> 2020-02-09 17:00:01</t>
  </si>
  <si>
    <t xml:space="preserve"> 2020-02-09 10:28:01</t>
  </si>
  <si>
    <t>一线护士错过亲人求助电话</t>
  </si>
  <si>
    <t xml:space="preserve"> 2020-02-09 15:04:02</t>
  </si>
  <si>
    <t>英国爷爷记录疫情邮轮隔离日常</t>
  </si>
  <si>
    <t xml:space="preserve"> 2020-02-09 13:42:01</t>
  </si>
  <si>
    <t xml:space="preserve"> 2020-02-09 11:36:02</t>
  </si>
  <si>
    <t>维金斯勇士首秀</t>
  </si>
  <si>
    <t xml:space="preserve"> 2020-02-09 14:54:02</t>
  </si>
  <si>
    <t>66岁重症患者8天快速康复</t>
  </si>
  <si>
    <t xml:space="preserve"> 2020-03-07 17:52:02</t>
  </si>
  <si>
    <t>梨泰院CLASS</t>
  </si>
  <si>
    <t xml:space="preserve"> 2020-02-09 14:56:02</t>
  </si>
  <si>
    <t xml:space="preserve"> 2020-02-09 09:20:02</t>
  </si>
  <si>
    <t>少林寺海外采购百万口罩驰援家乡</t>
  </si>
  <si>
    <t xml:space="preserve"> 2020-02-09 16:08:02</t>
  </si>
  <si>
    <t xml:space="preserve"> 2020-02-09 11:24:02</t>
  </si>
  <si>
    <t>重症患者出院后被立案调查</t>
  </si>
  <si>
    <t xml:space="preserve"> 2020-02-09 15:16:01</t>
  </si>
  <si>
    <t xml:space="preserve"> 2020-02-09 08:50:02</t>
  </si>
  <si>
    <t>AYLA</t>
  </si>
  <si>
    <t xml:space="preserve"> 2020-02-09 15:48:01</t>
  </si>
  <si>
    <t xml:space="preserve"> 2020-02-09 07:42:02</t>
  </si>
  <si>
    <t>火神山医院开微博</t>
  </si>
  <si>
    <t xml:space="preserve"> 2020-02-09 14:20:01</t>
  </si>
  <si>
    <t xml:space="preserve"> 2020-02-09 09:26:01</t>
  </si>
  <si>
    <t>河南累计确诊病例超千例</t>
  </si>
  <si>
    <t xml:space="preserve"> 2020-02-09 14:00:02</t>
  </si>
  <si>
    <t xml:space="preserve"> 2020-02-09 08:24:01</t>
  </si>
  <si>
    <t>乐翡</t>
  </si>
  <si>
    <t xml:space="preserve"> 2020-02-09 13:50:02</t>
  </si>
  <si>
    <t xml:space="preserve"> 2020-02-09 08:16:01</t>
  </si>
  <si>
    <t>返岗后需要开会怎么办</t>
  </si>
  <si>
    <t xml:space="preserve"> 2020-02-09 13:36:01</t>
  </si>
  <si>
    <t xml:space="preserve"> 2020-02-09 09:32:02</t>
  </si>
  <si>
    <t>安徽首例死亡病例</t>
  </si>
  <si>
    <t xml:space="preserve"> 2020-02-09 12:22:02</t>
  </si>
  <si>
    <t>湖北新增2147例新冠肺炎</t>
  </si>
  <si>
    <t xml:space="preserve"> 2020-02-09 13:00:02</t>
  </si>
  <si>
    <t xml:space="preserve"> 2020-02-09 08:28:01</t>
  </si>
  <si>
    <t>医护当半岁确诊患儿临时妈妈</t>
  </si>
  <si>
    <t>医疗队1小时自愿报名完成</t>
  </si>
  <si>
    <t xml:space="preserve"> 2020-02-09 07:16:01</t>
  </si>
  <si>
    <t>疫情结束后你的新目标</t>
  </si>
  <si>
    <t xml:space="preserve"> 2020-02-09 14:12:02</t>
  </si>
  <si>
    <t xml:space="preserve"> 2020-02-09 12:04:02</t>
  </si>
  <si>
    <t>山东新增19例新冠肺炎</t>
  </si>
  <si>
    <t xml:space="preserve"> 2020-02-10 09:34:02</t>
  </si>
  <si>
    <t xml:space="preserve"> 2020-02-09 22:24:01</t>
  </si>
  <si>
    <t>78%人类新发传染病与野生动物有关</t>
  </si>
  <si>
    <t xml:space="preserve"> 2020-02-10 09:58:01</t>
  </si>
  <si>
    <t xml:space="preserve"> 2020-02-09 22:44:01</t>
  </si>
  <si>
    <t>红十字会总会赴武汉工作组</t>
  </si>
  <si>
    <t xml:space="preserve"> 2020-02-10 09:48:01</t>
  </si>
  <si>
    <t xml:space="preserve"> 2020-02-09 23:02:02</t>
  </si>
  <si>
    <t>新增治愈连续10天超新增死亡病例</t>
  </si>
  <si>
    <t xml:space="preserve"> 2020-02-10 09:32:02</t>
  </si>
  <si>
    <t xml:space="preserve"> 2020-02-09 21:08:02</t>
  </si>
  <si>
    <t>宋雪三观</t>
  </si>
  <si>
    <t xml:space="preserve"> 2020-02-10 10:32:01</t>
  </si>
  <si>
    <t xml:space="preserve"> 2020-02-09 23:24:01</t>
  </si>
  <si>
    <t>被陈韵如气到</t>
  </si>
  <si>
    <t xml:space="preserve"> 2020-02-10 10:24:02</t>
  </si>
  <si>
    <t xml:space="preserve"> 2020-02-09 23:30:02</t>
  </si>
  <si>
    <t>湖北确保未收治患者人数清零</t>
  </si>
  <si>
    <t xml:space="preserve"> 2020-02-10 09:18:02</t>
  </si>
  <si>
    <t xml:space="preserve"> 2020-02-09 18:28:02</t>
  </si>
  <si>
    <t>一确诊病例20多天体温无异常</t>
  </si>
  <si>
    <t xml:space="preserve"> 2020-02-10 10:10:02</t>
  </si>
  <si>
    <t xml:space="preserve"> 2020-02-09 19:06:02</t>
  </si>
  <si>
    <t>豆豆先生在武汉为中国加油</t>
  </si>
  <si>
    <t xml:space="preserve"> 2020-02-10 10:40:02</t>
  </si>
  <si>
    <t xml:space="preserve"> 2020-02-09 20:46:02</t>
  </si>
  <si>
    <t>铁林太气人了</t>
  </si>
  <si>
    <t xml:space="preserve"> 2020-02-10 08:18:01</t>
  </si>
  <si>
    <t xml:space="preserve"> 2020-02-09 17:38:01</t>
  </si>
  <si>
    <t>安以轩</t>
  </si>
  <si>
    <t xml:space="preserve"> 2020-02-09 20:30:01</t>
  </si>
  <si>
    <t>日本女孩鞠躬为武汉募捐</t>
  </si>
  <si>
    <t xml:space="preserve"> 2020-02-10 07:20:02</t>
  </si>
  <si>
    <t xml:space="preserve"> 2020-02-09 17:56:02</t>
  </si>
  <si>
    <t>湖北司机被困高速一周</t>
  </si>
  <si>
    <t xml:space="preserve"> 2020-02-10 11:16:01</t>
  </si>
  <si>
    <t xml:space="preserve"> 2020-02-09 21:44:01</t>
  </si>
  <si>
    <t>沈凡凡出轨</t>
  </si>
  <si>
    <t xml:space="preserve"> 2020-02-10 11:06:02</t>
  </si>
  <si>
    <t xml:space="preserve"> 2020-02-09 22:40:01</t>
  </si>
  <si>
    <t>吉娜的腰</t>
  </si>
  <si>
    <t xml:space="preserve"> 2020-02-10 09:46:01</t>
  </si>
  <si>
    <t xml:space="preserve"> 2020-02-09 23:44:01</t>
  </si>
  <si>
    <t>北京不得拒招解聘疫情严重地区人员</t>
  </si>
  <si>
    <t xml:space="preserve"> 2020-02-10 08:58:02</t>
  </si>
  <si>
    <t xml:space="preserve"> 2020-02-09 21:00:02</t>
  </si>
  <si>
    <t>中国女篮击败韩国女篮</t>
  </si>
  <si>
    <t xml:space="preserve"> 2020-02-10 10:56:02</t>
  </si>
  <si>
    <t xml:space="preserve"> 2020-02-09 22:28:01</t>
  </si>
  <si>
    <t>贺灿阳蔡敏敏太甜了</t>
  </si>
  <si>
    <t xml:space="preserve"> 2020-02-10 09:38:02</t>
  </si>
  <si>
    <t xml:space="preserve"> 2020-02-09 23:26:01</t>
  </si>
  <si>
    <t>时间真的能治愈一切吗</t>
  </si>
  <si>
    <t xml:space="preserve"> 2020-02-10 10:12:01</t>
  </si>
  <si>
    <t xml:space="preserve"> 2020-02-09 21:40:01</t>
  </si>
  <si>
    <t>即将复工的我</t>
  </si>
  <si>
    <t xml:space="preserve"> 2020-02-10 10:06:02</t>
  </si>
  <si>
    <t xml:space="preserve"> 2020-02-09 22:52:02</t>
  </si>
  <si>
    <t>王俊凯 百里昊和</t>
  </si>
  <si>
    <t xml:space="preserve"> 2020-02-10 08:54:01</t>
  </si>
  <si>
    <t xml:space="preserve"> 2019-11-08 08:24:01</t>
  </si>
  <si>
    <t>武磊替补</t>
  </si>
  <si>
    <t xml:space="preserve"> 2020-02-10 10:00:02</t>
  </si>
  <si>
    <t xml:space="preserve"> 2020-02-09 20:04:01</t>
  </si>
  <si>
    <t>寒假作业被我妈炒菜了</t>
  </si>
  <si>
    <t xml:space="preserve"> 2020-02-09 21:36:01</t>
  </si>
  <si>
    <t>官方回应发热主动就诊奖1000元</t>
  </si>
  <si>
    <t xml:space="preserve"> 2020-02-10 09:22:02</t>
  </si>
  <si>
    <t xml:space="preserve"> 2020-02-09 21:34:01</t>
  </si>
  <si>
    <t>山东出现首例死亡病例</t>
  </si>
  <si>
    <t xml:space="preserve"> 2020-02-18 07:32:02</t>
  </si>
  <si>
    <t xml:space="preserve"> 2020-02-09 21:46:01</t>
  </si>
  <si>
    <t>张鲁一演技</t>
  </si>
  <si>
    <t xml:space="preserve"> 2020-02-10 08:28:02</t>
  </si>
  <si>
    <t xml:space="preserve"> 2020-02-09 22:16:02</t>
  </si>
  <si>
    <t>粪口传播是可控的</t>
  </si>
  <si>
    <t xml:space="preserve"> 2020-02-10 07:30:02</t>
  </si>
  <si>
    <t>许光汉 聊天室</t>
  </si>
  <si>
    <t xml:space="preserve"> 2020-02-09 20:52:02</t>
  </si>
  <si>
    <t>物业不让医务人员进小区被责令纠正</t>
  </si>
  <si>
    <t xml:space="preserve"> 2020-02-10 09:28:01</t>
  </si>
  <si>
    <t xml:space="preserve"> 2020-02-09 19:44:02</t>
  </si>
  <si>
    <t>武汉一女子疑向门把手吐口水</t>
  </si>
  <si>
    <t xml:space="preserve"> 2020-02-10 01:18:02</t>
  </si>
  <si>
    <t xml:space="preserve"> 2020-02-09 17:16:02</t>
  </si>
  <si>
    <t>空气中一般不会有新冠病毒</t>
  </si>
  <si>
    <t xml:space="preserve"> 2020-02-10 08:50:01</t>
  </si>
  <si>
    <t xml:space="preserve"> 2020-02-09 17:54:02</t>
  </si>
  <si>
    <t>奈良小鹿饿得开始吃草</t>
  </si>
  <si>
    <t xml:space="preserve"> 2020-02-10 07:50:02</t>
  </si>
  <si>
    <t xml:space="preserve"> 2020-02-09 16:12:02</t>
  </si>
  <si>
    <t>谭松韵方声明</t>
  </si>
  <si>
    <t xml:space="preserve"> 2020-02-10 08:36:01</t>
  </si>
  <si>
    <t xml:space="preserve"> 2020-02-09 21:30:02</t>
  </si>
  <si>
    <t>刘传健再送医疗队赴湖北</t>
  </si>
  <si>
    <t xml:space="preserve"> 2020-02-10 07:36:01</t>
  </si>
  <si>
    <t xml:space="preserve"> 2020-02-09 19:42:01</t>
  </si>
  <si>
    <t>上海医生剃卤蛋头去武汉</t>
  </si>
  <si>
    <t xml:space="preserve"> 2020-02-10 09:30:02</t>
  </si>
  <si>
    <t>上古密约</t>
  </si>
  <si>
    <t xml:space="preserve"> 2020-02-10 08:38:02</t>
  </si>
  <si>
    <t xml:space="preserve"> 2020-02-09 17:22:02</t>
  </si>
  <si>
    <t>疫情期间让你明白了什么</t>
  </si>
  <si>
    <t xml:space="preserve"> 2020-02-10 07:16:02</t>
  </si>
  <si>
    <t>想见你预告</t>
  </si>
  <si>
    <t xml:space="preserve"> 2020-02-10 05:16:01</t>
  </si>
  <si>
    <t xml:space="preserve"> 2020-02-09 20:54:02</t>
  </si>
  <si>
    <t>警方扣押8万只假3M口罩</t>
  </si>
  <si>
    <t xml:space="preserve"> 2020-02-10 08:32:02</t>
  </si>
  <si>
    <t xml:space="preserve"> 2020-02-09 19:58:01</t>
  </si>
  <si>
    <t>戴口罩能否防止气溶胶传播</t>
  </si>
  <si>
    <t xml:space="preserve"> 2020-02-09 23:46:01</t>
  </si>
  <si>
    <t>短道速滑</t>
  </si>
  <si>
    <t xml:space="preserve"> 2020-02-10 08:46:01</t>
  </si>
  <si>
    <t xml:space="preserve"> 2020-02-09 21:50:02</t>
  </si>
  <si>
    <t>田丹人设</t>
  </si>
  <si>
    <t>男子撑杆跳纪录被打破</t>
  </si>
  <si>
    <t xml:space="preserve"> 2020-02-10 01:52:02</t>
  </si>
  <si>
    <t xml:space="preserve"> 2020-02-09 13:20:02</t>
  </si>
  <si>
    <t>百名模特联名控诉维密潜规则</t>
  </si>
  <si>
    <t xml:space="preserve"> 2020-02-10 00:44:02</t>
  </si>
  <si>
    <t xml:space="preserve"> 2020-02-09 12:44:02</t>
  </si>
  <si>
    <t>延迟开学是否会影响毕业</t>
  </si>
  <si>
    <t xml:space="preserve"> 2020-02-09 15:22:02</t>
  </si>
  <si>
    <t>科比妻子晒小女儿</t>
  </si>
  <si>
    <t xml:space="preserve"> 2020-02-10 14:52:02</t>
  </si>
  <si>
    <t xml:space="preserve"> 2020-02-10 08:04:02</t>
  </si>
  <si>
    <t>全国累计确诊40171例新冠肺炎</t>
  </si>
  <si>
    <t xml:space="preserve"> 2020-02-10 15:04:02</t>
  </si>
  <si>
    <t>致84人遭隔离男子被立案侦查</t>
  </si>
  <si>
    <t xml:space="preserve"> 2020-02-10 14:58:01</t>
  </si>
  <si>
    <t xml:space="preserve"> 2020-02-10 10:42:02</t>
  </si>
  <si>
    <t>发改委专家 人口流动是SARS时6倍</t>
  </si>
  <si>
    <t xml:space="preserve"> 2020-02-10 18:22:02</t>
  </si>
  <si>
    <t>四川禽流感</t>
  </si>
  <si>
    <t xml:space="preserve"> 2020-02-10 17:46:02</t>
  </si>
  <si>
    <t xml:space="preserve"> 2020-02-10 07:22:01</t>
  </si>
  <si>
    <t>上班</t>
  </si>
  <si>
    <t xml:space="preserve"> 2020-02-10 19:44:02</t>
  </si>
  <si>
    <t xml:space="preserve"> 2020-02-10 10:14:01</t>
  </si>
  <si>
    <t>快递公司全面复工</t>
  </si>
  <si>
    <t xml:space="preserve"> 2020-02-10 14:54:02</t>
  </si>
  <si>
    <t xml:space="preserve"> 2020-02-10 09:52:02</t>
  </si>
  <si>
    <t>俄罗斯硬核隔离</t>
  </si>
  <si>
    <t xml:space="preserve"> 2020-02-10 14:24:02</t>
  </si>
  <si>
    <t xml:space="preserve"> 2020-02-10 11:00:02</t>
  </si>
  <si>
    <t>人教社免费公布全学段教材电子版</t>
  </si>
  <si>
    <t xml:space="preserve"> 2020-02-10 14:06:01</t>
  </si>
  <si>
    <t xml:space="preserve"> 2020-02-10 08:52:01</t>
  </si>
  <si>
    <t>奥斯卡</t>
  </si>
  <si>
    <t xml:space="preserve"> 2020-02-10 11:18:02</t>
  </si>
  <si>
    <t>红十字会总会要求湖北彻底整改</t>
  </si>
  <si>
    <t xml:space="preserve"> 2020-02-10 14:00:02</t>
  </si>
  <si>
    <t>酒精消毒后烤电暖气全身着火</t>
  </si>
  <si>
    <t xml:space="preserve"> 2020-02-10 18:34:02</t>
  </si>
  <si>
    <t>寄生虫 最佳原创剧本</t>
  </si>
  <si>
    <t xml:space="preserve"> 2020-02-10 13:18:02</t>
  </si>
  <si>
    <t>邻居在居家隔离还能开窗吗</t>
  </si>
  <si>
    <t xml:space="preserve"> 2020-02-10 12:40:02</t>
  </si>
  <si>
    <t xml:space="preserve"> 2020-02-10 10:18:02</t>
  </si>
  <si>
    <t>英雄机长刘传健再送战疫医疗队</t>
  </si>
  <si>
    <t xml:space="preserve"> 2020-02-10 19:42:02</t>
  </si>
  <si>
    <t xml:space="preserve"> 2020-02-10 11:24:01</t>
  </si>
  <si>
    <t>自如</t>
  </si>
  <si>
    <t xml:space="preserve"> 2020-02-10 16:16:01</t>
  </si>
  <si>
    <t xml:space="preserve"> 2020-02-10 11:04:01</t>
  </si>
  <si>
    <t>河南一医院院长拒戴口罩被停职</t>
  </si>
  <si>
    <t xml:space="preserve"> 2020-02-10 19:26:02</t>
  </si>
  <si>
    <t xml:space="preserve"> 2020-02-10 09:54:01</t>
  </si>
  <si>
    <t>辽宁考研成绩</t>
  </si>
  <si>
    <t xml:space="preserve"> 2020-02-10 14:56:01</t>
  </si>
  <si>
    <t>江汉大学</t>
  </si>
  <si>
    <t xml:space="preserve"> 2020-02-10 15:28:01</t>
  </si>
  <si>
    <t xml:space="preserve"> 2020-02-10 08:20:01</t>
  </si>
  <si>
    <t>韩旭表白肖战</t>
  </si>
  <si>
    <t xml:space="preserve"> 2020-02-10 14:42:02</t>
  </si>
  <si>
    <t xml:space="preserve"> 2020-02-10 07:18:02</t>
  </si>
  <si>
    <t>交谈1分钟被感染</t>
  </si>
  <si>
    <t xml:space="preserve"> 2020-02-10 15:36:01</t>
  </si>
  <si>
    <t xml:space="preserve"> 2020-02-10 11:42:02</t>
  </si>
  <si>
    <t>你的专业可以为抗疫做什么</t>
  </si>
  <si>
    <t xml:space="preserve"> 2020-02-10 13:52:01</t>
  </si>
  <si>
    <t>被要求戴口罩时连说16个我不戴</t>
  </si>
  <si>
    <t xml:space="preserve"> 2020-02-10 12:48:02</t>
  </si>
  <si>
    <t xml:space="preserve"> 2020-02-10 08:10:01</t>
  </si>
  <si>
    <t>奥斯卡红毯</t>
  </si>
  <si>
    <t xml:space="preserve"> 2020-02-10 13:42:01</t>
  </si>
  <si>
    <t xml:space="preserve"> 2020-02-10 09:14:02</t>
  </si>
  <si>
    <t>当队伍里只剩一个菜鸡时</t>
  </si>
  <si>
    <t>武软回应学生寝室被征用</t>
  </si>
  <si>
    <t xml:space="preserve"> 2020-02-10 13:04:02</t>
  </si>
  <si>
    <t xml:space="preserve"> 2020-02-10 10:58:02</t>
  </si>
  <si>
    <t>大爷捐50万元现金给武汉</t>
  </si>
  <si>
    <t xml:space="preserve"> 2020-02-10 13:34:02</t>
  </si>
  <si>
    <t xml:space="preserve"> 2020-02-10 11:08:02</t>
  </si>
  <si>
    <t>新冠肺炎防治统一考试</t>
  </si>
  <si>
    <t xml:space="preserve"> 2020-02-10 12:50:02</t>
  </si>
  <si>
    <t xml:space="preserve"> 2020-02-10 10:26:02</t>
  </si>
  <si>
    <t>小妇人 最佳服装设计</t>
  </si>
  <si>
    <t xml:space="preserve"> 2020-02-10 11:48:02</t>
  </si>
  <si>
    <t>西藏连续11天无新增病例</t>
  </si>
  <si>
    <t xml:space="preserve"> 2020-03-30 21:32:02</t>
  </si>
  <si>
    <t xml:space="preserve"> 2019-11-11 10:38:02</t>
  </si>
  <si>
    <t>股市</t>
  </si>
  <si>
    <t xml:space="preserve"> 2020-02-10 12:30:01</t>
  </si>
  <si>
    <t xml:space="preserve"> 2020-02-10 10:38:02</t>
  </si>
  <si>
    <t>小区自制3.6米行人消毒棚</t>
  </si>
  <si>
    <t xml:space="preserve"> 2020-02-10 12:54:01</t>
  </si>
  <si>
    <t xml:space="preserve"> 2020-02-10 11:30:02</t>
  </si>
  <si>
    <t>丈夫陪出征武汉的妻子剃光头</t>
  </si>
  <si>
    <t xml:space="preserve"> 2020-02-10 10:02:01</t>
  </si>
  <si>
    <t>十个艾莎合唱</t>
  </si>
  <si>
    <t xml:space="preserve"> 2020-02-10 13:22:02</t>
  </si>
  <si>
    <t xml:space="preserve"> 2020-02-10 11:38:01</t>
  </si>
  <si>
    <t>国际专家组组长将于今晚抵京</t>
  </si>
  <si>
    <t xml:space="preserve"> 2020-02-10 13:50:01</t>
  </si>
  <si>
    <t xml:space="preserve"> 2020-02-10 11:44:02</t>
  </si>
  <si>
    <t>你想上班的原因</t>
  </si>
  <si>
    <t>日本邮轮累计70人感染新冠肺炎</t>
  </si>
  <si>
    <t xml:space="preserve"> 2020-02-10 15:48:02</t>
  </si>
  <si>
    <t xml:space="preserve"> 2020-02-10 11:56:01</t>
  </si>
  <si>
    <t>自如回应涨价</t>
  </si>
  <si>
    <t xml:space="preserve"> 2020-02-10 19:10:01</t>
  </si>
  <si>
    <t xml:space="preserve"> 2020-02-10 10:34:01</t>
  </si>
  <si>
    <t>奥斯卡致敬科比</t>
  </si>
  <si>
    <t xml:space="preserve"> 2020-02-10 12:12:02</t>
  </si>
  <si>
    <t xml:space="preserve"> 2020-02-10 11:40:02</t>
  </si>
  <si>
    <t>布拉德皮特 最佳男配角</t>
  </si>
  <si>
    <t xml:space="preserve"> 2020-02-10 12:24:01</t>
  </si>
  <si>
    <t xml:space="preserve"> 2020-02-10 11:54:02</t>
  </si>
  <si>
    <t>维迪提藏起小金人</t>
  </si>
  <si>
    <t>寄生虫最佳国际电影</t>
  </si>
  <si>
    <t xml:space="preserve"> 2020-02-10 11:12:02</t>
  </si>
  <si>
    <t>俄罗斯向武汉捐赠23吨医疗物资</t>
  </si>
  <si>
    <t xml:space="preserve"> 2020-02-10 13:14:02</t>
  </si>
  <si>
    <t xml:space="preserve"> 2020-02-10 12:08:02</t>
  </si>
  <si>
    <t>美国男篮奥运名单</t>
  </si>
  <si>
    <t xml:space="preserve"> 2020-02-10 11:32:01</t>
  </si>
  <si>
    <t>关于新冠肺炎的8个真相</t>
  </si>
  <si>
    <t xml:space="preserve"> 2020-02-11 11:56:02</t>
  </si>
  <si>
    <t xml:space="preserve"> 2020-02-10 21:48:01</t>
  </si>
  <si>
    <t>武汉排查出1499名重症患者全部入院</t>
  </si>
  <si>
    <t xml:space="preserve"> 2020-02-11 12:10:02</t>
  </si>
  <si>
    <t xml:space="preserve"> 2020-02-10 23:06:02</t>
  </si>
  <si>
    <t>张定宇 新冠肺炎是自限性疾病</t>
  </si>
  <si>
    <t xml:space="preserve"> 2020-02-11 11:06:02</t>
  </si>
  <si>
    <t xml:space="preserve"> 2020-02-10 22:42:01</t>
  </si>
  <si>
    <t>11日武汉拟将完成所有疑似患者检测清零</t>
  </si>
  <si>
    <t xml:space="preserve"> 2020-02-11 11:38:01</t>
  </si>
  <si>
    <t xml:space="preserve"> 2020-02-10 19:40:02</t>
  </si>
  <si>
    <t>杨紫工作室声明</t>
  </si>
  <si>
    <t xml:space="preserve"> 2020-02-11 12:16:01</t>
  </si>
  <si>
    <t xml:space="preserve"> 2020-02-10 23:12:02</t>
  </si>
  <si>
    <t>贺繁星元宋修罗场</t>
  </si>
  <si>
    <t xml:space="preserve"> 2020-02-11 09:40:02</t>
  </si>
  <si>
    <t xml:space="preserve"> 2020-02-10 21:04:02</t>
  </si>
  <si>
    <t>咱们一定可以克服这场疫情</t>
  </si>
  <si>
    <t xml:space="preserve"> 2020-02-11 12:56:02</t>
  </si>
  <si>
    <t xml:space="preserve"> 2020-02-10 19:28:02</t>
  </si>
  <si>
    <t>LG出售中国总部大楼</t>
  </si>
  <si>
    <t xml:space="preserve"> 2020-02-11 08:46:01</t>
  </si>
  <si>
    <t xml:space="preserve"> 2020-02-10 15:16:02</t>
  </si>
  <si>
    <t>外省支援湖北对口支援表</t>
  </si>
  <si>
    <t xml:space="preserve"> 2020-02-11 10:38:02</t>
  </si>
  <si>
    <t xml:space="preserve"> 2020-02-10 22:36:02</t>
  </si>
  <si>
    <t>因疫情防控不能履行合同属不可抗力</t>
  </si>
  <si>
    <t xml:space="preserve"> 2020-02-11 09:46:02</t>
  </si>
  <si>
    <t xml:space="preserve"> 2020-02-10 17:58:02</t>
  </si>
  <si>
    <t>武汉最牛小区其实已有确诊病例</t>
  </si>
  <si>
    <t xml:space="preserve"> 2020-02-11 10:18:01</t>
  </si>
  <si>
    <t xml:space="preserve"> 2020-02-10 22:04:01</t>
  </si>
  <si>
    <t>一次性防护用品不能消毒后循环使用</t>
  </si>
  <si>
    <t>杭州一球队多人感染新冠肺炎</t>
  </si>
  <si>
    <t xml:space="preserve"> 2020-02-11 08:12:01</t>
  </si>
  <si>
    <t xml:space="preserve"> 2020-02-10 17:22:02</t>
  </si>
  <si>
    <t>总怀疑自己得病怎么办</t>
  </si>
  <si>
    <t xml:space="preserve"> 2020-02-11 12:04:02</t>
  </si>
  <si>
    <t xml:space="preserve"> 2020-02-10 22:06:01</t>
  </si>
  <si>
    <t>澳洲暴雨扑灭山火引发洪涝</t>
  </si>
  <si>
    <t xml:space="preserve"> 2020-02-10 23:38:01</t>
  </si>
  <si>
    <t>像极了在家憋坏了的我</t>
  </si>
  <si>
    <t xml:space="preserve"> 2020-02-11 11:40:02</t>
  </si>
  <si>
    <t xml:space="preserve"> 2020-02-10 21:56:02</t>
  </si>
  <si>
    <t>家用吹风机给口罩消毒</t>
  </si>
  <si>
    <t xml:space="preserve"> 2020-02-11 11:02:01</t>
  </si>
  <si>
    <t xml:space="preserve"> 2020-02-10 21:38:01</t>
  </si>
  <si>
    <t>东阳出现</t>
  </si>
  <si>
    <t xml:space="preserve"> 2020-02-11 09:52:02</t>
  </si>
  <si>
    <t xml:space="preserve"> 2020-02-10 15:38:02</t>
  </si>
  <si>
    <t>这是康师傅的报复吗</t>
  </si>
  <si>
    <t xml:space="preserve"> 2020-02-11 11:28:01</t>
  </si>
  <si>
    <t xml:space="preserve"> 2020-02-10 18:26:01</t>
  </si>
  <si>
    <t>上网课的尴尬</t>
  </si>
  <si>
    <t xml:space="preserve"> 2020-02-11 12:02:02</t>
  </si>
  <si>
    <t xml:space="preserve"> 2020-02-10 20:32:02</t>
  </si>
  <si>
    <t>疫情过后你和你的好朋友</t>
  </si>
  <si>
    <t xml:space="preserve"> 2020-02-11 11:20:02</t>
  </si>
  <si>
    <t xml:space="preserve"> 2020-02-10 19:04:02</t>
  </si>
  <si>
    <t>你生活没意思的根本原因</t>
  </si>
  <si>
    <t xml:space="preserve"> 2020-02-11 09:38:01</t>
  </si>
  <si>
    <t xml:space="preserve"> 2020-02-10 22:30:02</t>
  </si>
  <si>
    <t>被困高速湖北司机在陕西报平安</t>
  </si>
  <si>
    <t xml:space="preserve"> 2020-02-11 10:50:01</t>
  </si>
  <si>
    <t xml:space="preserve"> 2020-02-10 21:34:02</t>
  </si>
  <si>
    <t>徐天捅田丹</t>
  </si>
  <si>
    <t xml:space="preserve"> 2020-02-11 07:40:01</t>
  </si>
  <si>
    <t xml:space="preserve"> 2020-02-10 21:12:01</t>
  </si>
  <si>
    <t>北京首例孕妇患者出院</t>
  </si>
  <si>
    <t>中国传媒大学原副校长被决定逮捕</t>
  </si>
  <si>
    <t xml:space="preserve"> 2020-02-11 08:06:01</t>
  </si>
  <si>
    <t xml:space="preserve"> 2020-02-10 13:20:02</t>
  </si>
  <si>
    <t>41架包机近6000人同天抵达武汉</t>
  </si>
  <si>
    <t xml:space="preserve"> 2020-02-11 09:58:02</t>
  </si>
  <si>
    <t xml:space="preserve"> 2020-02-10 20:50:01</t>
  </si>
  <si>
    <t>天天云时间</t>
  </si>
  <si>
    <t xml:space="preserve"> 2020-02-19 07:26:02</t>
  </si>
  <si>
    <t xml:space="preserve"> 2020-02-10 22:08:02</t>
  </si>
  <si>
    <t>铁林</t>
  </si>
  <si>
    <t xml:space="preserve"> 2020-02-11 09:08:02</t>
  </si>
  <si>
    <t xml:space="preserve"> 2020-02-10 21:30:02</t>
  </si>
  <si>
    <t>疑似病人拒绝隔离造成传播可定罪</t>
  </si>
  <si>
    <t xml:space="preserve"> 2020-02-11 09:26:02</t>
  </si>
  <si>
    <t>北京共发生73起聚集性疫情</t>
  </si>
  <si>
    <t xml:space="preserve"> 2020-02-11 07:34:02</t>
  </si>
  <si>
    <t xml:space="preserve"> 2020-02-10 16:30:02</t>
  </si>
  <si>
    <t>陈一新任中央指导组副组长</t>
  </si>
  <si>
    <t xml:space="preserve"> 2020-02-11 08:56:02</t>
  </si>
  <si>
    <t xml:space="preserve"> 2020-02-10 22:16:02</t>
  </si>
  <si>
    <t>白岩松对话雷神山医院院长</t>
  </si>
  <si>
    <t xml:space="preserve"> 2020-02-11 11:24:01</t>
  </si>
  <si>
    <t xml:space="preserve"> 2020-02-10 15:30:01</t>
  </si>
  <si>
    <t>鲜果价格连续四个月下降</t>
  </si>
  <si>
    <t xml:space="preserve"> 2020-02-11 09:02:02</t>
  </si>
  <si>
    <t xml:space="preserve"> 2020-02-10 18:00:02</t>
  </si>
  <si>
    <t>贵州一药企被罚180万元</t>
  </si>
  <si>
    <t xml:space="preserve"> 2020-02-11 07:22:01</t>
  </si>
  <si>
    <t xml:space="preserve"> 2020-02-10 20:54:01</t>
  </si>
  <si>
    <t>陕西学校3月2日前一律不开学</t>
  </si>
  <si>
    <t xml:space="preserve"> 2020-02-11 09:06:01</t>
  </si>
  <si>
    <t>钻石公主号</t>
  </si>
  <si>
    <t xml:space="preserve"> 2020-02-11 08:30:02</t>
  </si>
  <si>
    <t xml:space="preserve"> 2020-02-10 19:34:02</t>
  </si>
  <si>
    <t>2019年全国财政收入超19万亿元</t>
  </si>
  <si>
    <t xml:space="preserve"> 2020-02-11 08:20:02</t>
  </si>
  <si>
    <t xml:space="preserve"> 2020-02-10 19:30:01</t>
  </si>
  <si>
    <t>13家快递企业恢复正常运营</t>
  </si>
  <si>
    <t xml:space="preserve"> 2020-02-11 11:48:02</t>
  </si>
  <si>
    <t xml:space="preserve"> 2020-02-11 00:02:02</t>
  </si>
  <si>
    <t>邓川 周周</t>
  </si>
  <si>
    <t xml:space="preserve"> 2020-02-11 09:16:02</t>
  </si>
  <si>
    <t>刘老根3</t>
  </si>
  <si>
    <t xml:space="preserve"> 2020-02-11 02:06:02</t>
  </si>
  <si>
    <t xml:space="preserve"> 2020-02-10 16:48:01</t>
  </si>
  <si>
    <t>非湖北返程是否需要隔离14天</t>
  </si>
  <si>
    <t xml:space="preserve"> 2020-02-11 08:08:02</t>
  </si>
  <si>
    <t xml:space="preserve"> 2020-02-10 16:02:02</t>
  </si>
  <si>
    <t>当我看到线上课程表</t>
  </si>
  <si>
    <t xml:space="preserve"> 2020-02-10 14:12:02</t>
  </si>
  <si>
    <t>新冠肺炎潜伏期最长24天</t>
  </si>
  <si>
    <t xml:space="preserve"> 2020-02-11 07:26:02</t>
  </si>
  <si>
    <t>谭松韵 我要去接大人回家了</t>
  </si>
  <si>
    <t xml:space="preserve"> 2020-02-11 01:30:02</t>
  </si>
  <si>
    <t xml:space="preserve"> 2020-02-10 13:24:02</t>
  </si>
  <si>
    <t>节后第一周平均招聘月薪9311元</t>
  </si>
  <si>
    <t xml:space="preserve"> 2020-02-11 21:10:01</t>
  </si>
  <si>
    <t xml:space="preserve"> 2020-02-11 11:08:02</t>
  </si>
  <si>
    <t>尼日利亚爆发不明疾病</t>
  </si>
  <si>
    <t xml:space="preserve"> 2020-02-11 16:20:01</t>
  </si>
  <si>
    <t xml:space="preserve"> 2020-02-11 10:20:01</t>
  </si>
  <si>
    <t>北京非生活必需的娱乐室一律关闭</t>
  </si>
  <si>
    <t xml:space="preserve"> 2020-02-11 21:46:02</t>
  </si>
  <si>
    <t>湖北省卫健委书记主任被免职</t>
  </si>
  <si>
    <t xml:space="preserve"> 2020-02-11 18:08:02</t>
  </si>
  <si>
    <t xml:space="preserve"> 2020-02-11 09:56:01</t>
  </si>
  <si>
    <t>全国新冠肺炎累计死亡破千</t>
  </si>
  <si>
    <t xml:space="preserve"> 2020-02-11 15:36:02</t>
  </si>
  <si>
    <t>严禁擅自封闭高速公路出入口</t>
  </si>
  <si>
    <t xml:space="preserve"> 2020-02-11 17:20:02</t>
  </si>
  <si>
    <t xml:space="preserve"> 2020-02-11 09:14:01</t>
  </si>
  <si>
    <t>小妇人撤档</t>
  </si>
  <si>
    <t xml:space="preserve"> 2020-02-11 13:58:02</t>
  </si>
  <si>
    <t xml:space="preserve"> 2020-02-11 07:24:02</t>
  </si>
  <si>
    <t>学生旅客3月31前机票可免费退改签</t>
  </si>
  <si>
    <t xml:space="preserve"> 2020-02-11 17:24:01</t>
  </si>
  <si>
    <t xml:space="preserve"> 2020-02-11 11:30:02</t>
  </si>
  <si>
    <t>宁波驰援湖北医疗人员行李一件没少</t>
  </si>
  <si>
    <t xml:space="preserve"> 2020-02-11 14:22:01</t>
  </si>
  <si>
    <t xml:space="preserve"> 2020-02-11 08:32:02</t>
  </si>
  <si>
    <t>东部战区在台岛东南部海域演练</t>
  </si>
  <si>
    <t xml:space="preserve"> 2020-02-11 09:24:02</t>
  </si>
  <si>
    <t>硬核奶奶暴风雨式教育老伴</t>
  </si>
  <si>
    <t xml:space="preserve"> 2020-02-11 14:34:01</t>
  </si>
  <si>
    <t xml:space="preserve"> 2020-02-11 08:26:01</t>
  </si>
  <si>
    <t>全国累计确诊新型肺炎42638例</t>
  </si>
  <si>
    <t xml:space="preserve"> 2020-02-11 07:32:01</t>
  </si>
  <si>
    <t>陕西一高铁保洁员确诊前曾搭20趟高铁</t>
  </si>
  <si>
    <t xml:space="preserve"> 2020-02-11 13:32:01</t>
  </si>
  <si>
    <t>WHO专家先遣队抵达中国</t>
  </si>
  <si>
    <t xml:space="preserve"> 2020-02-11 13:02:01</t>
  </si>
  <si>
    <t>武汉发热患者不得跨区就诊</t>
  </si>
  <si>
    <t xml:space="preserve"> 2020-02-11 19:16:02</t>
  </si>
  <si>
    <t xml:space="preserve"> 2020-02-11 10:00:02</t>
  </si>
  <si>
    <t>王源用火锅底料煮泡面</t>
  </si>
  <si>
    <t>拉面馆1人1桌3面围帘</t>
  </si>
  <si>
    <t xml:space="preserve"> 2020-02-11 19:54:01</t>
  </si>
  <si>
    <t xml:space="preserve"> 2020-02-11 10:52:02</t>
  </si>
  <si>
    <t>中年男教师直播授课美颜开满级</t>
  </si>
  <si>
    <t xml:space="preserve"> 2020-02-11 16:58:02</t>
  </si>
  <si>
    <t>后羿嫦娥如梦令皮肤视频</t>
  </si>
  <si>
    <t xml:space="preserve"> 2020-02-11 18:58:01</t>
  </si>
  <si>
    <t xml:space="preserve"> 2020-02-11 11:42:02</t>
  </si>
  <si>
    <t>横店影视城2月13日起逐步复工</t>
  </si>
  <si>
    <t xml:space="preserve"> 2020-02-11 20:08:02</t>
  </si>
  <si>
    <t xml:space="preserve"> 2020-02-11 10:42:01</t>
  </si>
  <si>
    <t>口罩猫</t>
  </si>
  <si>
    <t xml:space="preserve"> 2020-02-11 18:16:02</t>
  </si>
  <si>
    <t xml:space="preserve"> 2020-02-11 08:10:02</t>
  </si>
  <si>
    <t>WHO 新冠病毒不怕炎热湿润天气</t>
  </si>
  <si>
    <t xml:space="preserve"> 2020-02-11 18:22:01</t>
  </si>
  <si>
    <t xml:space="preserve"> 2020-02-11 11:22:01</t>
  </si>
  <si>
    <t>上网课时的尴尬瞬间</t>
  </si>
  <si>
    <t xml:space="preserve"> 2020-02-11 17:40:02</t>
  </si>
  <si>
    <t xml:space="preserve"> 2020-02-11 08:58:02</t>
  </si>
  <si>
    <t>等待中的外卖小哥</t>
  </si>
  <si>
    <t xml:space="preserve"> 2020-02-11 16:18:02</t>
  </si>
  <si>
    <t xml:space="preserve"> 2020-02-11 11:04:01</t>
  </si>
  <si>
    <t>美国工厂导演说中文谢谢曹德旺</t>
  </si>
  <si>
    <t xml:space="preserve"> 2020-02-11 15:16:02</t>
  </si>
  <si>
    <t xml:space="preserve"> 2020-02-11 09:50:01</t>
  </si>
  <si>
    <t>方舱医院患者跳萨日朗</t>
  </si>
  <si>
    <t xml:space="preserve"> 2020-02-11 14:16:02</t>
  </si>
  <si>
    <t>奥斯卡收视率创历史新低</t>
  </si>
  <si>
    <t xml:space="preserve"> 2020-02-11 13:46:02</t>
  </si>
  <si>
    <t xml:space="preserve"> 2020-02-11 09:10:02</t>
  </si>
  <si>
    <t>西藏林芝劝返41个旅游团</t>
  </si>
  <si>
    <t xml:space="preserve"> 2020-02-11 09:28:01</t>
  </si>
  <si>
    <t>湖北以外新增病例连降7天</t>
  </si>
  <si>
    <t xml:space="preserve"> 2020-02-11 13:06:01</t>
  </si>
  <si>
    <t xml:space="preserve"> 2020-02-11 08:50:02</t>
  </si>
  <si>
    <t>百步亭</t>
  </si>
  <si>
    <t xml:space="preserve"> 2020-02-11 13:28:02</t>
  </si>
  <si>
    <t>不要宣传老人捐款了</t>
  </si>
  <si>
    <t xml:space="preserve"> 2020-02-11 15:14:02</t>
  </si>
  <si>
    <t xml:space="preserve"> 2020-02-11 11:52:01</t>
  </si>
  <si>
    <t>严格杜绝填表抗疫等形式主义</t>
  </si>
  <si>
    <t xml:space="preserve"> 2020-02-11 13:42:01</t>
  </si>
  <si>
    <t xml:space="preserve"> 2020-02-11 10:54:02</t>
  </si>
  <si>
    <t>口罩企业复工率已超过76%</t>
  </si>
  <si>
    <t>南京乘出租须实名登记</t>
  </si>
  <si>
    <t xml:space="preserve"> 2020-02-12 07:20:01</t>
  </si>
  <si>
    <t xml:space="preserve"> 2020-02-11 11:58:02</t>
  </si>
  <si>
    <t>企业复工要为职工配发口罩</t>
  </si>
  <si>
    <t xml:space="preserve"> 2020-02-11 13:52:02</t>
  </si>
  <si>
    <t>重要国计民生领域要立即复工复产</t>
  </si>
  <si>
    <t xml:space="preserve"> 2020-02-11 12:46:02</t>
  </si>
  <si>
    <t>央视记者进入武汉医院隔离区采访</t>
  </si>
  <si>
    <t xml:space="preserve"> 2020-02-11 12:26:02</t>
  </si>
  <si>
    <t xml:space="preserve"> 2020-02-11 07:50:01</t>
  </si>
  <si>
    <t>已启动野生动物保护法修改工作</t>
  </si>
  <si>
    <t xml:space="preserve"> 2020-02-11 07:36:01</t>
  </si>
  <si>
    <t>湖北累计确诊病例超3万例</t>
  </si>
  <si>
    <t xml:space="preserve"> 2020-02-11 22:14:01</t>
  </si>
  <si>
    <t>姑娘提着剑丢垃圾</t>
  </si>
  <si>
    <t xml:space="preserve"> 2020-02-11 22:32:02</t>
  </si>
  <si>
    <t>鼓励网上面试签约报到</t>
  </si>
  <si>
    <t xml:space="preserve"> 2020-02-11 13:44:01</t>
  </si>
  <si>
    <t xml:space="preserve"> 2020-02-11 12:08:02</t>
  </si>
  <si>
    <t>东海BewhY合作</t>
  </si>
  <si>
    <t xml:space="preserve"> 2020-02-12 11:12:02</t>
  </si>
  <si>
    <t xml:space="preserve"> 2020-02-11 22:44:02</t>
  </si>
  <si>
    <t>不得强行要求学生每天上网打卡</t>
  </si>
  <si>
    <t xml:space="preserve"> 2020-02-12 12:54:01</t>
  </si>
  <si>
    <t xml:space="preserve"> 2020-02-11 23:06:02</t>
  </si>
  <si>
    <t>强行要求所有教师录播课程必须制止</t>
  </si>
  <si>
    <t xml:space="preserve"> 2020-02-12 11:40:01</t>
  </si>
  <si>
    <t xml:space="preserve"> 2020-02-11 22:30:02</t>
  </si>
  <si>
    <t>中央指导组约谈武汉副市长幕后</t>
  </si>
  <si>
    <t xml:space="preserve"> 2020-02-12 08:56:01</t>
  </si>
  <si>
    <t xml:space="preserve"> 2020-02-11 21:42:02</t>
  </si>
  <si>
    <t>地心引力</t>
  </si>
  <si>
    <t xml:space="preserve"> 2020-02-12 11:02:01</t>
  </si>
  <si>
    <t>英语四六级成绩发布时间</t>
  </si>
  <si>
    <t xml:space="preserve"> 2020-02-12 11:36:01</t>
  </si>
  <si>
    <t xml:space="preserve"> 2020-02-11 22:40:02</t>
  </si>
  <si>
    <t>黄冈全面排查发现发热病人13000人</t>
  </si>
  <si>
    <t xml:space="preserve"> 2020-02-12 11:46:02</t>
  </si>
  <si>
    <t xml:space="preserve"> 2020-02-11 22:26:01</t>
  </si>
  <si>
    <t>王者荣耀服务器</t>
  </si>
  <si>
    <t xml:space="preserve"> 2020-02-12 09:44:02</t>
  </si>
  <si>
    <t xml:space="preserve"> 2020-02-11 18:18:02</t>
  </si>
  <si>
    <t>钟南山称峰值应在二月中下旬</t>
  </si>
  <si>
    <t xml:space="preserve"> 2020-02-12 09:46:02</t>
  </si>
  <si>
    <t xml:space="preserve"> 2020-02-11 21:36:02</t>
  </si>
  <si>
    <t>李兰娟团队救治模式初显成效</t>
  </si>
  <si>
    <t xml:space="preserve"> 2020-02-12 11:34:02</t>
  </si>
  <si>
    <t xml:space="preserve"> 2020-02-11 22:10:02</t>
  </si>
  <si>
    <t>贺繁星元宋互怼</t>
  </si>
  <si>
    <t xml:space="preserve"> 2020-02-12 10:58:02</t>
  </si>
  <si>
    <t xml:space="preserve"> 2020-02-11 21:02:02</t>
  </si>
  <si>
    <t>宁可床等人不要人等床</t>
  </si>
  <si>
    <t xml:space="preserve"> 2020-02-12 11:04:01</t>
  </si>
  <si>
    <t xml:space="preserve"> 2020-02-11 23:34:02</t>
  </si>
  <si>
    <t>世界卫生组织命名新冠状病毒</t>
  </si>
  <si>
    <t xml:space="preserve"> 2020-02-11 21:38:02</t>
  </si>
  <si>
    <t>爱情公寓5大结局</t>
  </si>
  <si>
    <t xml:space="preserve"> 2020-02-12 10:48:01</t>
  </si>
  <si>
    <t xml:space="preserve"> 2020-02-11 18:24:02</t>
  </si>
  <si>
    <t>NASA立扫把挑战</t>
  </si>
  <si>
    <t xml:space="preserve"> 2020-02-12 09:36:02</t>
  </si>
  <si>
    <t>黄冈疫情前期存量全部检测完毕</t>
  </si>
  <si>
    <t xml:space="preserve"> 2020-02-12 12:48:01</t>
  </si>
  <si>
    <t xml:space="preserve"> 2020-02-11 23:28:01</t>
  </si>
  <si>
    <t>大型网课翻车现场</t>
  </si>
  <si>
    <t xml:space="preserve"> 2020-02-11 23:36:02</t>
  </si>
  <si>
    <t>辽宁葫芦岛一企业发生爆炸</t>
  </si>
  <si>
    <t xml:space="preserve"> 2020-02-12 10:46:01</t>
  </si>
  <si>
    <t xml:space="preserve"> 2020-02-11 21:08:02</t>
  </si>
  <si>
    <t>立鸡蛋</t>
  </si>
  <si>
    <t xml:space="preserve"> 2020-02-12 10:16:02</t>
  </si>
  <si>
    <t xml:space="preserve"> 2020-02-11 21:00:02</t>
  </si>
  <si>
    <t>上海警方查明武汉男子搭车来沪</t>
  </si>
  <si>
    <t xml:space="preserve"> 2020-02-12 09:48:01</t>
  </si>
  <si>
    <t xml:space="preserve"> 2020-02-11 22:54:01</t>
  </si>
  <si>
    <t>中药在疾病早期介入成效明显</t>
  </si>
  <si>
    <t>寄生虫海报设计</t>
  </si>
  <si>
    <t xml:space="preserve"> 2020-02-12 12:34:01</t>
  </si>
  <si>
    <t xml:space="preserve"> 2020-02-11 22:34:01</t>
  </si>
  <si>
    <t>宝应</t>
  </si>
  <si>
    <t xml:space="preserve"> 2020-02-12 10:50:01</t>
  </si>
  <si>
    <t>小耳朵豪横</t>
  </si>
  <si>
    <t xml:space="preserve"> 2020-02-12 10:38:02</t>
  </si>
  <si>
    <t xml:space="preserve"> 2020-02-11 21:12:01</t>
  </si>
  <si>
    <t>警方20天收缴野生动物3.8万只</t>
  </si>
  <si>
    <t>宅在家里很焦虑怎么办</t>
  </si>
  <si>
    <t xml:space="preserve"> 2020-02-12 00:42:01</t>
  </si>
  <si>
    <t>成都七中</t>
  </si>
  <si>
    <t xml:space="preserve"> 2020-02-12 08:16:02</t>
  </si>
  <si>
    <t xml:space="preserve"> 2020-02-11 19:30:01</t>
  </si>
  <si>
    <t>中央指导组对武汉疫情防控问题紧急约谈</t>
  </si>
  <si>
    <t xml:space="preserve"> 2020-02-12 08:32:02</t>
  </si>
  <si>
    <t>想见你团队声明</t>
  </si>
  <si>
    <t xml:space="preserve"> 2020-02-11 21:24:02</t>
  </si>
  <si>
    <t>十七月的黑牙</t>
  </si>
  <si>
    <t xml:space="preserve"> 2020-02-12 07:36:02</t>
  </si>
  <si>
    <t xml:space="preserve"> 2020-02-11 20:06:02</t>
  </si>
  <si>
    <t>歌手延后录制</t>
  </si>
  <si>
    <t xml:space="preserve"> 2020-02-11 19:36:02</t>
  </si>
  <si>
    <t>入沪通道首现后备箱藏人</t>
  </si>
  <si>
    <t xml:space="preserve"> 2020-02-12 08:26:02</t>
  </si>
  <si>
    <t xml:space="preserve"> 2020-02-11 17:06:01</t>
  </si>
  <si>
    <t>武汉疑似病人存量加速消化</t>
  </si>
  <si>
    <t xml:space="preserve"> 2020-02-12 07:30:02</t>
  </si>
  <si>
    <t xml:space="preserve"> 2020-02-11 19:48:02</t>
  </si>
  <si>
    <t>出门第一顿吃什么</t>
  </si>
  <si>
    <t xml:space="preserve"> 2020-02-12 11:10:02</t>
  </si>
  <si>
    <t xml:space="preserve"> 2020-02-11 22:48:02</t>
  </si>
  <si>
    <t>铁林黑化</t>
  </si>
  <si>
    <t xml:space="preserve"> 2020-02-11 21:52:02</t>
  </si>
  <si>
    <t>宁夏治愈率41.5%</t>
  </si>
  <si>
    <t xml:space="preserve"> 2020-02-11 14:24:02</t>
  </si>
  <si>
    <t>巴西发现神秘病毒</t>
  </si>
  <si>
    <t xml:space="preserve"> 2020-02-12 07:28:02</t>
  </si>
  <si>
    <t xml:space="preserve"> 2020-02-11 22:18:02</t>
  </si>
  <si>
    <t>湖北全省小区实行封闭式管理</t>
  </si>
  <si>
    <t xml:space="preserve"> 2020-02-12 10:12:02</t>
  </si>
  <si>
    <t xml:space="preserve"> 2020-02-11 21:30:01</t>
  </si>
  <si>
    <t>开电梯的N种方法</t>
  </si>
  <si>
    <t xml:space="preserve"> 2020-02-12 09:18:01</t>
  </si>
  <si>
    <t xml:space="preserve"> 2020-02-11 19:00:02</t>
  </si>
  <si>
    <t>江苏援黄石医疗支援队出征</t>
  </si>
  <si>
    <t xml:space="preserve"> 2020-02-12 07:12:02</t>
  </si>
  <si>
    <t xml:space="preserve"> 2020-02-11 21:14:02</t>
  </si>
  <si>
    <t>宅家的真实写照</t>
  </si>
  <si>
    <t xml:space="preserve"> 2020-02-12 07:22:01</t>
  </si>
  <si>
    <t xml:space="preserve"> 2020-02-11 18:10:02</t>
  </si>
  <si>
    <t>疫情期间妈妈说过最多的话</t>
  </si>
  <si>
    <t xml:space="preserve"> 2020-02-11 20:22:02</t>
  </si>
  <si>
    <t>韩国大邱将建造奉俊昊街</t>
  </si>
  <si>
    <t xml:space="preserve"> 2020-02-12 08:10:01</t>
  </si>
  <si>
    <t xml:space="preserve"> 2020-02-11 13:48:02</t>
  </si>
  <si>
    <t>电饭煲蛋糕</t>
  </si>
  <si>
    <t xml:space="preserve"> 2020-02-11 17:00:02</t>
  </si>
  <si>
    <t>普通人口罩可重复使用</t>
  </si>
  <si>
    <t xml:space="preserve"> 2020-02-12 01:18:01</t>
  </si>
  <si>
    <t xml:space="preserve"> 2020-02-11 15:50:02</t>
  </si>
  <si>
    <t>联合国呼吁关注蝗灾</t>
  </si>
  <si>
    <t xml:space="preserve"> 2020-02-12 00:36:02</t>
  </si>
  <si>
    <t xml:space="preserve"> 2020-02-11 20:12:02</t>
  </si>
  <si>
    <t>49岁辅警倒在防疫一线</t>
  </si>
  <si>
    <t xml:space="preserve"> 2020-02-12 15:50:02</t>
  </si>
  <si>
    <t xml:space="preserve"> 2020-02-12 07:32:02</t>
  </si>
  <si>
    <t>新冠病毒疫苗可能在18个月内完成</t>
  </si>
  <si>
    <t xml:space="preserve"> 2020-02-12 16:30:02</t>
  </si>
  <si>
    <t xml:space="preserve"> 2020-02-12 10:02:02</t>
  </si>
  <si>
    <t>科比和Gigi遗体已安葬</t>
  </si>
  <si>
    <t xml:space="preserve"> 2020-02-12 17:08:01</t>
  </si>
  <si>
    <t>我不能哭 护目镜会花</t>
  </si>
  <si>
    <t xml:space="preserve"> 2020-02-12 19:36:01</t>
  </si>
  <si>
    <t>岳云鹏 等疫情过去我请你们看相声</t>
  </si>
  <si>
    <t xml:space="preserve"> 2020-02-12 17:48:01</t>
  </si>
  <si>
    <t xml:space="preserve"> 2020-02-12 10:42:01</t>
  </si>
  <si>
    <t>NASA回应立扫把挑战</t>
  </si>
  <si>
    <t xml:space="preserve"> 2020-02-12 17:10:02</t>
  </si>
  <si>
    <t xml:space="preserve"> 2020-02-12 10:44:01</t>
  </si>
  <si>
    <t>上个网课咋还有这么无理的要求</t>
  </si>
  <si>
    <t xml:space="preserve"> 2020-02-12 18:16:02</t>
  </si>
  <si>
    <t xml:space="preserve"> 2020-02-12 11:20:02</t>
  </si>
  <si>
    <t>英国死亡货车调查结果公布</t>
  </si>
  <si>
    <t xml:space="preserve"> 2020-02-12 15:30:01</t>
  </si>
  <si>
    <t xml:space="preserve"> 2020-02-12 07:08:01</t>
  </si>
  <si>
    <t>钟南山 新冠肺炎疫情有望4月前结束</t>
  </si>
  <si>
    <t xml:space="preserve"> 2020-02-12 15:12:02</t>
  </si>
  <si>
    <t>出版社回应儿童刊物称果子狸可吃</t>
  </si>
  <si>
    <t xml:space="preserve"> 2020-02-12 14:28:01</t>
  </si>
  <si>
    <t>全国累计确诊新冠肺炎44653例</t>
  </si>
  <si>
    <t xml:space="preserve"> 2020-02-12 14:14:01</t>
  </si>
  <si>
    <t xml:space="preserve"> 2020-02-12 07:24:01</t>
  </si>
  <si>
    <t>钟南山称李文亮为英雄</t>
  </si>
  <si>
    <t xml:space="preserve"> 2020-02-12 14:02:02</t>
  </si>
  <si>
    <t xml:space="preserve"> 2020-02-12 09:50:01</t>
  </si>
  <si>
    <t>患者感染程度与机体免疫状态密切相关</t>
  </si>
  <si>
    <t xml:space="preserve"> 2020-02-12 13:40:02</t>
  </si>
  <si>
    <t xml:space="preserve"> 2020-02-12 08:58:02</t>
  </si>
  <si>
    <t>日本邮轮确诊174例新冠肺炎</t>
  </si>
  <si>
    <t xml:space="preserve"> 2020-02-12 21:36:01</t>
  </si>
  <si>
    <t xml:space="preserve"> 2020-02-12 11:30:01</t>
  </si>
  <si>
    <t>高秀贞去世</t>
  </si>
  <si>
    <t xml:space="preserve"> 2020-02-12 19:22:02</t>
  </si>
  <si>
    <t>快把立扫把的都删除了吧</t>
  </si>
  <si>
    <t xml:space="preserve"> 2020-02-12 17:30:02</t>
  </si>
  <si>
    <t xml:space="preserve"> 2020-02-12 11:38:02</t>
  </si>
  <si>
    <t>这个普通话太普通了</t>
  </si>
  <si>
    <t>帮被征用宿舍学生亲妈式打包物品</t>
  </si>
  <si>
    <t xml:space="preserve"> 2020-02-12 15:02:02</t>
  </si>
  <si>
    <t xml:space="preserve"> 2020-02-12 11:22:01</t>
  </si>
  <si>
    <t>奶奶每天给ICU老伴写情书</t>
  </si>
  <si>
    <t xml:space="preserve"> 2020-02-12 14:18:01</t>
  </si>
  <si>
    <t xml:space="preserve"> 2020-02-12 11:48:02</t>
  </si>
  <si>
    <t>法国前总理为中国加油</t>
  </si>
  <si>
    <t xml:space="preserve"> 2020-02-12 13:36:02</t>
  </si>
  <si>
    <t xml:space="preserve"> 2020-02-12 11:06:02</t>
  </si>
  <si>
    <t>黑龙江32岁民警倒在抗疫一线</t>
  </si>
  <si>
    <t xml:space="preserve"> 2020-02-12 15:24:02</t>
  </si>
  <si>
    <t>外卖小哥</t>
  </si>
  <si>
    <t xml:space="preserve"> 2020-02-12 14:24:02</t>
  </si>
  <si>
    <t xml:space="preserve"> 2020-02-12 07:18:01</t>
  </si>
  <si>
    <t>钉钉否认直播老师可打开学生摄像头</t>
  </si>
  <si>
    <t xml:space="preserve"> 2020-02-12 15:16:01</t>
  </si>
  <si>
    <t>安徽泾县杀医案罪犯被执行死刑</t>
  </si>
  <si>
    <t xml:space="preserve"> 2020-02-12 11:44:02</t>
  </si>
  <si>
    <t>COSMO三月刊封面</t>
  </si>
  <si>
    <t xml:space="preserve"> 2020-02-12 14:34:02</t>
  </si>
  <si>
    <t xml:space="preserve"> 2020-02-12 08:12:01</t>
  </si>
  <si>
    <t>武汉方舱医院的盒饭</t>
  </si>
  <si>
    <t xml:space="preserve"> 2020-02-12 13:20:02</t>
  </si>
  <si>
    <t>北京各校不得以任何形式集体上新课</t>
  </si>
  <si>
    <t xml:space="preserve"> 2020-02-12 13:08:02</t>
  </si>
  <si>
    <t xml:space="preserve"> 2020-02-12 10:14:02</t>
  </si>
  <si>
    <t>疫情期间的硬核穿搭</t>
  </si>
  <si>
    <t>COVID-19</t>
  </si>
  <si>
    <t xml:space="preserve"> 2020-02-12 13:14:02</t>
  </si>
  <si>
    <t>谢娜鼓励援汉医护人员</t>
  </si>
  <si>
    <t>汉口留守宠物代喂者</t>
  </si>
  <si>
    <t xml:space="preserve"> 2020-02-12 12:40:02</t>
  </si>
  <si>
    <t xml:space="preserve"> 2020-02-12 10:52:01</t>
  </si>
  <si>
    <t>泰国陆军总司令为枪击事件道歉</t>
  </si>
  <si>
    <t xml:space="preserve"> 2020-02-12 13:28:02</t>
  </si>
  <si>
    <t xml:space="preserve"> 2020-02-12 10:56:02</t>
  </si>
  <si>
    <t>抗疫一线护士用回形针戒指求婚</t>
  </si>
  <si>
    <t xml:space="preserve"> 2020-02-12 13:00:02</t>
  </si>
  <si>
    <t>江苏累计确诊新冠肺炎543例</t>
  </si>
  <si>
    <t xml:space="preserve"> 2020-02-12 12:58:02</t>
  </si>
  <si>
    <t xml:space="preserve"> 2020-02-12 09:52:02</t>
  </si>
  <si>
    <t>急救中心司机穿尿不湿接患者</t>
  </si>
  <si>
    <t xml:space="preserve"> 2020-02-12 12:56:01</t>
  </si>
  <si>
    <t>欧盟12吨防护物资正运往中国</t>
  </si>
  <si>
    <t xml:space="preserve"> 2020-02-12 08:18:02</t>
  </si>
  <si>
    <t>隐瞒病情患者刚出院就被拘留</t>
  </si>
  <si>
    <t xml:space="preserve"> 2020-02-12 12:28:02</t>
  </si>
  <si>
    <t xml:space="preserve"> 2020-02-12 08:38:02</t>
  </si>
  <si>
    <t>李兰娟防护服上写着武汉加油</t>
  </si>
  <si>
    <t>宅家办公的真实写照</t>
  </si>
  <si>
    <t xml:space="preserve"> 2020-02-12 13:16:01</t>
  </si>
  <si>
    <t>在家花式理发</t>
  </si>
  <si>
    <t xml:space="preserve"> 2020-02-12 12:18:02</t>
  </si>
  <si>
    <t>火神山医院收治患者超900人</t>
  </si>
  <si>
    <t xml:space="preserve"> 2020-02-12 18:40:01</t>
  </si>
  <si>
    <t xml:space="preserve"> 2020-02-12 12:04:02</t>
  </si>
  <si>
    <t>后备箱入沪</t>
  </si>
  <si>
    <t xml:space="preserve"> 2020-02-12 12:32:01</t>
  </si>
  <si>
    <t xml:space="preserve"> 2020-02-12 08:30:02</t>
  </si>
  <si>
    <t>浙江余姚急寻密切接触者</t>
  </si>
  <si>
    <t xml:space="preserve"> 2020-02-12 09:38:01</t>
  </si>
  <si>
    <t>日本街道挂标语为武汉加油</t>
  </si>
  <si>
    <t xml:space="preserve"> 2020-02-12 09:24:01</t>
  </si>
  <si>
    <t>COVID-19命名现场画面</t>
  </si>
  <si>
    <t xml:space="preserve"> 2020-02-12 12:26:02</t>
  </si>
  <si>
    <t>北京要严防死守坚决防止疫情蔓延</t>
  </si>
  <si>
    <t xml:space="preserve"> 2020-02-13 12:28:02</t>
  </si>
  <si>
    <t xml:space="preserve"> 2020-02-12 21:44:02</t>
  </si>
  <si>
    <t>鲁园去世</t>
  </si>
  <si>
    <t xml:space="preserve"> 2020-02-13 13:00:02</t>
  </si>
  <si>
    <t xml:space="preserve"> 2020-02-12 23:06:01</t>
  </si>
  <si>
    <t>张流波 所有消毒剂对新冠病毒都有效</t>
  </si>
  <si>
    <t xml:space="preserve"> 2020-02-13 11:04:02</t>
  </si>
  <si>
    <t xml:space="preserve"> 2020-02-12 23:08:01</t>
  </si>
  <si>
    <t>湖北将再建一所应急后备医院</t>
  </si>
  <si>
    <t xml:space="preserve"> 2020-02-13 13:34:02</t>
  </si>
  <si>
    <t xml:space="preserve"> 2020-02-12 22:24:01</t>
  </si>
  <si>
    <t>小花奶奶也走了</t>
  </si>
  <si>
    <t xml:space="preserve"> 2020-02-13 12:54:02</t>
  </si>
  <si>
    <t xml:space="preserve"> 2020-02-12 22:08:02</t>
  </si>
  <si>
    <t>心疼杨小雨</t>
  </si>
  <si>
    <t xml:space="preserve"> 2020-02-13 12:16:01</t>
  </si>
  <si>
    <t xml:space="preserve"> 2020-02-12 19:50:02</t>
  </si>
  <si>
    <t>李梓萌低头念稿</t>
  </si>
  <si>
    <t xml:space="preserve"> 2020-02-13 10:48:01</t>
  </si>
  <si>
    <t xml:space="preserve"> 2020-02-12 22:48:02</t>
  </si>
  <si>
    <t>中国春节以来进口7.3亿只口罩</t>
  </si>
  <si>
    <t xml:space="preserve"> 2020-02-13 11:34:02</t>
  </si>
  <si>
    <t xml:space="preserve"> 2020-02-12 19:38:02</t>
  </si>
  <si>
    <t>今年首个寒潮</t>
  </si>
  <si>
    <t xml:space="preserve"> 2020-02-13 11:38:01</t>
  </si>
  <si>
    <t xml:space="preserve"> 2020-02-12 18:48:02</t>
  </si>
  <si>
    <t>2020年应届高校毕业生有874万</t>
  </si>
  <si>
    <t xml:space="preserve"> 2020-02-13 12:36:02</t>
  </si>
  <si>
    <t xml:space="preserve"> 2020-02-12 21:48:02</t>
  </si>
  <si>
    <t>元宋吐槽贺繁星</t>
  </si>
  <si>
    <t xml:space="preserve"> 2020-02-13 09:48:02</t>
  </si>
  <si>
    <t>公共场所发现病例停用空调通风系统</t>
  </si>
  <si>
    <t xml:space="preserve"> 2020-02-12 18:18:01</t>
  </si>
  <si>
    <t>疫情形势出现3个积极变化</t>
  </si>
  <si>
    <t xml:space="preserve"> 2020-02-13 08:04:01</t>
  </si>
  <si>
    <t xml:space="preserve"> 2020-02-12 17:50:02</t>
  </si>
  <si>
    <t>广电总局免费提供180部优秀节目</t>
  </si>
  <si>
    <t xml:space="preserve"> 2020-02-13 09:50:02</t>
  </si>
  <si>
    <t xml:space="preserve"> 2020-02-12 17:52:02</t>
  </si>
  <si>
    <t>武昌区政府组织对重症病人逐一道歉</t>
  </si>
  <si>
    <t xml:space="preserve"> 2020-02-13 08:32:02</t>
  </si>
  <si>
    <t xml:space="preserve"> 2020-02-12 15:58:02</t>
  </si>
  <si>
    <t>教育部回应高考是否推迟</t>
  </si>
  <si>
    <t xml:space="preserve"> 2020-02-13 13:42:02</t>
  </si>
  <si>
    <t>张雨剑吐槽宋茜发红包</t>
  </si>
  <si>
    <t xml:space="preserve"> 2020-02-13 13:24:02</t>
  </si>
  <si>
    <t xml:space="preserve"> 2020-02-12 22:30:01</t>
  </si>
  <si>
    <t>一条劳力士的回家路</t>
  </si>
  <si>
    <t xml:space="preserve"> 2020-02-13 13:14:02</t>
  </si>
  <si>
    <t xml:space="preserve"> 2020-02-12 22:00:02</t>
  </si>
  <si>
    <t>木子洋直播哄孩子</t>
  </si>
  <si>
    <t xml:space="preserve"> 2020-02-13 09:14:01</t>
  </si>
  <si>
    <t xml:space="preserve"> 2020-02-12 22:32:02</t>
  </si>
  <si>
    <t>钟南山团队发布复工防护要点</t>
  </si>
  <si>
    <t xml:space="preserve"> 2020-02-13 12:56:02</t>
  </si>
  <si>
    <t xml:space="preserve"> 2020-02-12 20:00:02</t>
  </si>
  <si>
    <t>原来体育课的梗是真的</t>
  </si>
  <si>
    <t xml:space="preserve"> 2020-02-13 13:12:02</t>
  </si>
  <si>
    <t xml:space="preserve"> 2020-02-12 21:52:01</t>
  </si>
  <si>
    <t>万万没想到这个愿望成真了</t>
  </si>
  <si>
    <t xml:space="preserve"> 2020-02-13 11:12:02</t>
  </si>
  <si>
    <t xml:space="preserve"> 2020-02-12 19:10:02</t>
  </si>
  <si>
    <t>钟南山弟子兼职做主播</t>
  </si>
  <si>
    <t xml:space="preserve"> 2020-02-13 12:22:02</t>
  </si>
  <si>
    <t xml:space="preserve"> 2020-02-12 20:12:01</t>
  </si>
  <si>
    <t>情人节送礼等级表</t>
  </si>
  <si>
    <t xml:space="preserve"> 2020-02-12 21:54:01</t>
  </si>
  <si>
    <t>一人扛起一整条生产线</t>
  </si>
  <si>
    <t xml:space="preserve"> 2020-02-13 12:32:02</t>
  </si>
  <si>
    <t xml:space="preserve"> 2020-02-12 22:20:02</t>
  </si>
  <si>
    <t>柯洁直播教围棋</t>
  </si>
  <si>
    <t xml:space="preserve"> 2020-02-13 12:20:02</t>
  </si>
  <si>
    <t xml:space="preserve"> 2020-02-12 22:14:01</t>
  </si>
  <si>
    <t>网课老师抽查作业的方式</t>
  </si>
  <si>
    <t xml:space="preserve"> 2020-02-12 20:42:02</t>
  </si>
  <si>
    <t>江苏徐州一高铁保洁员检测呈阳性</t>
  </si>
  <si>
    <t xml:space="preserve"> 2020-02-12 22:42:02</t>
  </si>
  <si>
    <t>情人节隔空约会妆</t>
  </si>
  <si>
    <t xml:space="preserve"> 2020-02-13 13:06:01</t>
  </si>
  <si>
    <t xml:space="preserve"> 2020-02-12 22:28:02</t>
  </si>
  <si>
    <t>日本芭蕾舞团唱中国国歌</t>
  </si>
  <si>
    <t xml:space="preserve"> 2020-02-13 11:28:02</t>
  </si>
  <si>
    <t xml:space="preserve"> 2020-02-12 19:28:01</t>
  </si>
  <si>
    <t>四川人教湖北人怎么吃儿菜</t>
  </si>
  <si>
    <t xml:space="preserve"> 2020-02-12 23:22:02</t>
  </si>
  <si>
    <t>一线医护的真实工作状态</t>
  </si>
  <si>
    <t xml:space="preserve"> 2020-02-13 10:36:02</t>
  </si>
  <si>
    <t xml:space="preserve"> 2020-02-12 19:40:02</t>
  </si>
  <si>
    <t>日本发生5.2级地震</t>
  </si>
  <si>
    <t xml:space="preserve"> 2020-02-12 20:50:02</t>
  </si>
  <si>
    <t>国务院常务会议 防止大规模裁员</t>
  </si>
  <si>
    <t xml:space="preserve"> 2020-02-13 10:34:02</t>
  </si>
  <si>
    <t xml:space="preserve"> 2020-02-12 21:02:02</t>
  </si>
  <si>
    <t>高医生不是小红袄</t>
  </si>
  <si>
    <t xml:space="preserve"> 2020-02-13 11:08:02</t>
  </si>
  <si>
    <t>等能出门了我也这样走</t>
  </si>
  <si>
    <t xml:space="preserve"> 2020-02-13 10:14:01</t>
  </si>
  <si>
    <t>衢州巨响</t>
  </si>
  <si>
    <t xml:space="preserve"> 2020-02-13 09:22:02</t>
  </si>
  <si>
    <t>张天 陈奕辰</t>
  </si>
  <si>
    <t xml:space="preserve"> 2020-02-13 10:04:01</t>
  </si>
  <si>
    <t xml:space="preserve"> 2020-02-12 21:38:01</t>
  </si>
  <si>
    <t>云南所有公共场所扫码入出</t>
  </si>
  <si>
    <t xml:space="preserve"> 2020-02-13 08:34:02</t>
  </si>
  <si>
    <t>湖北籍空姐哽咽播报</t>
  </si>
  <si>
    <t xml:space="preserve"> 2020-02-12 19:52:02</t>
  </si>
  <si>
    <t>新冠肺炎夫妻通过视频见到宝宝</t>
  </si>
  <si>
    <t xml:space="preserve"> 2020-02-13 07:18:02</t>
  </si>
  <si>
    <t xml:space="preserve"> 2020-02-12 16:18:02</t>
  </si>
  <si>
    <t>易烊千玺金像奖双提名</t>
  </si>
  <si>
    <t xml:space="preserve"> 2020-02-13 07:46:01</t>
  </si>
  <si>
    <t xml:space="preserve"> 2020-02-12 17:12:02</t>
  </si>
  <si>
    <t>过年后第一次化妆</t>
  </si>
  <si>
    <t xml:space="preserve"> 2020-02-13 08:00:02</t>
  </si>
  <si>
    <t xml:space="preserve"> 2020-02-12 18:30:01</t>
  </si>
  <si>
    <t>福建莆田一村庄24例聚集性疫情</t>
  </si>
  <si>
    <t xml:space="preserve"> 2020-02-13 10:06:01</t>
  </si>
  <si>
    <t xml:space="preserve"> 2020-02-12 18:42:01</t>
  </si>
  <si>
    <t>北京将迎局地暴雪</t>
  </si>
  <si>
    <t xml:space="preserve"> 2020-02-13 07:32:02</t>
  </si>
  <si>
    <t xml:space="preserve"> 2020-02-12 17:34:01</t>
  </si>
  <si>
    <t>妈妈在家做的麻花</t>
  </si>
  <si>
    <t xml:space="preserve"> 2020-02-13 07:08:01</t>
  </si>
  <si>
    <t xml:space="preserve"> 2020-02-12 17:14:01</t>
  </si>
  <si>
    <t>体育老师是如何上网课的</t>
  </si>
  <si>
    <t xml:space="preserve"> 2020-02-13 07:16:02</t>
  </si>
  <si>
    <t xml:space="preserve"> 2020-02-12 16:12:02</t>
  </si>
  <si>
    <t>周冬雨入围金像奖最佳女主角</t>
  </si>
  <si>
    <t xml:space="preserve"> 2020-02-13 07:42:02</t>
  </si>
  <si>
    <t xml:space="preserve"> 2020-02-12 17:42:02</t>
  </si>
  <si>
    <t>湖北学生返校要等解除人员流动管控</t>
  </si>
  <si>
    <t xml:space="preserve"> 2020-02-13 07:12:01</t>
  </si>
  <si>
    <t xml:space="preserve"> 2020-02-12 19:24:01</t>
  </si>
  <si>
    <t>教师资格考试及认定推迟</t>
  </si>
  <si>
    <t xml:space="preserve"> 2020-02-14 11:36:02</t>
  </si>
  <si>
    <t xml:space="preserve"> 2020-02-13 11:36:02</t>
  </si>
  <si>
    <t>湖北省委主要负责同志职务调整</t>
  </si>
  <si>
    <t xml:space="preserve"> 2020-02-13 17:34:01</t>
  </si>
  <si>
    <t xml:space="preserve"> 2020-02-13 08:02:02</t>
  </si>
  <si>
    <t>湖北新增14840例新冠肺炎</t>
  </si>
  <si>
    <t xml:space="preserve"> 2020-02-13 16:36:02</t>
  </si>
  <si>
    <t xml:space="preserve"> 2020-02-13 09:52:01</t>
  </si>
  <si>
    <t>4次检测阴性第5次才确诊</t>
  </si>
  <si>
    <t xml:space="preserve"> 2020-02-13 19:22:02</t>
  </si>
  <si>
    <t xml:space="preserve"> 2020-02-13 10:44:01</t>
  </si>
  <si>
    <t>科比生前短信</t>
  </si>
  <si>
    <t xml:space="preserve"> 2020-02-13 17:46:02</t>
  </si>
  <si>
    <t>歌手取消现场大众听审团</t>
  </si>
  <si>
    <t xml:space="preserve"> 2020-02-13 16:20:02</t>
  </si>
  <si>
    <t>运20 天河机场</t>
  </si>
  <si>
    <t xml:space="preserve"> 2020-02-13 16:32:01</t>
  </si>
  <si>
    <t xml:space="preserve"> 2020-02-13 10:58:01</t>
  </si>
  <si>
    <t>花木兰动图</t>
  </si>
  <si>
    <t xml:space="preserve"> 2020-02-13 13:54:01</t>
  </si>
  <si>
    <t xml:space="preserve"> 2020-02-13 07:34:02</t>
  </si>
  <si>
    <t>疑似或确诊孕产妇产检和分娩定点医院</t>
  </si>
  <si>
    <t xml:space="preserve"> 2020-02-13 15:48:02</t>
  </si>
  <si>
    <t>军队增派2600名医护人员支援武汉</t>
  </si>
  <si>
    <t xml:space="preserve"> 2020-02-13 14:16:02</t>
  </si>
  <si>
    <t xml:space="preserve"> 2020-02-13 08:30:02</t>
  </si>
  <si>
    <t>俄外交部发言人用中文为中国加油</t>
  </si>
  <si>
    <t xml:space="preserve"> 2020-02-13 13:46:02</t>
  </si>
  <si>
    <t xml:space="preserve"> 2020-02-13 07:14:02</t>
  </si>
  <si>
    <t>董明珠问鼎福布斯中国最杰出商界女性</t>
  </si>
  <si>
    <t xml:space="preserve"> 2020-02-13 13:20:01</t>
  </si>
  <si>
    <t xml:space="preserve"> 2020-02-13 07:48:02</t>
  </si>
  <si>
    <t>专家福尔摩斯式破解聚集性疫情</t>
  </si>
  <si>
    <t xml:space="preserve"> 2020-02-13 13:16:01</t>
  </si>
  <si>
    <t>湖北十堰张湾区实施战时管制</t>
  </si>
  <si>
    <t xml:space="preserve"> 2020-02-13 18:38:02</t>
  </si>
  <si>
    <t>光良50岁</t>
  </si>
  <si>
    <t xml:space="preserve"> 2020-02-13 18:04:02</t>
  </si>
  <si>
    <t>高秀贞死因</t>
  </si>
  <si>
    <t xml:space="preserve"> 2020-02-13 15:26:02</t>
  </si>
  <si>
    <t xml:space="preserve"> 2020-02-13 11:14:02</t>
  </si>
  <si>
    <t>天津公开第三例死亡病例抢救措施</t>
  </si>
  <si>
    <t xml:space="preserve"> 2020-02-13 16:18:02</t>
  </si>
  <si>
    <t xml:space="preserve"> 2020-02-13 08:06:02</t>
  </si>
  <si>
    <t>女生的朋友圈平等观</t>
  </si>
  <si>
    <t>刘寿祥</t>
  </si>
  <si>
    <t xml:space="preserve"> 2020-02-13 14:36:02</t>
  </si>
  <si>
    <t>95后男护士病房内带患者打太极</t>
  </si>
  <si>
    <t xml:space="preserve"> 2020-02-13 14:46:02</t>
  </si>
  <si>
    <t xml:space="preserve"> 2020-02-13 09:24:02</t>
  </si>
  <si>
    <t>捐赠者中华儿女</t>
  </si>
  <si>
    <t xml:space="preserve"> 2020-02-13 10:38:02</t>
  </si>
  <si>
    <t>夜宵正确的打开方式</t>
  </si>
  <si>
    <t xml:space="preserve"> 2020-02-13 15:06:02</t>
  </si>
  <si>
    <t xml:space="preserve"> 2020-02-13 11:06:02</t>
  </si>
  <si>
    <t>恋与制作人进不去</t>
  </si>
  <si>
    <t xml:space="preserve"> 2020-02-13 14:34:01</t>
  </si>
  <si>
    <t xml:space="preserve"> 2020-02-13 07:10:02</t>
  </si>
  <si>
    <t>美国放全球最大烟花</t>
  </si>
  <si>
    <t xml:space="preserve"> 2020-02-13 13:56:02</t>
  </si>
  <si>
    <t xml:space="preserve"> 2020-02-13 10:50:02</t>
  </si>
  <si>
    <t>疫情期间妨害公务被判10个月</t>
  </si>
  <si>
    <t xml:space="preserve"> 2020-02-13 13:22:01</t>
  </si>
  <si>
    <t xml:space="preserve"> 2020-02-13 11:10:02</t>
  </si>
  <si>
    <t>西藏连续14天无新增病例</t>
  </si>
  <si>
    <t xml:space="preserve"> 2020-02-13 13:36:02</t>
  </si>
  <si>
    <t>雨后的天空到底有多美</t>
  </si>
  <si>
    <t xml:space="preserve"> 2020-02-13 13:08:01</t>
  </si>
  <si>
    <t xml:space="preserve"> 2020-02-13 10:08:01</t>
  </si>
  <si>
    <t>12日新增1485人驰援湖北</t>
  </si>
  <si>
    <t xml:space="preserve"> 2020-02-13 09:16:01</t>
  </si>
  <si>
    <t>世界移动通信大会取消</t>
  </si>
  <si>
    <t xml:space="preserve"> 2020-02-13 12:34:02</t>
  </si>
  <si>
    <t xml:space="preserve"> 2020-02-13 07:22:02</t>
  </si>
  <si>
    <t>黑龙江316人医疗队驰援湖北孝感</t>
  </si>
  <si>
    <t xml:space="preserve"> 2020-02-14 09:22:01</t>
  </si>
  <si>
    <t xml:space="preserve"> 2020-02-13 19:02:02</t>
  </si>
  <si>
    <t>武汉感染人数未摸清</t>
  </si>
  <si>
    <t xml:space="preserve"> 2020-02-14 10:40:02</t>
  </si>
  <si>
    <t xml:space="preserve"> 2020-02-13 22:06:01</t>
  </si>
  <si>
    <t>金银潭医院恳请康复患者捐献血浆</t>
  </si>
  <si>
    <t xml:space="preserve"> 2020-02-14 09:42:01</t>
  </si>
  <si>
    <t>童朝晖 新冠肺炎比SARS病情进展快</t>
  </si>
  <si>
    <t xml:space="preserve"> 2020-02-14 11:32:01</t>
  </si>
  <si>
    <t xml:space="preserve"> 2020-02-13 22:50:01</t>
  </si>
  <si>
    <t>乐华娱乐声明</t>
  </si>
  <si>
    <t xml:space="preserve"> 2020-02-14 10:36:02</t>
  </si>
  <si>
    <t xml:space="preserve"> 2020-02-13 21:26:02</t>
  </si>
  <si>
    <t>黄雅莉帮妹妹追星王一博</t>
  </si>
  <si>
    <t xml:space="preserve"> 2020-02-14 11:12:01</t>
  </si>
  <si>
    <t xml:space="preserve"> 2020-02-13 20:48:01</t>
  </si>
  <si>
    <t>黄智博</t>
  </si>
  <si>
    <t xml:space="preserve"> 2020-02-14 12:12:02</t>
  </si>
  <si>
    <t xml:space="preserve"> 2020-02-13 22:44:02</t>
  </si>
  <si>
    <t>张挪富 有可能出现其他病毒传播途径</t>
  </si>
  <si>
    <t xml:space="preserve"> 2020-02-14 08:44:02</t>
  </si>
  <si>
    <t xml:space="preserve"> 2020-02-13 21:30:02</t>
  </si>
  <si>
    <t>贺繁星再次拒绝元宋</t>
  </si>
  <si>
    <t xml:space="preserve"> 2020-02-14 09:56:02</t>
  </si>
  <si>
    <t xml:space="preserve"> 2020-02-13 21:54:01</t>
  </si>
  <si>
    <t>小红袄是十七</t>
  </si>
  <si>
    <t xml:space="preserve"> 2020-02-14 10:48:02</t>
  </si>
  <si>
    <t>蔡敏敏赚钱给贺灿阳和舅舅</t>
  </si>
  <si>
    <t xml:space="preserve"> 2020-02-14 08:10:01</t>
  </si>
  <si>
    <t xml:space="preserve"> 2020-02-13 17:20:02</t>
  </si>
  <si>
    <t>6毛进价口罩卖1元被罚将重启调查</t>
  </si>
  <si>
    <t xml:space="preserve"> 2020-02-14 07:36:02</t>
  </si>
  <si>
    <t xml:space="preserve"> 2020-02-13 17:32:01</t>
  </si>
  <si>
    <t>哪吒之象牙山降世</t>
  </si>
  <si>
    <t xml:space="preserve"> 2020-02-14 04:24:01</t>
  </si>
  <si>
    <t xml:space="preserve"> 2020-02-13 18:22:02</t>
  </si>
  <si>
    <t>李准壮了</t>
  </si>
  <si>
    <t xml:space="preserve"> 2020-02-14 07:02:01</t>
  </si>
  <si>
    <t xml:space="preserve"> 2020-02-13 19:48:02</t>
  </si>
  <si>
    <t>孝感黄冈等地要采取武汉同等措施</t>
  </si>
  <si>
    <t xml:space="preserve"> 2020-02-14 11:24:01</t>
  </si>
  <si>
    <t xml:space="preserve"> 2020-02-13 16:22:02</t>
  </si>
  <si>
    <t>全国累计确诊新冠肺炎59804例</t>
  </si>
  <si>
    <t xml:space="preserve"> 2020-02-13 23:14:01</t>
  </si>
  <si>
    <t>比伯为中国捐款</t>
  </si>
  <si>
    <t xml:space="preserve"> 2020-02-14 13:28:02</t>
  </si>
  <si>
    <t xml:space="preserve"> 2020-02-13 23:12:01</t>
  </si>
  <si>
    <t>沈肯尼</t>
  </si>
  <si>
    <t xml:space="preserve"> 2020-02-14 12:02:01</t>
  </si>
  <si>
    <t xml:space="preserve"> 2020-02-13 22:48:01</t>
  </si>
  <si>
    <t>小猪姐姐仿妆</t>
  </si>
  <si>
    <t xml:space="preserve"> 2020-02-14 10:12:02</t>
  </si>
  <si>
    <t xml:space="preserve"> 2020-02-13 22:14:01</t>
  </si>
  <si>
    <t>西北大学考研成绩</t>
  </si>
  <si>
    <t xml:space="preserve"> 2020-02-14 12:56:01</t>
  </si>
  <si>
    <t xml:space="preserve"> 2020-02-13 23:20:01</t>
  </si>
  <si>
    <t>印度大批男子闯女校猥亵学生</t>
  </si>
  <si>
    <t xml:space="preserve"> 2020-02-14 12:30:02</t>
  </si>
  <si>
    <t>东华撞见凤九洗澡</t>
  </si>
  <si>
    <t>只有男人之间才有的默契</t>
  </si>
  <si>
    <t xml:space="preserve"> 2020-02-14 09:40:01</t>
  </si>
  <si>
    <t xml:space="preserve"> 2020-02-13 19:08:01</t>
  </si>
  <si>
    <t>一家7口不在意亲戚确诊全部感染</t>
  </si>
  <si>
    <t xml:space="preserve"> 2020-02-14 09:48:02</t>
  </si>
  <si>
    <t xml:space="preserve"> 2020-02-13 22:20:01</t>
  </si>
  <si>
    <t>条件不允许我宅</t>
  </si>
  <si>
    <t xml:space="preserve"> 2020-02-14 09:04:01</t>
  </si>
  <si>
    <t xml:space="preserve"> 2020-02-13 20:14:01</t>
  </si>
  <si>
    <t>水彩画家刘寿祥因新冠肺炎去世</t>
  </si>
  <si>
    <t xml:space="preserve"> 2020-02-14 12:08:01</t>
  </si>
  <si>
    <t xml:space="preserve"> 2020-02-13 21:50:01</t>
  </si>
  <si>
    <t>加强对湖北及武汉纪检监察工作指导</t>
  </si>
  <si>
    <t>推迟部分职业资格考试报名</t>
  </si>
  <si>
    <t xml:space="preserve"> 2020-02-14 08:12:01</t>
  </si>
  <si>
    <t xml:space="preserve"> 2020-02-13 21:08:02</t>
  </si>
  <si>
    <t>演唱会求婚有多浪漫</t>
  </si>
  <si>
    <t xml:space="preserve"> 2020-02-14 08:16:01</t>
  </si>
  <si>
    <t xml:space="preserve"> 2020-02-13 22:00:02</t>
  </si>
  <si>
    <t>AXX 厉害</t>
  </si>
  <si>
    <t xml:space="preserve"> 2020-02-14 07:32:02</t>
  </si>
  <si>
    <t xml:space="preserve"> 2020-02-13 22:52:02</t>
  </si>
  <si>
    <t>广西3月1日前不得开学</t>
  </si>
  <si>
    <t xml:space="preserve"> 2020-02-13 21:44:02</t>
  </si>
  <si>
    <t>以前放假和这次放假的区别</t>
  </si>
  <si>
    <t>蒋超良不再担任湖北省委书记</t>
  </si>
  <si>
    <t xml:space="preserve"> 2020-02-14 08:26:01</t>
  </si>
  <si>
    <t xml:space="preserve"> 2020-02-13 19:26:02</t>
  </si>
  <si>
    <t>千岛群岛发生7.0级地震</t>
  </si>
  <si>
    <t xml:space="preserve"> 2020-02-14 07:34:02</t>
  </si>
  <si>
    <t xml:space="preserve"> 2020-02-13 19:52:01</t>
  </si>
  <si>
    <t>妈妈如何叫老师起床</t>
  </si>
  <si>
    <t xml:space="preserve"> 2020-02-14 07:42:02</t>
  </si>
  <si>
    <t xml:space="preserve"> 2020-02-13 17:40:01</t>
  </si>
  <si>
    <t>首尔市市长说现在该是报恩的时候了</t>
  </si>
  <si>
    <t xml:space="preserve"> 2020-02-13 22:58:01</t>
  </si>
  <si>
    <t>夫妻殴打防疫人员被判刑</t>
  </si>
  <si>
    <t xml:space="preserve"> 2020-02-14 09:02:01</t>
  </si>
  <si>
    <t xml:space="preserve"> 2020-02-13 20:52:01</t>
  </si>
  <si>
    <t>放假被迫带娃的哥哥们</t>
  </si>
  <si>
    <t xml:space="preserve"> 2020-02-14 07:30:02</t>
  </si>
  <si>
    <t xml:space="preserve"> 2020-02-13 20:26:01</t>
  </si>
  <si>
    <t>日本出现首例新冠肺炎死亡病例</t>
  </si>
  <si>
    <t xml:space="preserve"> 2020-02-13 19:40:02</t>
  </si>
  <si>
    <t>医护人员防护服上写周黑鸭热干面</t>
  </si>
  <si>
    <t xml:space="preserve"> 2020-02-14 00:20:01</t>
  </si>
  <si>
    <t xml:space="preserve"> 2020-02-13 23:50:02</t>
  </si>
  <si>
    <t>方舱医院斗舞大赛</t>
  </si>
  <si>
    <t xml:space="preserve"> 2020-02-13 18:10:01</t>
  </si>
  <si>
    <t>任嘉伦 时尚芭莎封面</t>
  </si>
  <si>
    <t xml:space="preserve"> 2020-02-14 00:16:01</t>
  </si>
  <si>
    <t>第一次见猫打石膏</t>
  </si>
  <si>
    <t xml:space="preserve"> 2020-02-14 07:24:02</t>
  </si>
  <si>
    <t xml:space="preserve"> 2020-02-13 21:10:02</t>
  </si>
  <si>
    <t>3月ACCA考试取消</t>
  </si>
  <si>
    <t xml:space="preserve"> 2020-02-13 20:28:01</t>
  </si>
  <si>
    <t>一次家庭聚会10人确诊</t>
  </si>
  <si>
    <t>银行回应员工穿防护服摆拍</t>
  </si>
  <si>
    <t xml:space="preserve"> 2020-02-14 07:20:01</t>
  </si>
  <si>
    <t>武汉理发师为医疗队免费理发</t>
  </si>
  <si>
    <t xml:space="preserve"> 2020-02-13 23:22:01</t>
  </si>
  <si>
    <t>促进中医药深度介入诊疗</t>
  </si>
  <si>
    <t xml:space="preserve"> 2020-02-14 18:00:02</t>
  </si>
  <si>
    <t xml:space="preserve"> 2020-02-14 10:26:02</t>
  </si>
  <si>
    <t>科比妻子宣布曼巴基金改名</t>
  </si>
  <si>
    <t xml:space="preserve"> 2020-02-16 08:56:02</t>
  </si>
  <si>
    <t xml:space="preserve"> 2020-02-14 11:38:02</t>
  </si>
  <si>
    <t>多地明确延迟开学时间可用暑期补齐</t>
  </si>
  <si>
    <t xml:space="preserve"> 2020-02-14 14:46:01</t>
  </si>
  <si>
    <t xml:space="preserve"> 2020-02-14 10:10:02</t>
  </si>
  <si>
    <t>1岁重型新冠肺炎宝宝康复出院</t>
  </si>
  <si>
    <t xml:space="preserve"> 2020-02-14 18:26:02</t>
  </si>
  <si>
    <t>一天上百万支玫瑰被销毁</t>
  </si>
  <si>
    <t xml:space="preserve"> 2020-02-14 16:40:01</t>
  </si>
  <si>
    <t xml:space="preserve"> 2020-02-14 08:28:01</t>
  </si>
  <si>
    <t>陈伟霆</t>
  </si>
  <si>
    <t xml:space="preserve"> 2020-02-14 18:08:01</t>
  </si>
  <si>
    <t xml:space="preserve"> 2020-02-14 09:44:01</t>
  </si>
  <si>
    <t>0214的意思</t>
  </si>
  <si>
    <t xml:space="preserve"> 2020-02-14 17:56:01</t>
  </si>
  <si>
    <t xml:space="preserve"> 2020-02-14 08:40:02</t>
  </si>
  <si>
    <t>情侣头像</t>
  </si>
  <si>
    <t xml:space="preserve"> 2020-02-14 15:02:02</t>
  </si>
  <si>
    <t xml:space="preserve"> 2020-02-14 08:14:01</t>
  </si>
  <si>
    <t>湖北新增4823例新冠肺炎</t>
  </si>
  <si>
    <t xml:space="preserve"> 2020-02-14 15:20:02</t>
  </si>
  <si>
    <t xml:space="preserve"> 2020-02-14 07:44:02</t>
  </si>
  <si>
    <t>李佳琦直播追星华晨宇</t>
  </si>
  <si>
    <t xml:space="preserve"> 2020-02-14 14:38:02</t>
  </si>
  <si>
    <t xml:space="preserve"> 2020-02-14 11:28:01</t>
  </si>
  <si>
    <t>江苏新增新冠肺炎23例</t>
  </si>
  <si>
    <t xml:space="preserve"> 2020-02-14 13:26:02</t>
  </si>
  <si>
    <t xml:space="preserve"> 2020-02-14 09:06:01</t>
  </si>
  <si>
    <t>特殊时期北京毕业生就业新政</t>
  </si>
  <si>
    <t xml:space="preserve"> 2020-02-14 13:52:02</t>
  </si>
  <si>
    <t xml:space="preserve"> 2020-02-14 07:04:01</t>
  </si>
  <si>
    <t>治疗性新冠特免血浆制品已投入临床</t>
  </si>
  <si>
    <t xml:space="preserve"> 2020-02-14 14:20:02</t>
  </si>
  <si>
    <t>患者康复后体内含抗体</t>
  </si>
  <si>
    <t xml:space="preserve"> 2020-02-14 18:52:01</t>
  </si>
  <si>
    <t xml:space="preserve"> 2020-02-14 00:14:01</t>
  </si>
  <si>
    <t>情人节</t>
  </si>
  <si>
    <t xml:space="preserve"> 2020-02-14 18:48:01</t>
  </si>
  <si>
    <t>美国华盛顿市中心发生枪击案</t>
  </si>
  <si>
    <t xml:space="preserve"> 2020-02-14 21:20:02</t>
  </si>
  <si>
    <t xml:space="preserve"> 2020-02-14 11:08:01</t>
  </si>
  <si>
    <t>佟年韩商言撒狗粮</t>
  </si>
  <si>
    <t xml:space="preserve"> 2020-02-14 18:06:01</t>
  </si>
  <si>
    <t>何炅谢娜易烊千玺合唱</t>
  </si>
  <si>
    <t xml:space="preserve"> 2020-02-15 13:42:01</t>
  </si>
  <si>
    <t xml:space="preserve"> 2020-02-14 10:16:02</t>
  </si>
  <si>
    <t>snkrs</t>
  </si>
  <si>
    <t xml:space="preserve"> 2020-02-14 16:30:01</t>
  </si>
  <si>
    <t xml:space="preserve"> 2020-02-14 09:24:01</t>
  </si>
  <si>
    <t>徐晔</t>
  </si>
  <si>
    <t xml:space="preserve"> 2020-02-14 15:28:01</t>
  </si>
  <si>
    <t xml:space="preserve"> 2020-02-14 07:22:02</t>
  </si>
  <si>
    <t>沈煜伦</t>
  </si>
  <si>
    <t xml:space="preserve"> 2020-02-14 13:30:01</t>
  </si>
  <si>
    <t>河南新增新冠肺炎15例</t>
  </si>
  <si>
    <t xml:space="preserve"> 2020-02-14 21:34:01</t>
  </si>
  <si>
    <t xml:space="preserve"> 2020-02-14 11:34:02</t>
  </si>
  <si>
    <t>情人节的朋友圈</t>
  </si>
  <si>
    <t xml:space="preserve"> 2020-02-14 17:20:02</t>
  </si>
  <si>
    <t xml:space="preserve"> 2020-02-14 10:50:01</t>
  </si>
  <si>
    <t>霸王别姬韩国重映</t>
  </si>
  <si>
    <t xml:space="preserve"> 2020-02-14 16:16:02</t>
  </si>
  <si>
    <t xml:space="preserve"> 2020-02-14 11:40:02</t>
  </si>
  <si>
    <t>不得要求教师在正常休息时间授课</t>
  </si>
  <si>
    <t xml:space="preserve"> 2020-02-14 16:06:02</t>
  </si>
  <si>
    <t xml:space="preserve"> 2020-02-14 11:42:01</t>
  </si>
  <si>
    <t>女子连闯3个防疫卡点</t>
  </si>
  <si>
    <t xml:space="preserve"> 2020-02-14 14:12:02</t>
  </si>
  <si>
    <t xml:space="preserve"> 2020-02-14 10:54:01</t>
  </si>
  <si>
    <t>全国多名基层干部获火线提拔</t>
  </si>
  <si>
    <t xml:space="preserve"> 2020-02-14 18:18:02</t>
  </si>
  <si>
    <t>宅家自制神仙奶茶</t>
  </si>
  <si>
    <t xml:space="preserve"> 2020-02-14 14:04:02</t>
  </si>
  <si>
    <t>当爱情遇上疫情</t>
  </si>
  <si>
    <t xml:space="preserve"> 2020-02-14 10:56:01</t>
  </si>
  <si>
    <t>全国累计确诊新冠肺炎63851例</t>
  </si>
  <si>
    <t xml:space="preserve"> 2020-02-14 12:50:01</t>
  </si>
  <si>
    <t xml:space="preserve"> 2020-02-14 10:30:02</t>
  </si>
  <si>
    <t>布冯</t>
  </si>
  <si>
    <t>如梦令特效</t>
  </si>
  <si>
    <t xml:space="preserve"> 2020-02-14 15:08:02</t>
  </si>
  <si>
    <t>天津通过禁食野生动物决定</t>
  </si>
  <si>
    <t xml:space="preserve"> 2020-02-14 12:48:02</t>
  </si>
  <si>
    <t>在家健身翻车现场</t>
  </si>
  <si>
    <t xml:space="preserve"> 2020-02-14 12:16:02</t>
  </si>
  <si>
    <t>苏州护士在武汉的25岁生日</t>
  </si>
  <si>
    <t xml:space="preserve"> 2020-02-14 12:26:02</t>
  </si>
  <si>
    <t xml:space="preserve"> 2020-02-14 10:38:01</t>
  </si>
  <si>
    <t>浙江400名白衣战士驰援武汉</t>
  </si>
  <si>
    <t xml:space="preserve"> 2020-02-14 13:08:02</t>
  </si>
  <si>
    <t>难道就是惯性的力量吗</t>
  </si>
  <si>
    <t xml:space="preserve"> 2020-02-14 16:44:02</t>
  </si>
  <si>
    <t xml:space="preserve"> 2020-02-14 12:04:01</t>
  </si>
  <si>
    <t>日本旗袍女孩为武汉募集50万日元</t>
  </si>
  <si>
    <t xml:space="preserve"> 2020-02-14 12:38:01</t>
  </si>
  <si>
    <t>你最想上的一门网课</t>
  </si>
  <si>
    <t xml:space="preserve"> 2020-02-14 20:08:01</t>
  </si>
  <si>
    <t>河北省原副省长李谦被决定逮捕</t>
  </si>
  <si>
    <t xml:space="preserve"> 2020-02-14 14:08:02</t>
  </si>
  <si>
    <t>战疫下的武汉普通人</t>
  </si>
  <si>
    <t xml:space="preserve"> 2020-02-14 10:58:02</t>
  </si>
  <si>
    <t>俄罗斯报整版海报为武汉加油</t>
  </si>
  <si>
    <t xml:space="preserve"> 2020-02-14 12:28:02</t>
  </si>
  <si>
    <t xml:space="preserve"> 2020-02-14 11:00:02</t>
  </si>
  <si>
    <t>阿富汗小伙搜集2万只口罩捐武汉</t>
  </si>
  <si>
    <t xml:space="preserve"> 2020-02-14 12:10:02</t>
  </si>
  <si>
    <t xml:space="preserve"> 2020-02-14 10:08:02</t>
  </si>
  <si>
    <t>河北新增18例确诊病例</t>
  </si>
  <si>
    <t xml:space="preserve"> 2020-02-15 09:38:02</t>
  </si>
  <si>
    <t xml:space="preserve"> 2020-02-14 23:00:01</t>
  </si>
  <si>
    <t>毛不易淘汰</t>
  </si>
  <si>
    <t xml:space="preserve"> 2020-02-15 11:00:02</t>
  </si>
  <si>
    <t xml:space="preserve"> 2020-02-14 22:14:02</t>
  </si>
  <si>
    <t>吃中药后新冠肺炎患者紧张心理得到缓解</t>
  </si>
  <si>
    <t xml:space="preserve"> 2020-02-15 10:28:01</t>
  </si>
  <si>
    <t xml:space="preserve"> 2020-02-14 21:40:01</t>
  </si>
  <si>
    <t>湖北启动重大气象灾害三级响应</t>
  </si>
  <si>
    <t xml:space="preserve"> 2020-02-15 11:44:01</t>
  </si>
  <si>
    <t xml:space="preserve"> 2020-02-14 21:00:02</t>
  </si>
  <si>
    <t>宋雪怀孕</t>
  </si>
  <si>
    <t xml:space="preserve"> 2020-02-15 12:40:02</t>
  </si>
  <si>
    <t xml:space="preserve"> 2020-02-14 23:28:02</t>
  </si>
  <si>
    <t>黄子韬妈妈</t>
  </si>
  <si>
    <t xml:space="preserve"> 2020-02-15 08:00:02</t>
  </si>
  <si>
    <t xml:space="preserve"> 2020-02-14 22:26:02</t>
  </si>
  <si>
    <t>刘柏辛奇袭华晨宇</t>
  </si>
  <si>
    <t xml:space="preserve"> 2020-02-15 12:18:02</t>
  </si>
  <si>
    <t xml:space="preserve"> 2020-02-14 20:20:02</t>
  </si>
  <si>
    <t>海霞低头念稿</t>
  </si>
  <si>
    <t xml:space="preserve"> 2020-02-15 07:34:02</t>
  </si>
  <si>
    <t xml:space="preserve"> 2020-02-14 22:46:02</t>
  </si>
  <si>
    <t>4人已接受康复者血浆治疗法</t>
  </si>
  <si>
    <t xml:space="preserve"> 2020-02-15 09:48:02</t>
  </si>
  <si>
    <t xml:space="preserve"> 2020-02-14 19:54:02</t>
  </si>
  <si>
    <t>武汉保卫战湖北保卫战全面总攻</t>
  </si>
  <si>
    <t xml:space="preserve"> 2020-02-15 08:18:01</t>
  </si>
  <si>
    <t xml:space="preserve"> 2020-02-14 22:24:02</t>
  </si>
  <si>
    <t>金海</t>
  </si>
  <si>
    <t xml:space="preserve"> 2020-02-15 08:20:01</t>
  </si>
  <si>
    <t xml:space="preserve"> 2020-02-14 21:56:02</t>
  </si>
  <si>
    <t>周深 愿得一心人</t>
  </si>
  <si>
    <t xml:space="preserve"> 2020-02-15 08:30:02</t>
  </si>
  <si>
    <t xml:space="preserve"> 2020-02-14 20:46:02</t>
  </si>
  <si>
    <t>耳机线缠腰挑战</t>
  </si>
  <si>
    <t xml:space="preserve"> 2020-02-15 08:38:02</t>
  </si>
  <si>
    <t xml:space="preserve"> 2020-02-14 23:46:02</t>
  </si>
  <si>
    <t>返京人员均应居家或集中观察14天</t>
  </si>
  <si>
    <t xml:space="preserve"> 2020-02-15 10:24:01</t>
  </si>
  <si>
    <t xml:space="preserve"> 2020-02-14 23:50:02</t>
  </si>
  <si>
    <t>张定宇动员妻子捐献血浆</t>
  </si>
  <si>
    <t xml:space="preserve"> 2020-02-15 00:36:02</t>
  </si>
  <si>
    <t xml:space="preserve"> 2020-02-14 16:08:02</t>
  </si>
  <si>
    <t>新蝙蝠侠造型</t>
  </si>
  <si>
    <t xml:space="preserve"> 2020-02-15 12:10:02</t>
  </si>
  <si>
    <t xml:space="preserve"> 2020-02-14 20:50:02</t>
  </si>
  <si>
    <t>京东口罩</t>
  </si>
  <si>
    <t xml:space="preserve"> 2020-02-15 15:40:02</t>
  </si>
  <si>
    <t>王子邓丽欣</t>
  </si>
  <si>
    <t xml:space="preserve"> 2020-02-15 08:04:02</t>
  </si>
  <si>
    <t xml:space="preserve"> 2020-02-14 23:12:02</t>
  </si>
  <si>
    <t>80万只医用N95级口罩运至武汉</t>
  </si>
  <si>
    <t xml:space="preserve"> 2020-02-15 09:26:02</t>
  </si>
  <si>
    <t xml:space="preserve"> 2020-02-14 22:02:02</t>
  </si>
  <si>
    <t>情人节内蒙古多地现幻日奇观</t>
  </si>
  <si>
    <t xml:space="preserve"> 2020-02-15 08:40:01</t>
  </si>
  <si>
    <t xml:space="preserve"> 2020-02-14 22:12:02</t>
  </si>
  <si>
    <t>医生通宵做26个CT坐在墙角睡着</t>
  </si>
  <si>
    <t xml:space="preserve"> 2020-04-04 02:46:02</t>
  </si>
  <si>
    <t xml:space="preserve"> 2020-01-28 17:16:01</t>
  </si>
  <si>
    <t>歌手</t>
  </si>
  <si>
    <t xml:space="preserve"> 2020-02-15 09:44:02</t>
  </si>
  <si>
    <t xml:space="preserve"> 2020-02-14 21:46:01</t>
  </si>
  <si>
    <t>太阳女神眼饰</t>
  </si>
  <si>
    <t xml:space="preserve"> 2020-02-14 21:28:02</t>
  </si>
  <si>
    <t>黄山景区向全国医护免票一年</t>
  </si>
  <si>
    <t xml:space="preserve"> 2020-02-15 09:58:01</t>
  </si>
  <si>
    <t xml:space="preserve"> 2020-02-14 21:42:02</t>
  </si>
  <si>
    <t>贺繁星元宋做回朋友</t>
  </si>
  <si>
    <t xml:space="preserve"> 2020-02-15 11:04:01</t>
  </si>
  <si>
    <t xml:space="preserve"> 2020-02-14 21:16:02</t>
  </si>
  <si>
    <t>央视girls</t>
  </si>
  <si>
    <t xml:space="preserve"> 2020-02-15 08:52:01</t>
  </si>
  <si>
    <t>毕书尽结婚</t>
  </si>
  <si>
    <t xml:space="preserve"> 2020-02-14 21:10:02</t>
  </si>
  <si>
    <t>情人节北京上千对新人登记结婚</t>
  </si>
  <si>
    <t xml:space="preserve"> 2020-02-14 18:50:01</t>
  </si>
  <si>
    <t>教育部调整网络学习资源</t>
  </si>
  <si>
    <t xml:space="preserve"> 2020-02-15 07:40:02</t>
  </si>
  <si>
    <t xml:space="preserve"> 2020-02-14 22:34:02</t>
  </si>
  <si>
    <t>王源温柔</t>
  </si>
  <si>
    <t xml:space="preserve"> 2020-02-15 10:40:02</t>
  </si>
  <si>
    <t xml:space="preserve"> 2020-02-14 22:00:02</t>
  </si>
  <si>
    <t>情人节还在营业的CP</t>
  </si>
  <si>
    <t>四川村民给武汉捐3吨折耳根</t>
  </si>
  <si>
    <t xml:space="preserve"> 2020-02-15 08:36:01</t>
  </si>
  <si>
    <t xml:space="preserve"> 2020-02-14 23:36:01</t>
  </si>
  <si>
    <t>武汉市武昌区5名干部被问责</t>
  </si>
  <si>
    <t xml:space="preserve"> 2020-02-14 22:06:02</t>
  </si>
  <si>
    <t>太极拳八段锦对患者有益</t>
  </si>
  <si>
    <t xml:space="preserve"> 2020-02-15 09:00:02</t>
  </si>
  <si>
    <t xml:space="preserve"> 2020-02-14 22:32:02</t>
  </si>
  <si>
    <t>火神山医患交流群</t>
  </si>
  <si>
    <t xml:space="preserve"> 2020-02-15 07:30:01</t>
  </si>
  <si>
    <t xml:space="preserve"> 2020-02-14 23:40:02</t>
  </si>
  <si>
    <t>小行星</t>
  </si>
  <si>
    <t xml:space="preserve"> 2020-02-15 00:52:01</t>
  </si>
  <si>
    <t xml:space="preserve"> 2020-02-14 18:30:02</t>
  </si>
  <si>
    <t>复工后上班有多难</t>
  </si>
  <si>
    <t xml:space="preserve"> 2020-02-15 07:58:02</t>
  </si>
  <si>
    <t xml:space="preserve"> 2020-02-14 18:28:02</t>
  </si>
  <si>
    <t>穿长颈鹿充气服去医院挂号</t>
  </si>
  <si>
    <t xml:space="preserve"> 2020-02-15 07:18:02</t>
  </si>
  <si>
    <t xml:space="preserve"> 2020-02-14 20:54:01</t>
  </si>
  <si>
    <t>2020情人节的真实状态</t>
  </si>
  <si>
    <t xml:space="preserve"> 2020-02-15 00:48:02</t>
  </si>
  <si>
    <t xml:space="preserve"> 2020-02-14 18:58:02</t>
  </si>
  <si>
    <t>网课班级群里的翻车现场</t>
  </si>
  <si>
    <t xml:space="preserve"> 2020-02-15 00:34:02</t>
  </si>
  <si>
    <t xml:space="preserve"> 2020-02-14 17:28:01</t>
  </si>
  <si>
    <t>不来武汉一辈子不会剪的发型</t>
  </si>
  <si>
    <t xml:space="preserve"> 2020-02-15 11:08:01</t>
  </si>
  <si>
    <t xml:space="preserve"> 2020-02-14 23:58:02</t>
  </si>
  <si>
    <t>近期上班的仪式感</t>
  </si>
  <si>
    <t xml:space="preserve"> 2020-02-15 10:26:01</t>
  </si>
  <si>
    <t>针对滞销农产品降低物流配送费用</t>
  </si>
  <si>
    <t xml:space="preserve"> 2020-02-15 00:04:02</t>
  </si>
  <si>
    <t>方舱医院医生给患者送花过节</t>
  </si>
  <si>
    <t xml:space="preserve"> 2020-02-14 19:26:02</t>
  </si>
  <si>
    <t>还是别人的爱情最甜</t>
  </si>
  <si>
    <t xml:space="preserve"> 2020-02-15 07:16:02</t>
  </si>
  <si>
    <t>国乒捐60万个口罩</t>
  </si>
  <si>
    <t xml:space="preserve"> 2020-02-15 00:54:02</t>
  </si>
  <si>
    <t xml:space="preserve"> 2020-02-14 15:56:02</t>
  </si>
  <si>
    <t>刘诗诗 芭莎封面</t>
  </si>
  <si>
    <t xml:space="preserve"> 2020-02-15 00:28:01</t>
  </si>
  <si>
    <t xml:space="preserve"> 2020-02-14 20:02:01</t>
  </si>
  <si>
    <t>蔡程昱直播</t>
  </si>
  <si>
    <t xml:space="preserve"> 2020-02-15 00:22:01</t>
  </si>
  <si>
    <t>疫情下的情人节</t>
  </si>
  <si>
    <t xml:space="preserve"> 2020-02-15 19:06:02</t>
  </si>
  <si>
    <t xml:space="preserve"> 2020-02-15 10:30:02</t>
  </si>
  <si>
    <t>湖北一半以上确诊病例都用中医药治疗</t>
  </si>
  <si>
    <t xml:space="preserve"> 2020-02-15 18:22:01</t>
  </si>
  <si>
    <t xml:space="preserve"> 2020-02-15 11:24:02</t>
  </si>
  <si>
    <t>6毛口罩卖1元平时售价几分钱</t>
  </si>
  <si>
    <t xml:space="preserve"> 2020-02-15 16:06:02</t>
  </si>
  <si>
    <t xml:space="preserve"> 2020-02-15 10:14:01</t>
  </si>
  <si>
    <t>已派出3支国家中医医疗队2220人</t>
  </si>
  <si>
    <t xml:space="preserve"> 2020-02-15 20:16:02</t>
  </si>
  <si>
    <t xml:space="preserve"> 2020-02-15 09:12:01</t>
  </si>
  <si>
    <t>何昊 道歉书</t>
  </si>
  <si>
    <t xml:space="preserve"> 2020-02-15 19:12:02</t>
  </si>
  <si>
    <t xml:space="preserve"> 2020-02-15 09:02:02</t>
  </si>
  <si>
    <t>毛不易发文</t>
  </si>
  <si>
    <t xml:space="preserve"> 2020-02-15 16:44:02</t>
  </si>
  <si>
    <t xml:space="preserve"> 2020-02-15 10:56:01</t>
  </si>
  <si>
    <t>央行向武汉调拨新钞40亿元</t>
  </si>
  <si>
    <t xml:space="preserve"> 2020-02-15 16:12:02</t>
  </si>
  <si>
    <t xml:space="preserve"> 2020-02-15 07:42:02</t>
  </si>
  <si>
    <t>新冠肺炎在非洲大陆首例确诊病例</t>
  </si>
  <si>
    <t xml:space="preserve"> 2020-02-15 16:22:02</t>
  </si>
  <si>
    <t xml:space="preserve"> 2020-02-15 00:38:01</t>
  </si>
  <si>
    <t>何炅做蛋糕</t>
  </si>
  <si>
    <t xml:space="preserve"> 2020-02-15 12:28:02</t>
  </si>
  <si>
    <t xml:space="preserve"> 2020-02-15 07:20:02</t>
  </si>
  <si>
    <t>张家界疾控中心科长躲疫情被撤职</t>
  </si>
  <si>
    <t xml:space="preserve"> 2020-02-16 06:18:02</t>
  </si>
  <si>
    <t>全国累计确诊新冠肺炎66492例</t>
  </si>
  <si>
    <t xml:space="preserve"> 2020-02-15 12:58:01</t>
  </si>
  <si>
    <t>武汉重症病例约占确诊和住院病例18%</t>
  </si>
  <si>
    <t xml:space="preserve"> 2020-02-15 14:04:02</t>
  </si>
  <si>
    <t xml:space="preserve"> 2020-02-15 07:32:02</t>
  </si>
  <si>
    <t>钟南山指导研制出快速检测试剂盒</t>
  </si>
  <si>
    <t xml:space="preserve"> 2020-02-15 21:34:02</t>
  </si>
  <si>
    <t xml:space="preserve"> 2020-02-15 11:46:01</t>
  </si>
  <si>
    <t>奔驰男</t>
  </si>
  <si>
    <t xml:space="preserve"> 2020-02-15 18:20:02</t>
  </si>
  <si>
    <t xml:space="preserve"> 2020-02-15 07:36:01</t>
  </si>
  <si>
    <t>刘柏辛是李佳琦堂妹</t>
  </si>
  <si>
    <t xml:space="preserve"> 2020-02-15 17:16:02</t>
  </si>
  <si>
    <t xml:space="preserve"> 2020-02-15 11:06:01</t>
  </si>
  <si>
    <t>东京马拉松恳请居住中国选手退赛</t>
  </si>
  <si>
    <t xml:space="preserve"> 2020-02-15 13:46:01</t>
  </si>
  <si>
    <t xml:space="preserve"> 2020-02-15 11:12:01</t>
  </si>
  <si>
    <t>春节后第二批中央冻猪肉储备投放完成</t>
  </si>
  <si>
    <t xml:space="preserve"> 2020-02-15 16:34:02</t>
  </si>
  <si>
    <t xml:space="preserve"> 2020-02-15 11:22:02</t>
  </si>
  <si>
    <t>科比追悼会门票收入将捐出</t>
  </si>
  <si>
    <t xml:space="preserve"> 2020-02-15 18:10:02</t>
  </si>
  <si>
    <t xml:space="preserve"> 2020-02-15 09:28:02</t>
  </si>
  <si>
    <t>新冠病毒显微镜彩照</t>
  </si>
  <si>
    <t xml:space="preserve"> 2020-02-15 14:58:02</t>
  </si>
  <si>
    <t xml:space="preserve"> 2020-02-15 08:32:02</t>
  </si>
  <si>
    <t>连鸡蛋都有清晰记录的捐赠明细</t>
  </si>
  <si>
    <t xml:space="preserve"> 2020-02-15 14:14:01</t>
  </si>
  <si>
    <t xml:space="preserve"> 2020-02-15 10:02:01</t>
  </si>
  <si>
    <t>可使心脏体外存活24小时的新设备</t>
  </si>
  <si>
    <t xml:space="preserve"> 2020-02-15 08:34:02</t>
  </si>
  <si>
    <t>老板真是捡到宝了</t>
  </si>
  <si>
    <t xml:space="preserve"> 2020-02-15 18:02:02</t>
  </si>
  <si>
    <t>何洛洛姓徐</t>
  </si>
  <si>
    <t xml:space="preserve"> 2020-02-15 13:38:02</t>
  </si>
  <si>
    <t>甘肃考研成绩</t>
  </si>
  <si>
    <t xml:space="preserve"> 2020-02-15 15:36:01</t>
  </si>
  <si>
    <t xml:space="preserve"> 2020-02-15 08:22:01</t>
  </si>
  <si>
    <t>武汉断崖式降温</t>
  </si>
  <si>
    <t xml:space="preserve"> 2020-02-15 14:36:02</t>
  </si>
  <si>
    <t xml:space="preserve"> 2020-02-15 09:34:02</t>
  </si>
  <si>
    <t>印度南部3000多人被隔离</t>
  </si>
  <si>
    <t xml:space="preserve"> 2020-02-15 15:52:02</t>
  </si>
  <si>
    <t xml:space="preserve"> 2020-02-15 08:12:01</t>
  </si>
  <si>
    <t>赵伊瑞连扇十几个耳光</t>
  </si>
  <si>
    <t xml:space="preserve"> 2020-02-15 16:48:02</t>
  </si>
  <si>
    <t xml:space="preserve"> 2020-02-15 00:56:01</t>
  </si>
  <si>
    <t>荆州</t>
  </si>
  <si>
    <t xml:space="preserve"> 2020-02-15 16:02:01</t>
  </si>
  <si>
    <t xml:space="preserve"> 2020-02-15 09:40:02</t>
  </si>
  <si>
    <t>国新办疫情防控发布会</t>
  </si>
  <si>
    <t>邵逸夫医院</t>
  </si>
  <si>
    <t xml:space="preserve"> 2020-02-15 13:06:02</t>
  </si>
  <si>
    <t xml:space="preserve"> 2020-02-15 08:54:01</t>
  </si>
  <si>
    <t>网警回应男子称被父亲派车接回荆州</t>
  </si>
  <si>
    <t xml:space="preserve"> 2020-02-15 11:50:01</t>
  </si>
  <si>
    <t>方舱医院内的考研哥</t>
  </si>
  <si>
    <t xml:space="preserve"> 2020-02-15 15:24:02</t>
  </si>
  <si>
    <t xml:space="preserve"> 2020-02-15 11:52:02</t>
  </si>
  <si>
    <t>武汉患者盼到解放军激动说谢谢</t>
  </si>
  <si>
    <t xml:space="preserve"> 2020-03-03 13:36:01</t>
  </si>
  <si>
    <t>蝗虫</t>
  </si>
  <si>
    <t xml:space="preserve"> 2020-02-15 13:02:02</t>
  </si>
  <si>
    <t xml:space="preserve"> 2020-02-15 10:54:01</t>
  </si>
  <si>
    <t>澳洲山火已基本可控</t>
  </si>
  <si>
    <t xml:space="preserve"> 2020-02-15 13:14:02</t>
  </si>
  <si>
    <t xml:space="preserve"> 2020-02-15 10:48:02</t>
  </si>
  <si>
    <t>被迫吃狗粮的你</t>
  </si>
  <si>
    <t xml:space="preserve"> 2020-02-15 12:50:02</t>
  </si>
  <si>
    <t>湖北以外新增病例11连降</t>
  </si>
  <si>
    <t xml:space="preserve"> 2020-02-15 17:38:01</t>
  </si>
  <si>
    <t xml:space="preserve"> 2020-02-15 12:06:02</t>
  </si>
  <si>
    <t>卫健委 湖北防控工作到了最吃紧的时候</t>
  </si>
  <si>
    <t xml:space="preserve"> 2020-02-15 13:58:02</t>
  </si>
  <si>
    <t xml:space="preserve"> 2020-02-15 12:02:02</t>
  </si>
  <si>
    <t>金融机构提供信贷支持超5370亿元</t>
  </si>
  <si>
    <t xml:space="preserve"> 2020-03-28 14:08:02</t>
  </si>
  <si>
    <t xml:space="preserve"> 2020-02-15 08:56:01</t>
  </si>
  <si>
    <t>下雪</t>
  </si>
  <si>
    <t>千万不要在床上办公</t>
  </si>
  <si>
    <t xml:space="preserve"> 2020-02-15 12:44:01</t>
  </si>
  <si>
    <t xml:space="preserve"> 2020-02-15 10:00:02</t>
  </si>
  <si>
    <t>此次调动医疗救援规模速度超汶川地震</t>
  </si>
  <si>
    <t xml:space="preserve"> 2020-02-15 12:08:01</t>
  </si>
  <si>
    <t xml:space="preserve"> 2020-02-15 08:58:02</t>
  </si>
  <si>
    <t>2020篮球名人堂最终候选名单</t>
  </si>
  <si>
    <t xml:space="preserve"> 2020-02-16 15:14:02</t>
  </si>
  <si>
    <t xml:space="preserve"> 2020-02-15 23:16:02</t>
  </si>
  <si>
    <t>新冠肺炎已开始在日本流行</t>
  </si>
  <si>
    <t xml:space="preserve"> 2020-02-16 08:36:02</t>
  </si>
  <si>
    <t xml:space="preserve"> 2020-02-15 19:42:01</t>
  </si>
  <si>
    <t>确诊小伙40多位密切接触者未被感染</t>
  </si>
  <si>
    <t xml:space="preserve"> 2020-02-16 08:50:01</t>
  </si>
  <si>
    <t xml:space="preserve"> 2020-02-15 20:52:01</t>
  </si>
  <si>
    <t>韩国乐天购物将关闭三成门店</t>
  </si>
  <si>
    <t xml:space="preserve"> 2020-02-16 11:30:02</t>
  </si>
  <si>
    <t xml:space="preserve"> 2020-02-15 21:18:01</t>
  </si>
  <si>
    <t>李佳琦向助理安利堂妹</t>
  </si>
  <si>
    <t xml:space="preserve"> 2020-02-16 10:42:02</t>
  </si>
  <si>
    <t xml:space="preserve"> 2020-02-15 21:54:02</t>
  </si>
  <si>
    <t>非诚勿扰 谢佳</t>
  </si>
  <si>
    <t xml:space="preserve"> 2020-02-16 12:32:02</t>
  </si>
  <si>
    <t xml:space="preserve"> 2020-02-15 22:54:02</t>
  </si>
  <si>
    <t>郭麒麟给范闲配音</t>
  </si>
  <si>
    <t xml:space="preserve"> 2020-02-16 09:08:01</t>
  </si>
  <si>
    <t xml:space="preserve"> 2020-02-15 22:30:01</t>
  </si>
  <si>
    <t>贺繁星贺灿阳互相威胁</t>
  </si>
  <si>
    <t xml:space="preserve"> 2020-02-16 12:24:02</t>
  </si>
  <si>
    <t xml:space="preserve"> 2020-02-15 19:24:01</t>
  </si>
  <si>
    <t>谭德塞驳斥外媒挑事提问力挺中国</t>
  </si>
  <si>
    <t xml:space="preserve"> 2020-02-16 09:34:02</t>
  </si>
  <si>
    <t xml:space="preserve"> 2020-02-15 21:52:02</t>
  </si>
  <si>
    <t>丁太升点评萨顶顶</t>
  </si>
  <si>
    <t xml:space="preserve"> 2020-02-16 10:22:02</t>
  </si>
  <si>
    <t xml:space="preserve"> 2020-02-15 21:42:02</t>
  </si>
  <si>
    <t>官方回应火神山医院漏水</t>
  </si>
  <si>
    <t xml:space="preserve"> 2020-02-16 07:52:02</t>
  </si>
  <si>
    <t xml:space="preserve"> 2020-02-15 18:16:02</t>
  </si>
  <si>
    <t>南极气温首破20度</t>
  </si>
  <si>
    <t xml:space="preserve"> 2020-02-16 07:38:02</t>
  </si>
  <si>
    <t xml:space="preserve"> 2020-02-15 21:36:01</t>
  </si>
  <si>
    <t>炎亚纶汪苏泷合唱</t>
  </si>
  <si>
    <t xml:space="preserve"> 2020-02-16 08:12:02</t>
  </si>
  <si>
    <t xml:space="preserve"> 2020-02-15 20:32:01</t>
  </si>
  <si>
    <t>中国体操队无缘世界杯墨尔本站</t>
  </si>
  <si>
    <t xml:space="preserve"> 2020-02-15 23:44:02</t>
  </si>
  <si>
    <t>不戴口罩不测体温不得进商场超市</t>
  </si>
  <si>
    <t xml:space="preserve"> 2020-02-16 10:28:02</t>
  </si>
  <si>
    <t xml:space="preserve"> 2020-02-15 22:46:01</t>
  </si>
  <si>
    <t>郝文婕牵手成功</t>
  </si>
  <si>
    <t xml:space="preserve"> 2020-02-16 08:04:01</t>
  </si>
  <si>
    <t xml:space="preserve"> 2020-02-15 21:14:02</t>
  </si>
  <si>
    <t>朋友圈才是雪量最大的地方</t>
  </si>
  <si>
    <t xml:space="preserve"> 2020-02-16 09:44:01</t>
  </si>
  <si>
    <t xml:space="preserve"> 2020-02-15 20:56:02</t>
  </si>
  <si>
    <t>能抗住怼脸镜头的颜值</t>
  </si>
  <si>
    <t xml:space="preserve"> 2020-02-16 13:06:02</t>
  </si>
  <si>
    <t xml:space="preserve"> 2020-02-15 23:02:02</t>
  </si>
  <si>
    <t>艾伦送花给陈乔恩</t>
  </si>
  <si>
    <t xml:space="preserve"> 2020-02-16 09:00:02</t>
  </si>
  <si>
    <t xml:space="preserve"> 2020-02-15 23:04:01</t>
  </si>
  <si>
    <t>疫情期间坐火车有哪些变化</t>
  </si>
  <si>
    <t xml:space="preserve"> 2020-02-16 10:36:02</t>
  </si>
  <si>
    <t xml:space="preserve"> 2020-02-15 23:12:02</t>
  </si>
  <si>
    <t>刘端端配音毒液</t>
  </si>
  <si>
    <t xml:space="preserve"> 2020-02-16 08:28:02</t>
  </si>
  <si>
    <t xml:space="preserve"> 2020-02-15 21:40:02</t>
  </si>
  <si>
    <t>火神山医院ICU不眠夜</t>
  </si>
  <si>
    <t xml:space="preserve"> 2020-02-16 11:20:02</t>
  </si>
  <si>
    <t xml:space="preserve"> 2020-02-15 22:48:02</t>
  </si>
  <si>
    <t>我妈叫我起床的四个步骤</t>
  </si>
  <si>
    <t xml:space="preserve"> 2020-02-16 11:00:01</t>
  </si>
  <si>
    <t xml:space="preserve"> 2020-02-15 23:48:02</t>
  </si>
  <si>
    <t>王耀庆配音白娘子传奇</t>
  </si>
  <si>
    <t xml:space="preserve"> 2020-02-16 11:04:02</t>
  </si>
  <si>
    <t>仝卓唱歌</t>
  </si>
  <si>
    <t xml:space="preserve"> 2020-02-16 08:26:02</t>
  </si>
  <si>
    <t xml:space="preserve"> 2019-12-19 13:52:02</t>
  </si>
  <si>
    <t>杭州下雪</t>
  </si>
  <si>
    <t xml:space="preserve"> 2020-02-16 11:08:02</t>
  </si>
  <si>
    <t>中国不会出现大规模通货膨胀</t>
  </si>
  <si>
    <t xml:space="preserve"> 2020-03-22 07:10:02</t>
  </si>
  <si>
    <t xml:space="preserve"> 2020-02-15 21:00:02</t>
  </si>
  <si>
    <t>天赐的声音</t>
  </si>
  <si>
    <t xml:space="preserve"> 2020-02-16 00:24:01</t>
  </si>
  <si>
    <t>B站直播崩了</t>
  </si>
  <si>
    <t xml:space="preserve"> 2020-02-16 07:06:02</t>
  </si>
  <si>
    <t xml:space="preserve"> 2020-02-15 18:04:01</t>
  </si>
  <si>
    <t>萧亚轩黄皓情人节大片</t>
  </si>
  <si>
    <t xml:space="preserve"> 2020-02-16 05:06:02</t>
  </si>
  <si>
    <t xml:space="preserve"> 2020-02-15 18:40:02</t>
  </si>
  <si>
    <t>想见你加拍新结局</t>
  </si>
  <si>
    <t xml:space="preserve"> 2020-02-16 09:32:02</t>
  </si>
  <si>
    <t xml:space="preserve"> 2020-02-15 20:30:02</t>
  </si>
  <si>
    <t>明星在家get了什么新技能</t>
  </si>
  <si>
    <t xml:space="preserve"> 2020-02-16 09:10:01</t>
  </si>
  <si>
    <t xml:space="preserve"> 2020-02-15 23:46:01</t>
  </si>
  <si>
    <t>苏州下雪</t>
  </si>
  <si>
    <t xml:space="preserve"> 2020-02-16 07:58:01</t>
  </si>
  <si>
    <t xml:space="preserve"> 2020-02-15 20:50:01</t>
  </si>
  <si>
    <t>小耳朵仗义</t>
  </si>
  <si>
    <t xml:space="preserve"> 2020-02-16 08:34:01</t>
  </si>
  <si>
    <t>最带感的CP名</t>
  </si>
  <si>
    <t xml:space="preserve"> 2020-02-15 17:56:02</t>
  </si>
  <si>
    <t>宅家泡面都被玩坏了</t>
  </si>
  <si>
    <t xml:space="preserve"> 2020-02-16 08:22:01</t>
  </si>
  <si>
    <t xml:space="preserve"> 2020-02-15 21:06:01</t>
  </si>
  <si>
    <t>齐齐哈尔建华区委书记被免职</t>
  </si>
  <si>
    <t>想不到这个假期过成了这样</t>
  </si>
  <si>
    <t xml:space="preserve"> 2020-02-16 07:32:02</t>
  </si>
  <si>
    <t>取名奇才四川人</t>
  </si>
  <si>
    <t xml:space="preserve"> 2020-02-16 10:24:02</t>
  </si>
  <si>
    <t xml:space="preserve"> 2020-02-15 23:40:02</t>
  </si>
  <si>
    <t>段氏伽马刀发明人段正澄院士去世</t>
  </si>
  <si>
    <t xml:space="preserve"> 2020-02-16 06:42:01</t>
  </si>
  <si>
    <t>IU 爱的迫降OST</t>
  </si>
  <si>
    <t xml:space="preserve"> 2020-02-15 20:18:02</t>
  </si>
  <si>
    <t>火神山 大风</t>
  </si>
  <si>
    <t xml:space="preserve"> 2020-02-16 10:30:02</t>
  </si>
  <si>
    <t xml:space="preserve"> 2020-02-16 00:04:01</t>
  </si>
  <si>
    <t>任子威铜牌</t>
  </si>
  <si>
    <t xml:space="preserve"> 2020-02-16 01:10:02</t>
  </si>
  <si>
    <t xml:space="preserve"> 2020-02-15 22:34:01</t>
  </si>
  <si>
    <t>老计</t>
  </si>
  <si>
    <t xml:space="preserve"> 2020-03-04 08:16:02</t>
  </si>
  <si>
    <t xml:space="preserve"> 2020-02-15 14:54:01</t>
  </si>
  <si>
    <t>日本疫情</t>
  </si>
  <si>
    <t xml:space="preserve"> 2020-02-16 08:00:02</t>
  </si>
  <si>
    <t>黄石号召居民上交麻将奖励口罩</t>
  </si>
  <si>
    <t xml:space="preserve"> 2020-02-16 18:42:02</t>
  </si>
  <si>
    <t xml:space="preserve"> 2020-02-16 10:40:02</t>
  </si>
  <si>
    <t>医用口罩生产后要解析14天</t>
  </si>
  <si>
    <t xml:space="preserve"> 2020-02-16 17:24:02</t>
  </si>
  <si>
    <t xml:space="preserve"> 2020-02-16 07:46:02</t>
  </si>
  <si>
    <t>男子解除隔离10天后发病</t>
  </si>
  <si>
    <t xml:space="preserve"> 2020-02-16 15:24:02</t>
  </si>
  <si>
    <t xml:space="preserve"> 2020-02-16 08:02:02</t>
  </si>
  <si>
    <t>段正澄院士去世</t>
  </si>
  <si>
    <t xml:space="preserve"> 2020-02-16 19:42:01</t>
  </si>
  <si>
    <t>高伟光演技</t>
  </si>
  <si>
    <t xml:space="preserve"> 2020-02-16 15:28:01</t>
  </si>
  <si>
    <t xml:space="preserve"> 2020-02-16 09:02:02</t>
  </si>
  <si>
    <t>武汉病毒所目前零感染</t>
  </si>
  <si>
    <t xml:space="preserve"> 2020-02-16 14:22:02</t>
  </si>
  <si>
    <t xml:space="preserve"> 2020-02-16 07:42:01</t>
  </si>
  <si>
    <t>姚晨转发求助信息</t>
  </si>
  <si>
    <t xml:space="preserve"> 2020-02-16 17:36:01</t>
  </si>
  <si>
    <t xml:space="preserve"> 2020-02-16 11:06:02</t>
  </si>
  <si>
    <t>血浆治疗</t>
  </si>
  <si>
    <t xml:space="preserve"> 2020-02-16 17:50:01</t>
  </si>
  <si>
    <t xml:space="preserve"> 2020-02-16 09:30:02</t>
  </si>
  <si>
    <t>爱的迫降 女主男二</t>
  </si>
  <si>
    <t xml:space="preserve"> 2020-02-16 19:36:02</t>
  </si>
  <si>
    <t xml:space="preserve"> 2020-02-16 11:10:02</t>
  </si>
  <si>
    <t>湖北通报6起防疫不力问责8人</t>
  </si>
  <si>
    <t xml:space="preserve"> 2020-02-16 16:12:01</t>
  </si>
  <si>
    <t xml:space="preserve"> 2020-02-16 07:34:02</t>
  </si>
  <si>
    <t>最后一名飞虎队成员去世</t>
  </si>
  <si>
    <t xml:space="preserve"> 2020-02-16 14:16:02</t>
  </si>
  <si>
    <t>江苏医生结婚第二天就出征</t>
  </si>
  <si>
    <t xml:space="preserve"> 2020-02-16 18:14:02</t>
  </si>
  <si>
    <t>想见你片头</t>
  </si>
  <si>
    <t xml:space="preserve"> 2020-02-16 16:06:02</t>
  </si>
  <si>
    <t xml:space="preserve"> 2020-02-16 09:46:01</t>
  </si>
  <si>
    <t>全明星MVP命名科比MVP</t>
  </si>
  <si>
    <t xml:space="preserve"> 2020-02-16 12:44:02</t>
  </si>
  <si>
    <t xml:space="preserve"> 2020-01-28 13:34:02</t>
  </si>
  <si>
    <t>戈登50分</t>
  </si>
  <si>
    <t xml:space="preserve"> 2020-02-16 21:08:02</t>
  </si>
  <si>
    <t>蝗灾到6月或再增500倍</t>
  </si>
  <si>
    <t xml:space="preserve"> 2020-02-16 18:56:02</t>
  </si>
  <si>
    <t xml:space="preserve"> 2020-02-16 11:32:01</t>
  </si>
  <si>
    <t>养鸡斗蝗 纪录片</t>
  </si>
  <si>
    <t xml:space="preserve"> 2020-03-29 14:52:01</t>
  </si>
  <si>
    <t xml:space="preserve"> 2019-11-03 11:28:01</t>
  </si>
  <si>
    <t>粉笔模考</t>
  </si>
  <si>
    <t xml:space="preserve"> 2020-02-16 15:06:01</t>
  </si>
  <si>
    <t xml:space="preserve"> 2020-02-16 08:30:02</t>
  </si>
  <si>
    <t>图像显示澳洲大火烟雾已蔓延全球</t>
  </si>
  <si>
    <t xml:space="preserve"> 2020-02-16 14:30:01</t>
  </si>
  <si>
    <t xml:space="preserve"> 2020-02-16 10:56:02</t>
  </si>
  <si>
    <t>黑龙江新增20例新冠肺炎</t>
  </si>
  <si>
    <t xml:space="preserve"> 2020-02-16 17:40:02</t>
  </si>
  <si>
    <t>玄彬孙艺珍好配</t>
  </si>
  <si>
    <t xml:space="preserve"> 2020-02-16 12:40:01</t>
  </si>
  <si>
    <t xml:space="preserve"> 2019-10-28 02:16:01</t>
  </si>
  <si>
    <t>地震</t>
  </si>
  <si>
    <t xml:space="preserve"> 2020-02-16 14:10:02</t>
  </si>
  <si>
    <t xml:space="preserve"> 2020-02-16 02:28:01</t>
  </si>
  <si>
    <t>仙本那</t>
  </si>
  <si>
    <t xml:space="preserve"> 2020-02-16 18:36:02</t>
  </si>
  <si>
    <t>扣篮大赛</t>
  </si>
  <si>
    <t xml:space="preserve"> 2020-02-16 10:26:02</t>
  </si>
  <si>
    <t>韦德带动全场致敬科比</t>
  </si>
  <si>
    <t xml:space="preserve"> 2020-02-16 15:36:01</t>
  </si>
  <si>
    <t>疫情下的口罩厂</t>
  </si>
  <si>
    <t xml:space="preserve"> 2020-02-16 19:28:01</t>
  </si>
  <si>
    <t>做饭翻车现场大赏</t>
  </si>
  <si>
    <t xml:space="preserve"> 2020-02-16 15:02:02</t>
  </si>
  <si>
    <t xml:space="preserve"> 2020-02-16 10:32:02</t>
  </si>
  <si>
    <t>钻石公主号新确诊70例新冠肺炎</t>
  </si>
  <si>
    <t xml:space="preserve"> 2020-02-17 09:28:01</t>
  </si>
  <si>
    <t xml:space="preserve"> 2020-02-16 09:12:01</t>
  </si>
  <si>
    <t>湖北以外新增确诊病例12连降</t>
  </si>
  <si>
    <t xml:space="preserve"> 2020-02-16 09:16:01</t>
  </si>
  <si>
    <t>全国累计确诊新冠肺炎68500例</t>
  </si>
  <si>
    <t xml:space="preserve"> 2020-02-16 13:40:01</t>
  </si>
  <si>
    <t xml:space="preserve"> 2020-02-16 11:16:01</t>
  </si>
  <si>
    <t>峨眉山景区向全国医护工作者免费开放</t>
  </si>
  <si>
    <t xml:space="preserve"> 2020-02-16 08:58:02</t>
  </si>
  <si>
    <t>巴萨声援中国</t>
  </si>
  <si>
    <t xml:space="preserve"> 2020-02-16 13:34:01</t>
  </si>
  <si>
    <t>霍华德24号超人</t>
  </si>
  <si>
    <t xml:space="preserve"> 2020-02-16 09:36:02</t>
  </si>
  <si>
    <t>美驻伊大使馆遭多枚火箭弹袭击</t>
  </si>
  <si>
    <t xml:space="preserve"> 2020-02-16 13:04:02</t>
  </si>
  <si>
    <t xml:space="preserve"> 2020-02-16 10:16:02</t>
  </si>
  <si>
    <t>连续4天治愈出院超千人</t>
  </si>
  <si>
    <t xml:space="preserve"> 2020-02-16 12:34:02</t>
  </si>
  <si>
    <t xml:space="preserve"> 2020-02-16 11:46:01</t>
  </si>
  <si>
    <t>青海连续10天无新增病例</t>
  </si>
  <si>
    <t xml:space="preserve"> 2020-02-16 14:06:01</t>
  </si>
  <si>
    <t>辅警抗疫一线奋战18天殉职</t>
  </si>
  <si>
    <t xml:space="preserve"> 2020-02-16 08:24:02</t>
  </si>
  <si>
    <t>黄燕玲</t>
  </si>
  <si>
    <t xml:space="preserve"> 2020-02-16 08:08:02</t>
  </si>
  <si>
    <t>治愈患者留在药盒上的一首诗</t>
  </si>
  <si>
    <t xml:space="preserve"> 2020-02-16 14:18:02</t>
  </si>
  <si>
    <t xml:space="preserve"> 2020-02-16 12:04:02</t>
  </si>
  <si>
    <t>戈登无冕之王</t>
  </si>
  <si>
    <t xml:space="preserve"> 2020-02-16 07:36:02</t>
  </si>
  <si>
    <t>湖北新增新冠肺炎1843例</t>
  </si>
  <si>
    <t xml:space="preserve"> 2020-02-16 12:50:02</t>
  </si>
  <si>
    <t>琼斯扣篮大赛冠军</t>
  </si>
  <si>
    <t xml:space="preserve"> 2020-02-16 12:14:02</t>
  </si>
  <si>
    <t>美国人在巴黎</t>
  </si>
  <si>
    <t>候车室女侠</t>
  </si>
  <si>
    <t xml:space="preserve"> 2020-02-16 12:12:02</t>
  </si>
  <si>
    <t xml:space="preserve"> 2020-02-16 07:54:02</t>
  </si>
  <si>
    <t>直播云蹦迪</t>
  </si>
  <si>
    <t xml:space="preserve"> 2020-02-17 16:50:01</t>
  </si>
  <si>
    <t xml:space="preserve"> 2020-02-16 20:52:01</t>
  </si>
  <si>
    <t>全国第1例新冠肺炎逝世患者遗体解剖</t>
  </si>
  <si>
    <t xml:space="preserve"> 2020-02-17 14:10:01</t>
  </si>
  <si>
    <t xml:space="preserve"> 2020-02-16 22:58:01</t>
  </si>
  <si>
    <t>想见你大结局</t>
  </si>
  <si>
    <t xml:space="preserve"> 2020-02-17 09:44:01</t>
  </si>
  <si>
    <t xml:space="preserve"> 2020-02-16 20:50:02</t>
  </si>
  <si>
    <t>广东报告一起学校诺如病毒疫情</t>
  </si>
  <si>
    <t xml:space="preserve"> 2020-02-17 08:00:02</t>
  </si>
  <si>
    <t>爱奇艺崩了</t>
  </si>
  <si>
    <t xml:space="preserve"> 2020-02-17 07:38:02</t>
  </si>
  <si>
    <t xml:space="preserve"> 2020-02-16 21:56:01</t>
  </si>
  <si>
    <t>小米电视崩了</t>
  </si>
  <si>
    <t xml:space="preserve"> 2020-02-17 11:38:02</t>
  </si>
  <si>
    <t>元宋爸爸拿钱威胁叶鹿鸣</t>
  </si>
  <si>
    <t xml:space="preserve"> 2020-02-17 09:32:02</t>
  </si>
  <si>
    <t xml:space="preserve"> 2020-02-16 18:30:02</t>
  </si>
  <si>
    <t>雷神山院长称疫情拐点已经来到</t>
  </si>
  <si>
    <t xml:space="preserve"> 2020-02-17 12:42:01</t>
  </si>
  <si>
    <t xml:space="preserve"> 2020-02-16 22:22:01</t>
  </si>
  <si>
    <t>爱的迫降大结局</t>
  </si>
  <si>
    <t xml:space="preserve"> 2020-02-17 13:02:02</t>
  </si>
  <si>
    <t xml:space="preserve"> 2020-02-16 22:24:02</t>
  </si>
  <si>
    <t>黄智博姐姐发文</t>
  </si>
  <si>
    <t xml:space="preserve"> 2020-02-16 21:12:01</t>
  </si>
  <si>
    <t>贺妈妈发现贺灿阳蔡敏敏恋爱</t>
  </si>
  <si>
    <t xml:space="preserve"> 2020-02-17 11:30:01</t>
  </si>
  <si>
    <t xml:space="preserve"> 2020-02-16 23:00:02</t>
  </si>
  <si>
    <t>具胜俊徐丹 虐</t>
  </si>
  <si>
    <t xml:space="preserve"> 2020-02-17 07:14:02</t>
  </si>
  <si>
    <t xml:space="preserve"> 2020-02-16 22:30:01</t>
  </si>
  <si>
    <t>江西2名纯中医治疗患者出院</t>
  </si>
  <si>
    <t xml:space="preserve"> 2020-02-17 09:16:02</t>
  </si>
  <si>
    <t xml:space="preserve"> 2020-02-16 23:50:01</t>
  </si>
  <si>
    <t>心疼莫俊杰</t>
  </si>
  <si>
    <t xml:space="preserve"> 2020-02-17 12:40:02</t>
  </si>
  <si>
    <t xml:space="preserve"> 2020-02-16 22:38:02</t>
  </si>
  <si>
    <t>追殡葬车哭喊妈妈女孩居家隔离</t>
  </si>
  <si>
    <t xml:space="preserve"> 2020-02-17 13:46:01</t>
  </si>
  <si>
    <t>房价</t>
  </si>
  <si>
    <t xml:space="preserve"> 2020-02-17 08:42:01</t>
  </si>
  <si>
    <t xml:space="preserve"> 2020-02-16 23:42:01</t>
  </si>
  <si>
    <t>贵州全面恢复省内交通</t>
  </si>
  <si>
    <t xml:space="preserve"> 2020-02-17 12:36:02</t>
  </si>
  <si>
    <t xml:space="preserve"> 2020-02-16 21:46:02</t>
  </si>
  <si>
    <t>易烊千玺ins更新</t>
  </si>
  <si>
    <t xml:space="preserve"> 2020-02-28 16:00:02</t>
  </si>
  <si>
    <t>雨衣妹妹</t>
  </si>
  <si>
    <t xml:space="preserve"> 2020-02-17 12:48:02</t>
  </si>
  <si>
    <t xml:space="preserve"> 2020-02-16 22:46:02</t>
  </si>
  <si>
    <t>北京粉蓝色天空</t>
  </si>
  <si>
    <t xml:space="preserve"> 2020-02-17 08:16:02</t>
  </si>
  <si>
    <t xml:space="preserve"> 2020-02-16 23:16:01</t>
  </si>
  <si>
    <t>湖北孝感升级管控措施</t>
  </si>
  <si>
    <t xml:space="preserve"> 2020-02-17 10:04:02</t>
  </si>
  <si>
    <t xml:space="preserve"> 2020-02-16 21:02:01</t>
  </si>
  <si>
    <t>恒大75折卖房</t>
  </si>
  <si>
    <t xml:space="preserve"> 2020-02-17 09:14:02</t>
  </si>
  <si>
    <t xml:space="preserve"> 2020-02-16 18:02:01</t>
  </si>
  <si>
    <t>饺子 李现实在太帅了</t>
  </si>
  <si>
    <t xml:space="preserve"> 2020-02-17 09:38:01</t>
  </si>
  <si>
    <t>龙港</t>
  </si>
  <si>
    <t xml:space="preserve"> 2020-02-16 21:06:01</t>
  </si>
  <si>
    <t>日本50万人参跑马拉松</t>
  </si>
  <si>
    <t xml:space="preserve"> 2020-02-17 10:36:01</t>
  </si>
  <si>
    <t xml:space="preserve"> 2020-02-16 21:22:02</t>
  </si>
  <si>
    <t>贺繁星吃醋</t>
  </si>
  <si>
    <t xml:space="preserve"> 2020-02-17 11:26:02</t>
  </si>
  <si>
    <t xml:space="preserve"> 2020-02-16 18:48:02</t>
  </si>
  <si>
    <t>05后的聊天方式</t>
  </si>
  <si>
    <t xml:space="preserve"> 2020-02-17 12:10:01</t>
  </si>
  <si>
    <t xml:space="preserve"> 2020-02-16 16:08:02</t>
  </si>
  <si>
    <t>卫健委明确要减轻基层防疫人员负担</t>
  </si>
  <si>
    <t>郑爽康辉合影</t>
  </si>
  <si>
    <t xml:space="preserve"> 2020-02-17 10:16:02</t>
  </si>
  <si>
    <t xml:space="preserve"> 2020-02-16 21:36:01</t>
  </si>
  <si>
    <t>直男不要点开这个特效</t>
  </si>
  <si>
    <t xml:space="preserve"> 2020-02-17 10:28:02</t>
  </si>
  <si>
    <t xml:space="preserve"> 2020-02-16 22:52:02</t>
  </si>
  <si>
    <t>金泰亨回复合照</t>
  </si>
  <si>
    <t xml:space="preserve"> 2020-02-17 09:30:01</t>
  </si>
  <si>
    <t xml:space="preserve"> 2020-02-16 21:52:02</t>
  </si>
  <si>
    <t>厦门消毒</t>
  </si>
  <si>
    <t xml:space="preserve"> 2020-02-17 09:18:01</t>
  </si>
  <si>
    <t xml:space="preserve"> 2020-02-16 22:18:02</t>
  </si>
  <si>
    <t>医生甘如意用4天3夜返回武汉一线</t>
  </si>
  <si>
    <t xml:space="preserve"> 2020-02-17 00:26:02</t>
  </si>
  <si>
    <t xml:space="preserve"> 2020-02-16 23:20:02</t>
  </si>
  <si>
    <t>想见你彩蛋</t>
  </si>
  <si>
    <t xml:space="preserve"> 2020-02-17 07:16:02</t>
  </si>
  <si>
    <t xml:space="preserve"> 2020-02-16 19:32:01</t>
  </si>
  <si>
    <t>刘柏辛模仿台湾腔</t>
  </si>
  <si>
    <t xml:space="preserve"> 2020-02-16 18:50:01</t>
  </si>
  <si>
    <t>女生睡觉时的样子</t>
  </si>
  <si>
    <t xml:space="preserve"> 2020-02-16 17:00:02</t>
  </si>
  <si>
    <t>贫穷让我躲过了一劫</t>
  </si>
  <si>
    <t xml:space="preserve"> 2020-02-17 07:18:02</t>
  </si>
  <si>
    <t xml:space="preserve"> 2020-02-16 20:16:02</t>
  </si>
  <si>
    <t>湖北电影制片厂常凯因新冠肺炎去世</t>
  </si>
  <si>
    <t xml:space="preserve"> 2020-02-17 08:50:02</t>
  </si>
  <si>
    <t xml:space="preserve"> 2020-02-16 21:42:02</t>
  </si>
  <si>
    <t>首个潜在治疗新冠肺炎药物获批上市</t>
  </si>
  <si>
    <t xml:space="preserve"> 2020-02-17 08:14:02</t>
  </si>
  <si>
    <t xml:space="preserve"> 2020-02-16 23:40:01</t>
  </si>
  <si>
    <t>陈北洋</t>
  </si>
  <si>
    <t xml:space="preserve"> 2020-02-17 14:00:02</t>
  </si>
  <si>
    <t xml:space="preserve"> 2020-02-17 00:00:01</t>
  </si>
  <si>
    <t>生日快乐 子维哥</t>
  </si>
  <si>
    <t xml:space="preserve"> 2020-02-17 00:12:02</t>
  </si>
  <si>
    <t xml:space="preserve"> 2020-02-16 20:42:02</t>
  </si>
  <si>
    <t>想见你 编剧</t>
  </si>
  <si>
    <t xml:space="preserve"> 2020-02-17 07:06:02</t>
  </si>
  <si>
    <t>BTS新歌和Sia合作</t>
  </si>
  <si>
    <t xml:space="preserve"> 2020-02-17 08:36:02</t>
  </si>
  <si>
    <t xml:space="preserve"> 2020-02-17 00:04:02</t>
  </si>
  <si>
    <t>政赫世莉瑞士重逢</t>
  </si>
  <si>
    <t xml:space="preserve"> 2020-02-16 19:00:02</t>
  </si>
  <si>
    <t>一位18世纪欧洲妇女着装</t>
  </si>
  <si>
    <t xml:space="preserve"> 2020-02-17 07:10:02</t>
  </si>
  <si>
    <t xml:space="preserve"> 2020-02-16 19:44:01</t>
  </si>
  <si>
    <t>天津高考英语第一次考试延期</t>
  </si>
  <si>
    <t xml:space="preserve"> 2020-02-16 20:32:02</t>
  </si>
  <si>
    <t>军队物资仓库有多让人安心</t>
  </si>
  <si>
    <t xml:space="preserve"> 2020-02-17 03:30:01</t>
  </si>
  <si>
    <t xml:space="preserve"> 2020-02-16 17:44:02</t>
  </si>
  <si>
    <t>蝗虫克星珍珠鸡</t>
  </si>
  <si>
    <t xml:space="preserve"> 2020-02-17 13:32:02</t>
  </si>
  <si>
    <t xml:space="preserve"> 2020-02-17 09:20:01</t>
  </si>
  <si>
    <t>河南信阳出现两例超常规病例</t>
  </si>
  <si>
    <t xml:space="preserve"> 2020-02-17 17:50:02</t>
  </si>
  <si>
    <t xml:space="preserve"> 2020-02-17 09:46:01</t>
  </si>
  <si>
    <t>钻石公主号有40名美国人确诊感染</t>
  </si>
  <si>
    <t xml:space="preserve"> 2020-02-17 17:42:01</t>
  </si>
  <si>
    <t xml:space="preserve"> 2020-02-17 09:40:01</t>
  </si>
  <si>
    <t>湖北要求疑似患者核酸检测当日清零</t>
  </si>
  <si>
    <t xml:space="preserve"> 2020-02-17 19:52:01</t>
  </si>
  <si>
    <t xml:space="preserve"> 2020-02-17 11:28:01</t>
  </si>
  <si>
    <t>Angelababy精灵造型</t>
  </si>
  <si>
    <t xml:space="preserve"> 2020-02-17 15:16:01</t>
  </si>
  <si>
    <t xml:space="preserve"> 2020-02-17 07:20:02</t>
  </si>
  <si>
    <t>武汉必须开放的公共场所扫码入出</t>
  </si>
  <si>
    <t xml:space="preserve"> 2020-03-02 11:58:01</t>
  </si>
  <si>
    <t xml:space="preserve"> 2020-02-17 08:38:02</t>
  </si>
  <si>
    <t>学习通崩了</t>
  </si>
  <si>
    <t xml:space="preserve"> 2020-02-17 16:54:02</t>
  </si>
  <si>
    <t xml:space="preserve"> 2020-02-17 10:30:02</t>
  </si>
  <si>
    <t>戳爷防弹少年团合作</t>
  </si>
  <si>
    <t xml:space="preserve"> 2020-02-17 08:44:01</t>
  </si>
  <si>
    <t>想见你 养成系</t>
  </si>
  <si>
    <t xml:space="preserve"> 2020-02-17 16:52:02</t>
  </si>
  <si>
    <t xml:space="preserve"> 2020-02-17 09:08:02</t>
  </si>
  <si>
    <t>全国累计确诊新冠肺炎70548例</t>
  </si>
  <si>
    <t xml:space="preserve"> 2020-02-17 15:22:02</t>
  </si>
  <si>
    <t>常欢丛笑在一起</t>
  </si>
  <si>
    <t xml:space="preserve"> 2020-02-17 19:32:01</t>
  </si>
  <si>
    <t>想见你彩蛋有三个版本</t>
  </si>
  <si>
    <t xml:space="preserve"> 2020-02-17 13:58:01</t>
  </si>
  <si>
    <t xml:space="preserve"> 2020-02-17 10:18:01</t>
  </si>
  <si>
    <t>武汉20位康复医护人员捐血浆</t>
  </si>
  <si>
    <t xml:space="preserve"> 2020-02-17 15:04:02</t>
  </si>
  <si>
    <t>开学第一课</t>
  </si>
  <si>
    <t xml:space="preserve"> 2020-02-17 15:28:01</t>
  </si>
  <si>
    <t xml:space="preserve"> 2020-02-17 07:36:02</t>
  </si>
  <si>
    <t>河南企业研发新型隔离帽</t>
  </si>
  <si>
    <t xml:space="preserve"> 2020-02-17 13:34:01</t>
  </si>
  <si>
    <t xml:space="preserve"> 2020-02-17 08:22:02</t>
  </si>
  <si>
    <t>东京奥组委称奥运会将如期举行</t>
  </si>
  <si>
    <t xml:space="preserve"> 2020-02-17 20:42:01</t>
  </si>
  <si>
    <t>张亮寇静同回别墅</t>
  </si>
  <si>
    <t xml:space="preserve"> 2020-02-17 16:16:01</t>
  </si>
  <si>
    <t>trr</t>
  </si>
  <si>
    <t xml:space="preserve"> 2020-02-17 20:00:02</t>
  </si>
  <si>
    <t xml:space="preserve"> 2020-02-17 11:20:02</t>
  </si>
  <si>
    <t>钉钉</t>
  </si>
  <si>
    <t xml:space="preserve"> 2020-02-17 17:02:02</t>
  </si>
  <si>
    <t xml:space="preserve"> 2020-02-17 08:18:02</t>
  </si>
  <si>
    <t>杨超越 郭老师</t>
  </si>
  <si>
    <t xml:space="preserve"> 2020-02-17 18:18:02</t>
  </si>
  <si>
    <t xml:space="preserve"> 2020-02-17 11:32:02</t>
  </si>
  <si>
    <t>取快递堪比谍战剧</t>
  </si>
  <si>
    <t xml:space="preserve"> 2020-02-17 15:30:02</t>
  </si>
  <si>
    <t>用晾衣杆给对面狗狗送水送食</t>
  </si>
  <si>
    <t xml:space="preserve"> 2020-02-17 11:36:02</t>
  </si>
  <si>
    <t>上海乘坐公交必须佩戴口罩</t>
  </si>
  <si>
    <t xml:space="preserve"> 2020-02-17 21:06:02</t>
  </si>
  <si>
    <t xml:space="preserve"> 2020-02-17 09:34:02</t>
  </si>
  <si>
    <t>湖北以外新增病例13连降</t>
  </si>
  <si>
    <t xml:space="preserve"> 2020-02-17 13:38:01</t>
  </si>
  <si>
    <t xml:space="preserve"> 2020-02-17 10:38:01</t>
  </si>
  <si>
    <t>国家专家组成员解密上海抗疫用药</t>
  </si>
  <si>
    <t xml:space="preserve"> 2020-02-17 15:14:02</t>
  </si>
  <si>
    <t>在家被迫成才的我</t>
  </si>
  <si>
    <t xml:space="preserve"> 2020-02-17 16:30:02</t>
  </si>
  <si>
    <t>许光汉演技</t>
  </si>
  <si>
    <t xml:space="preserve"> 2020-02-17 13:52:02</t>
  </si>
  <si>
    <t xml:space="preserve"> 2020-02-17 10:08:01</t>
  </si>
  <si>
    <t>艾弗森穿科比球衣</t>
  </si>
  <si>
    <t xml:space="preserve"> 2020-02-17 14:46:02</t>
  </si>
  <si>
    <t>金白开</t>
  </si>
  <si>
    <t xml:space="preserve"> 2020-02-17 13:22:02</t>
  </si>
  <si>
    <t>运20机票致敬白衣战士</t>
  </si>
  <si>
    <t xml:space="preserve"> 2020-02-17 13:48:01</t>
  </si>
  <si>
    <t xml:space="preserve"> 2020-02-17 10:50:02</t>
  </si>
  <si>
    <t>保罗扣篮</t>
  </si>
  <si>
    <t>湖北新增1933例新冠肺炎</t>
  </si>
  <si>
    <t xml:space="preserve"> 2020-02-17 14:32:02</t>
  </si>
  <si>
    <t>军队增派2600名医护人员全部抵达武汉</t>
  </si>
  <si>
    <t>黄冈一线医护人员优先评职称晋升</t>
  </si>
  <si>
    <t xml:space="preserve"> 2020-02-17 12:52:01</t>
  </si>
  <si>
    <t xml:space="preserve"> 2020-02-17 11:42:02</t>
  </si>
  <si>
    <t>追授抗疫牺牲民警王春天二级英模</t>
  </si>
  <si>
    <t xml:space="preserve"> 2020-02-17 13:00:02</t>
  </si>
  <si>
    <t xml:space="preserve"> 2020-02-17 07:54:02</t>
  </si>
  <si>
    <t>生产销售问题医用口罩最高可判无期</t>
  </si>
  <si>
    <t xml:space="preserve"> 2020-02-17 13:18:02</t>
  </si>
  <si>
    <t>风暴丹尼斯</t>
  </si>
  <si>
    <t xml:space="preserve"> 2020-02-17 13:10:02</t>
  </si>
  <si>
    <t>魔术师致敬科比</t>
  </si>
  <si>
    <t xml:space="preserve"> 2020-02-17 12:28:01</t>
  </si>
  <si>
    <t>全国累计治愈出院病例破万</t>
  </si>
  <si>
    <t xml:space="preserve"> 2020-02-18 11:20:02</t>
  </si>
  <si>
    <t xml:space="preserve"> 2020-02-17 22:48:02</t>
  </si>
  <si>
    <t>武汉再建10座方舱医院</t>
  </si>
  <si>
    <t xml:space="preserve"> 2020-02-18 19:14:01</t>
  </si>
  <si>
    <t xml:space="preserve"> 2020-02-17 22:20:02</t>
  </si>
  <si>
    <t>因公感染新冠肺炎殉职者应评定为烈士</t>
  </si>
  <si>
    <t xml:space="preserve"> 2020-02-18 09:38:02</t>
  </si>
  <si>
    <t xml:space="preserve"> 2020-02-17 19:08:01</t>
  </si>
  <si>
    <t>湖北首地清零确诊病例</t>
  </si>
  <si>
    <t xml:space="preserve"> 2020-02-18 14:58:02</t>
  </si>
  <si>
    <t xml:space="preserve"> 2020-02-17 22:52:02</t>
  </si>
  <si>
    <t>贺繁星向元宋求婚</t>
  </si>
  <si>
    <t xml:space="preserve"> 2020-02-18 11:36:01</t>
  </si>
  <si>
    <t xml:space="preserve"> 2020-02-17 20:40:01</t>
  </si>
  <si>
    <t>被铁林气死</t>
  </si>
  <si>
    <t xml:space="preserve"> 2020-02-18 08:18:02</t>
  </si>
  <si>
    <t xml:space="preserve"> 2020-02-17 19:56:01</t>
  </si>
  <si>
    <t>黄冈市长哽咽感谢湖南医疗队</t>
  </si>
  <si>
    <t xml:space="preserve"> 2020-02-18 10:30:02</t>
  </si>
  <si>
    <t xml:space="preserve"> 2020-02-17 20:02:02</t>
  </si>
  <si>
    <t>超三千名医护感染新冠病毒</t>
  </si>
  <si>
    <t xml:space="preserve"> 2020-03-25 09:56:02</t>
  </si>
  <si>
    <t xml:space="preserve"> 2020-02-17 20:12:01</t>
  </si>
  <si>
    <t>法证先锋4</t>
  </si>
  <si>
    <t xml:space="preserve"> 2020-02-18 13:12:02</t>
  </si>
  <si>
    <t xml:space="preserve"> 2020-02-17 21:22:02</t>
  </si>
  <si>
    <t>自制打蛋器</t>
  </si>
  <si>
    <t xml:space="preserve"> 2020-02-17 20:54:02</t>
  </si>
  <si>
    <t>想见你 青少年认同</t>
  </si>
  <si>
    <t xml:space="preserve"> 2020-02-18 07:54:02</t>
  </si>
  <si>
    <t>黄智博涉嫌口罩诈骗被批捕</t>
  </si>
  <si>
    <t xml:space="preserve"> 2020-02-18 07:42:02</t>
  </si>
  <si>
    <t xml:space="preserve"> 2020-02-17 22:04:02</t>
  </si>
  <si>
    <t>2月份申报纳税期限延长至2月28日</t>
  </si>
  <si>
    <t xml:space="preserve"> 2020-02-18 08:00:01</t>
  </si>
  <si>
    <t xml:space="preserve"> 2020-02-17 17:52:01</t>
  </si>
  <si>
    <t>武汉病毒所陈全姣声明</t>
  </si>
  <si>
    <t xml:space="preserve"> 2020-02-18 01:54:02</t>
  </si>
  <si>
    <t xml:space="preserve"> 2020-02-17 16:56:02</t>
  </si>
  <si>
    <t>湖北寄往北京的邮件全部喷淋消毒</t>
  </si>
  <si>
    <t xml:space="preserve"> 2020-02-18 14:08:02</t>
  </si>
  <si>
    <t xml:space="preserve"> 2020-02-17 23:12:02</t>
  </si>
  <si>
    <t>不求人 汤圆</t>
  </si>
  <si>
    <t xml:space="preserve"> 2020-02-18 11:58:01</t>
  </si>
  <si>
    <t xml:space="preserve"> 2020-02-17 20:44:02</t>
  </si>
  <si>
    <t>四胞胎取名谐音战疫新生</t>
  </si>
  <si>
    <t xml:space="preserve"> 2020-02-18 13:48:02</t>
  </si>
  <si>
    <t xml:space="preserve"> 2020-02-17 21:32:01</t>
  </si>
  <si>
    <t>胡兵50岁了</t>
  </si>
  <si>
    <t xml:space="preserve"> 2020-02-18 11:24:01</t>
  </si>
  <si>
    <t xml:space="preserve"> 2020-02-17 22:28:02</t>
  </si>
  <si>
    <t>贺灿阳反对繁星和元宋在一起</t>
  </si>
  <si>
    <t xml:space="preserve"> 2020-02-18 13:16:02</t>
  </si>
  <si>
    <t xml:space="preserve"> 2020-02-17 21:16:02</t>
  </si>
  <si>
    <t>印度当前蝗灾已基本结束</t>
  </si>
  <si>
    <t xml:space="preserve"> 2020-02-18 12:24:02</t>
  </si>
  <si>
    <t>愿童话世界再无rapper</t>
  </si>
  <si>
    <t xml:space="preserve"> 2020-02-18 11:34:02</t>
  </si>
  <si>
    <t xml:space="preserve"> 2020-02-17 19:04:02</t>
  </si>
  <si>
    <t>让女孩子都羡慕的身材</t>
  </si>
  <si>
    <t xml:space="preserve"> 2020-02-18 13:26:02</t>
  </si>
  <si>
    <t xml:space="preserve"> 2020-02-17 22:42:01</t>
  </si>
  <si>
    <t>近视眼的日常</t>
  </si>
  <si>
    <t xml:space="preserve"> 2020-02-18 10:00:02</t>
  </si>
  <si>
    <t xml:space="preserve"> 2020-02-17 17:04:01</t>
  </si>
  <si>
    <t>日本裸祭</t>
  </si>
  <si>
    <t xml:space="preserve"> 2020-02-18 08:02:02</t>
  </si>
  <si>
    <t xml:space="preserve"> 2020-02-17 21:48:02</t>
  </si>
  <si>
    <t>降息</t>
  </si>
  <si>
    <t xml:space="preserve"> 2020-02-18 09:00:02</t>
  </si>
  <si>
    <t xml:space="preserve"> 2020-02-17 18:46:01</t>
  </si>
  <si>
    <t>美颜滤镜下的玄彬</t>
  </si>
  <si>
    <t xml:space="preserve"> 2020-02-18 09:48:02</t>
  </si>
  <si>
    <t>贺繁星叶鹿鸣分手</t>
  </si>
  <si>
    <t xml:space="preserve"> 2020-02-18 10:58:01</t>
  </si>
  <si>
    <t xml:space="preserve"> 2020-02-17 20:18:02</t>
  </si>
  <si>
    <t>姜Gary儿子的音乐天赋</t>
  </si>
  <si>
    <t xml:space="preserve"> 2020-02-18 10:36:01</t>
  </si>
  <si>
    <t xml:space="preserve"> 2020-02-17 20:32:02</t>
  </si>
  <si>
    <t>日本确诊患者人数突破500人</t>
  </si>
  <si>
    <t xml:space="preserve"> 2020-02-18 08:48:02</t>
  </si>
  <si>
    <t xml:space="preserve"> 2020-02-17 16:44:02</t>
  </si>
  <si>
    <t>中国治蝗全军出鸡</t>
  </si>
  <si>
    <t xml:space="preserve"> 2020-02-18 07:06:02</t>
  </si>
  <si>
    <t xml:space="preserve"> 2020-02-17 21:42:02</t>
  </si>
  <si>
    <t>彩票销量连续11个月同比下降</t>
  </si>
  <si>
    <t xml:space="preserve"> 2020-02-18 10:44:01</t>
  </si>
  <si>
    <t>男生的攀比心有多重</t>
  </si>
  <si>
    <t xml:space="preserve"> 2020-02-18 10:08:01</t>
  </si>
  <si>
    <t>推迟十三届全国人大三次会议的决定草案</t>
  </si>
  <si>
    <t xml:space="preserve"> 2020-02-18 01:18:01</t>
  </si>
  <si>
    <t xml:space="preserve"> 2020-02-17 13:28:01</t>
  </si>
  <si>
    <t>日本政府呼吁远程办公错峰出勤</t>
  </si>
  <si>
    <t xml:space="preserve"> 2020-02-18 08:22:02</t>
  </si>
  <si>
    <t xml:space="preserve"> 2020-02-17 22:10:01</t>
  </si>
  <si>
    <t>武汉向确诊医务人员发慰问金</t>
  </si>
  <si>
    <t xml:space="preserve"> 2020-02-18 11:26:01</t>
  </si>
  <si>
    <t xml:space="preserve"> 2020-02-17 20:52:02</t>
  </si>
  <si>
    <t>埃塞俄比亚境内多地暴发霍乱疫情</t>
  </si>
  <si>
    <t xml:space="preserve"> 2020-02-18 10:18:02</t>
  </si>
  <si>
    <t>高校补助贫困生网课流量费</t>
  </si>
  <si>
    <t xml:space="preserve"> 2020-02-18 05:08:01</t>
  </si>
  <si>
    <t xml:space="preserve"> 2020-02-17 23:44:01</t>
  </si>
  <si>
    <t>武汉设无接触投递接收点</t>
  </si>
  <si>
    <t xml:space="preserve"> 2020-03-02 22:04:01</t>
  </si>
  <si>
    <t xml:space="preserve"> 2020-02-17 17:18:02</t>
  </si>
  <si>
    <t>庆余年港版预告</t>
  </si>
  <si>
    <t xml:space="preserve"> 2020-02-18 10:20:02</t>
  </si>
  <si>
    <t xml:space="preserve"> 2020-02-17 18:02:02</t>
  </si>
  <si>
    <t>香港3男子持刀劫走超市600卷卫生纸</t>
  </si>
  <si>
    <t xml:space="preserve"> 2020-02-18 09:02:02</t>
  </si>
  <si>
    <t xml:space="preserve"> 2020-02-17 18:20:02</t>
  </si>
  <si>
    <t>武汉市民浴缸养鱼</t>
  </si>
  <si>
    <t xml:space="preserve"> 2020-02-18 08:36:02</t>
  </si>
  <si>
    <t xml:space="preserve"> 2020-02-17 20:48:02</t>
  </si>
  <si>
    <t>金海下线</t>
  </si>
  <si>
    <t xml:space="preserve"> 2020-02-18 08:28:02</t>
  </si>
  <si>
    <t xml:space="preserve"> 2020-02-17 21:52:01</t>
  </si>
  <si>
    <t>田丹表白徐天</t>
  </si>
  <si>
    <t xml:space="preserve"> 2020-02-18 07:10:01</t>
  </si>
  <si>
    <t xml:space="preserve"> 2020-02-17 17:26:01</t>
  </si>
  <si>
    <t>可解锁Face ID口罩</t>
  </si>
  <si>
    <t xml:space="preserve"> 2020-02-18 03:00:02</t>
  </si>
  <si>
    <t xml:space="preserve"> 2020-02-17 19:36:02</t>
  </si>
  <si>
    <t>第一次做蛋糕经历</t>
  </si>
  <si>
    <t xml:space="preserve"> 2020-02-18 09:36:02</t>
  </si>
  <si>
    <t>造谣研究员实名举报账号来自境外</t>
  </si>
  <si>
    <t xml:space="preserve"> 2020-02-18 07:28:02</t>
  </si>
  <si>
    <t>在大陆确诊台胞全部治愈出院</t>
  </si>
  <si>
    <t xml:space="preserve"> 2020-02-18 00:28:02</t>
  </si>
  <si>
    <t xml:space="preserve"> 2020-02-17 20:10:02</t>
  </si>
  <si>
    <t>浙江一干部不配合防疫工作被查</t>
  </si>
  <si>
    <t xml:space="preserve"> 2020-02-18 02:36:01</t>
  </si>
  <si>
    <t xml:space="preserve"> 2020-02-17 19:46:02</t>
  </si>
  <si>
    <t>小偷被抓假装咳嗽被刑拘</t>
  </si>
  <si>
    <t>让孩子背古诗有多难</t>
  </si>
  <si>
    <t xml:space="preserve"> 2020-02-18 17:04:01</t>
  </si>
  <si>
    <t>钟南山谈新冠肺炎疫情峰值</t>
  </si>
  <si>
    <t xml:space="preserve"> 2020-02-18 16:42:02</t>
  </si>
  <si>
    <t xml:space="preserve"> 2020-02-18 10:10:01</t>
  </si>
  <si>
    <t>北京为复工单位个人定制公交</t>
  </si>
  <si>
    <t xml:space="preserve"> 2020-02-18 16:12:02</t>
  </si>
  <si>
    <t xml:space="preserve"> 2020-02-18 10:46:01</t>
  </si>
  <si>
    <t>世卫组织不提高疫情全球风险级别</t>
  </si>
  <si>
    <t xml:space="preserve"> 2020-02-18 17:52:02</t>
  </si>
  <si>
    <t xml:space="preserve"> 2020-02-18 09:50:01</t>
  </si>
  <si>
    <t>霉霉撞衫白展堂</t>
  </si>
  <si>
    <t xml:space="preserve"> 2020-02-18 16:16:01</t>
  </si>
  <si>
    <t xml:space="preserve"> 2020-02-18 07:46:03</t>
  </si>
  <si>
    <t>浙江首例患者因摔断肋骨确诊</t>
  </si>
  <si>
    <t xml:space="preserve"> 2020-02-18 16:14:02</t>
  </si>
  <si>
    <t xml:space="preserve"> 2020-02-18 11:38:01</t>
  </si>
  <si>
    <t>中储粮湖北库存满足湖北半年以上需求</t>
  </si>
  <si>
    <t xml:space="preserve"> 2020-02-18 16:06:01</t>
  </si>
  <si>
    <t>武汉宠物救助已暂停上门喂食</t>
  </si>
  <si>
    <t xml:space="preserve"> 2020-02-18 18:08:02</t>
  </si>
  <si>
    <t>焦雅辉</t>
  </si>
  <si>
    <t xml:space="preserve"> 2020-02-18 16:30:02</t>
  </si>
  <si>
    <t xml:space="preserve"> 2020-02-18 08:32:01</t>
  </si>
  <si>
    <t>孙红雷演技</t>
  </si>
  <si>
    <t xml:space="preserve"> 2020-02-18 15:40:02</t>
  </si>
  <si>
    <t xml:space="preserve"> 2020-02-18 10:22:01</t>
  </si>
  <si>
    <t>钻石公主号所有人员样本采集完毕</t>
  </si>
  <si>
    <t xml:space="preserve"> 2020-02-18 14:02:02</t>
  </si>
  <si>
    <t xml:space="preserve"> 2020-02-18 11:12:02</t>
  </si>
  <si>
    <t>武汉通报4起防疫违纪问题</t>
  </si>
  <si>
    <t xml:space="preserve"> 2020-02-18 14:46:02</t>
  </si>
  <si>
    <t xml:space="preserve"> 2020-02-18 11:44:02</t>
  </si>
  <si>
    <t>央企累计捐款超过25亿元</t>
  </si>
  <si>
    <t xml:space="preserve"> 2020-02-18 13:24:01</t>
  </si>
  <si>
    <t xml:space="preserve"> 2020-02-18 08:52:01</t>
  </si>
  <si>
    <t>孝感缺N95防护服无创呼吸机</t>
  </si>
  <si>
    <t xml:space="preserve"> 2020-02-18 14:28:02</t>
  </si>
  <si>
    <t xml:space="preserve"> 2020-02-18 08:04:02</t>
  </si>
  <si>
    <t>全国累计确诊新冠肺炎72436例</t>
  </si>
  <si>
    <t xml:space="preserve"> 2020-02-18 19:00:02</t>
  </si>
  <si>
    <t xml:space="preserve"> 2020-02-18 11:18:02</t>
  </si>
  <si>
    <t>没有一个男生是无辜的</t>
  </si>
  <si>
    <t xml:space="preserve"> 2020-02-18 17:08:01</t>
  </si>
  <si>
    <t>舟山货船沉没</t>
  </si>
  <si>
    <t xml:space="preserve"> 2020-02-18 15:18:01</t>
  </si>
  <si>
    <t xml:space="preserve"> 2020-02-18 11:30:02</t>
  </si>
  <si>
    <t>义乌包车去全国各地接回员工</t>
  </si>
  <si>
    <t xml:space="preserve"> 2020-02-18 10:38:01</t>
  </si>
  <si>
    <t>Faker成为T1股东</t>
  </si>
  <si>
    <t>rapper小瓶子</t>
  </si>
  <si>
    <t xml:space="preserve"> 2020-02-18 15:22:02</t>
  </si>
  <si>
    <t xml:space="preserve"> 2020-02-18 10:04:02</t>
  </si>
  <si>
    <t>韩国派总统专机赴钻石公主号接侨</t>
  </si>
  <si>
    <t xml:space="preserve"> 2020-02-18 16:58:02</t>
  </si>
  <si>
    <t>日本司机采访中被告知确诊新冠肺炎</t>
  </si>
  <si>
    <t xml:space="preserve"> 2020-02-18 15:20:01</t>
  </si>
  <si>
    <t xml:space="preserve"> 2020-02-18 10:24:01</t>
  </si>
  <si>
    <t>袈裟雨衣</t>
  </si>
  <si>
    <t xml:space="preserve"> 2020-02-18 13:44:02</t>
  </si>
  <si>
    <t xml:space="preserve"> 2020-02-18 11:48:02</t>
  </si>
  <si>
    <t>劳伦斯颁奖礼缅怀科比</t>
  </si>
  <si>
    <t xml:space="preserve"> 2020-02-18 15:38:02</t>
  </si>
  <si>
    <t xml:space="preserve"> 2020-02-18 08:10:02</t>
  </si>
  <si>
    <t>武汉市民现在如何购物</t>
  </si>
  <si>
    <t xml:space="preserve"> 2020-02-20 08:18:01</t>
  </si>
  <si>
    <t xml:space="preserve"> 2020-02-18 09:04:01</t>
  </si>
  <si>
    <t>刘智明</t>
  </si>
  <si>
    <t xml:space="preserve"> 2020-02-18 14:24:02</t>
  </si>
  <si>
    <t xml:space="preserve"> 2020-02-18 09:40:01</t>
  </si>
  <si>
    <t>黑龙江疫情重点地区实施严九条</t>
  </si>
  <si>
    <t xml:space="preserve"> 2020-02-18 15:16:02</t>
  </si>
  <si>
    <t xml:space="preserve"> 2020-02-18 10:32:01</t>
  </si>
  <si>
    <t>食品厂硬核防疫复工</t>
  </si>
  <si>
    <t xml:space="preserve"> 2020-02-18 14:20:02</t>
  </si>
  <si>
    <t xml:space="preserve"> 2020-02-18 11:28:01</t>
  </si>
  <si>
    <t>客座率飞机日利用率下降近一半</t>
  </si>
  <si>
    <t xml:space="preserve"> 2020-02-18 12:50:02</t>
  </si>
  <si>
    <t xml:space="preserve"> 2020-02-18 08:20:02</t>
  </si>
  <si>
    <t>武汉疫情防控特别优秀的可破格提拔</t>
  </si>
  <si>
    <t xml:space="preserve"> 2020-02-18 14:30:02</t>
  </si>
  <si>
    <t xml:space="preserve"> 2020-02-18 08:24:01</t>
  </si>
  <si>
    <t>湖北以外新增病例14连降</t>
  </si>
  <si>
    <t xml:space="preserve"> 2020-02-18 07:08:02</t>
  </si>
  <si>
    <t>湖北新增1807例新冠肺炎</t>
  </si>
  <si>
    <t xml:space="preserve"> 2020-02-18 12:12:02</t>
  </si>
  <si>
    <t xml:space="preserve"> 2020-02-18 10:02:01</t>
  </si>
  <si>
    <t>炒年糕</t>
  </si>
  <si>
    <t xml:space="preserve"> 2020-02-18 13:58:02</t>
  </si>
  <si>
    <t xml:space="preserve"> 2020-02-18 08:42:01</t>
  </si>
  <si>
    <t>广东援鄂医疗队员获1万补助</t>
  </si>
  <si>
    <t xml:space="preserve"> 2020-02-18 13:20:01</t>
  </si>
  <si>
    <t>连续6天治愈出院超千人</t>
  </si>
  <si>
    <t xml:space="preserve"> 2020-02-18 11:56:01</t>
  </si>
  <si>
    <t>涉药央企正进行新冠疫苗研发</t>
  </si>
  <si>
    <t xml:space="preserve"> 2020-02-18 12:38:02</t>
  </si>
  <si>
    <t xml:space="preserve"> 2020-02-18 12:02:02</t>
  </si>
  <si>
    <t>扶持中小企业理所当然</t>
  </si>
  <si>
    <t xml:space="preserve"> 2020-02-18 12:54:02</t>
  </si>
  <si>
    <t>冷漠的灭火机器</t>
  </si>
  <si>
    <t xml:space="preserve"> 2020-02-18 14:00:02</t>
  </si>
  <si>
    <t>梅西汉密尔顿获劳伦斯奖</t>
  </si>
  <si>
    <t xml:space="preserve"> 2020-02-18 18:56:02</t>
  </si>
  <si>
    <t xml:space="preserve"> 2020-02-18 12:06:01</t>
  </si>
  <si>
    <t>朋友圈步数鄙视链</t>
  </si>
  <si>
    <t xml:space="preserve"> 2020-02-18 07:34:02</t>
  </si>
  <si>
    <t>湖北外地区日常医疗不能一关了之</t>
  </si>
  <si>
    <t xml:space="preserve"> 2020-02-19 10:50:01</t>
  </si>
  <si>
    <t xml:space="preserve"> 2020-02-18 22:00:02</t>
  </si>
  <si>
    <t>323名严重精神障碍患者确诊新冠肺炎</t>
  </si>
  <si>
    <t xml:space="preserve"> 2020-02-19 11:48:02</t>
  </si>
  <si>
    <t xml:space="preserve"> 2020-02-18 22:36:02</t>
  </si>
  <si>
    <t>近4万包卫生巾运抵武汉</t>
  </si>
  <si>
    <t xml:space="preserve"> 2020-02-19 09:44:02</t>
  </si>
  <si>
    <t xml:space="preserve"> 2020-02-18 20:48:02</t>
  </si>
  <si>
    <t>下一站是幸福大结局</t>
  </si>
  <si>
    <t xml:space="preserve"> 2020-02-19 14:46:01</t>
  </si>
  <si>
    <t xml:space="preserve"> 2020-02-18 22:54:02</t>
  </si>
  <si>
    <t>never和妹妹打起来了</t>
  </si>
  <si>
    <t xml:space="preserve"> 2020-02-19 17:16:01</t>
  </si>
  <si>
    <t xml:space="preserve"> 2020-02-18 19:16:02</t>
  </si>
  <si>
    <t>安倍</t>
  </si>
  <si>
    <t xml:space="preserve"> 2020-02-19 12:48:02</t>
  </si>
  <si>
    <t xml:space="preserve"> 2020-02-18 22:44:02</t>
  </si>
  <si>
    <t>陈数气场</t>
  </si>
  <si>
    <t xml:space="preserve"> 2020-02-19 01:00:01</t>
  </si>
  <si>
    <t xml:space="preserve"> 2020-02-18 21:44:01</t>
  </si>
  <si>
    <t>约500人明日离开钻石公主号</t>
  </si>
  <si>
    <t xml:space="preserve"> 2020-02-19 10:52:02</t>
  </si>
  <si>
    <t xml:space="preserve"> 2020-02-18 20:58:02</t>
  </si>
  <si>
    <t>宋雪东阳结婚</t>
  </si>
  <si>
    <t xml:space="preserve"> 2020-02-19 10:28:02</t>
  </si>
  <si>
    <t xml:space="preserve"> 2020-02-18 20:14:01</t>
  </si>
  <si>
    <t>牛奶麻辣烫</t>
  </si>
  <si>
    <t xml:space="preserve"> 2020-02-19 11:12:02</t>
  </si>
  <si>
    <t xml:space="preserve"> 2020-02-18 21:00:02</t>
  </si>
  <si>
    <t>第一次接触地震的济南人</t>
  </si>
  <si>
    <t xml:space="preserve"> 2020-02-19 09:20:02</t>
  </si>
  <si>
    <t>宋威龙私服</t>
  </si>
  <si>
    <t xml:space="preserve"> 2020-02-19 08:58:02</t>
  </si>
  <si>
    <t xml:space="preserve"> 2020-02-18 20:00:02</t>
  </si>
  <si>
    <t>日本医院6000个口罩被盗</t>
  </si>
  <si>
    <t xml:space="preserve"> 2020-02-19 09:40:02</t>
  </si>
  <si>
    <t xml:space="preserve"> 2020-02-18 22:40:02</t>
  </si>
  <si>
    <t>中国疾控中心最新重磅论文</t>
  </si>
  <si>
    <t xml:space="preserve"> 2020-02-19 09:54:01</t>
  </si>
  <si>
    <t xml:space="preserve"> 2020-02-18 21:04:02</t>
  </si>
  <si>
    <t>春节后猪肉批发均价每公斤50元左右</t>
  </si>
  <si>
    <t xml:space="preserve"> 2020-02-19 13:06:01</t>
  </si>
  <si>
    <t xml:space="preserve"> 2020-02-18 23:28:02</t>
  </si>
  <si>
    <t>日本国内累计确诊616例</t>
  </si>
  <si>
    <t xml:space="preserve"> 2020-02-19 14:34:02</t>
  </si>
  <si>
    <t xml:space="preserve"> 2020-02-18 22:16:02</t>
  </si>
  <si>
    <t>曹云金</t>
  </si>
  <si>
    <t xml:space="preserve"> 2020-02-19 13:52:02</t>
  </si>
  <si>
    <t xml:space="preserve"> 2020-02-18 23:16:02</t>
  </si>
  <si>
    <t>武汉大学</t>
  </si>
  <si>
    <t xml:space="preserve"> 2020-02-19 11:18:02</t>
  </si>
  <si>
    <t xml:space="preserve"> 2020-02-18 20:44:02</t>
  </si>
  <si>
    <t>余文乐胖了</t>
  </si>
  <si>
    <t xml:space="preserve"> 2020-02-19 13:08:02</t>
  </si>
  <si>
    <t xml:space="preserve"> 2020-02-18 22:42:01</t>
  </si>
  <si>
    <t>吴磊紫药水眼圈</t>
  </si>
  <si>
    <t xml:space="preserve"> 2020-02-18 22:22:01</t>
  </si>
  <si>
    <t>孝感打麻将被劝阻事件乡长登门道歉</t>
  </si>
  <si>
    <t xml:space="preserve"> 2020-02-19 11:24:02</t>
  </si>
  <si>
    <t xml:space="preserve"> 2020-02-18 20:54:02</t>
  </si>
  <si>
    <t>张艺兴粉丝 阴阳师</t>
  </si>
  <si>
    <t xml:space="preserve"> 2020-02-19 12:08:02</t>
  </si>
  <si>
    <t xml:space="preserve"> 2020-02-18 22:04:02</t>
  </si>
  <si>
    <t>蔡敏敏贺灿阳 甜</t>
  </si>
  <si>
    <t xml:space="preserve"> 2020-02-19 11:32:02</t>
  </si>
  <si>
    <t xml:space="preserve"> 2020-02-18 21:42:02</t>
  </si>
  <si>
    <t>鸭子灭蝗</t>
  </si>
  <si>
    <t xml:space="preserve"> 2020-02-19 09:30:01</t>
  </si>
  <si>
    <t xml:space="preserve"> 2020-02-18 20:04:02</t>
  </si>
  <si>
    <t>钟南山强调保持下水道通畅极为重要</t>
  </si>
  <si>
    <t xml:space="preserve"> 2020-02-18 21:40:02</t>
  </si>
  <si>
    <t>成都到底有多美</t>
  </si>
  <si>
    <t xml:space="preserve"> 2020-02-19 10:04:02</t>
  </si>
  <si>
    <t xml:space="preserve"> 2020-02-18 21:52:02</t>
  </si>
  <si>
    <t>肖战 爱不会被隔离</t>
  </si>
  <si>
    <t xml:space="preserve"> 2020-02-19 11:04:01</t>
  </si>
  <si>
    <t>黄轩演技</t>
  </si>
  <si>
    <t xml:space="preserve"> 2020-02-19 07:56:02</t>
  </si>
  <si>
    <t xml:space="preserve"> 2020-02-18 17:20:02</t>
  </si>
  <si>
    <t>青春有你2四胞胎</t>
  </si>
  <si>
    <t xml:space="preserve"> 2020-02-19 12:22:02</t>
  </si>
  <si>
    <t>国务院决定阶段性减免企业社保费</t>
  </si>
  <si>
    <t xml:space="preserve"> 2020-02-19 08:26:01</t>
  </si>
  <si>
    <t>福建话究竟有多难</t>
  </si>
  <si>
    <t xml:space="preserve"> 2020-02-19 08:04:01</t>
  </si>
  <si>
    <t xml:space="preserve"> 2020-02-18 17:10:02</t>
  </si>
  <si>
    <t>美颜滤镜下的关晓彤</t>
  </si>
  <si>
    <t xml:space="preserve"> 2020-02-19 10:42:02</t>
  </si>
  <si>
    <t>第一批复工的人</t>
  </si>
  <si>
    <t xml:space="preserve"> 2020-02-19 07:14:01</t>
  </si>
  <si>
    <t xml:space="preserve"> 2020-02-18 17:02:02</t>
  </si>
  <si>
    <t>疫情出现三个首次</t>
  </si>
  <si>
    <t xml:space="preserve"> 2020-02-19 02:36:02</t>
  </si>
  <si>
    <t xml:space="preserve"> 2020-02-18 18:36:01</t>
  </si>
  <si>
    <t>曼谷一购物中心发生枪击事件</t>
  </si>
  <si>
    <t xml:space="preserve"> 2020-02-19 08:16:02</t>
  </si>
  <si>
    <t xml:space="preserve"> 2020-02-18 17:54:01</t>
  </si>
  <si>
    <t>钟南山表示武汉还没有停止人传人</t>
  </si>
  <si>
    <t xml:space="preserve"> 2020-02-19 07:08:01</t>
  </si>
  <si>
    <t>超鬼王</t>
  </si>
  <si>
    <t xml:space="preserve"> 2020-02-19 07:28:02</t>
  </si>
  <si>
    <t xml:space="preserve"> 2020-02-18 19:24:02</t>
  </si>
  <si>
    <t>易烊千玺撸猫</t>
  </si>
  <si>
    <t xml:space="preserve"> 2020-02-18 19:26:02</t>
  </si>
  <si>
    <t>口罩饼</t>
  </si>
  <si>
    <t xml:space="preserve"> 2020-02-19 10:44:02</t>
  </si>
  <si>
    <t xml:space="preserve"> 2020-02-18 23:24:01</t>
  </si>
  <si>
    <t>见过最接地气的抗疫标语</t>
  </si>
  <si>
    <t xml:space="preserve"> 2020-02-19 08:32:01</t>
  </si>
  <si>
    <t xml:space="preserve"> 2020-02-18 16:38:02</t>
  </si>
  <si>
    <t>周深背对着白墙直播竞演</t>
  </si>
  <si>
    <t xml:space="preserve"> 2020-02-19 07:16:01</t>
  </si>
  <si>
    <t>Lisa黑长卷发</t>
  </si>
  <si>
    <t xml:space="preserve"> 2020-02-18 19:34:01</t>
  </si>
  <si>
    <t>印巴边境 蝗虫</t>
  </si>
  <si>
    <t xml:space="preserve"> 2020-02-19 08:42:02</t>
  </si>
  <si>
    <t>妈妈神一样的逻辑</t>
  </si>
  <si>
    <t xml:space="preserve"> 2020-02-19 07:12:01</t>
  </si>
  <si>
    <t xml:space="preserve"> 2020-02-18 20:08:01</t>
  </si>
  <si>
    <t>自制芋圆</t>
  </si>
  <si>
    <t xml:space="preserve"> 2020-02-19 04:30:02</t>
  </si>
  <si>
    <t xml:space="preserve"> 2020-02-18 20:46:02</t>
  </si>
  <si>
    <t>蝴蝶翅膀高跟鞋</t>
  </si>
  <si>
    <t xml:space="preserve"> 2020-02-19 03:44:01</t>
  </si>
  <si>
    <t>河正宇方否认吸毒</t>
  </si>
  <si>
    <t xml:space="preserve"> 2020-02-19 08:14:02</t>
  </si>
  <si>
    <t>抗疫期间这些行为都是犯罪</t>
  </si>
  <si>
    <t xml:space="preserve"> 2020-03-15 21:00:02</t>
  </si>
  <si>
    <t xml:space="preserve"> 2020-02-18 21:02:01</t>
  </si>
  <si>
    <t>完美关系</t>
  </si>
  <si>
    <t xml:space="preserve"> 2020-02-19 16:30:02</t>
  </si>
  <si>
    <t>杭州西湖今起有序开放</t>
  </si>
  <si>
    <t xml:space="preserve"> 2020-02-19 18:26:02</t>
  </si>
  <si>
    <t xml:space="preserve"> 2020-02-19 11:26:01</t>
  </si>
  <si>
    <t>2次检测阴性出院后又确诊</t>
  </si>
  <si>
    <t xml:space="preserve"> 2020-02-19 15:36:02</t>
  </si>
  <si>
    <t xml:space="preserve"> 2020-02-19 11:20:02</t>
  </si>
  <si>
    <t>韩国新增15例新型肺炎</t>
  </si>
  <si>
    <t xml:space="preserve"> 2020-02-19 20:06:01</t>
  </si>
  <si>
    <t xml:space="preserve"> 2020-02-19 09:32:01</t>
  </si>
  <si>
    <t>杨幂体重</t>
  </si>
  <si>
    <t xml:space="preserve"> 2020-02-19 17:24:02</t>
  </si>
  <si>
    <t xml:space="preserve"> 2020-02-19 09:10:01</t>
  </si>
  <si>
    <t>连续十年更新暖羊羊的帖子</t>
  </si>
  <si>
    <t xml:space="preserve"> 2020-02-19 16:22:01</t>
  </si>
  <si>
    <t xml:space="preserve"> 2020-02-19 07:32:02</t>
  </si>
  <si>
    <t>宋威龙姐姐</t>
  </si>
  <si>
    <t xml:space="preserve"> 2020-02-19 15:48:01</t>
  </si>
  <si>
    <t xml:space="preserve"> 2020-02-19 10:48:01</t>
  </si>
  <si>
    <t>浙江多地包机免费接工人返岗</t>
  </si>
  <si>
    <t xml:space="preserve"> 2020-02-19 15:00:01</t>
  </si>
  <si>
    <t xml:space="preserve"> 2020-02-19 07:44:01</t>
  </si>
  <si>
    <t>叙利亚3岁难民听到轰炸大笑</t>
  </si>
  <si>
    <t xml:space="preserve"> 2020-02-20 09:06:01</t>
  </si>
  <si>
    <t xml:space="preserve"> 2020-02-19 00:28:02</t>
  </si>
  <si>
    <t>武汉再发现居家确诊病人将问责</t>
  </si>
  <si>
    <t xml:space="preserve"> 2020-02-19 15:50:02</t>
  </si>
  <si>
    <t xml:space="preserve"> 2020-02-19 08:06:01</t>
  </si>
  <si>
    <t>朴振英腹肌 车银优腹肌</t>
  </si>
  <si>
    <t xml:space="preserve"> 2020-02-19 13:34:02</t>
  </si>
  <si>
    <t xml:space="preserve"> 2020-02-19 09:46:02</t>
  </si>
  <si>
    <t>600名务工人员免费坐高铁复工</t>
  </si>
  <si>
    <t xml:space="preserve"> 2020-02-19 13:18:01</t>
  </si>
  <si>
    <t xml:space="preserve"> 2020-02-19 08:44:02</t>
  </si>
  <si>
    <t>多地明日公布考研初试成绩</t>
  </si>
  <si>
    <t xml:space="preserve"> 2020-02-19 13:22:01</t>
  </si>
  <si>
    <t>全国累计确诊新冠肺炎74185例</t>
  </si>
  <si>
    <t xml:space="preserve"> 2020-02-19 15:46:02</t>
  </si>
  <si>
    <t>雨水</t>
  </si>
  <si>
    <t xml:space="preserve"> 2020-02-19 19:46:02</t>
  </si>
  <si>
    <t xml:space="preserve"> 2020-02-19 10:58:01</t>
  </si>
  <si>
    <t>霍尊打哈欠下巴脱臼</t>
  </si>
  <si>
    <t xml:space="preserve"> 2020-02-19 18:20:02</t>
  </si>
  <si>
    <t>高露气质</t>
  </si>
  <si>
    <t xml:space="preserve"> 2020-02-19 16:52:02</t>
  </si>
  <si>
    <t>学生穿校服老师着正装上网课</t>
  </si>
  <si>
    <t xml:space="preserve"> 2020-02-19 15:54:02</t>
  </si>
  <si>
    <t>北京新增6例新型肺炎</t>
  </si>
  <si>
    <t xml:space="preserve"> 2020-02-19 18:22:02</t>
  </si>
  <si>
    <t xml:space="preserve"> 2020-02-19 11:34:01</t>
  </si>
  <si>
    <t>你和别人熬夜的区别</t>
  </si>
  <si>
    <t xml:space="preserve"> 2020-02-19 16:16:02</t>
  </si>
  <si>
    <t xml:space="preserve"> 2020-02-19 11:50:02</t>
  </si>
  <si>
    <t>中山大学给湖北籍学生发慰问金</t>
  </si>
  <si>
    <t xml:space="preserve"> 2020-02-19 14:28:02</t>
  </si>
  <si>
    <t>河北4市乘出租实名登记</t>
  </si>
  <si>
    <t xml:space="preserve"> 2020-02-19 08:34:01</t>
  </si>
  <si>
    <t>美国童子军申请破产</t>
  </si>
  <si>
    <t xml:space="preserve"> 2020-02-19 15:42:02</t>
  </si>
  <si>
    <t xml:space="preserve"> 2020-02-19 09:42:02</t>
  </si>
  <si>
    <t>原红花会队长弹壳当爸</t>
  </si>
  <si>
    <t xml:space="preserve"> 2020-02-19 15:34:01</t>
  </si>
  <si>
    <t xml:space="preserve"> 2020-02-19 10:30:02</t>
  </si>
  <si>
    <t>我上网课的状态</t>
  </si>
  <si>
    <t xml:space="preserve"> 2020-02-19 15:30:02</t>
  </si>
  <si>
    <t xml:space="preserve"> 2020-02-19 10:06:02</t>
  </si>
  <si>
    <t>新冠肺炎女童出院跳舞感谢医护</t>
  </si>
  <si>
    <t xml:space="preserve"> 2020-02-19 13:24:02</t>
  </si>
  <si>
    <t xml:space="preserve"> 2020-02-19 11:06:01</t>
  </si>
  <si>
    <t>新加坡严惩违反居家隔离制度者</t>
  </si>
  <si>
    <t xml:space="preserve"> 2020-02-19 13:10:02</t>
  </si>
  <si>
    <t>薯片沙拉</t>
  </si>
  <si>
    <t xml:space="preserve"> 2020-02-19 13:46:01</t>
  </si>
  <si>
    <t xml:space="preserve"> 2020-02-19 10:46:01</t>
  </si>
  <si>
    <t>实探郑州富士康复工</t>
  </si>
  <si>
    <t xml:space="preserve"> 2020-02-19 14:08:02</t>
  </si>
  <si>
    <t xml:space="preserve"> 2020-02-19 11:14:02</t>
  </si>
  <si>
    <t>撤销蛙类养殖专业委员会</t>
  </si>
  <si>
    <t xml:space="preserve"> 2020-02-19 14:32:01</t>
  </si>
  <si>
    <t>南方人冬天睡觉流程</t>
  </si>
  <si>
    <t xml:space="preserve"> 2020-02-19 13:32:02</t>
  </si>
  <si>
    <t>甘肃森林火灾</t>
  </si>
  <si>
    <t xml:space="preserve"> 2020-02-19 14:36:02</t>
  </si>
  <si>
    <t>钟南山为有体力工作坚持健身</t>
  </si>
  <si>
    <t>钻石公主号首批约500名乘客下船</t>
  </si>
  <si>
    <t xml:space="preserve"> 2020-02-19 13:44:02</t>
  </si>
  <si>
    <t xml:space="preserve"> 2020-02-19 07:20:02</t>
  </si>
  <si>
    <t>敏感是什么体验</t>
  </si>
  <si>
    <t xml:space="preserve"> 2020-02-19 12:18:01</t>
  </si>
  <si>
    <t>疫情防控严禁过度执法粗暴执法</t>
  </si>
  <si>
    <t xml:space="preserve"> 2020-02-19 12:44:02</t>
  </si>
  <si>
    <t xml:space="preserve"> 2020-02-19 09:22:02</t>
  </si>
  <si>
    <t>哈卷遭遇抢劫</t>
  </si>
  <si>
    <t xml:space="preserve"> 2020-02-19 12:26:02</t>
  </si>
  <si>
    <t xml:space="preserve"> 2020-02-19 07:10:01</t>
  </si>
  <si>
    <t>湖北新增1693例新冠肺炎</t>
  </si>
  <si>
    <t xml:space="preserve"> 2020-02-19 12:04:01</t>
  </si>
  <si>
    <t>甘肃森林火灾明火已扑灭</t>
  </si>
  <si>
    <t xml:space="preserve"> 2020-02-19 12:16:01</t>
  </si>
  <si>
    <t>武汉非新冠肺炎特殊患者救治医院名单</t>
  </si>
  <si>
    <t xml:space="preserve"> 2020-02-19 09:56:01</t>
  </si>
  <si>
    <t>雷吉杰克逊加盟快船</t>
  </si>
  <si>
    <t>浙江推出中药预防疫病推荐方</t>
  </si>
  <si>
    <t xml:space="preserve"> 2020-02-20 11:02:02</t>
  </si>
  <si>
    <t xml:space="preserve"> 2020-02-19 21:40:01</t>
  </si>
  <si>
    <t>脑瘫外卖小哥被封号谢绝网友捐款</t>
  </si>
  <si>
    <t xml:space="preserve"> 2020-02-20 10:32:02</t>
  </si>
  <si>
    <t xml:space="preserve"> 2020-02-19 22:56:02</t>
  </si>
  <si>
    <t>钟南山联手哈佛大学攻坚新冠病毒</t>
  </si>
  <si>
    <t xml:space="preserve"> 2020-02-20 09:54:02</t>
  </si>
  <si>
    <t xml:space="preserve"> 2020-02-19 23:20:01</t>
  </si>
  <si>
    <t>日本政府回应教授控诉钻石公主号</t>
  </si>
  <si>
    <t xml:space="preserve"> 2020-02-20 10:28:01</t>
  </si>
  <si>
    <t xml:space="preserve"> 2020-02-19 20:40:01</t>
  </si>
  <si>
    <t>柳如丝自杀</t>
  </si>
  <si>
    <t xml:space="preserve"> 2020-02-20 11:08:02</t>
  </si>
  <si>
    <t xml:space="preserve"> 2020-02-19 22:36:02</t>
  </si>
  <si>
    <t>金钟大发文</t>
  </si>
  <si>
    <t xml:space="preserve"> 2020-03-04 14:04:01</t>
  </si>
  <si>
    <t xml:space="preserve"> 2020-02-19 20:22:02</t>
  </si>
  <si>
    <t>刘真</t>
  </si>
  <si>
    <t xml:space="preserve"> 2020-02-20 09:36:02</t>
  </si>
  <si>
    <t xml:space="preserve"> 2020-02-19 21:48:02</t>
  </si>
  <si>
    <t>徐天发现十七是小红袄</t>
  </si>
  <si>
    <t xml:space="preserve"> 2020-02-20 09:08:01</t>
  </si>
  <si>
    <t xml:space="preserve"> 2020-02-19 14:38:01</t>
  </si>
  <si>
    <t>韩国前总统李明博二审获刑17年</t>
  </si>
  <si>
    <t xml:space="preserve"> 2020-02-20 07:48:01</t>
  </si>
  <si>
    <t xml:space="preserve"> 2020-02-19 19:04:02</t>
  </si>
  <si>
    <t>94岁母亲举报65岁女儿聚众打麻将</t>
  </si>
  <si>
    <t xml:space="preserve"> 2020-02-20 08:28:02</t>
  </si>
  <si>
    <t xml:space="preserve"> 2020-02-19 18:24:01</t>
  </si>
  <si>
    <t>薯片袋拍照</t>
  </si>
  <si>
    <t xml:space="preserve"> 2020-02-20 07:14:02</t>
  </si>
  <si>
    <t xml:space="preserve"> 2020-02-19 21:06:02</t>
  </si>
  <si>
    <t>钟南山回应新冠肺炎药物使用</t>
  </si>
  <si>
    <t xml:space="preserve"> 2020-02-20 08:46:02</t>
  </si>
  <si>
    <t xml:space="preserve"> 2020-02-19 19:00:01</t>
  </si>
  <si>
    <t>武汉除抗疫和特殊用途车辆一律禁行</t>
  </si>
  <si>
    <t xml:space="preserve"> 2020-02-20 08:22:01</t>
  </si>
  <si>
    <t xml:space="preserve"> 2020-02-19 22:32:02</t>
  </si>
  <si>
    <t>武汉实施城市下水道消毒</t>
  </si>
  <si>
    <t xml:space="preserve"> 2020-02-20 07:44:02</t>
  </si>
  <si>
    <t>春运40天全国铁路发送旅客2.1亿人次</t>
  </si>
  <si>
    <t xml:space="preserve"> 2020-02-20 13:56:02</t>
  </si>
  <si>
    <t xml:space="preserve"> 2020-02-19 22:42:02</t>
  </si>
  <si>
    <t>她已经唱了整整五年了</t>
  </si>
  <si>
    <t xml:space="preserve"> 2020-03-28 14:14:01</t>
  </si>
  <si>
    <t xml:space="preserve"> 2020-02-19 22:14:02</t>
  </si>
  <si>
    <t>湖南开学时间</t>
  </si>
  <si>
    <t xml:space="preserve"> 2020-02-20 11:18:02</t>
  </si>
  <si>
    <t xml:space="preserve"> 2020-02-19 22:26:01</t>
  </si>
  <si>
    <t>让谢广坤气死了</t>
  </si>
  <si>
    <t xml:space="preserve"> 2020-02-19 22:58:01</t>
  </si>
  <si>
    <t>金韩彬送中国粉丝数万只口罩</t>
  </si>
  <si>
    <t xml:space="preserve"> 2020-02-20 10:08:01</t>
  </si>
  <si>
    <t xml:space="preserve"> 2020-02-19 20:18:02</t>
  </si>
  <si>
    <t>韩国多名邪教徒确认感染新冠病毒</t>
  </si>
  <si>
    <t xml:space="preserve"> 2020-02-20 10:52:01</t>
  </si>
  <si>
    <t xml:space="preserve"> 2020-02-19 20:02:01</t>
  </si>
  <si>
    <t>网购频率最高的零食</t>
  </si>
  <si>
    <t xml:space="preserve"> 2020-02-20 10:02:02</t>
  </si>
  <si>
    <t xml:space="preserve"> 2020-02-19 21:20:01</t>
  </si>
  <si>
    <t>李纯演技</t>
  </si>
  <si>
    <t xml:space="preserve"> 2020-02-19 21:28:01</t>
  </si>
  <si>
    <t>不要随便蹲在路边</t>
  </si>
  <si>
    <t xml:space="preserve"> 2020-02-20 09:48:02</t>
  </si>
  <si>
    <t>男子离汉回京瞒报致母亲确诊</t>
  </si>
  <si>
    <t xml:space="preserve"> 2020-02-20 09:52:01</t>
  </si>
  <si>
    <t xml:space="preserve"> 2020-02-19 22:34:02</t>
  </si>
  <si>
    <t>厚劳大臣把钻石公主号乘客放回去了</t>
  </si>
  <si>
    <t xml:space="preserve"> 2020-02-20 09:20:01</t>
  </si>
  <si>
    <t xml:space="preserve"> 2020-02-19 19:58:02</t>
  </si>
  <si>
    <t>疫情结束后出街的我们</t>
  </si>
  <si>
    <t xml:space="preserve"> 2020-02-19 21:44:02</t>
  </si>
  <si>
    <t>现实中的嘴炮十级学者</t>
  </si>
  <si>
    <t xml:space="preserve"> 2020-02-20 07:10:01</t>
  </si>
  <si>
    <t xml:space="preserve"> 2020-02-19 18:28:02</t>
  </si>
  <si>
    <t>自热火锅</t>
  </si>
  <si>
    <t xml:space="preserve"> 2020-02-20 09:26:02</t>
  </si>
  <si>
    <t xml:space="preserve"> 2020-02-19 22:04:01</t>
  </si>
  <si>
    <t>小汤圆爸妈出院</t>
  </si>
  <si>
    <t xml:space="preserve"> 2020-03-22 08:18:02</t>
  </si>
  <si>
    <t xml:space="preserve"> 2020-02-19 17:20:01</t>
  </si>
  <si>
    <t>江苏开学时间</t>
  </si>
  <si>
    <t>美颜滤镜下的比伯</t>
  </si>
  <si>
    <t xml:space="preserve"> 2020-02-20 01:16:02</t>
  </si>
  <si>
    <t xml:space="preserve"> 2020-02-19 17:18:01</t>
  </si>
  <si>
    <t>保持医务人员合理休息</t>
  </si>
  <si>
    <t>家长满意网课的原因</t>
  </si>
  <si>
    <t xml:space="preserve"> 2020-02-20 08:40:02</t>
  </si>
  <si>
    <t>自己剪刘海</t>
  </si>
  <si>
    <t xml:space="preserve"> 2020-02-20 08:58:01</t>
  </si>
  <si>
    <t xml:space="preserve"> 2020-02-19 23:00:02</t>
  </si>
  <si>
    <t>武汉要求各区负责人签责任状</t>
  </si>
  <si>
    <t xml:space="preserve"> 2020-02-20 03:02:02</t>
  </si>
  <si>
    <t xml:space="preserve"> 2020-02-19 16:18:02</t>
  </si>
  <si>
    <t>薯片鸡翅</t>
  </si>
  <si>
    <t xml:space="preserve"> 2020-02-20 07:20:02</t>
  </si>
  <si>
    <t xml:space="preserve"> 2020-02-19 18:08:02</t>
  </si>
  <si>
    <t>猫丑不怕巷子深</t>
  </si>
  <si>
    <t xml:space="preserve"> 2020-02-20 08:26:02</t>
  </si>
  <si>
    <t xml:space="preserve"> 2020-02-19 23:24:01</t>
  </si>
  <si>
    <t>鄂州发布回应派出所分发物资</t>
  </si>
  <si>
    <t xml:space="preserve"> 2020-02-20 04:10:02</t>
  </si>
  <si>
    <t xml:space="preserve"> 2020-02-19 19:18:02</t>
  </si>
  <si>
    <t>武汉病毒所致信全所职工和研究生</t>
  </si>
  <si>
    <t xml:space="preserve"> 2020-02-20 08:36:02</t>
  </si>
  <si>
    <t>土产零食之光</t>
  </si>
  <si>
    <t xml:space="preserve"> 2020-02-20 07:58:01</t>
  </si>
  <si>
    <t>武汉第八医院院长王萍感染新冠肺炎</t>
  </si>
  <si>
    <t>抚州一线医务人员子女中考加20分</t>
  </si>
  <si>
    <t xml:space="preserve"> 2020-02-20 01:32:01</t>
  </si>
  <si>
    <t>郑爽唱追光者</t>
  </si>
  <si>
    <t xml:space="preserve"> 2020-02-19 17:26:01</t>
  </si>
  <si>
    <t>第一次看到堵车会开心</t>
  </si>
  <si>
    <t xml:space="preserve"> 2020-02-19 16:24:02</t>
  </si>
  <si>
    <t>俄罗斯全面禁止中国公民入境</t>
  </si>
  <si>
    <t xml:space="preserve"> 2020-02-20 00:40:02</t>
  </si>
  <si>
    <t xml:space="preserve"> 2020-02-19 19:38:02</t>
  </si>
  <si>
    <t>日本神户大学教授录制告发视频</t>
  </si>
  <si>
    <t xml:space="preserve"> 2020-02-21 08:42:01</t>
  </si>
  <si>
    <t xml:space="preserve"> 2020-02-20 11:28:02</t>
  </si>
  <si>
    <t>孙小果被执行死刑</t>
  </si>
  <si>
    <t xml:space="preserve"> 2020-02-20 17:38:02</t>
  </si>
  <si>
    <t xml:space="preserve"> 2020-02-20 11:04:02</t>
  </si>
  <si>
    <t>为什么武汉新增病例高于湖北全省</t>
  </si>
  <si>
    <t xml:space="preserve"> 2020-02-20 15:40:02</t>
  </si>
  <si>
    <t xml:space="preserve"> 2020-02-20 07:46:02</t>
  </si>
  <si>
    <t>王辰 新冠病毒有可能长期存在</t>
  </si>
  <si>
    <t xml:space="preserve"> 2020-02-20 18:42:02</t>
  </si>
  <si>
    <t xml:space="preserve"> 2020-02-20 10:54:01</t>
  </si>
  <si>
    <t>医护小姐姐下意识撩头发</t>
  </si>
  <si>
    <t xml:space="preserve"> 2020-02-20 17:24:01</t>
  </si>
  <si>
    <t xml:space="preserve"> 2020-02-20 08:42:02</t>
  </si>
  <si>
    <t>牛蛙</t>
  </si>
  <si>
    <t xml:space="preserve"> 2020-03-20 13:00:02</t>
  </si>
  <si>
    <t xml:space="preserve"> 2020-02-20 09:38:02</t>
  </si>
  <si>
    <t>考研国家线</t>
  </si>
  <si>
    <t xml:space="preserve"> 2020-02-20 16:40:02</t>
  </si>
  <si>
    <t xml:space="preserve"> 2020-02-20 08:00:01</t>
  </si>
  <si>
    <t>沈腾 我是真什么都不知道</t>
  </si>
  <si>
    <t xml:space="preserve"> 2020-02-20 09:22:01</t>
  </si>
  <si>
    <t>柯佳嬿太有梗了</t>
  </si>
  <si>
    <t xml:space="preserve"> 2020-02-20 16:10:02</t>
  </si>
  <si>
    <t xml:space="preserve"> 2020-02-20 09:56:02</t>
  </si>
  <si>
    <t>新冠肺炎重症救治难度比SARS高</t>
  </si>
  <si>
    <t xml:space="preserve"> 2020-02-20 14:30:01</t>
  </si>
  <si>
    <t xml:space="preserve"> 2020-02-20 10:30:02</t>
  </si>
  <si>
    <t>学生该不该穿校服上网课</t>
  </si>
  <si>
    <t xml:space="preserve"> 2020-02-20 14:12:01</t>
  </si>
  <si>
    <t>筷子拍照</t>
  </si>
  <si>
    <t xml:space="preserve"> 2020-02-20 14:02:02</t>
  </si>
  <si>
    <t>韩国新增新冠肺炎31例</t>
  </si>
  <si>
    <t xml:space="preserve"> 2020-02-20 15:58:02</t>
  </si>
  <si>
    <t xml:space="preserve"> 2020-02-20 10:00:02</t>
  </si>
  <si>
    <t>哈里梅根将于3月31日正式退出王室</t>
  </si>
  <si>
    <t xml:space="preserve"> 2020-02-20 13:32:01</t>
  </si>
  <si>
    <t xml:space="preserve"> 2020-02-20 07:22:02</t>
  </si>
  <si>
    <t>湖北新增349例新冠肺炎</t>
  </si>
  <si>
    <t xml:space="preserve"> 2020-02-20 15:30:02</t>
  </si>
  <si>
    <t>四川藏区全部脱贫</t>
  </si>
  <si>
    <t xml:space="preserve"> 2020-02-20 16:20:02</t>
  </si>
  <si>
    <t xml:space="preserve"> 2020-02-20 11:20:02</t>
  </si>
  <si>
    <t>泰国坠崖孕妇丈夫不认罪</t>
  </si>
  <si>
    <t xml:space="preserve"> 2020-02-20 17:06:02</t>
  </si>
  <si>
    <t xml:space="preserve"> 2020-02-20 08:54:02</t>
  </si>
  <si>
    <t>王文也</t>
  </si>
  <si>
    <t xml:space="preserve"> 2020-02-20 17:26:01</t>
  </si>
  <si>
    <t xml:space="preserve"> 2020-02-20 11:36:02</t>
  </si>
  <si>
    <t>车银优 DAZED</t>
  </si>
  <si>
    <t xml:space="preserve"> 2020-02-20 16:46:02</t>
  </si>
  <si>
    <t xml:space="preserve"> 2020-02-20 10:18:02</t>
  </si>
  <si>
    <t>王一博不放弃手势舞</t>
  </si>
  <si>
    <t xml:space="preserve"> 2020-02-20 14:58:01</t>
  </si>
  <si>
    <t>乌干达出动军队灭蝗虫</t>
  </si>
  <si>
    <t xml:space="preserve"> 2020-02-20 14:38:02</t>
  </si>
  <si>
    <t xml:space="preserve"> 2020-02-20 08:30:02</t>
  </si>
  <si>
    <t>谢腾飞</t>
  </si>
  <si>
    <t>SUHO solo</t>
  </si>
  <si>
    <t xml:space="preserve"> 2020-02-20 11:06:01</t>
  </si>
  <si>
    <t>韩国新任总领事乘临时货机抵汉赴任</t>
  </si>
  <si>
    <t xml:space="preserve"> 2020-02-20 14:28:01</t>
  </si>
  <si>
    <t xml:space="preserve"> 2020-02-20 11:10:02</t>
  </si>
  <si>
    <t>钻石公主号2名新冠肺炎感染者死亡</t>
  </si>
  <si>
    <t xml:space="preserve"> 2020-02-20 14:26:01</t>
  </si>
  <si>
    <t xml:space="preserve"> 2020-02-20 00:16:01</t>
  </si>
  <si>
    <t>考研成绩</t>
  </si>
  <si>
    <t xml:space="preserve"> 2020-02-20 15:02:02</t>
  </si>
  <si>
    <t>活捉一枚快乐的防疫小可爱</t>
  </si>
  <si>
    <t xml:space="preserve"> 2020-02-20 07:54:02</t>
  </si>
  <si>
    <t>方舱医院医生感慨医患关系回来了</t>
  </si>
  <si>
    <t xml:space="preserve"> 2020-02-20 07:16:02</t>
  </si>
  <si>
    <t>Pop Smoke</t>
  </si>
  <si>
    <t xml:space="preserve"> 2020-02-20 18:14:02</t>
  </si>
  <si>
    <t xml:space="preserve"> 2020-02-20 11:58:01</t>
  </si>
  <si>
    <t>范丞丞童年照</t>
  </si>
  <si>
    <t xml:space="preserve"> 2020-02-20 13:54:02</t>
  </si>
  <si>
    <t xml:space="preserve"> 2020-02-20 10:06:01</t>
  </si>
  <si>
    <t>洗衣机拍照</t>
  </si>
  <si>
    <t xml:space="preserve"> 2020-02-20 13:16:01</t>
  </si>
  <si>
    <t xml:space="preserve"> 2020-02-20 10:42:02</t>
  </si>
  <si>
    <t>海绵宝宝拍前传</t>
  </si>
  <si>
    <t xml:space="preserve"> 2020-02-20 13:10:01</t>
  </si>
  <si>
    <t xml:space="preserve"> 2020-02-20 09:14:01</t>
  </si>
  <si>
    <t>游客讲述钻石公主号船上经历</t>
  </si>
  <si>
    <t xml:space="preserve"> 2020-02-20 13:52:02</t>
  </si>
  <si>
    <t>十年网络流行语大赏</t>
  </si>
  <si>
    <t xml:space="preserve"> 2020-02-20 12:36:01</t>
  </si>
  <si>
    <t xml:space="preserve"> 2020-02-20 10:10:02</t>
  </si>
  <si>
    <t>江苏无新增确诊病例</t>
  </si>
  <si>
    <t xml:space="preserve"> 2020-02-20 12:34:01</t>
  </si>
  <si>
    <t>济南又地震了</t>
  </si>
  <si>
    <t xml:space="preserve"> 2020-02-20 13:18:01</t>
  </si>
  <si>
    <t xml:space="preserve"> 2020-02-20 11:12:02</t>
  </si>
  <si>
    <t>北京市将补贴受疫情影响的影视项目</t>
  </si>
  <si>
    <t xml:space="preserve"> 2020-02-20 12:30:02</t>
  </si>
  <si>
    <t xml:space="preserve"> 2019-12-22 12:22:02</t>
  </si>
  <si>
    <t>法硕</t>
  </si>
  <si>
    <t xml:space="preserve"> 2020-02-20 12:00:01</t>
  </si>
  <si>
    <t>核减人数</t>
  </si>
  <si>
    <t xml:space="preserve"> 2020-02-20 12:46:01</t>
  </si>
  <si>
    <t xml:space="preserve"> 2020-02-20 11:56:01</t>
  </si>
  <si>
    <t>在家呆久了干啥都挨骂</t>
  </si>
  <si>
    <t xml:space="preserve"> 2020-02-20 17:08:02</t>
  </si>
  <si>
    <t>复制粘贴UI之父去世</t>
  </si>
  <si>
    <t>全国13地新增病例为0</t>
  </si>
  <si>
    <t xml:space="preserve"> 2020-02-20 12:38:01</t>
  </si>
  <si>
    <t xml:space="preserve"> 2020-02-20 12:08:02</t>
  </si>
  <si>
    <t>钻石公主号部分港澳同胞乘包机抵港</t>
  </si>
  <si>
    <t xml:space="preserve"> 2020-02-20 12:18:02</t>
  </si>
  <si>
    <t>多家车企转产医疗物资</t>
  </si>
  <si>
    <t xml:space="preserve"> 2020-02-20 16:32:02</t>
  </si>
  <si>
    <t>整栋楼解封后业主高喊加油</t>
  </si>
  <si>
    <t xml:space="preserve"> 2020-02-20 15:20:01</t>
  </si>
  <si>
    <t>湖北省委书记省长致信兄弟省区市</t>
  </si>
  <si>
    <t xml:space="preserve"> 2020-02-20 12:20:02</t>
  </si>
  <si>
    <t xml:space="preserve"> 2020-02-20 09:46:02</t>
  </si>
  <si>
    <t>原解放军被服厂转产防护服</t>
  </si>
  <si>
    <t xml:space="preserve"> 2020-02-20 12:44:01</t>
  </si>
  <si>
    <t xml:space="preserve"> 2020-02-20 07:12:02</t>
  </si>
  <si>
    <t>你拍得最好的一张照片</t>
  </si>
  <si>
    <t xml:space="preserve"> 2020-02-20 12:24:02</t>
  </si>
  <si>
    <t xml:space="preserve"> 2020-02-20 08:20:01</t>
  </si>
  <si>
    <t>完美关系 楼道接生</t>
  </si>
  <si>
    <t xml:space="preserve"> 2020-02-21 10:08:02</t>
  </si>
  <si>
    <t xml:space="preserve"> 2020-02-20 20:38:01</t>
  </si>
  <si>
    <t>李兰娟脸上的压痕</t>
  </si>
  <si>
    <t xml:space="preserve"> 2020-02-21 10:28:02</t>
  </si>
  <si>
    <t xml:space="preserve"> 2020-02-20 20:46:02</t>
  </si>
  <si>
    <t>疫情相关的8个好消息</t>
  </si>
  <si>
    <t xml:space="preserve"> 2020-02-21 09:18:02</t>
  </si>
  <si>
    <t xml:space="preserve"> 2020-02-20 22:10:01</t>
  </si>
  <si>
    <t>重庆调拨20万毫升血浆增援湖北</t>
  </si>
  <si>
    <t xml:space="preserve"> 2020-02-21 13:26:02</t>
  </si>
  <si>
    <t xml:space="preserve"> 2020-02-20 21:22:01</t>
  </si>
  <si>
    <t>小耳朵真名</t>
  </si>
  <si>
    <t xml:space="preserve"> 2020-02-20 20:08:02</t>
  </si>
  <si>
    <t>宁桓宇结婚</t>
  </si>
  <si>
    <t xml:space="preserve"> 2020-02-21 11:12:02</t>
  </si>
  <si>
    <t xml:space="preserve"> 2020-02-20 22:38:02</t>
  </si>
  <si>
    <t>因封路在面包车上生存26天</t>
  </si>
  <si>
    <t xml:space="preserve"> 2020-02-21 09:08:01</t>
  </si>
  <si>
    <t xml:space="preserve"> 2020-02-20 17:56:02</t>
  </si>
  <si>
    <t>火锅外卖</t>
  </si>
  <si>
    <t xml:space="preserve"> 2020-02-21 08:28:01</t>
  </si>
  <si>
    <t xml:space="preserve"> 2020-02-20 19:14:02</t>
  </si>
  <si>
    <t>金海没死</t>
  </si>
  <si>
    <t xml:space="preserve"> 2020-02-21 08:52:02</t>
  </si>
  <si>
    <t>以为每天上传体温就够傻的了</t>
  </si>
  <si>
    <t xml:space="preserve"> 2020-02-21 11:26:01</t>
  </si>
  <si>
    <t xml:space="preserve"> 2020-02-20 21:28:02</t>
  </si>
  <si>
    <t>馒头披萨</t>
  </si>
  <si>
    <t xml:space="preserve"> 2020-02-21 09:36:01</t>
  </si>
  <si>
    <t xml:space="preserve"> 2020-02-20 21:24:01</t>
  </si>
  <si>
    <t>新世界大结局</t>
  </si>
  <si>
    <t xml:space="preserve"> 2020-02-21 08:24:01</t>
  </si>
  <si>
    <t xml:space="preserve"> 2020-02-20 16:12:02</t>
  </si>
  <si>
    <t>痊愈后肺功能会受影响吗</t>
  </si>
  <si>
    <t xml:space="preserve"> 2020-02-21 07:52:02</t>
  </si>
  <si>
    <t xml:space="preserve"> 2020-02-20 22:22:01</t>
  </si>
  <si>
    <t>湖北要求救助特殊困难群体</t>
  </si>
  <si>
    <t xml:space="preserve"> 2020-02-21 07:44:01</t>
  </si>
  <si>
    <t>病毒会在头发上滞留吗</t>
  </si>
  <si>
    <t xml:space="preserve"> 2020-02-21 08:18:01</t>
  </si>
  <si>
    <t xml:space="preserve"> 2020-02-20 17:28:01</t>
  </si>
  <si>
    <t>不要将酒精喷洒在衣服上</t>
  </si>
  <si>
    <t xml:space="preserve"> 2020-02-21 10:32:02</t>
  </si>
  <si>
    <t>美方找到疫苗和药物开发关键靶点</t>
  </si>
  <si>
    <t xml:space="preserve"> 2020-02-21 11:22:02</t>
  </si>
  <si>
    <t xml:space="preserve"> 2020-02-20 23:22:02</t>
  </si>
  <si>
    <t>三人偷划船到对岸买零食</t>
  </si>
  <si>
    <t xml:space="preserve"> 2020-02-21 11:00:02</t>
  </si>
  <si>
    <t xml:space="preserve"> 2020-02-20 22:56:01</t>
  </si>
  <si>
    <t>又是被谢广坤气死的一天</t>
  </si>
  <si>
    <t xml:space="preserve"> 2020-02-21 07:30:02</t>
  </si>
  <si>
    <t xml:space="preserve"> 2020-02-20 22:58:01</t>
  </si>
  <si>
    <t>1月份全国生猪生产稳步恢复</t>
  </si>
  <si>
    <t xml:space="preserve"> 2020-02-21 11:20:01</t>
  </si>
  <si>
    <t>东华为凤九闯蛇阵</t>
  </si>
  <si>
    <t xml:space="preserve"> 2020-02-21 10:30:02</t>
  </si>
  <si>
    <t xml:space="preserve"> 2020-02-20 22:46:01</t>
  </si>
  <si>
    <t>为了拍照什么都不放过</t>
  </si>
  <si>
    <t xml:space="preserve"> 2020-02-21 10:10:01</t>
  </si>
  <si>
    <t xml:space="preserve"> 2020-02-20 19:08:02</t>
  </si>
  <si>
    <t>与未戴口罩感染者交谈不到3分钟被感染</t>
  </si>
  <si>
    <t xml:space="preserve"> 2020-02-21 10:26:01</t>
  </si>
  <si>
    <t xml:space="preserve"> 2020-02-20 21:46:01</t>
  </si>
  <si>
    <t>王者荣耀爆冷知识</t>
  </si>
  <si>
    <t xml:space="preserve"> 2020-02-21 09:30:02</t>
  </si>
  <si>
    <t xml:space="preserve"> 2020-02-20 17:48:01</t>
  </si>
  <si>
    <t>虞书欣 青春有你2</t>
  </si>
  <si>
    <t xml:space="preserve"> 2020-02-21 09:26:02</t>
  </si>
  <si>
    <t xml:space="preserve"> 2020-02-20 19:36:01</t>
  </si>
  <si>
    <t>四川等你们回来免费吃一年火锅</t>
  </si>
  <si>
    <t xml:space="preserve"> 2020-02-21 09:22:02</t>
  </si>
  <si>
    <t xml:space="preserve"> 2020-02-20 22:06:02</t>
  </si>
  <si>
    <t>迪士尼主题发型</t>
  </si>
  <si>
    <t xml:space="preserve"> 2020-02-21 09:24:02</t>
  </si>
  <si>
    <t>免费对医护开放的景区名单</t>
  </si>
  <si>
    <t xml:space="preserve"> 2020-02-20 21:48:02</t>
  </si>
  <si>
    <t>英国客机降落时被吹偏近90度</t>
  </si>
  <si>
    <t xml:space="preserve"> 2020-03-21 07:38:02</t>
  </si>
  <si>
    <t xml:space="preserve"> 2020-02-20 21:34:01</t>
  </si>
  <si>
    <t>晚安短信湖北计划</t>
  </si>
  <si>
    <t xml:space="preserve"> 2020-02-21 08:58:01</t>
  </si>
  <si>
    <t xml:space="preserve"> 2020-02-20 23:32:02</t>
  </si>
  <si>
    <t>浙江出院患者占确诊病例超半数</t>
  </si>
  <si>
    <t xml:space="preserve"> 2020-02-21 09:10:01</t>
  </si>
  <si>
    <t>无米炒饭</t>
  </si>
  <si>
    <t xml:space="preserve"> 2020-02-21 08:12:02</t>
  </si>
  <si>
    <t xml:space="preserve"> 2020-02-20 21:40:02</t>
  </si>
  <si>
    <t>我是院长我丢不下</t>
  </si>
  <si>
    <t xml:space="preserve"> 2020-02-21 08:20:02</t>
  </si>
  <si>
    <t xml:space="preserve"> 2020-02-20 19:10:01</t>
  </si>
  <si>
    <t>京东回应拖欠神舟3亿多货款</t>
  </si>
  <si>
    <t xml:space="preserve"> 2020-02-21 08:08:01</t>
  </si>
  <si>
    <t xml:space="preserve"> 2020-02-20 16:44:02</t>
  </si>
  <si>
    <t>日本厚劳大臣发布会咳嗽</t>
  </si>
  <si>
    <t>和平精英新皮肤</t>
  </si>
  <si>
    <t>今天你吃上火锅了吗</t>
  </si>
  <si>
    <t xml:space="preserve"> 2020-02-21 08:26:01</t>
  </si>
  <si>
    <t xml:space="preserve"> 2020-02-20 20:54:02</t>
  </si>
  <si>
    <t>在家娱乐翻车现场</t>
  </si>
  <si>
    <t xml:space="preserve"> 2020-02-21 08:50:02</t>
  </si>
  <si>
    <t xml:space="preserve"> 2020-02-20 22:32:02</t>
  </si>
  <si>
    <t>徐天田丹重逢</t>
  </si>
  <si>
    <t xml:space="preserve"> 2020-02-21 07:28:02</t>
  </si>
  <si>
    <t xml:space="preserve"> 2020-02-20 18:46:02</t>
  </si>
  <si>
    <t>懒人酸辣粉</t>
  </si>
  <si>
    <t>我是真的宅</t>
  </si>
  <si>
    <t xml:space="preserve"> 2020-02-21 07:18:02</t>
  </si>
  <si>
    <t xml:space="preserve"> 2020-02-20 17:54:02</t>
  </si>
  <si>
    <t>浙江首个新冠肺炎死亡病例</t>
  </si>
  <si>
    <t xml:space="preserve"> 2020-02-21 04:26:01</t>
  </si>
  <si>
    <t xml:space="preserve"> 2020-02-20 18:02:01</t>
  </si>
  <si>
    <t>想见你加更花絮</t>
  </si>
  <si>
    <t xml:space="preserve"> 2020-02-21 08:34:02</t>
  </si>
  <si>
    <t>哈尔滨两区县领导防疫不力被免职</t>
  </si>
  <si>
    <t xml:space="preserve"> 2020-02-20 19:26:01</t>
  </si>
  <si>
    <t>中央指导组约谈武汉有关负责人</t>
  </si>
  <si>
    <t xml:space="preserve"> 2020-02-21 04:00:02</t>
  </si>
  <si>
    <t xml:space="preserve"> 2020-02-20 18:20:02</t>
  </si>
  <si>
    <t>湖北企业不早于3月10日24时复工</t>
  </si>
  <si>
    <t xml:space="preserve"> 2020-02-21 06:34:02</t>
  </si>
  <si>
    <t xml:space="preserve"> 2020-02-20 14:36:01</t>
  </si>
  <si>
    <t>章子怡孕肚封面</t>
  </si>
  <si>
    <t xml:space="preserve"> 2020-02-21 07:10:01</t>
  </si>
  <si>
    <t xml:space="preserve"> 2020-02-20 19:20:02</t>
  </si>
  <si>
    <t>疑似或确诊孕产妇产检定点医院</t>
  </si>
  <si>
    <t xml:space="preserve"> 2020-02-21 00:08:01</t>
  </si>
  <si>
    <t xml:space="preserve"> 2020-02-20 23:02:02</t>
  </si>
  <si>
    <t>第一视角看八一飞行表演队翱翔</t>
  </si>
  <si>
    <t xml:space="preserve"> 2020-02-22 07:04:01</t>
  </si>
  <si>
    <t xml:space="preserve"> 2020-02-21 07:46:02</t>
  </si>
  <si>
    <t>韩国确认发生超级传播</t>
  </si>
  <si>
    <t xml:space="preserve"> 2020-02-21 16:38:01</t>
  </si>
  <si>
    <t>周琪 新冠病毒不能通过皮肤侵入人体</t>
  </si>
  <si>
    <t xml:space="preserve"> 2020-02-21 16:52:02</t>
  </si>
  <si>
    <t>延迟婚期的武汉医生感染离世</t>
  </si>
  <si>
    <t xml:space="preserve"> 2020-02-21 16:28:01</t>
  </si>
  <si>
    <t xml:space="preserve"> 2020-02-21 10:34:01</t>
  </si>
  <si>
    <t>山东省司法厅厅长被免职</t>
  </si>
  <si>
    <t xml:space="preserve"> 2020-02-21 16:02:02</t>
  </si>
  <si>
    <t xml:space="preserve"> 2020-02-21 11:06:02</t>
  </si>
  <si>
    <t>疫苗最快4月下旬申报临床试验</t>
  </si>
  <si>
    <t xml:space="preserve"> 2020-02-21 17:58:02</t>
  </si>
  <si>
    <t xml:space="preserve"> 2020-02-21 10:12:01</t>
  </si>
  <si>
    <t>湖北以外地区新增病例出现反弹</t>
  </si>
  <si>
    <t xml:space="preserve"> 2020-02-21 18:20:02</t>
  </si>
  <si>
    <t xml:space="preserve"> 2020-02-21 08:30:02</t>
  </si>
  <si>
    <t>四六级成绩</t>
  </si>
  <si>
    <t xml:space="preserve"> 2020-02-21 17:54:02</t>
  </si>
  <si>
    <t xml:space="preserve"> 2020-02-21 11:04:01</t>
  </si>
  <si>
    <t>青海新冠肺炎确诊患者清零</t>
  </si>
  <si>
    <t xml:space="preserve"> 2020-02-21 17:56:02</t>
  </si>
  <si>
    <t xml:space="preserve"> 2020-02-21 10:42:02</t>
  </si>
  <si>
    <t>武汉凡人小林</t>
  </si>
  <si>
    <t xml:space="preserve"> 2020-02-21 14:58:02</t>
  </si>
  <si>
    <t xml:space="preserve"> 2020-02-21 08:22:02</t>
  </si>
  <si>
    <t>武汉训斥医护人员患者被停职检查</t>
  </si>
  <si>
    <t xml:space="preserve"> 2020-02-21 13:46:02</t>
  </si>
  <si>
    <t xml:space="preserve"> 2020-02-21 07:12:02</t>
  </si>
  <si>
    <t>日本累计确诊728例新冠肺炎</t>
  </si>
  <si>
    <t xml:space="preserve"> 2020-02-21 13:32:01</t>
  </si>
  <si>
    <t>日本暂不强制取消大型活动</t>
  </si>
  <si>
    <t xml:space="preserve"> 2020-02-21 12:48:02</t>
  </si>
  <si>
    <t xml:space="preserve"> 2020-02-21 07:34:01</t>
  </si>
  <si>
    <t>首个新冠病毒原子图</t>
  </si>
  <si>
    <t xml:space="preserve"> 2020-02-21 20:22:01</t>
  </si>
  <si>
    <t>向佐郭碧婷还没领证</t>
  </si>
  <si>
    <t xml:space="preserve"> 2020-02-21 18:26:02</t>
  </si>
  <si>
    <t>鹅组被封</t>
  </si>
  <si>
    <t xml:space="preserve"> 2020-02-21 15:32:02</t>
  </si>
  <si>
    <t xml:space="preserve"> 2019-11-26 22:40:02</t>
  </si>
  <si>
    <t>某幻</t>
  </si>
  <si>
    <t xml:space="preserve"> 2020-02-21 13:10:01</t>
  </si>
  <si>
    <t xml:space="preserve"> 2020-02-21 10:14:02</t>
  </si>
  <si>
    <t>匡威小程序崩了</t>
  </si>
  <si>
    <t xml:space="preserve"> 2020-02-21 15:08:02</t>
  </si>
  <si>
    <t xml:space="preserve"> 2020-02-21 10:52:02</t>
  </si>
  <si>
    <t>雄鹿 活塞</t>
  </si>
  <si>
    <t xml:space="preserve"> 2020-02-21 17:04:02</t>
  </si>
  <si>
    <t>山东新增202例新型肺炎</t>
  </si>
  <si>
    <t xml:space="preserve"> 2020-02-21 15:02:01</t>
  </si>
  <si>
    <t xml:space="preserve"> 2020-02-21 09:12:01</t>
  </si>
  <si>
    <t>给武汉无偿送菜回乡被骂瘟神</t>
  </si>
  <si>
    <t xml:space="preserve"> 2020-02-21 15:20:02</t>
  </si>
  <si>
    <t xml:space="preserve"> 2020-02-21 08:36:02</t>
  </si>
  <si>
    <t>朱保华</t>
  </si>
  <si>
    <t xml:space="preserve"> 2020-02-21 16:40:02</t>
  </si>
  <si>
    <t xml:space="preserve"> 2020-02-21 09:32:02</t>
  </si>
  <si>
    <t>全国累计确诊新冠肺炎75465例</t>
  </si>
  <si>
    <t xml:space="preserve"> 2020-02-21 18:58:01</t>
  </si>
  <si>
    <t xml:space="preserve"> 2020-02-21 11:14:02</t>
  </si>
  <si>
    <t>你拍过最照骗的照片</t>
  </si>
  <si>
    <t xml:space="preserve"> 2020-02-21 13:52:01</t>
  </si>
  <si>
    <t xml:space="preserve"> 2020-02-21 09:38:01</t>
  </si>
  <si>
    <t>浙江新增28例新型肺炎</t>
  </si>
  <si>
    <t xml:space="preserve"> 2020-02-21 10:38:02</t>
  </si>
  <si>
    <t>济宁任城监狱确诊200例</t>
  </si>
  <si>
    <t xml:space="preserve"> 2019-12-14 17:40:02</t>
  </si>
  <si>
    <t>六级</t>
  </si>
  <si>
    <t xml:space="preserve"> 2020-02-21 11:28:02</t>
  </si>
  <si>
    <t>特朗普前竞选顾问被判40个月</t>
  </si>
  <si>
    <t>孤儿怨拍前传</t>
  </si>
  <si>
    <t xml:space="preserve"> 2020-02-21 14:00:01</t>
  </si>
  <si>
    <t>韩国三军都发现确诊感染者</t>
  </si>
  <si>
    <t xml:space="preserve"> 2020-02-21 13:20:02</t>
  </si>
  <si>
    <t xml:space="preserve"> 2020-02-21 10:58:02</t>
  </si>
  <si>
    <t>官方回应与感染者交谈不到3分钟被感染</t>
  </si>
  <si>
    <t xml:space="preserve"> 2020-02-22 10:52:02</t>
  </si>
  <si>
    <t xml:space="preserve"> 2020-02-21 07:22:02</t>
  </si>
  <si>
    <t>Lisa金色套装</t>
  </si>
  <si>
    <t xml:space="preserve"> 2020-02-21 12:58:01</t>
  </si>
  <si>
    <t xml:space="preserve"> 2020-02-21 08:40:01</t>
  </si>
  <si>
    <t>2月已缴社保医保企业将按规定退抵</t>
  </si>
  <si>
    <t xml:space="preserve"> 2020-02-21 13:24:02</t>
  </si>
  <si>
    <t>健忘症爷爷打扫方舱医院</t>
  </si>
  <si>
    <t xml:space="preserve"> 2020-02-21 14:38:02</t>
  </si>
  <si>
    <t xml:space="preserve"> 2020-02-21 07:36:01</t>
  </si>
  <si>
    <t>宝宝是从哪来的呀</t>
  </si>
  <si>
    <t xml:space="preserve"> 2020-02-21 12:32:02</t>
  </si>
  <si>
    <t xml:space="preserve"> 2020-02-21 11:44:02</t>
  </si>
  <si>
    <t>50余名治愈患者集体出舱</t>
  </si>
  <si>
    <t xml:space="preserve"> 2020-02-21 12:46:01</t>
  </si>
  <si>
    <t>北京建议商品市场等场所摘掉门帘</t>
  </si>
  <si>
    <t xml:space="preserve"> 2020-02-21 13:58:02</t>
  </si>
  <si>
    <t xml:space="preserve"> 2020-02-21 08:54:01</t>
  </si>
  <si>
    <t>花木兰新角色海报</t>
  </si>
  <si>
    <t xml:space="preserve"> 2020-02-21 11:50:02</t>
  </si>
  <si>
    <t>超过100名康复者献出血浆</t>
  </si>
  <si>
    <t xml:space="preserve"> 2020-02-21 20:14:02</t>
  </si>
  <si>
    <t xml:space="preserve"> 2020-02-21 12:00:02</t>
  </si>
  <si>
    <t>山东浙江多人因疫情防控不力被免职</t>
  </si>
  <si>
    <t xml:space="preserve"> 2020-02-21 12:18:01</t>
  </si>
  <si>
    <t xml:space="preserve"> 2020-02-21 11:48:02</t>
  </si>
  <si>
    <t>西藏连续22天无新增病例</t>
  </si>
  <si>
    <t xml:space="preserve"> 2020-02-21 12:12:01</t>
  </si>
  <si>
    <t>特雷杨50分</t>
  </si>
  <si>
    <t xml:space="preserve"> 2020-02-21 12:02:01</t>
  </si>
  <si>
    <t>全国14地新增病例为0</t>
  </si>
  <si>
    <t xml:space="preserve"> 2020-02-21 15:26:01</t>
  </si>
  <si>
    <t xml:space="preserve"> 2020-02-21 12:06:02</t>
  </si>
  <si>
    <t>那你先忙的真实含义</t>
  </si>
  <si>
    <t>日本多所大学拒绝感染者参加考试</t>
  </si>
  <si>
    <t xml:space="preserve"> 2020-02-21 13:44:01</t>
  </si>
  <si>
    <t xml:space="preserve"> 2020-02-21 11:24:01</t>
  </si>
  <si>
    <t>韩国医院5名护士确诊新冠肺炎</t>
  </si>
  <si>
    <t xml:space="preserve"> 2020-02-21 12:36:02</t>
  </si>
  <si>
    <t>首批6000份面部防护贴送往火神山医院</t>
  </si>
  <si>
    <t xml:space="preserve"> 2020-02-21 08:10:01</t>
  </si>
  <si>
    <t>泡面小圆饼</t>
  </si>
  <si>
    <t xml:space="preserve"> 2020-02-22 09:46:01</t>
  </si>
  <si>
    <t xml:space="preserve"> 2020-02-21 21:44:02</t>
  </si>
  <si>
    <t>武汉又一位医生因感染新冠肺炎离世</t>
  </si>
  <si>
    <t xml:space="preserve"> 2020-02-22 09:10:02</t>
  </si>
  <si>
    <t xml:space="preserve"> 2020-02-21 22:38:02</t>
  </si>
  <si>
    <t>沈腾公主抱华晨宇</t>
  </si>
  <si>
    <t xml:space="preserve"> 2020-02-22 10:54:02</t>
  </si>
  <si>
    <t xml:space="preserve"> 2020-02-21 21:48:01</t>
  </si>
  <si>
    <t>全国疫情发展拐点尚未到来</t>
  </si>
  <si>
    <t xml:space="preserve"> 2020-02-22 11:56:01</t>
  </si>
  <si>
    <t xml:space="preserve"> 2020-02-21 23:46:02</t>
  </si>
  <si>
    <t>何炅做双皮奶</t>
  </si>
  <si>
    <t xml:space="preserve"> 2020-04-04 00:10:02</t>
  </si>
  <si>
    <t xml:space="preserve"> 2020-02-21 18:00:02</t>
  </si>
  <si>
    <t>难听</t>
  </si>
  <si>
    <t xml:space="preserve"> 2020-02-21 21:24:02</t>
  </si>
  <si>
    <t>中共中央政治局研究疫情防控工作</t>
  </si>
  <si>
    <t xml:space="preserve"> 2020-02-22 07:52:02</t>
  </si>
  <si>
    <t xml:space="preserve"> 2020-02-21 15:36:02</t>
  </si>
  <si>
    <t>炼乳草莓</t>
  </si>
  <si>
    <t xml:space="preserve"> 2020-02-22 10:56:02</t>
  </si>
  <si>
    <t xml:space="preserve"> 2020-02-22 00:08:01</t>
  </si>
  <si>
    <t>护士杜富佳</t>
  </si>
  <si>
    <t xml:space="preserve"> 2020-02-21 20:02:01</t>
  </si>
  <si>
    <t>狱警刻意隐瞒去武汉行程</t>
  </si>
  <si>
    <t xml:space="preserve"> 2020-02-22 08:12:02</t>
  </si>
  <si>
    <t xml:space="preserve"> 2020-02-21 18:34:02</t>
  </si>
  <si>
    <t>北京一确诊病例复工期间密切接触66人</t>
  </si>
  <si>
    <t>武汉出现明显床等人现象</t>
  </si>
  <si>
    <t xml:space="preserve"> 2020-02-29 08:32:01</t>
  </si>
  <si>
    <t xml:space="preserve"> 2020-02-21 20:26:02</t>
  </si>
  <si>
    <t>两世欢</t>
  </si>
  <si>
    <t xml:space="preserve"> 2020-02-22 08:34:02</t>
  </si>
  <si>
    <t xml:space="preserve"> 2020-02-21 23:12:02</t>
  </si>
  <si>
    <t>以色列确诊首例新冠肺炎病例</t>
  </si>
  <si>
    <t xml:space="preserve"> 2020-02-22 07:36:02</t>
  </si>
  <si>
    <t>日本将恢复从中国进口口罩</t>
  </si>
  <si>
    <t xml:space="preserve"> 2020-02-22 12:06:02</t>
  </si>
  <si>
    <t>知网</t>
  </si>
  <si>
    <t xml:space="preserve"> 2020-02-22 12:34:02</t>
  </si>
  <si>
    <t xml:space="preserve"> 2020-02-21 22:58:02</t>
  </si>
  <si>
    <t>宁夏大学</t>
  </si>
  <si>
    <t xml:space="preserve"> 2020-02-22 10:22:01</t>
  </si>
  <si>
    <t xml:space="preserve"> 2020-02-21 21:28:02</t>
  </si>
  <si>
    <t>辛巴 徐婕</t>
  </si>
  <si>
    <t xml:space="preserve"> 2020-02-22 08:42:02</t>
  </si>
  <si>
    <t xml:space="preserve"> 2020-02-21 23:04:02</t>
  </si>
  <si>
    <t>济南2.4级地震</t>
  </si>
  <si>
    <t xml:space="preserve"> 2020-02-22 09:14:01</t>
  </si>
  <si>
    <t xml:space="preserve"> 2020-02-21 23:10:02</t>
  </si>
  <si>
    <t>广州撤销市内所有高速路收费站测温点</t>
  </si>
  <si>
    <t xml:space="preserve"> 2020-02-22 08:50:02</t>
  </si>
  <si>
    <t xml:space="preserve"> 2020-02-21 23:08:02</t>
  </si>
  <si>
    <t>酒精棉片棉球可少量带进北京地铁</t>
  </si>
  <si>
    <t xml:space="preserve"> 2020-02-21 23:36:02</t>
  </si>
  <si>
    <t>网综节目内容审核标准细则</t>
  </si>
  <si>
    <t xml:space="preserve"> 2020-02-21 17:40:02</t>
  </si>
  <si>
    <t>黎泰院发型</t>
  </si>
  <si>
    <t xml:space="preserve"> 2020-02-22 10:30:02</t>
  </si>
  <si>
    <t xml:space="preserve"> 2020-02-21 22:20:01</t>
  </si>
  <si>
    <t>陈钰琪古装</t>
  </si>
  <si>
    <t xml:space="preserve"> 2020-02-22 10:50:02</t>
  </si>
  <si>
    <t xml:space="preserve"> 2020-02-21 20:18:01</t>
  </si>
  <si>
    <t>日本白色恋人暂停生产</t>
  </si>
  <si>
    <t xml:space="preserve"> 2020-02-22 08:44:02</t>
  </si>
  <si>
    <t xml:space="preserve"> 2020-02-21 22:24:02</t>
  </si>
  <si>
    <t>韩总统府十几名内部警卫被隔离</t>
  </si>
  <si>
    <t>贾玲 哭笑交叉</t>
  </si>
  <si>
    <t xml:space="preserve"> 2020-02-22 07:10:01</t>
  </si>
  <si>
    <t>徐光</t>
  </si>
  <si>
    <t xml:space="preserve"> 2020-02-22 08:14:02</t>
  </si>
  <si>
    <t>汪小菲说大S短发是洗剪吹</t>
  </si>
  <si>
    <t xml:space="preserve"> 2020-02-22 08:06:02</t>
  </si>
  <si>
    <t>7类返京人群免隔离14天</t>
  </si>
  <si>
    <t xml:space="preserve"> 2020-02-22 10:02:02</t>
  </si>
  <si>
    <t>令人怦然心动的眼睛</t>
  </si>
  <si>
    <t xml:space="preserve"> 2020-02-22 09:44:02</t>
  </si>
  <si>
    <t xml:space="preserve"> 2020-02-21 20:16:02</t>
  </si>
  <si>
    <t>企业员工感染新冠肺炎不能认定工伤</t>
  </si>
  <si>
    <t xml:space="preserve"> 2020-02-22 08:54:01</t>
  </si>
  <si>
    <t xml:space="preserve"> 2020-02-21 20:06:01</t>
  </si>
  <si>
    <t>女生化妆出门的真实原因</t>
  </si>
  <si>
    <t xml:space="preserve"> 2020-02-21 21:20:02</t>
  </si>
  <si>
    <t>日本新冠肺炎确诊人数达737人</t>
  </si>
  <si>
    <t xml:space="preserve"> 2020-02-22 07:06:01</t>
  </si>
  <si>
    <t xml:space="preserve"> 2020-02-21 18:18:02</t>
  </si>
  <si>
    <t>一场未完成的婚礼</t>
  </si>
  <si>
    <t xml:space="preserve"> 2019-12-06 20:52:02</t>
  </si>
  <si>
    <t>潮流合伙人</t>
  </si>
  <si>
    <t xml:space="preserve"> 2020-03-20 19:58:02</t>
  </si>
  <si>
    <t>安家</t>
  </si>
  <si>
    <t xml:space="preserve"> 2020-02-21 22:04:02</t>
  </si>
  <si>
    <t>最常见的四个谎言</t>
  </si>
  <si>
    <t xml:space="preserve"> 2020-02-22 09:58:02</t>
  </si>
  <si>
    <t>钻石公主号乘客下船结束</t>
  </si>
  <si>
    <t xml:space="preserve"> 2020-02-22 08:38:02</t>
  </si>
  <si>
    <t xml:space="preserve"> 2020-02-21 23:42:02</t>
  </si>
  <si>
    <t>武汉市社会福利院共确诊12例</t>
  </si>
  <si>
    <t xml:space="preserve"> 2020-02-21 19:30:01</t>
  </si>
  <si>
    <t>奇葩运动高跟鞋</t>
  </si>
  <si>
    <t xml:space="preserve"> 2020-02-22 08:08:01</t>
  </si>
  <si>
    <t xml:space="preserve"> 2020-02-21 23:20:02</t>
  </si>
  <si>
    <t>心疼景辞</t>
  </si>
  <si>
    <t xml:space="preserve"> 2020-02-22 07:54:01</t>
  </si>
  <si>
    <t xml:space="preserve"> 2020-02-21 19:00:02</t>
  </si>
  <si>
    <t>相册里的人间烟火气</t>
  </si>
  <si>
    <t xml:space="preserve"> 2020-02-21 19:36:01</t>
  </si>
  <si>
    <t>空中云赏300亩梅花</t>
  </si>
  <si>
    <t xml:space="preserve"> 2020-02-22 06:32:02</t>
  </si>
  <si>
    <t>3月起江苏初高中继续线上教学</t>
  </si>
  <si>
    <t xml:space="preserve"> 2020-02-22 02:32:02</t>
  </si>
  <si>
    <t xml:space="preserve"> 2020-02-21 14:34:02</t>
  </si>
  <si>
    <t>山东人民再捐12吨鲅鱼水饺</t>
  </si>
  <si>
    <t xml:space="preserve"> 2020-02-22 07:32:02</t>
  </si>
  <si>
    <t xml:space="preserve"> 2020-02-21 19:12:02</t>
  </si>
  <si>
    <t>武汉医生彭银华</t>
  </si>
  <si>
    <t xml:space="preserve"> 2020-02-22 04:16:02</t>
  </si>
  <si>
    <t xml:space="preserve"> 2020-02-21 17:34:01</t>
  </si>
  <si>
    <t>你想上班的真实目的</t>
  </si>
  <si>
    <t xml:space="preserve"> 2020-02-22 14:58:02</t>
  </si>
  <si>
    <t xml:space="preserve"> 2020-02-22 09:12:02</t>
  </si>
  <si>
    <t>疫情统计不允许核减已确诊的病例</t>
  </si>
  <si>
    <t xml:space="preserve"> 2020-02-22 14:12:01</t>
  </si>
  <si>
    <t xml:space="preserve"> 2020-02-22 09:48:02</t>
  </si>
  <si>
    <t>浙江十里丰监狱新增确诊病例2例</t>
  </si>
  <si>
    <t xml:space="preserve"> 2020-02-22 12:54:01</t>
  </si>
  <si>
    <t xml:space="preserve"> 2020-02-22 09:30:01</t>
  </si>
  <si>
    <t>白岩松 信息公开就是最好的疫苗</t>
  </si>
  <si>
    <t xml:space="preserve"> 2020-02-22 16:52:02</t>
  </si>
  <si>
    <t xml:space="preserve"> 2020-02-22 11:32:02</t>
  </si>
  <si>
    <t>武汉跑单王18天送1125单外卖</t>
  </si>
  <si>
    <t xml:space="preserve"> 2020-02-22 17:52:02</t>
  </si>
  <si>
    <t xml:space="preserve"> 2020-02-22 10:16:02</t>
  </si>
  <si>
    <t>六成日本民众呼吁取消奥运</t>
  </si>
  <si>
    <t xml:space="preserve"> 2020-02-22 18:34:02</t>
  </si>
  <si>
    <t xml:space="preserve"> 2020-02-22 10:06:02</t>
  </si>
  <si>
    <t>第一炉香剧照</t>
  </si>
  <si>
    <t xml:space="preserve"> 2020-02-22 21:08:02</t>
  </si>
  <si>
    <t xml:space="preserve"> 2020-01-01 00:24:02</t>
  </si>
  <si>
    <t>华晨宇</t>
  </si>
  <si>
    <t xml:space="preserve"> 2020-02-22 18:08:01</t>
  </si>
  <si>
    <t>孙俪演技</t>
  </si>
  <si>
    <t xml:space="preserve"> 2020-02-22 16:20:02</t>
  </si>
  <si>
    <t>倪妮素颜</t>
  </si>
  <si>
    <t xml:space="preserve"> 2020-02-22 15:20:02</t>
  </si>
  <si>
    <t>釜山行导演后悔写死孔刘角色</t>
  </si>
  <si>
    <t xml:space="preserve"> 2020-02-22 14:40:02</t>
  </si>
  <si>
    <t xml:space="preserve"> 2020-02-22 10:44:02</t>
  </si>
  <si>
    <t>沈腾版蓝忘机</t>
  </si>
  <si>
    <t xml:space="preserve"> 2020-02-22 14:34:01</t>
  </si>
  <si>
    <t xml:space="preserve"> 2020-02-22 10:28:02</t>
  </si>
  <si>
    <t>日本欢迎中国队奥运前赴日集训</t>
  </si>
  <si>
    <t xml:space="preserve"> 2020-03-04 16:30:01</t>
  </si>
  <si>
    <t xml:space="preserve"> 2020-02-22 10:24:01</t>
  </si>
  <si>
    <t>韩国疫情</t>
  </si>
  <si>
    <t xml:space="preserve"> 2020-02-22 15:22:02</t>
  </si>
  <si>
    <t>男子不想上班谎称妻女确诊</t>
  </si>
  <si>
    <t xml:space="preserve"> 2020-02-22 14:16:02</t>
  </si>
  <si>
    <t>火神山ICU里的90后护士</t>
  </si>
  <si>
    <t xml:space="preserve"> 2020-02-22 21:28:02</t>
  </si>
  <si>
    <t>如果学校再不开学</t>
  </si>
  <si>
    <t xml:space="preserve"> 2020-02-23 20:22:01</t>
  </si>
  <si>
    <t xml:space="preserve"> 2020-02-22 11:38:02</t>
  </si>
  <si>
    <t>四川广元市民卸口罩扎堆喝茶</t>
  </si>
  <si>
    <t xml:space="preserve"> 2020-02-22 19:18:02</t>
  </si>
  <si>
    <t>河南原副省长徐光被双开</t>
  </si>
  <si>
    <t xml:space="preserve"> 2020-02-22 18:28:02</t>
  </si>
  <si>
    <t>我着急复工的真实原因</t>
  </si>
  <si>
    <t xml:space="preserve"> 2020-02-22 16:02:02</t>
  </si>
  <si>
    <t>刘昊然在家写论文</t>
  </si>
  <si>
    <t xml:space="preserve"> 2020-02-22 15:28:02</t>
  </si>
  <si>
    <t>脑瘫外卖小哥拍摄者回应摆拍质疑</t>
  </si>
  <si>
    <t xml:space="preserve"> 2020-02-22 15:18:02</t>
  </si>
  <si>
    <t>北大考研成绩</t>
  </si>
  <si>
    <t xml:space="preserve"> 2020-02-22 15:58:02</t>
  </si>
  <si>
    <t>金多美</t>
  </si>
  <si>
    <t xml:space="preserve"> 2020-02-22 12:48:02</t>
  </si>
  <si>
    <t xml:space="preserve"> 2020-02-22 10:58:02</t>
  </si>
  <si>
    <t>首尔禁止大规模集会</t>
  </si>
  <si>
    <t xml:space="preserve"> 2020-02-22 16:28:02</t>
  </si>
  <si>
    <t xml:space="preserve"> 2020-02-22 11:54:01</t>
  </si>
  <si>
    <t>辽宁应急响应调整为三级</t>
  </si>
  <si>
    <t xml:space="preserve"> 2020-02-22 12:46:02</t>
  </si>
  <si>
    <t xml:space="preserve"> 2020-02-22 10:20:02</t>
  </si>
  <si>
    <t>世界最高速口罩机广州投产</t>
  </si>
  <si>
    <t xml:space="preserve"> 2020-02-22 13:36:01</t>
  </si>
  <si>
    <t xml:space="preserve"> 2020-02-22 07:38:02</t>
  </si>
  <si>
    <t>高三班主任直播中数次落泪</t>
  </si>
  <si>
    <t xml:space="preserve"> 2020-02-22 11:04:01</t>
  </si>
  <si>
    <t>全国18地新增病例为0</t>
  </si>
  <si>
    <t xml:space="preserve"> 2020-02-22 13:16:02</t>
  </si>
  <si>
    <t>糖炒圣女果</t>
  </si>
  <si>
    <t xml:space="preserve"> 2020-02-22 14:48:02</t>
  </si>
  <si>
    <t xml:space="preserve"> 2020-02-22 09:42:02</t>
  </si>
  <si>
    <t>彭银华医生妻子发声</t>
  </si>
  <si>
    <t xml:space="preserve"> 2020-02-22 08:36:02</t>
  </si>
  <si>
    <t>比尔盖茨</t>
  </si>
  <si>
    <t xml:space="preserve"> 2020-02-22 07:30:02</t>
  </si>
  <si>
    <t>新冠肺炎英文名修订为COVID-19</t>
  </si>
  <si>
    <t xml:space="preserve"> 2020-02-22 12:44:02</t>
  </si>
  <si>
    <t xml:space="preserve"> 2020-02-22 07:12:01</t>
  </si>
  <si>
    <t>还珠格格剧组重聚</t>
  </si>
  <si>
    <t xml:space="preserve"> 2020-02-22 13:32:02</t>
  </si>
  <si>
    <t>马路边的奢侈团聚</t>
  </si>
  <si>
    <t xml:space="preserve"> 2020-02-22 12:24:01</t>
  </si>
  <si>
    <t xml:space="preserve"> 2020-02-22 10:32:02</t>
  </si>
  <si>
    <t>湖北连续3天新增出院超新增确诊</t>
  </si>
  <si>
    <t xml:space="preserve"> 2020-02-22 12:36:01</t>
  </si>
  <si>
    <t>韩国前财长出任三星电子董事长</t>
  </si>
  <si>
    <t>蓝天救援队队员抗疫时遇车祸身亡</t>
  </si>
  <si>
    <t xml:space="preserve"> 2020-02-22 14:14:02</t>
  </si>
  <si>
    <t>韩国开始限制官兵外出</t>
  </si>
  <si>
    <t xml:space="preserve"> 2020-02-22 12:28:02</t>
  </si>
  <si>
    <t xml:space="preserve"> 2020-02-22 08:32:01</t>
  </si>
  <si>
    <t>美国新冠肺炎病例达34例</t>
  </si>
  <si>
    <t xml:space="preserve"> 2020-02-22 15:40:02</t>
  </si>
  <si>
    <t xml:space="preserve"> 2020-02-22 11:44:01</t>
  </si>
  <si>
    <t>国产职业剧</t>
  </si>
  <si>
    <t xml:space="preserve"> 2020-02-22 20:48:01</t>
  </si>
  <si>
    <t xml:space="preserve"> 2020-02-22 12:02:01</t>
  </si>
  <si>
    <t>全村的龙把最硬的鳞都给你</t>
  </si>
  <si>
    <t xml:space="preserve"> 2020-02-22 18:22:02</t>
  </si>
  <si>
    <t xml:space="preserve"> 2020-02-22 12:08:02</t>
  </si>
  <si>
    <t>新冠肺炎发病前两天已有传染性</t>
  </si>
  <si>
    <t xml:space="preserve"> 2020-02-22 18:38:02</t>
  </si>
  <si>
    <t xml:space="preserve"> 2020-02-22 11:58:01</t>
  </si>
  <si>
    <t>荡秋千式无接触卖炸糕</t>
  </si>
  <si>
    <t xml:space="preserve"> 2020-02-22 11:28:02</t>
  </si>
  <si>
    <t>蝙蝠侠片场照</t>
  </si>
  <si>
    <t xml:space="preserve"> 2020-02-22 12:12:02</t>
  </si>
  <si>
    <t xml:space="preserve"> 2020-02-22 09:00:02</t>
  </si>
  <si>
    <t>派大星短裤</t>
  </si>
  <si>
    <t xml:space="preserve"> 2020-02-22 12:16:02</t>
  </si>
  <si>
    <t>疫情期间你的改变</t>
  </si>
  <si>
    <t xml:space="preserve"> 2020-02-22 12:18:02</t>
  </si>
  <si>
    <t xml:space="preserve"> 2020-02-22 09:16:01</t>
  </si>
  <si>
    <t>全国新增397例新冠肺炎</t>
  </si>
  <si>
    <t xml:space="preserve"> 2020-02-22 12:32:02</t>
  </si>
  <si>
    <t xml:space="preserve"> 2020-02-22 11:10:01</t>
  </si>
  <si>
    <t>违规分配捐赠物资派出所长被停职</t>
  </si>
  <si>
    <t xml:space="preserve"> 2020-02-23 11:16:02</t>
  </si>
  <si>
    <t xml:space="preserve"> 2020-02-22 19:44:02</t>
  </si>
  <si>
    <t>华南海鲜市场并非新冠病毒发源地</t>
  </si>
  <si>
    <t xml:space="preserve"> 2020-02-23 09:22:02</t>
  </si>
  <si>
    <t xml:space="preserve"> 2020-02-22 20:04:02</t>
  </si>
  <si>
    <t>日本15000人戴口罩看足球赛</t>
  </si>
  <si>
    <t xml:space="preserve"> 2020-02-23 08:54:01</t>
  </si>
  <si>
    <t xml:space="preserve"> 2020-02-22 20:38:02</t>
  </si>
  <si>
    <t>钻石公主号23名下船者未经病毒检测</t>
  </si>
  <si>
    <t xml:space="preserve"> 2020-02-23 11:06:01</t>
  </si>
  <si>
    <t xml:space="preserve"> 2020-02-22 20:56:01</t>
  </si>
  <si>
    <t>张艺兴春晚后空翻彩排摔倒</t>
  </si>
  <si>
    <t xml:space="preserve"> 2020-02-23 08:44:02</t>
  </si>
  <si>
    <t xml:space="preserve"> 2020-02-22 21:50:01</t>
  </si>
  <si>
    <t>三星韩国工厂确诊1例新冠病例</t>
  </si>
  <si>
    <t xml:space="preserve"> 2020-02-23 09:14:02</t>
  </si>
  <si>
    <t xml:space="preserve"> 2020-02-22 19:12:02</t>
  </si>
  <si>
    <t>电饭煲蛋糕大型翻车现场</t>
  </si>
  <si>
    <t xml:space="preserve"> 2020-02-23 13:44:01</t>
  </si>
  <si>
    <t xml:space="preserve"> 2020-02-22 18:40:02</t>
  </si>
  <si>
    <t>蓝天救援队队员许鹏</t>
  </si>
  <si>
    <t xml:space="preserve"> 2020-02-23 04:14:02</t>
  </si>
  <si>
    <t xml:space="preserve"> 2020-02-22 23:10:02</t>
  </si>
  <si>
    <t>姐妹战疫安心行动 梁钰</t>
  </si>
  <si>
    <t xml:space="preserve"> 2020-02-23 10:04:01</t>
  </si>
  <si>
    <t xml:space="preserve"> 2020-02-22 22:24:01</t>
  </si>
  <si>
    <t>丁太升点评王晰</t>
  </si>
  <si>
    <t xml:space="preserve"> 2020-02-23 07:30:01</t>
  </si>
  <si>
    <t xml:space="preserve"> 2020-02-22 16:50:02</t>
  </si>
  <si>
    <t>浙江第一批疫苗已产生抗体</t>
  </si>
  <si>
    <t xml:space="preserve"> 2020-02-23 08:42:02</t>
  </si>
  <si>
    <t xml:space="preserve"> 2020-02-22 20:40:02</t>
  </si>
  <si>
    <t>房似锦抢单</t>
  </si>
  <si>
    <t xml:space="preserve"> 2020-02-23 07:20:02</t>
  </si>
  <si>
    <t xml:space="preserve"> 2020-02-22 16:58:01</t>
  </si>
  <si>
    <t>当当网负责人因员工确诊新冠肺炎被约谈</t>
  </si>
  <si>
    <t xml:space="preserve"> 2020-02-23 12:56:02</t>
  </si>
  <si>
    <t xml:space="preserve"> 2020-02-22 21:44:01</t>
  </si>
  <si>
    <t>Gigi的脸</t>
  </si>
  <si>
    <t xml:space="preserve"> 2020-02-23 12:00:01</t>
  </si>
  <si>
    <t xml:space="preserve"> 2020-02-22 22:34:02</t>
  </si>
  <si>
    <t>房产证该不该加儿媳妇名字</t>
  </si>
  <si>
    <t xml:space="preserve"> 2020-02-23 11:54:02</t>
  </si>
  <si>
    <t xml:space="preserve"> 2020-02-22 22:20:02</t>
  </si>
  <si>
    <t>高三和大一上网课的区别</t>
  </si>
  <si>
    <t xml:space="preserve"> 2020-02-23 08:10:01</t>
  </si>
  <si>
    <t xml:space="preserve"> 2020-02-22 23:12:02</t>
  </si>
  <si>
    <t>第一弹崩了</t>
  </si>
  <si>
    <t xml:space="preserve"> 2020-02-23 11:02:01</t>
  </si>
  <si>
    <t>日本出现首例下船后确认感染病例</t>
  </si>
  <si>
    <t xml:space="preserve"> 2020-02-23 10:10:02</t>
  </si>
  <si>
    <t>哈尔滨倡议市民二月二不出门理发</t>
  </si>
  <si>
    <t xml:space="preserve"> 2020-02-23 11:52:02</t>
  </si>
  <si>
    <t xml:space="preserve"> 2020-02-22 22:54:02</t>
  </si>
  <si>
    <t>快乐大本营预告</t>
  </si>
  <si>
    <t xml:space="preserve"> 2020-02-23 10:18:02</t>
  </si>
  <si>
    <t xml:space="preserve"> 2020-02-22 21:32:01</t>
  </si>
  <si>
    <t>杨洋好帅</t>
  </si>
  <si>
    <t xml:space="preserve"> 2020-02-23 09:32:01</t>
  </si>
  <si>
    <t>没做错却很有罪恶感的事</t>
  </si>
  <si>
    <t>火神山医院ICU病床上的军礼</t>
  </si>
  <si>
    <t xml:space="preserve"> 2020-02-23 01:42:01</t>
  </si>
  <si>
    <t>香山</t>
  </si>
  <si>
    <t xml:space="preserve"> 2020-02-23 08:36:02</t>
  </si>
  <si>
    <t xml:space="preserve"> 2020-02-22 18:02:01</t>
  </si>
  <si>
    <t>鹿晗做的油条</t>
  </si>
  <si>
    <t xml:space="preserve"> 2020-02-23 13:22:01</t>
  </si>
  <si>
    <t xml:space="preserve"> 2020-02-22 13:34:02</t>
  </si>
  <si>
    <t>东京都知事回应伦敦接手奥运言论</t>
  </si>
  <si>
    <t xml:space="preserve"> 2020-02-22 21:00:01</t>
  </si>
  <si>
    <t>男生的思路都是一样的</t>
  </si>
  <si>
    <t xml:space="preserve"> 2020-02-22 21:38:01</t>
  </si>
  <si>
    <t>武汉隔离环卫工退房后自觉打扫酒店</t>
  </si>
  <si>
    <t xml:space="preserve"> 2020-02-23 10:06:01</t>
  </si>
  <si>
    <t>武汉市委原秘书长蔡杰被双开</t>
  </si>
  <si>
    <t xml:space="preserve"> 2020-02-23 07:40:02</t>
  </si>
  <si>
    <t xml:space="preserve"> 2020-02-22 19:20:02</t>
  </si>
  <si>
    <t>交警被晒成口罩脸</t>
  </si>
  <si>
    <t xml:space="preserve"> 2020-02-23 07:44:01</t>
  </si>
  <si>
    <t xml:space="preserve"> 2020-02-22 15:24:01</t>
  </si>
  <si>
    <t>24岁父母捂死女婴埋尸小区游乐场</t>
  </si>
  <si>
    <t xml:space="preserve"> 2020-02-23 08:32:02</t>
  </si>
  <si>
    <t xml:space="preserve"> 2020-02-22 22:50:01</t>
  </si>
  <si>
    <t>日本累计报告763例确诊病例</t>
  </si>
  <si>
    <t xml:space="preserve"> 2020-02-22 19:58:01</t>
  </si>
  <si>
    <t>中央指导组在湖北的27天</t>
  </si>
  <si>
    <t xml:space="preserve"> 2020-02-23 08:18:02</t>
  </si>
  <si>
    <t xml:space="preserve"> 2020-02-22 20:18:02</t>
  </si>
  <si>
    <t>全球航司将损失290亿美元收入</t>
  </si>
  <si>
    <t xml:space="preserve"> 2020-02-23 08:20:02</t>
  </si>
  <si>
    <t xml:space="preserve"> 2020-02-22 15:16:01</t>
  </si>
  <si>
    <t>威海大润发</t>
  </si>
  <si>
    <t xml:space="preserve"> 2020-02-22 21:30:02</t>
  </si>
  <si>
    <t>湖南44岁民警牺牲在战疫岗位</t>
  </si>
  <si>
    <t>一家五口人幸福生活的一天</t>
  </si>
  <si>
    <t xml:space="preserve"> 2020-02-23 07:34:02</t>
  </si>
  <si>
    <t xml:space="preserve"> 2020-02-22 18:30:02</t>
  </si>
  <si>
    <t>企事业单位应暂时停用指纹考勤机</t>
  </si>
  <si>
    <t xml:space="preserve"> 2020-02-23 07:38:02</t>
  </si>
  <si>
    <t xml:space="preserve"> 2020-02-22 20:02:02</t>
  </si>
  <si>
    <t>行李箱爹妈关爱区</t>
  </si>
  <si>
    <t xml:space="preserve"> 2020-02-23 09:26:02</t>
  </si>
  <si>
    <t>不得一刀切禁止快递取件和投递</t>
  </si>
  <si>
    <t xml:space="preserve"> 2020-02-23 07:28:02</t>
  </si>
  <si>
    <t xml:space="preserve"> 2020-02-22 19:08:01</t>
  </si>
  <si>
    <t>一般不要对居室进行全面消毒</t>
  </si>
  <si>
    <t xml:space="preserve"> 2020-02-22 22:46:02</t>
  </si>
  <si>
    <t>当你在家玩游戏被坑时</t>
  </si>
  <si>
    <t xml:space="preserve"> 2020-02-23 08:16:02</t>
  </si>
  <si>
    <t xml:space="preserve"> 2020-02-22 20:06:02</t>
  </si>
  <si>
    <t>詹姆斯缺席韦德球衣退役仪式</t>
  </si>
  <si>
    <t xml:space="preserve"> 2020-02-23 17:20:02</t>
  </si>
  <si>
    <t xml:space="preserve"> 2020-02-23 08:46:02</t>
  </si>
  <si>
    <t>中国首款可重复使用口罩</t>
  </si>
  <si>
    <t xml:space="preserve"> 2020-02-23 17:14:02</t>
  </si>
  <si>
    <t xml:space="preserve"> 2020-02-23 10:26:01</t>
  </si>
  <si>
    <t>任命吴磊为山东省监狱管理局局长</t>
  </si>
  <si>
    <t xml:space="preserve"> 2020-02-23 16:00:01</t>
  </si>
  <si>
    <t xml:space="preserve"> 2020-02-23 11:04:02</t>
  </si>
  <si>
    <t>武汉公交司机聂三华</t>
  </si>
  <si>
    <t xml:space="preserve"> 2020-02-23 19:02:01</t>
  </si>
  <si>
    <t xml:space="preserve"> 2020-02-23 11:28:01</t>
  </si>
  <si>
    <t>马小跳结局</t>
  </si>
  <si>
    <t xml:space="preserve"> 2020-02-23 17:54:02</t>
  </si>
  <si>
    <t xml:space="preserve"> 2020-02-23 11:40:02</t>
  </si>
  <si>
    <t>6岁哥哥开导4岁弟弟</t>
  </si>
  <si>
    <t xml:space="preserve"> 2020-02-23 16:16:01</t>
  </si>
  <si>
    <t xml:space="preserve"> 2020-02-23 07:46:01</t>
  </si>
  <si>
    <t>胡彦斌于文文吵架式对唱</t>
  </si>
  <si>
    <t xml:space="preserve"> 2020-02-23 09:44:02</t>
  </si>
  <si>
    <t>韩国一航班被以色列拒绝后原路返回</t>
  </si>
  <si>
    <t xml:space="preserve"> 2020-02-23 18:06:02</t>
  </si>
  <si>
    <t>全国累计确诊新冠肺炎76936例</t>
  </si>
  <si>
    <t xml:space="preserve"> 2020-02-23 16:38:02</t>
  </si>
  <si>
    <t xml:space="preserve"> 2020-02-23 08:22:02</t>
  </si>
  <si>
    <t>首尔市长劝市民解散遭围攻</t>
  </si>
  <si>
    <t xml:space="preserve"> 2020-02-23 15:28:01</t>
  </si>
  <si>
    <t xml:space="preserve"> 2020-02-23 07:22:01</t>
  </si>
  <si>
    <t>表演艺术家杜雨露去世</t>
  </si>
  <si>
    <t xml:space="preserve"> 2020-02-23 14:32:02</t>
  </si>
  <si>
    <t xml:space="preserve"> 2020-02-23 10:20:02</t>
  </si>
  <si>
    <t>韩国出现第四例死亡病例</t>
  </si>
  <si>
    <t xml:space="preserve"> 2020-02-23 16:06:02</t>
  </si>
  <si>
    <t xml:space="preserve"> 2020-02-23 09:46:02</t>
  </si>
  <si>
    <t>韩国累计确诊556例新冠肺炎</t>
  </si>
  <si>
    <t xml:space="preserve"> 2020-02-23 13:26:02</t>
  </si>
  <si>
    <t xml:space="preserve"> 2020-02-23 07:18:02</t>
  </si>
  <si>
    <t>成都实行两点一线上下班模式</t>
  </si>
  <si>
    <t xml:space="preserve"> 2020-02-23 14:22:02</t>
  </si>
  <si>
    <t>梅西大四喜</t>
  </si>
  <si>
    <t xml:space="preserve"> 2020-02-23 14:42:02</t>
  </si>
  <si>
    <t xml:space="preserve"> 2020-02-23 07:36:02</t>
  </si>
  <si>
    <t>想见你花絮</t>
  </si>
  <si>
    <t xml:space="preserve"> 2020-02-23 17:30:02</t>
  </si>
  <si>
    <t>宋慧乔生图</t>
  </si>
  <si>
    <t xml:space="preserve"> 2020-02-23 19:00:02</t>
  </si>
  <si>
    <t xml:space="preserve"> 2020-02-23 11:18:02</t>
  </si>
  <si>
    <t>千与千寻背景图</t>
  </si>
  <si>
    <t xml:space="preserve"> 2020-02-23 17:16:02</t>
  </si>
  <si>
    <t>妻子脱下防护服丈夫进入隔离病区</t>
  </si>
  <si>
    <t xml:space="preserve"> 2020-02-23 18:22:02</t>
  </si>
  <si>
    <t xml:space="preserve"> 2020-02-23 11:20:01</t>
  </si>
  <si>
    <t>葱油拌面</t>
  </si>
  <si>
    <t xml:space="preserve"> 2020-02-23 14:56:01</t>
  </si>
  <si>
    <t xml:space="preserve"> 2020-02-23 10:44:02</t>
  </si>
  <si>
    <t>疫情不影响北京冬奥筹办</t>
  </si>
  <si>
    <t xml:space="preserve"> 2020-02-23 16:18:01</t>
  </si>
  <si>
    <t xml:space="preserve"> 2020-02-23 07:42:02</t>
  </si>
  <si>
    <t>赢在了起跑线的姓氏</t>
  </si>
  <si>
    <t xml:space="preserve"> 2020-02-23 15:50:02</t>
  </si>
  <si>
    <t>留学生患流感离世</t>
  </si>
  <si>
    <t xml:space="preserve"> 2020-02-23 16:34:01</t>
  </si>
  <si>
    <t xml:space="preserve"> 2020-02-23 11:08:01</t>
  </si>
  <si>
    <t>隔离期老人从医院逃回家吃面</t>
  </si>
  <si>
    <t xml:space="preserve"> 2020-02-23 14:50:01</t>
  </si>
  <si>
    <t xml:space="preserve"> 2020-02-23 10:46:02</t>
  </si>
  <si>
    <t>央视专访美国病毒猎手</t>
  </si>
  <si>
    <t xml:space="preserve"> 2020-02-23 15:06:01</t>
  </si>
  <si>
    <t>感谢这个网课让我体会到了</t>
  </si>
  <si>
    <t xml:space="preserve"> 2020-02-23 19:52:02</t>
  </si>
  <si>
    <t>黄山恢复开放只来了1位游客</t>
  </si>
  <si>
    <t>苏有朋陈志朋合体</t>
  </si>
  <si>
    <t xml:space="preserve"> 2020-02-23 17:00:02</t>
  </si>
  <si>
    <t xml:space="preserve"> 2020-02-23 09:04:02</t>
  </si>
  <si>
    <t>如果我身材好的话</t>
  </si>
  <si>
    <t xml:space="preserve"> 2020-02-23 13:54:01</t>
  </si>
  <si>
    <t xml:space="preserve"> 2020-02-23 10:12:01</t>
  </si>
  <si>
    <t>暴风集团被裁决向上海歌斐支付4.7亿</t>
  </si>
  <si>
    <t xml:space="preserve"> 2020-02-23 13:38:01</t>
  </si>
  <si>
    <t>湖北新增630例新冠肺炎</t>
  </si>
  <si>
    <t xml:space="preserve"> 2020-02-23 15:18:01</t>
  </si>
  <si>
    <t xml:space="preserve"> 2020-02-23 11:42:02</t>
  </si>
  <si>
    <t>一开始以为是美食教程</t>
  </si>
  <si>
    <t xml:space="preserve"> 2020-02-23 15:16:01</t>
  </si>
  <si>
    <t>如果再不复工</t>
  </si>
  <si>
    <t xml:space="preserve"> 2020-02-23 13:00:02</t>
  </si>
  <si>
    <t xml:space="preserve"> 2020-02-23 11:48:02</t>
  </si>
  <si>
    <t>上海治愈出院率破74%</t>
  </si>
  <si>
    <t xml:space="preserve"> 2020-02-23 13:24:01</t>
  </si>
  <si>
    <t xml:space="preserve"> 2020-02-23 07:32:01</t>
  </si>
  <si>
    <t>斯黛拉砸车</t>
  </si>
  <si>
    <t xml:space="preserve"> 2020-02-23 09:34:01</t>
  </si>
  <si>
    <t>山东点亮16地市地标建筑大屏</t>
  </si>
  <si>
    <t xml:space="preserve"> 2020-02-23 13:06:01</t>
  </si>
  <si>
    <t xml:space="preserve"> 2020-02-23 08:28:02</t>
  </si>
  <si>
    <t>你的名字是学渣</t>
  </si>
  <si>
    <t xml:space="preserve"> 2020-02-23 13:14:02</t>
  </si>
  <si>
    <t xml:space="preserve"> 2020-02-23 10:52:02</t>
  </si>
  <si>
    <t>张文宏呼吁疫情后给医生减负</t>
  </si>
  <si>
    <t xml:space="preserve"> 2020-02-23 12:28:02</t>
  </si>
  <si>
    <t xml:space="preserve"> 2020-02-23 11:38:02</t>
  </si>
  <si>
    <t>韦德感谢科比</t>
  </si>
  <si>
    <t>韩国最小确诊患者4岁</t>
  </si>
  <si>
    <t xml:space="preserve"> 2020-02-23 15:14:02</t>
  </si>
  <si>
    <t xml:space="preserve"> 2020-02-23 12:02:02</t>
  </si>
  <si>
    <t>神翻译现场</t>
  </si>
  <si>
    <t xml:space="preserve"> 2020-02-23 12:54:02</t>
  </si>
  <si>
    <t xml:space="preserve"> 2020-02-23 12:04:02</t>
  </si>
  <si>
    <t>大型做饭翻车现场</t>
  </si>
  <si>
    <t xml:space="preserve"> 2020-02-23 14:18:01</t>
  </si>
  <si>
    <t>LPL百大经典战役</t>
  </si>
  <si>
    <t xml:space="preserve"> 2020-02-23 14:06:01</t>
  </si>
  <si>
    <t xml:space="preserve"> 2020-02-23 12:08:01</t>
  </si>
  <si>
    <t>零新增不是零风险</t>
  </si>
  <si>
    <t xml:space="preserve"> 2020-02-23 12:38:01</t>
  </si>
  <si>
    <t>银保监会结束对安邦集团的接管</t>
  </si>
  <si>
    <t xml:space="preserve"> 2020-02-23 07:48:02</t>
  </si>
  <si>
    <t>山西医疗队人手一瓶老陈醋</t>
  </si>
  <si>
    <t xml:space="preserve"> 2020-02-23 12:58:01</t>
  </si>
  <si>
    <t>被偏爱能有多幸福</t>
  </si>
  <si>
    <t xml:space="preserve"> 2020-02-23 12:16:02</t>
  </si>
  <si>
    <t xml:space="preserve"> 2020-02-23 08:38:02</t>
  </si>
  <si>
    <t>当当网澄清声明</t>
  </si>
  <si>
    <t xml:space="preserve"> 2020-02-24 14:24:01</t>
  </si>
  <si>
    <t xml:space="preserve"> 2020-02-23 23:26:02</t>
  </si>
  <si>
    <t>28年前南医大女生被杀案告破</t>
  </si>
  <si>
    <t xml:space="preserve"> 2020-02-24 10:20:01</t>
  </si>
  <si>
    <t xml:space="preserve"> 2020-02-23 21:46:02</t>
  </si>
  <si>
    <t>韩国一医院精神科发生聚集传染</t>
  </si>
  <si>
    <t xml:space="preserve"> 2020-02-24 10:46:01</t>
  </si>
  <si>
    <t xml:space="preserve"> 2020-02-23 22:52:02</t>
  </si>
  <si>
    <t>黄文军医生感染新冠肺炎去世</t>
  </si>
  <si>
    <t xml:space="preserve"> 2020-02-24 11:12:02</t>
  </si>
  <si>
    <t xml:space="preserve"> 2020-02-23 22:48:01</t>
  </si>
  <si>
    <t>苏打绿合体</t>
  </si>
  <si>
    <t xml:space="preserve"> 2020-02-24 09:48:01</t>
  </si>
  <si>
    <t xml:space="preserve"> 2020-02-23 18:14:02</t>
  </si>
  <si>
    <t>钟南山说当务之急要鉴别流感和新冠肺炎</t>
  </si>
  <si>
    <t xml:space="preserve"> 2020-02-24 01:44:02</t>
  </si>
  <si>
    <t xml:space="preserve"> 2020-02-23 19:42:02</t>
  </si>
  <si>
    <t>防控正处在最吃劲的关键阶段</t>
  </si>
  <si>
    <t xml:space="preserve"> 2020-02-24 07:30:01</t>
  </si>
  <si>
    <t xml:space="preserve"> 2020-02-23 20:00:02</t>
  </si>
  <si>
    <t>没到摘口罩扎堆的时候</t>
  </si>
  <si>
    <t xml:space="preserve"> 2020-02-24 12:00:02</t>
  </si>
  <si>
    <t xml:space="preserve"> 2020-02-23 22:56:01</t>
  </si>
  <si>
    <t>医生黄文军</t>
  </si>
  <si>
    <t xml:space="preserve"> 2020-02-24 09:56:02</t>
  </si>
  <si>
    <t xml:space="preserve"> 2020-02-23 23:10:01</t>
  </si>
  <si>
    <t>武汉小区村庄24小时封闭管理还将持续</t>
  </si>
  <si>
    <t xml:space="preserve"> 2020-02-24 11:40:02</t>
  </si>
  <si>
    <t xml:space="preserve"> 2020-02-23 23:54:01</t>
  </si>
  <si>
    <t>张学友周杰伦 等风雨经过</t>
  </si>
  <si>
    <t xml:space="preserve"> 2020-02-24 09:46:01</t>
  </si>
  <si>
    <t xml:space="preserve"> 2020-02-23 19:54:02</t>
  </si>
  <si>
    <t>我在北京等你</t>
  </si>
  <si>
    <t xml:space="preserve"> 2020-02-24 07:32:02</t>
  </si>
  <si>
    <t>新加坡女性同时感染登革热和新冠肺炎</t>
  </si>
  <si>
    <t xml:space="preserve"> 2020-02-24 05:16:01</t>
  </si>
  <si>
    <t xml:space="preserve"> 2020-02-23 17:42:02</t>
  </si>
  <si>
    <t>放屁会传播病毒吗</t>
  </si>
  <si>
    <t xml:space="preserve"> 2020-02-24 11:18:01</t>
  </si>
  <si>
    <t xml:space="preserve"> 2020-02-23 21:24:02</t>
  </si>
  <si>
    <t>张萌</t>
  </si>
  <si>
    <t xml:space="preserve"> 2020-02-24 11:58:01</t>
  </si>
  <si>
    <t>王一博模仿河南村长喊话</t>
  </si>
  <si>
    <t xml:space="preserve"> 2020-02-24 10:44:01</t>
  </si>
  <si>
    <t xml:space="preserve"> 2020-02-23 22:44:01</t>
  </si>
  <si>
    <t>军运会五外籍运动员患的都是疟疾</t>
  </si>
  <si>
    <t xml:space="preserve"> 2020-02-24 10:58:01</t>
  </si>
  <si>
    <t xml:space="preserve"> 2020-02-23 21:58:01</t>
  </si>
  <si>
    <t>好想你出售百草味</t>
  </si>
  <si>
    <t xml:space="preserve"> 2020-02-24 09:38:02</t>
  </si>
  <si>
    <t xml:space="preserve"> 2020-02-23 22:40:02</t>
  </si>
  <si>
    <t>广电总局再赠湖北15部电视剧版权</t>
  </si>
  <si>
    <t xml:space="preserve"> 2020-02-24 11:06:01</t>
  </si>
  <si>
    <t xml:space="preserve"> 2020-02-23 21:52:02</t>
  </si>
  <si>
    <t>罗晋 徐姑姑</t>
  </si>
  <si>
    <t xml:space="preserve"> 2020-02-24 08:58:01</t>
  </si>
  <si>
    <t xml:space="preserve"> 2020-02-23 22:46:01</t>
  </si>
  <si>
    <t>意大利新冠肺炎疫区</t>
  </si>
  <si>
    <t xml:space="preserve"> 2020-02-24 08:52:02</t>
  </si>
  <si>
    <t xml:space="preserve"> 2020-02-23 23:00:02</t>
  </si>
  <si>
    <t>陶柔嘉爸爸</t>
  </si>
  <si>
    <t xml:space="preserve"> 2020-02-24 09:22:02</t>
  </si>
  <si>
    <t xml:space="preserve"> 2020-02-23 23:08:02</t>
  </si>
  <si>
    <t>林伶案</t>
  </si>
  <si>
    <t xml:space="preserve"> 2020-02-23 20:46:01</t>
  </si>
  <si>
    <t>李易峰氧气罩吻</t>
  </si>
  <si>
    <t xml:space="preserve"> 2020-02-24 11:24:02</t>
  </si>
  <si>
    <t xml:space="preserve"> 2020-02-23 22:18:01</t>
  </si>
  <si>
    <t>梦幻迪士尼都是人间照妖镜</t>
  </si>
  <si>
    <t xml:space="preserve"> 2020-02-24 10:30:02</t>
  </si>
  <si>
    <t xml:space="preserve"> 2020-02-23 22:36:01</t>
  </si>
  <si>
    <t>韩国新增病例近半与邪教有关</t>
  </si>
  <si>
    <t xml:space="preserve"> 2020-02-24 09:18:02</t>
  </si>
  <si>
    <t>云南一短尾猴上街溜达被隔离</t>
  </si>
  <si>
    <t xml:space="preserve"> 2020-02-24 08:20:01</t>
  </si>
  <si>
    <t xml:space="preserve"> 2020-02-23 17:24:02</t>
  </si>
  <si>
    <t>烤串店复工一天卖6千串</t>
  </si>
  <si>
    <t xml:space="preserve"> 2020-02-24 03:14:02</t>
  </si>
  <si>
    <t xml:space="preserve"> 2020-02-23 22:38:01</t>
  </si>
  <si>
    <t>伊朗取消全国体育赛事</t>
  </si>
  <si>
    <t xml:space="preserve"> 2020-02-24 09:12:01</t>
  </si>
  <si>
    <t xml:space="preserve"> 2020-02-23 19:38:01</t>
  </si>
  <si>
    <t>敦煌到底有多美</t>
  </si>
  <si>
    <t xml:space="preserve"> 2020-02-24 10:12:01</t>
  </si>
  <si>
    <t xml:space="preserve"> 2020-02-23 18:04:02</t>
  </si>
  <si>
    <t>一线医务薪酬水平提高2倍</t>
  </si>
  <si>
    <t xml:space="preserve"> 2020-02-24 07:54:02</t>
  </si>
  <si>
    <t xml:space="preserve"> 2020-02-23 18:28:01</t>
  </si>
  <si>
    <t>29岁殉职女医生全家从医</t>
  </si>
  <si>
    <t xml:space="preserve"> 2020-02-24 02:22:02</t>
  </si>
  <si>
    <t>孙俪做糙米饼</t>
  </si>
  <si>
    <t xml:space="preserve"> 2020-02-24 07:28:01</t>
  </si>
  <si>
    <t xml:space="preserve"> 2020-02-23 21:00:02</t>
  </si>
  <si>
    <t>捐3000斤腊肉还赠烹饪方法</t>
  </si>
  <si>
    <t xml:space="preserve"> 2020-02-24 08:56:02</t>
  </si>
  <si>
    <t xml:space="preserve"> 2020-02-23 22:08:02</t>
  </si>
  <si>
    <t>过年期间发胖的真实原因</t>
  </si>
  <si>
    <t xml:space="preserve"> 2020-02-24 08:16:02</t>
  </si>
  <si>
    <t xml:space="preserve"> 2020-02-23 19:48:01</t>
  </si>
  <si>
    <t>南方菜市场的服务太到位了</t>
  </si>
  <si>
    <t xml:space="preserve"> 2020-02-24 08:06:01</t>
  </si>
  <si>
    <t>刘德华填词致敬医护人员</t>
  </si>
  <si>
    <t xml:space="preserve"> 2020-02-24 03:34:01</t>
  </si>
  <si>
    <t xml:space="preserve"> 2020-02-23 22:32:02</t>
  </si>
  <si>
    <t>乐高前设计师克努德森逝世</t>
  </si>
  <si>
    <t xml:space="preserve"> 2020-02-24 09:34:01</t>
  </si>
  <si>
    <t xml:space="preserve"> 2020-02-23 23:40:02</t>
  </si>
  <si>
    <t>新相亲大会袁铭</t>
  </si>
  <si>
    <t xml:space="preserve"> 2020-04-05 10:06:02</t>
  </si>
  <si>
    <t xml:space="preserve"> 2019-11-20 20:24:02</t>
  </si>
  <si>
    <t>新闻联播</t>
  </si>
  <si>
    <t xml:space="preserve"> 2020-02-23 23:46:02</t>
  </si>
  <si>
    <t>志愿者汪勇</t>
  </si>
  <si>
    <t xml:space="preserve"> 2020-02-24 07:52:02</t>
  </si>
  <si>
    <t xml:space="preserve"> 2020-01-12 19:44:02</t>
  </si>
  <si>
    <t>武磊首发</t>
  </si>
  <si>
    <t xml:space="preserve"> 2020-02-28 07:42:02</t>
  </si>
  <si>
    <t xml:space="preserve"> 2020-02-23 15:52:01</t>
  </si>
  <si>
    <t>韩国</t>
  </si>
  <si>
    <t xml:space="preserve"> 2020-02-24 02:46:02</t>
  </si>
  <si>
    <t xml:space="preserve"> 2020-02-23 22:04:01</t>
  </si>
  <si>
    <t>医生握手1小时安慰患者</t>
  </si>
  <si>
    <t xml:space="preserve"> 2020-02-24 07:18:02</t>
  </si>
  <si>
    <t xml:space="preserve"> 2020-02-23 16:08:02</t>
  </si>
  <si>
    <t>电影院复工准备</t>
  </si>
  <si>
    <t xml:space="preserve"> 2020-02-24 03:58:01</t>
  </si>
  <si>
    <t xml:space="preserve"> 2020-02-23 18:26:02</t>
  </si>
  <si>
    <t>韩国总理宣布疫情进入严重局面</t>
  </si>
  <si>
    <t xml:space="preserve"> 2020-02-24 00:08:02</t>
  </si>
  <si>
    <t xml:space="preserve"> 2020-02-23 12:40:02</t>
  </si>
  <si>
    <t>超5000人昨日涌向西湖断桥</t>
  </si>
  <si>
    <t xml:space="preserve"> 2020-02-24 16:00:01</t>
  </si>
  <si>
    <t xml:space="preserve"> 2020-02-24 07:40:01</t>
  </si>
  <si>
    <t>武功山游客爆满发紧急通告</t>
  </si>
  <si>
    <t xml:space="preserve"> 2020-02-24 17:48:01</t>
  </si>
  <si>
    <t xml:space="preserve"> 2020-02-24 11:26:01</t>
  </si>
  <si>
    <t>全国24地新增病例为0</t>
  </si>
  <si>
    <t xml:space="preserve"> 2020-02-24 15:06:03</t>
  </si>
  <si>
    <t xml:space="preserve"> 2020-02-24 11:00:01</t>
  </si>
  <si>
    <t>对本学期休学的在韩留学生放宽学分限制</t>
  </si>
  <si>
    <t xml:space="preserve"> 2020-02-25 06:10:01</t>
  </si>
  <si>
    <t xml:space="preserve"> 2020-02-24 08:46:02</t>
  </si>
  <si>
    <t>李佳琦发文</t>
  </si>
  <si>
    <t xml:space="preserve"> 2020-02-24 11:02:02</t>
  </si>
  <si>
    <t>疫情对中国经济冲击是暂时的短期的</t>
  </si>
  <si>
    <t xml:space="preserve"> 2020-02-24 11:16:02</t>
  </si>
  <si>
    <t>全国累计确诊新冠肺炎77150例</t>
  </si>
  <si>
    <t xml:space="preserve"> 2020-02-24 14:58:02</t>
  </si>
  <si>
    <t xml:space="preserve"> 2020-02-24 08:22:01</t>
  </si>
  <si>
    <t>一家6口隔离期满14天后4人确诊</t>
  </si>
  <si>
    <t xml:space="preserve"> 2020-02-24 19:20:01</t>
  </si>
  <si>
    <t xml:space="preserve"> 2020-02-24 07:16:02</t>
  </si>
  <si>
    <t>二月二</t>
  </si>
  <si>
    <t xml:space="preserve"> 2020-02-24 16:58:01</t>
  </si>
  <si>
    <t xml:space="preserve"> 2020-02-24 11:10:01</t>
  </si>
  <si>
    <t>全面禁止非法野生动物交易</t>
  </si>
  <si>
    <t xml:space="preserve"> 2020-02-24 13:46:02</t>
  </si>
  <si>
    <t xml:space="preserve"> 2020-02-24 09:24:02</t>
  </si>
  <si>
    <t>湖北拟提拔重用4名抗疫一线干部</t>
  </si>
  <si>
    <t xml:space="preserve"> 2020-02-24 12:34:01</t>
  </si>
  <si>
    <t xml:space="preserve"> 2020-02-24 10:08:02</t>
  </si>
  <si>
    <t>多地下调新冠肺炎疫情应急响应等级</t>
  </si>
  <si>
    <t xml:space="preserve"> 2020-02-24 14:22:02</t>
  </si>
  <si>
    <t>广东一级响应调整为二级</t>
  </si>
  <si>
    <t xml:space="preserve"> 2020-02-24 13:12:02</t>
  </si>
  <si>
    <t xml:space="preserve"> 2020-02-24 08:42:02</t>
  </si>
  <si>
    <t>日本累计确诊新冠肺炎838例</t>
  </si>
  <si>
    <t xml:space="preserve"> 2020-02-24 15:14:02</t>
  </si>
  <si>
    <t xml:space="preserve"> 2020-02-24 09:40:02</t>
  </si>
  <si>
    <t>谢娜肚子</t>
  </si>
  <si>
    <t xml:space="preserve"> 2020-02-24 18:34:02</t>
  </si>
  <si>
    <t xml:space="preserve"> 2020-02-24 10:34:02</t>
  </si>
  <si>
    <t>才知道周峻纬英年早婚</t>
  </si>
  <si>
    <t xml:space="preserve"> 2020-02-24 13:34:01</t>
  </si>
  <si>
    <t xml:space="preserve"> 2020-02-24 11:32:02</t>
  </si>
  <si>
    <t>林玲</t>
  </si>
  <si>
    <t xml:space="preserve"> 2020-02-24 15:54:02</t>
  </si>
  <si>
    <t xml:space="preserve"> 2020-02-24 10:48:01</t>
  </si>
  <si>
    <t>云朵蛋糕</t>
  </si>
  <si>
    <t xml:space="preserve"> 2020-02-24 15:58:02</t>
  </si>
  <si>
    <t>北极甲烷</t>
  </si>
  <si>
    <t xml:space="preserve"> 2020-02-24 15:18:02</t>
  </si>
  <si>
    <t>麻继钢</t>
  </si>
  <si>
    <t xml:space="preserve"> 2020-02-24 14:08:02</t>
  </si>
  <si>
    <t>黑龙江规定理发店每次接待1人</t>
  </si>
  <si>
    <t xml:space="preserve"> 2020-02-24 20:08:01</t>
  </si>
  <si>
    <t xml:space="preserve"> 2020-02-24 11:52:01</t>
  </si>
  <si>
    <t>为了戒奶嘴的本本</t>
  </si>
  <si>
    <t xml:space="preserve"> 2020-02-24 14:30:02</t>
  </si>
  <si>
    <t>肉体上感到最痛的一次经历</t>
  </si>
  <si>
    <t xml:space="preserve"> 2020-02-24 14:10:01</t>
  </si>
  <si>
    <t xml:space="preserve"> 2020-02-24 08:54:02</t>
  </si>
  <si>
    <t>天文学泰斗韩天芑感染新冠肺炎</t>
  </si>
  <si>
    <t xml:space="preserve"> 2020-02-24 13:58:01</t>
  </si>
  <si>
    <t xml:space="preserve"> 2020-02-24 10:24:02</t>
  </si>
  <si>
    <t>10岁女孩每天给公交司机父母送饭</t>
  </si>
  <si>
    <t xml:space="preserve"> 2020-02-24 16:50:01</t>
  </si>
  <si>
    <t xml:space="preserve"> 2020-02-24 09:08:01</t>
  </si>
  <si>
    <t>女生的笑容有多治愈</t>
  </si>
  <si>
    <t xml:space="preserve"> 2020-02-24 07:56:02</t>
  </si>
  <si>
    <t>阿云嘎后援会</t>
  </si>
  <si>
    <t xml:space="preserve"> 2020-02-24 13:30:02</t>
  </si>
  <si>
    <t xml:space="preserve"> 2020-02-24 08:40:01</t>
  </si>
  <si>
    <t>援鄂医生用头发给同事缝伤口</t>
  </si>
  <si>
    <t xml:space="preserve"> 2020-02-24 12:30:01</t>
  </si>
  <si>
    <t xml:space="preserve"> 2020-02-24 10:38:02</t>
  </si>
  <si>
    <t>我军派25名官兵赴泰参加联演</t>
  </si>
  <si>
    <t xml:space="preserve"> 2020-02-24 11:36:02</t>
  </si>
  <si>
    <t>人社部回应毕业生就业问题</t>
  </si>
  <si>
    <t xml:space="preserve"> 2020-02-24 14:26:02</t>
  </si>
  <si>
    <t xml:space="preserve"> 2020-02-21 15:04:01</t>
  </si>
  <si>
    <t>揭阳巨响</t>
  </si>
  <si>
    <t xml:space="preserve"> 2020-02-24 13:26:01</t>
  </si>
  <si>
    <t xml:space="preserve"> 2020-02-24 09:36:02</t>
  </si>
  <si>
    <t>日本偶像握手会</t>
  </si>
  <si>
    <t>湖北新增398例新冠肺炎</t>
  </si>
  <si>
    <t xml:space="preserve"> 2020-02-24 12:50:02</t>
  </si>
  <si>
    <t>韩赴以色列朝拜圣地团28人确诊新冠肺炎</t>
  </si>
  <si>
    <t xml:space="preserve"> 2020-02-24 12:48:02</t>
  </si>
  <si>
    <t>韩国累计确诊新冠肺炎763例</t>
  </si>
  <si>
    <t xml:space="preserve"> 2020-02-24 12:22:02</t>
  </si>
  <si>
    <t>韩国11名军人确诊新冠肺炎</t>
  </si>
  <si>
    <t xml:space="preserve"> 2020-02-24 12:16:01</t>
  </si>
  <si>
    <t xml:space="preserve"> 2020-02-24 11:04:01</t>
  </si>
  <si>
    <t>发改委回应口罩供应情况</t>
  </si>
  <si>
    <t xml:space="preserve"> 2020-02-24 11:54:02</t>
  </si>
  <si>
    <t>游戏中最想削弱的英雄</t>
  </si>
  <si>
    <t xml:space="preserve"> 2020-02-24 17:38:01</t>
  </si>
  <si>
    <t>市场招聘需求在下降</t>
  </si>
  <si>
    <t>朴宰范</t>
  </si>
  <si>
    <t>二月二理发别扎堆</t>
  </si>
  <si>
    <t xml:space="preserve"> 2020-02-24 16:20:01</t>
  </si>
  <si>
    <t>北京确诊病例再次零增长</t>
  </si>
  <si>
    <t xml:space="preserve"> 2020-02-24 12:20:02</t>
  </si>
  <si>
    <t xml:space="preserve"> 2020-02-24 11:50:01</t>
  </si>
  <si>
    <t>刺猬索尼克撤档</t>
  </si>
  <si>
    <t xml:space="preserve"> 2020-02-24 14:02:01</t>
  </si>
  <si>
    <t xml:space="preserve"> 2020-02-24 12:04:02</t>
  </si>
  <si>
    <t>流浪动物有多渴望被疼爱</t>
  </si>
  <si>
    <t xml:space="preserve"> 2020-02-24 12:12:02</t>
  </si>
  <si>
    <t xml:space="preserve"> 2020-02-24 10:22:01</t>
  </si>
  <si>
    <t>英国4名钻石公主号乘客确诊</t>
  </si>
  <si>
    <t xml:space="preserve"> 2020-02-24 10:56:01</t>
  </si>
  <si>
    <t>科比追思会细节</t>
  </si>
  <si>
    <t xml:space="preserve"> 2020-02-25 11:36:02</t>
  </si>
  <si>
    <t xml:space="preserve"> 2020-02-24 22:40:02</t>
  </si>
  <si>
    <t>中国方法是唯一事实证明成功的方法</t>
  </si>
  <si>
    <t xml:space="preserve"> 2020-02-25 09:06:02</t>
  </si>
  <si>
    <t xml:space="preserve"> 2020-02-24 22:54:02</t>
  </si>
  <si>
    <t>台湾新冠肺炎确诊病例增至30例</t>
  </si>
  <si>
    <t xml:space="preserve"> 2020-02-25 09:26:02</t>
  </si>
  <si>
    <t xml:space="preserve"> 2020-02-24 21:00:02</t>
  </si>
  <si>
    <t>华人女孩东京街头发口罩</t>
  </si>
  <si>
    <t xml:space="preserve"> 2020-02-25 08:18:02</t>
  </si>
  <si>
    <t xml:space="preserve"> 2020-02-24 19:54:02</t>
  </si>
  <si>
    <t>钟南山表示出院重新感染可能性很小</t>
  </si>
  <si>
    <t xml:space="preserve"> 2020-02-25 07:42:01</t>
  </si>
  <si>
    <t xml:space="preserve"> 2020-02-24 18:00:02</t>
  </si>
  <si>
    <t>肖战剪头发</t>
  </si>
  <si>
    <t xml:space="preserve"> 2020-02-25 07:20:02</t>
  </si>
  <si>
    <t xml:space="preserve"> 2020-02-24 19:24:01</t>
  </si>
  <si>
    <t>北京高三统考推迟1周改为在家考</t>
  </si>
  <si>
    <t xml:space="preserve"> 2020-02-25 08:52:01</t>
  </si>
  <si>
    <t xml:space="preserve"> 2020-02-24 19:00:01</t>
  </si>
  <si>
    <t>中国蝗灾防治工作组抵巴基斯坦</t>
  </si>
  <si>
    <t xml:space="preserve"> 2020-02-25 08:20:01</t>
  </si>
  <si>
    <t xml:space="preserve"> 2020-02-24 17:50:02</t>
  </si>
  <si>
    <t>南医大女生被杀案抓捕现场</t>
  </si>
  <si>
    <t xml:space="preserve"> 2020-02-25 08:54:01</t>
  </si>
  <si>
    <t xml:space="preserve"> 2020-02-24 20:26:01</t>
  </si>
  <si>
    <t>全国感染病毒医务人员超9成来自湖北</t>
  </si>
  <si>
    <t xml:space="preserve"> 2020-02-25 07:06:02</t>
  </si>
  <si>
    <t xml:space="preserve"> 2020-02-24 21:08:02</t>
  </si>
  <si>
    <t>碟中谍7因意大利疫情停拍</t>
  </si>
  <si>
    <t xml:space="preserve"> 2020-02-25 09:22:02</t>
  </si>
  <si>
    <t xml:space="preserve"> 2020-02-24 22:32:01</t>
  </si>
  <si>
    <t>意大利新型肺炎确诊患者增至230例</t>
  </si>
  <si>
    <t xml:space="preserve"> 2020-02-25 07:18:01</t>
  </si>
  <si>
    <t xml:space="preserve"> 2020-02-24 19:22:02</t>
  </si>
  <si>
    <t>疫情得到有效控制前高校不开学</t>
  </si>
  <si>
    <t xml:space="preserve"> 2020-02-25 08:26:02</t>
  </si>
  <si>
    <t xml:space="preserve"> 2020-02-24 23:18:01</t>
  </si>
  <si>
    <t>斯洛伐克总理</t>
  </si>
  <si>
    <t xml:space="preserve"> 2020-02-24 23:06:02</t>
  </si>
  <si>
    <t>韩国 青岛</t>
  </si>
  <si>
    <t xml:space="preserve"> 2020-02-25 08:44:02</t>
  </si>
  <si>
    <t xml:space="preserve"> 2020-02-24 22:46:02</t>
  </si>
  <si>
    <t>斯黛拉离婚</t>
  </si>
  <si>
    <t xml:space="preserve"> 2020-02-25 10:38:02</t>
  </si>
  <si>
    <t xml:space="preserve"> 2020-02-24 23:30:02</t>
  </si>
  <si>
    <t>隔离病房遇上东北医生</t>
  </si>
  <si>
    <t xml:space="preserve"> 2020-02-24 18:24:02</t>
  </si>
  <si>
    <t>宋祖儿吃螺蛳粉</t>
  </si>
  <si>
    <t xml:space="preserve"> 2020-02-25 10:08:02</t>
  </si>
  <si>
    <t xml:space="preserve"> 2020-02-24 22:00:02</t>
  </si>
  <si>
    <t>王自健擦马桶</t>
  </si>
  <si>
    <t xml:space="preserve"> 2020-02-25 09:56:02</t>
  </si>
  <si>
    <t xml:space="preserve"> 2020-02-24 21:20:01</t>
  </si>
  <si>
    <t>陈数直播</t>
  </si>
  <si>
    <t xml:space="preserve"> 2020-02-25 09:14:02</t>
  </si>
  <si>
    <t xml:space="preserve"> 2020-02-24 20:52:01</t>
  </si>
  <si>
    <t>张雨剑面无表情</t>
  </si>
  <si>
    <t xml:space="preserve"> 2020-02-25 09:58:02</t>
  </si>
  <si>
    <t xml:space="preserve"> 2020-02-24 19:26:02</t>
  </si>
  <si>
    <t>因为一部剧带火一座城</t>
  </si>
  <si>
    <t xml:space="preserve"> 2020-02-25 10:14:01</t>
  </si>
  <si>
    <t>董小鹏是张玮演的</t>
  </si>
  <si>
    <t xml:space="preserve"> 2020-02-24 21:12:02</t>
  </si>
  <si>
    <t>华为发布会</t>
  </si>
  <si>
    <t xml:space="preserve"> 2020-02-24 22:28:02</t>
  </si>
  <si>
    <t>网课学不进去的真实原因</t>
  </si>
  <si>
    <t xml:space="preserve"> 2020-02-25 07:44:01</t>
  </si>
  <si>
    <t xml:space="preserve"> 2020-02-24 22:50:02</t>
  </si>
  <si>
    <t>综艺节目里的宠物明星</t>
  </si>
  <si>
    <t xml:space="preserve"> 2020-02-25 08:04:02</t>
  </si>
  <si>
    <t xml:space="preserve"> 2020-02-24 19:46:02</t>
  </si>
  <si>
    <t>外交部三问华尔街日报</t>
  </si>
  <si>
    <t xml:space="preserve"> 2020-02-25 08:22:02</t>
  </si>
  <si>
    <t xml:space="preserve"> 2020-02-24 21:50:01</t>
  </si>
  <si>
    <t>寄生虫黑白版韩国撤档</t>
  </si>
  <si>
    <t xml:space="preserve"> 2020-02-24 18:50:02</t>
  </si>
  <si>
    <t>意大利1号确诊患者影响50000人</t>
  </si>
  <si>
    <t xml:space="preserve"> 2020-02-25 09:12:02</t>
  </si>
  <si>
    <t xml:space="preserve"> 2020-02-24 17:14:01</t>
  </si>
  <si>
    <t>当代男艺人居家隔离状态</t>
  </si>
  <si>
    <t xml:space="preserve"> 2020-02-25 08:06:01</t>
  </si>
  <si>
    <t xml:space="preserve"> 2020-02-24 20:32:02</t>
  </si>
  <si>
    <t>女生的手好看是什么体验</t>
  </si>
  <si>
    <t xml:space="preserve"> 2020-02-25 07:50:01</t>
  </si>
  <si>
    <t xml:space="preserve"> 2020-02-24 16:24:02</t>
  </si>
  <si>
    <t>外交部新任发言人</t>
  </si>
  <si>
    <t xml:space="preserve"> 2020-02-25 11:10:02</t>
  </si>
  <si>
    <t xml:space="preserve"> 2020-02-24 23:20:02</t>
  </si>
  <si>
    <t>见过最惊艳的报纸</t>
  </si>
  <si>
    <t xml:space="preserve"> 2020-02-25 07:32:01</t>
  </si>
  <si>
    <t xml:space="preserve"> 2020-02-24 21:14:02</t>
  </si>
  <si>
    <t>当你太久没接触英语时</t>
  </si>
  <si>
    <t xml:space="preserve"> 2020-02-24 16:14:01</t>
  </si>
  <si>
    <t>向太回应向佐郭碧婷未领证</t>
  </si>
  <si>
    <t xml:space="preserve"> 2020-02-29 09:32:01</t>
  </si>
  <si>
    <t xml:space="preserve"> 2020-02-24 23:08:01</t>
  </si>
  <si>
    <t>美股 跌</t>
  </si>
  <si>
    <t xml:space="preserve"> 2020-02-25 09:52:02</t>
  </si>
  <si>
    <t xml:space="preserve"> 2020-02-24 20:16:02</t>
  </si>
  <si>
    <t>让人讨厌不起来的反派</t>
  </si>
  <si>
    <t xml:space="preserve"> 2020-02-25 03:02:01</t>
  </si>
  <si>
    <t xml:space="preserve"> 2020-02-24 17:04:01</t>
  </si>
  <si>
    <t>文旅部提醒近期勿往美国旅游</t>
  </si>
  <si>
    <t xml:space="preserve"> 2020-02-25 09:30:02</t>
  </si>
  <si>
    <t>为何有患者出院后复检核酸阳性</t>
  </si>
  <si>
    <t xml:space="preserve"> 2020-02-25 09:24:02</t>
  </si>
  <si>
    <t xml:space="preserve"> 2020-02-24 22:12:01</t>
  </si>
  <si>
    <t>徐姑姑房似锦合租</t>
  </si>
  <si>
    <t xml:space="preserve"> 2020-02-24 22:44:01</t>
  </si>
  <si>
    <t>烤猪蹄被子</t>
  </si>
  <si>
    <t xml:space="preserve"> 2020-02-25 01:42:02</t>
  </si>
  <si>
    <t xml:space="preserve"> 2020-02-24 20:50:02</t>
  </si>
  <si>
    <t>新冠病毒肺炎疫情传播动力学</t>
  </si>
  <si>
    <t xml:space="preserve"> 2020-02-25 07:14:02</t>
  </si>
  <si>
    <t xml:space="preserve"> 2020-02-24 21:46:02</t>
  </si>
  <si>
    <t>青椒酿肉</t>
  </si>
  <si>
    <t xml:space="preserve"> 2020-02-24 20:42:02</t>
  </si>
  <si>
    <t>拍过最有大片感的照片</t>
  </si>
  <si>
    <t>邻居用晾衣杆投喂狗子大结局</t>
  </si>
  <si>
    <t xml:space="preserve"> 2020-02-25 07:16:01</t>
  </si>
  <si>
    <t xml:space="preserve"> 2020-02-24 22:04:01</t>
  </si>
  <si>
    <t>钟南山说防控意识要长期保持</t>
  </si>
  <si>
    <t xml:space="preserve"> 2020-02-24 22:58:02</t>
  </si>
  <si>
    <t>剪头发前后的区别</t>
  </si>
  <si>
    <t xml:space="preserve"> 2020-02-25 16:46:01</t>
  </si>
  <si>
    <t xml:space="preserve"> 2020-02-25 09:28:01</t>
  </si>
  <si>
    <t>科比妻子起诉失事直升机公司</t>
  </si>
  <si>
    <t xml:space="preserve"> 2020-02-25 17:02:01</t>
  </si>
  <si>
    <t xml:space="preserve"> 2020-02-25 11:22:02</t>
  </si>
  <si>
    <t>医用防护口罩日产量达84.4万</t>
  </si>
  <si>
    <t xml:space="preserve"> 2020-02-25 15:44:02</t>
  </si>
  <si>
    <t>乔丹哭了</t>
  </si>
  <si>
    <t xml:space="preserve"> 2020-02-25 19:42:01</t>
  </si>
  <si>
    <t>许光汉章若楠 你的婚礼</t>
  </si>
  <si>
    <t xml:space="preserve"> 2020-02-25 14:34:01</t>
  </si>
  <si>
    <t>佟丽娅演技</t>
  </si>
  <si>
    <t xml:space="preserve"> 2020-02-25 17:44:02</t>
  </si>
  <si>
    <t>武汉志愿者华雨辰</t>
  </si>
  <si>
    <t xml:space="preserve"> 2020-02-25 16:48:02</t>
  </si>
  <si>
    <t xml:space="preserve"> 2020-02-25 11:40:01</t>
  </si>
  <si>
    <t>天津大学实验室 口服疫苗</t>
  </si>
  <si>
    <t xml:space="preserve"> 2020-02-25 14:20:02</t>
  </si>
  <si>
    <t xml:space="preserve"> 2020-02-25 09:54:02</t>
  </si>
  <si>
    <t>衡水中学校长面对空操场演讲</t>
  </si>
  <si>
    <t xml:space="preserve"> 2020-02-25 16:26:02</t>
  </si>
  <si>
    <t xml:space="preserve"> 2020-02-25 08:34:01</t>
  </si>
  <si>
    <t>斯黛拉怼小三</t>
  </si>
  <si>
    <t xml:space="preserve"> 2020-02-25 14:24:01</t>
  </si>
  <si>
    <t>新冠病毒尚未发生明显变异</t>
  </si>
  <si>
    <t xml:space="preserve"> 2020-02-25 13:32:02</t>
  </si>
  <si>
    <t xml:space="preserve"> 2020-02-25 07:40:02</t>
  </si>
  <si>
    <t>日本多地出现无法确认感染路径病例</t>
  </si>
  <si>
    <t xml:space="preserve"> 2020-02-25 14:52:02</t>
  </si>
  <si>
    <t xml:space="preserve"> 2020-02-25 10:42:02</t>
  </si>
  <si>
    <t>蒋亦元院士逝世</t>
  </si>
  <si>
    <t xml:space="preserve"> 2020-02-25 14:42:02</t>
  </si>
  <si>
    <t xml:space="preserve"> 2020-02-25 10:52:01</t>
  </si>
  <si>
    <t>湖北政府将为滞留外地人员提供救助</t>
  </si>
  <si>
    <t xml:space="preserve"> 2020-02-25 13:30:01</t>
  </si>
  <si>
    <t xml:space="preserve"> 2020-02-25 10:10:01</t>
  </si>
  <si>
    <t>韩国将检测新天地教会所有成员</t>
  </si>
  <si>
    <t xml:space="preserve"> 2020-02-25 18:10:02</t>
  </si>
  <si>
    <t xml:space="preserve"> 2020-02-25 11:32:02</t>
  </si>
  <si>
    <t>易烊千玺脏脏牛仔衣</t>
  </si>
  <si>
    <t xml:space="preserve"> 2020-02-25 13:28:02</t>
  </si>
  <si>
    <t xml:space="preserve"> 2020-02-25 11:30:01</t>
  </si>
  <si>
    <t>一线护士10岁儿子打赏主播10万</t>
  </si>
  <si>
    <t xml:space="preserve"> 2020-02-25 17:50:02</t>
  </si>
  <si>
    <t>上网课化妆的女生有多拼</t>
  </si>
  <si>
    <t xml:space="preserve"> 2020-02-25 18:16:02</t>
  </si>
  <si>
    <t>孙建宏</t>
  </si>
  <si>
    <t xml:space="preserve"> 2020-02-25 16:32:01</t>
  </si>
  <si>
    <t>父母姓氏合起来的名字</t>
  </si>
  <si>
    <t xml:space="preserve"> 2020-02-25 08:56:02</t>
  </si>
  <si>
    <t>章子怡给儿子剃头</t>
  </si>
  <si>
    <t xml:space="preserve"> 2020-02-25 17:52:02</t>
  </si>
  <si>
    <t xml:space="preserve"> 2020-02-25 11:34:02</t>
  </si>
  <si>
    <t>蜡笔小新牵手头像背景</t>
  </si>
  <si>
    <t xml:space="preserve"> 2020-02-25 18:14:01</t>
  </si>
  <si>
    <t xml:space="preserve"> 2020-02-25 10:48:01</t>
  </si>
  <si>
    <t>戴口罩微笑</t>
  </si>
  <si>
    <t xml:space="preserve"> 2020-02-25 08:08:02</t>
  </si>
  <si>
    <t>Doinb</t>
  </si>
  <si>
    <t xml:space="preserve"> 2020-02-25 12:40:02</t>
  </si>
  <si>
    <t xml:space="preserve"> 2020-02-25 11:48:02</t>
  </si>
  <si>
    <t>韩国拟对大邱采取超强防控措施</t>
  </si>
  <si>
    <t xml:space="preserve"> 2020-02-25 11:38:01</t>
  </si>
  <si>
    <t>网课期间千万别闭眼</t>
  </si>
  <si>
    <t xml:space="preserve"> 2020-02-25 13:36:02</t>
  </si>
  <si>
    <t xml:space="preserve"> 2020-02-25 10:24:01</t>
  </si>
  <si>
    <t>碧昂丝科比追悼会表演</t>
  </si>
  <si>
    <t xml:space="preserve"> 2020-02-25 08:42:02</t>
  </si>
  <si>
    <t>山西开学时间</t>
  </si>
  <si>
    <t xml:space="preserve"> 2020-02-25 11:50:01</t>
  </si>
  <si>
    <t>李兰娟为出院患者颁战胜者证书</t>
  </si>
  <si>
    <t xml:space="preserve"> 2020-02-25 11:56:01</t>
  </si>
  <si>
    <t>香港对韩国发红色外游警示</t>
  </si>
  <si>
    <t xml:space="preserve"> 2020-02-25 13:38:02</t>
  </si>
  <si>
    <t>法国华人凯旋门前求拥抱</t>
  </si>
  <si>
    <t xml:space="preserve"> 2020-02-25 12:22:01</t>
  </si>
  <si>
    <t>江苏省一级响应调整为二级</t>
  </si>
  <si>
    <t xml:space="preserve"> 2020-02-25 13:50:01</t>
  </si>
  <si>
    <t xml:space="preserve"> 2020-02-25 10:44:01</t>
  </si>
  <si>
    <t>满脸都是表情包的狗</t>
  </si>
  <si>
    <t xml:space="preserve"> 2020-02-25 12:36:01</t>
  </si>
  <si>
    <t xml:space="preserve"> 2020-02-25 07:38:01</t>
  </si>
  <si>
    <t>张颖 0增长地区再观察28天才能放心</t>
  </si>
  <si>
    <t>青岛严防境外疫情输入扩散</t>
  </si>
  <si>
    <t xml:space="preserve"> 2020-02-25 13:18:01</t>
  </si>
  <si>
    <t>宁夏大学再回应称核分无误</t>
  </si>
  <si>
    <t xml:space="preserve"> 2020-02-25 12:16:02</t>
  </si>
  <si>
    <t>束耳兔子化妆包</t>
  </si>
  <si>
    <t xml:space="preserve"> 2020-03-23 14:44:02</t>
  </si>
  <si>
    <t xml:space="preserve"> 2020-02-25 11:58:01</t>
  </si>
  <si>
    <t>A股</t>
  </si>
  <si>
    <t xml:space="preserve"> 2020-02-25 12:32:02</t>
  </si>
  <si>
    <t>鱼类等水生野生动物不列入禁食范围</t>
  </si>
  <si>
    <t xml:space="preserve"> 2020-02-25 12:28:02</t>
  </si>
  <si>
    <t>鲜为人知的家乡小吃</t>
  </si>
  <si>
    <t xml:space="preserve"> 2020-02-25 12:02:01</t>
  </si>
  <si>
    <t>北京超46.7万人申请新能源指标</t>
  </si>
  <si>
    <t xml:space="preserve"> 2020-02-25 12:38:02</t>
  </si>
  <si>
    <t>志愿者练武术吓退闯卡者</t>
  </si>
  <si>
    <t xml:space="preserve"> 2020-02-25 12:04:02</t>
  </si>
  <si>
    <t>鼓励线下食品企业发展线上经营</t>
  </si>
  <si>
    <t>教父母防骗的你有多努力</t>
  </si>
  <si>
    <t xml:space="preserve"> 2020-02-23 13:04:01</t>
  </si>
  <si>
    <t>宅家理发大赛</t>
  </si>
  <si>
    <t xml:space="preserve"> 2020-02-25 09:34:01</t>
  </si>
  <si>
    <t>北京新增1例新冠肺炎确诊病例</t>
  </si>
  <si>
    <t xml:space="preserve"> 2020-03-23 11:32:01</t>
  </si>
  <si>
    <t xml:space="preserve"> 2020-02-25 11:04:02</t>
  </si>
  <si>
    <t>股票</t>
  </si>
  <si>
    <t xml:space="preserve"> 2020-02-25 12:08:02</t>
  </si>
  <si>
    <t xml:space="preserve"> 2020-02-25 07:22:01</t>
  </si>
  <si>
    <t>荷兰弟已学会如何不剧透</t>
  </si>
  <si>
    <t xml:space="preserve"> 2020-02-26 10:34:01</t>
  </si>
  <si>
    <t xml:space="preserve"> 2020-02-25 19:44:01</t>
  </si>
  <si>
    <t>联合国秘书长感谢中国人民</t>
  </si>
  <si>
    <t xml:space="preserve"> 2020-02-26 09:00:02</t>
  </si>
  <si>
    <t xml:space="preserve"> 2020-02-25 21:58:02</t>
  </si>
  <si>
    <t>女生转院到火神山照顾重症外婆</t>
  </si>
  <si>
    <t xml:space="preserve"> 2020-02-26 14:06:02</t>
  </si>
  <si>
    <t xml:space="preserve"> 2020-02-25 22:40:02</t>
  </si>
  <si>
    <t>被崔英俊气死</t>
  </si>
  <si>
    <t xml:space="preserve"> 2020-02-26 09:42:01</t>
  </si>
  <si>
    <t xml:space="preserve"> 2020-02-25 20:00:02</t>
  </si>
  <si>
    <t>郭富城母亲去世</t>
  </si>
  <si>
    <t xml:space="preserve"> 2020-02-26 21:52:01</t>
  </si>
  <si>
    <t xml:space="preserve"> 2020-02-25 22:38:02</t>
  </si>
  <si>
    <t>完美关系女主人设</t>
  </si>
  <si>
    <t xml:space="preserve"> 2020-02-26 09:46:01</t>
  </si>
  <si>
    <t xml:space="preserve"> 2020-02-25 20:08:02</t>
  </si>
  <si>
    <t>扩大硕士研究生招生和专升本规模</t>
  </si>
  <si>
    <t xml:space="preserve"> 2020-02-26 10:46:01</t>
  </si>
  <si>
    <t xml:space="preserve"> 2020-02-25 21:44:02</t>
  </si>
  <si>
    <t>日本新冠肺炎病例累计确诊861例</t>
  </si>
  <si>
    <t xml:space="preserve"> 2020-02-26 11:38:01</t>
  </si>
  <si>
    <t xml:space="preserve"> 2020-02-25 20:12:01</t>
  </si>
  <si>
    <t>外交部回应美称中方窃取科研成果</t>
  </si>
  <si>
    <t xml:space="preserve"> 2020-02-26 08:10:02</t>
  </si>
  <si>
    <t xml:space="preserve"> 2020-02-25 20:16:02</t>
  </si>
  <si>
    <t>朱一龙在胡萝卜上刻字</t>
  </si>
  <si>
    <t xml:space="preserve"> 2020-02-26 08:16:01</t>
  </si>
  <si>
    <t xml:space="preserve"> 2020-02-25 22:04:02</t>
  </si>
  <si>
    <t>房似锦借钱</t>
  </si>
  <si>
    <t xml:space="preserve"> 2020-02-26 09:22:02</t>
  </si>
  <si>
    <t>特朗普 印度</t>
  </si>
  <si>
    <t xml:space="preserve"> 2020-02-26 08:50:02</t>
  </si>
  <si>
    <t xml:space="preserve"> 2020-02-25 21:22:01</t>
  </si>
  <si>
    <t>伊朗卫生部副部长确诊新冠肺炎</t>
  </si>
  <si>
    <t xml:space="preserve"> 2020-02-26 08:52:02</t>
  </si>
  <si>
    <t xml:space="preserve"> 2020-02-25 17:54:02</t>
  </si>
  <si>
    <t>广州13例患者出院后复阳</t>
  </si>
  <si>
    <t xml:space="preserve"> 2020-02-26 07:34:02</t>
  </si>
  <si>
    <t xml:space="preserve"> 2020-02-25 16:56:02</t>
  </si>
  <si>
    <t>戴口罩起痘痘怎么办</t>
  </si>
  <si>
    <t xml:space="preserve"> 2020-02-26 08:04:01</t>
  </si>
  <si>
    <t xml:space="preserve"> 2019-11-18 21:56:02</t>
  </si>
  <si>
    <t>李佳琦小助理</t>
  </si>
  <si>
    <t xml:space="preserve"> 2020-02-26 11:58:02</t>
  </si>
  <si>
    <t xml:space="preserve"> 2020-02-25 22:52:02</t>
  </si>
  <si>
    <t>十堰老人家中死亡留下6岁孙子</t>
  </si>
  <si>
    <t xml:space="preserve"> 2020-02-26 11:04:02</t>
  </si>
  <si>
    <t xml:space="preserve"> 2020-02-25 19:06:02</t>
  </si>
  <si>
    <t>李易峰为什么这样看张若昀</t>
  </si>
  <si>
    <t xml:space="preserve"> 2020-02-26 11:28:01</t>
  </si>
  <si>
    <t>蓝战非 狗哥</t>
  </si>
  <si>
    <t xml:space="preserve"> 2020-02-26 10:14:02</t>
  </si>
  <si>
    <t xml:space="preserve"> 2020-02-25 21:00:02</t>
  </si>
  <si>
    <t>一张证明返程复工的照片</t>
  </si>
  <si>
    <t>斯黛拉 叶东烈</t>
  </si>
  <si>
    <t xml:space="preserve"> 2020-02-26 09:38:02</t>
  </si>
  <si>
    <t xml:space="preserve"> 2020-02-25 20:04:01</t>
  </si>
  <si>
    <t>赵海棠吃鸡</t>
  </si>
  <si>
    <t xml:space="preserve"> 2020-02-26 11:54:01</t>
  </si>
  <si>
    <t xml:space="preserve"> 2020-02-25 21:28:01</t>
  </si>
  <si>
    <t>过年后的经济状况</t>
  </si>
  <si>
    <t xml:space="preserve"> 2020-02-26 11:16:02</t>
  </si>
  <si>
    <t xml:space="preserve"> 2020-02-25 23:10:02</t>
  </si>
  <si>
    <t>老师的求生欲有多强</t>
  </si>
  <si>
    <t xml:space="preserve"> 2020-02-26 09:28:02</t>
  </si>
  <si>
    <t xml:space="preserve"> 2020-02-25 21:18:02</t>
  </si>
  <si>
    <t>法医谈首例新冠肺炎病例解剖</t>
  </si>
  <si>
    <t xml:space="preserve"> 2020-02-26 09:54:02</t>
  </si>
  <si>
    <t xml:space="preserve"> 2020-02-25 19:26:02</t>
  </si>
  <si>
    <t>武大早樱开了</t>
  </si>
  <si>
    <t xml:space="preserve"> 2020-02-26 08:46:01</t>
  </si>
  <si>
    <t xml:space="preserve"> 2020-02-25 22:56:02</t>
  </si>
  <si>
    <t>被作业逼疯的小学生</t>
  </si>
  <si>
    <t xml:space="preserve"> 2020-02-26 08:18:01</t>
  </si>
  <si>
    <t xml:space="preserve"> 2020-02-25 20:36:01</t>
  </si>
  <si>
    <t>银行为69亿现金消毒</t>
  </si>
  <si>
    <t xml:space="preserve"> 2020-02-26 09:08:02</t>
  </si>
  <si>
    <t>安家 原生家庭</t>
  </si>
  <si>
    <t>赖冠霖回怼网友</t>
  </si>
  <si>
    <t xml:space="preserve"> 2020-02-25 20:22:02</t>
  </si>
  <si>
    <t>张艺兴直播</t>
  </si>
  <si>
    <t xml:space="preserve"> 2020-02-26 10:02:02</t>
  </si>
  <si>
    <t>近期最喜欢的便利店美食</t>
  </si>
  <si>
    <t xml:space="preserve"> 2020-02-26 09:14:01</t>
  </si>
  <si>
    <t xml:space="preserve"> 2020-02-25 23:18:01</t>
  </si>
  <si>
    <t>美股 涨</t>
  </si>
  <si>
    <t xml:space="preserve"> 2020-02-26 09:26:02</t>
  </si>
  <si>
    <t xml:space="preserve"> 2020-02-25 21:14:02</t>
  </si>
  <si>
    <t>十字绣</t>
  </si>
  <si>
    <t xml:space="preserve"> 2020-02-26 07:52:02</t>
  </si>
  <si>
    <t>每2到3小时变换口罩佩戴位置</t>
  </si>
  <si>
    <t xml:space="preserve"> 2020-02-26 08:06:01</t>
  </si>
  <si>
    <t xml:space="preserve"> 2020-02-25 23:06:01</t>
  </si>
  <si>
    <t>大酱园</t>
  </si>
  <si>
    <t xml:space="preserve"> 2020-02-25 18:40:02</t>
  </si>
  <si>
    <t>未感染新冠服用处方药被送ICU</t>
  </si>
  <si>
    <t xml:space="preserve"> 2020-02-26 07:26:02</t>
  </si>
  <si>
    <t>自制鸡米花</t>
  </si>
  <si>
    <t>像极了刚复工的你和你同事</t>
  </si>
  <si>
    <t xml:space="preserve"> 2020-02-26 08:34:02</t>
  </si>
  <si>
    <t xml:space="preserve"> 2020-02-25 19:04:02</t>
  </si>
  <si>
    <t>病毒样本快递员</t>
  </si>
  <si>
    <t>东北的日常美食</t>
  </si>
  <si>
    <t xml:space="preserve"> 2020-02-26 07:16:01</t>
  </si>
  <si>
    <t xml:space="preserve"> 2020-02-25 17:42:02</t>
  </si>
  <si>
    <t>吃鸡腿的干净程度</t>
  </si>
  <si>
    <t xml:space="preserve"> 2020-02-26 07:18:01</t>
  </si>
  <si>
    <t>异常激烈的体育网课</t>
  </si>
  <si>
    <t xml:space="preserve"> 2020-02-25 17:58:02</t>
  </si>
  <si>
    <t>意大利民众排长队抢购食物</t>
  </si>
  <si>
    <t xml:space="preserve"> 2020-02-25 18:24:01</t>
  </si>
  <si>
    <t>鸡鸣寺消息树开花</t>
  </si>
  <si>
    <t xml:space="preserve"> 2020-02-26 01:26:02</t>
  </si>
  <si>
    <t xml:space="preserve"> 2020-02-25 20:54:01</t>
  </si>
  <si>
    <t>中国足球界已捐款捐物24亿</t>
  </si>
  <si>
    <t xml:space="preserve"> 2020-02-26 08:20:01</t>
  </si>
  <si>
    <t>埃及前总统穆巴拉克去世</t>
  </si>
  <si>
    <t xml:space="preserve"> 2020-02-27 07:40:01</t>
  </si>
  <si>
    <t xml:space="preserve"> 2020-02-26 09:16:02</t>
  </si>
  <si>
    <t>建议开学后教师戴口罩授课</t>
  </si>
  <si>
    <t xml:space="preserve"> 2020-02-26 13:38:01</t>
  </si>
  <si>
    <t xml:space="preserve"> 2020-02-26 10:18:02</t>
  </si>
  <si>
    <t>文在寅曾和确诊患者接触者出席活动</t>
  </si>
  <si>
    <t xml:space="preserve"> 2020-02-26 17:28:02</t>
  </si>
  <si>
    <t>韩国新冠肺炎增至1146例</t>
  </si>
  <si>
    <t xml:space="preserve"> 2020-02-26 20:46:01</t>
  </si>
  <si>
    <t>草莓的隐藏吃法</t>
  </si>
  <si>
    <t xml:space="preserve"> 2020-02-26 16:50:02</t>
  </si>
  <si>
    <t xml:space="preserve"> 2020-02-26 10:38:01</t>
  </si>
  <si>
    <t>南宁疫期800人扎堆赏山樱花</t>
  </si>
  <si>
    <t xml:space="preserve"> 2020-02-26 21:04:01</t>
  </si>
  <si>
    <t xml:space="preserve"> 2020-02-26 10:06:02</t>
  </si>
  <si>
    <t>湖北以外新增病例5例</t>
  </si>
  <si>
    <t xml:space="preserve"> 2020-02-26 15:20:01</t>
  </si>
  <si>
    <t xml:space="preserve"> 2020-02-26 07:08:02</t>
  </si>
  <si>
    <t>东京奥运会可能会取消</t>
  </si>
  <si>
    <t xml:space="preserve"> 2020-02-26 17:02:01</t>
  </si>
  <si>
    <t xml:space="preserve"> 2020-02-26 07:20:02</t>
  </si>
  <si>
    <t>房似锦 房四井</t>
  </si>
  <si>
    <t xml:space="preserve"> 2020-02-26 15:42:01</t>
  </si>
  <si>
    <t xml:space="preserve"> 2020-02-26 07:58:01</t>
  </si>
  <si>
    <t>首尔飞南京航班发现3名发热乘客</t>
  </si>
  <si>
    <t xml:space="preserve"> 2020-02-26 15:16:01</t>
  </si>
  <si>
    <t xml:space="preserve"> 2020-02-26 11:30:01</t>
  </si>
  <si>
    <t>司法部回应监狱疫情情况</t>
  </si>
  <si>
    <t xml:space="preserve"> 2020-02-26 20:10:01</t>
  </si>
  <si>
    <t>全国累计新冠肺炎78064例</t>
  </si>
  <si>
    <t xml:space="preserve"> 2020-02-26 14:30:01</t>
  </si>
  <si>
    <t>大邱经济副市长检测呈阴性</t>
  </si>
  <si>
    <t xml:space="preserve"> 2020-02-26 14:18:02</t>
  </si>
  <si>
    <t xml:space="preserve"> 2020-02-26 09:58:01</t>
  </si>
  <si>
    <t>湖北新增401例新冠肺炎</t>
  </si>
  <si>
    <t xml:space="preserve"> 2020-02-26 18:54:01</t>
  </si>
  <si>
    <t xml:space="preserve"> 2020-02-26 11:42:01</t>
  </si>
  <si>
    <t>李荣浩给张艺兴直播刷礼物</t>
  </si>
  <si>
    <t xml:space="preserve"> 2020-02-26 19:42:01</t>
  </si>
  <si>
    <t xml:space="preserve"> 2020-02-26 11:10:01</t>
  </si>
  <si>
    <t>姐弟恋能有多快乐</t>
  </si>
  <si>
    <t xml:space="preserve"> 2020-02-26 16:52:01</t>
  </si>
  <si>
    <t xml:space="preserve"> 2020-02-26 07:36:01</t>
  </si>
  <si>
    <t>李佳琦没关直播</t>
  </si>
  <si>
    <t xml:space="preserve"> 2020-02-26 15:32:02</t>
  </si>
  <si>
    <t>北京要求超市人均面积不低于2平方米</t>
  </si>
  <si>
    <t xml:space="preserve"> 2020-02-26 16:12:02</t>
  </si>
  <si>
    <t xml:space="preserve"> 2020-02-26 08:12:02</t>
  </si>
  <si>
    <t>王莎莎演偶像剧</t>
  </si>
  <si>
    <t xml:space="preserve"> 2020-02-26 15:40:01</t>
  </si>
  <si>
    <t>阳澄湖螃蟹大量滞销</t>
  </si>
  <si>
    <t xml:space="preserve"> 2020-03-10 10:40:02</t>
  </si>
  <si>
    <t>掌中之物</t>
  </si>
  <si>
    <t xml:space="preserve"> 2020-02-26 15:30:02</t>
  </si>
  <si>
    <t xml:space="preserve"> 2020-02-26 07:54:02</t>
  </si>
  <si>
    <t>谁说网恋没结果</t>
  </si>
  <si>
    <t xml:space="preserve"> 2020-02-26 14:36:02</t>
  </si>
  <si>
    <t xml:space="preserve"> 2020-02-26 10:36:02</t>
  </si>
  <si>
    <t>大爷大妈跳舞跳嗨了摘下口罩</t>
  </si>
  <si>
    <t xml:space="preserve"> 2020-02-26 14:34:01</t>
  </si>
  <si>
    <t>不严重但影响生活的病</t>
  </si>
  <si>
    <t xml:space="preserve"> 2020-02-26 13:10:02</t>
  </si>
  <si>
    <t xml:space="preserve"> 2020-02-26 11:00:02</t>
  </si>
  <si>
    <t>2020胡润全球富豪榜</t>
  </si>
  <si>
    <t xml:space="preserve"> 2020-02-26 14:00:02</t>
  </si>
  <si>
    <t xml:space="preserve"> 2020-02-26 09:44:02</t>
  </si>
  <si>
    <t>迪士尼换新CEO</t>
  </si>
  <si>
    <t xml:space="preserve"> 2020-02-26 13:44:01</t>
  </si>
  <si>
    <t xml:space="preserve"> 2020-02-26 11:50:02</t>
  </si>
  <si>
    <t>湖北以外新增死亡病例为0</t>
  </si>
  <si>
    <t xml:space="preserve"> 2020-02-26 12:48:01</t>
  </si>
  <si>
    <t>青岛机场进港旅客中韩籍旅客不到20%</t>
  </si>
  <si>
    <t xml:space="preserve"> 2020-02-26 13:02:01</t>
  </si>
  <si>
    <t xml:space="preserve"> 2020-02-26 08:54:02</t>
  </si>
  <si>
    <t>意大利1号病人轨迹</t>
  </si>
  <si>
    <t xml:space="preserve"> 2020-02-26 09:12:01</t>
  </si>
  <si>
    <t>韩国又一教会牧师被确诊</t>
  </si>
  <si>
    <t xml:space="preserve"> 2020-02-26 12:40:02</t>
  </si>
  <si>
    <t>青海一级响应调整为三级</t>
  </si>
  <si>
    <t xml:space="preserve"> 2020-02-26 12:52:02</t>
  </si>
  <si>
    <t xml:space="preserve"> 2020-02-26 08:08:01</t>
  </si>
  <si>
    <t>意大利确诊新冠肺炎上升至323例</t>
  </si>
  <si>
    <t xml:space="preserve"> 2020-02-26 11:52:02</t>
  </si>
  <si>
    <t>首个中医方舱医院首批23名患者出院</t>
  </si>
  <si>
    <t xml:space="preserve"> 2020-02-26 19:18:02</t>
  </si>
  <si>
    <t>火锅里最好吃的菜</t>
  </si>
  <si>
    <t>全国公安民警辅警49人因公牺牲</t>
  </si>
  <si>
    <t xml:space="preserve"> 2020-02-26 12:34:01</t>
  </si>
  <si>
    <t xml:space="preserve"> 2020-02-26 09:56:02</t>
  </si>
  <si>
    <t>巴西一男子核酸检测呈阳性</t>
  </si>
  <si>
    <t xml:space="preserve"> 2020-03-06 14:10:02</t>
  </si>
  <si>
    <t xml:space="preserve"> 2020-02-26 11:46:02</t>
  </si>
  <si>
    <t>26省区市新增病例为0</t>
  </si>
  <si>
    <t xml:space="preserve"> 2020-02-26 12:00:01</t>
  </si>
  <si>
    <t>韩地方政府突击搜查新天地总部</t>
  </si>
  <si>
    <t xml:space="preserve"> 2020-02-26 13:32:01</t>
  </si>
  <si>
    <t>洛瑞犯规</t>
  </si>
  <si>
    <t>网络上那些看不懂的缩写</t>
  </si>
  <si>
    <t xml:space="preserve"> 2020-02-26 12:30:02</t>
  </si>
  <si>
    <t xml:space="preserve"> 2020-02-26 11:56:02</t>
  </si>
  <si>
    <t>你拍过最好看的风景照</t>
  </si>
  <si>
    <t>那些小时候撒过的谎言</t>
  </si>
  <si>
    <t xml:space="preserve"> 2020-02-26 16:40:01</t>
  </si>
  <si>
    <t xml:space="preserve"> 2020-02-26 12:04:02</t>
  </si>
  <si>
    <t>文在寅不是自行隔离对象</t>
  </si>
  <si>
    <t xml:space="preserve"> 2020-02-26 12:32:02</t>
  </si>
  <si>
    <t>公安部回应部分地方执法简单粗暴</t>
  </si>
  <si>
    <t xml:space="preserve"> 2020-02-26 12:28:02</t>
  </si>
  <si>
    <t>95后辅警牺牲抗疫一线</t>
  </si>
  <si>
    <t xml:space="preserve"> 2020-02-26 12:14:02</t>
  </si>
  <si>
    <t>这次疫情对你最大的影响</t>
  </si>
  <si>
    <t xml:space="preserve"> 2020-02-26 12:08:01</t>
  </si>
  <si>
    <t xml:space="preserve"> 2020-02-26 10:44:01</t>
  </si>
  <si>
    <t>侏罗纪世界3开机</t>
  </si>
  <si>
    <t xml:space="preserve"> 2020-02-27 08:50:02</t>
  </si>
  <si>
    <t xml:space="preserve"> 2020-02-26 19:22:01</t>
  </si>
  <si>
    <t>马云再次登顶中国首富</t>
  </si>
  <si>
    <t xml:space="preserve"> 2020-02-27 11:08:01</t>
  </si>
  <si>
    <t xml:space="preserve"> 2020-02-26 23:18:01</t>
  </si>
  <si>
    <t>白岩松谈武汉来京女子确诊新冠肺炎</t>
  </si>
  <si>
    <t xml:space="preserve"> 2020-02-27 09:12:01</t>
  </si>
  <si>
    <t xml:space="preserve"> 2020-02-26 21:16:02</t>
  </si>
  <si>
    <t>湖北404名民辅警感染新冠肺炎</t>
  </si>
  <si>
    <t xml:space="preserve"> 2020-02-27 11:22:02</t>
  </si>
  <si>
    <t xml:space="preserve"> 2020-02-26 21:34:02</t>
  </si>
  <si>
    <t>孙俪妹妹</t>
  </si>
  <si>
    <t xml:space="preserve"> 2020-02-27 10:52:02</t>
  </si>
  <si>
    <t xml:space="preserve"> 2020-02-26 22:00:02</t>
  </si>
  <si>
    <t>斯黛拉 年下恋</t>
  </si>
  <si>
    <t xml:space="preserve"> 2020-02-27 07:46:02</t>
  </si>
  <si>
    <t xml:space="preserve"> 2020-02-26 20:58:02</t>
  </si>
  <si>
    <t>黄冈要求怀孕医护人员在家休息</t>
  </si>
  <si>
    <t xml:space="preserve"> 2020-02-27 10:18:02</t>
  </si>
  <si>
    <t xml:space="preserve"> 2020-02-26 20:48:02</t>
  </si>
  <si>
    <t>中国境外新增新冠肺炎病例超过中国境内</t>
  </si>
  <si>
    <t xml:space="preserve"> 2020-02-27 08:20:01</t>
  </si>
  <si>
    <t xml:space="preserve"> 2020-02-26 19:58:02</t>
  </si>
  <si>
    <t>日本未来两周暂停大型活动</t>
  </si>
  <si>
    <t xml:space="preserve"> 2020-02-26 16:42:02</t>
  </si>
  <si>
    <t>刘亦菲腹肌</t>
  </si>
  <si>
    <t xml:space="preserve"> 2020-02-27 10:30:01</t>
  </si>
  <si>
    <t xml:space="preserve"> 2020-02-26 21:14:01</t>
  </si>
  <si>
    <t>湖北司法厅回应武汉回京黄女士事件</t>
  </si>
  <si>
    <t xml:space="preserve"> 2020-02-27 09:36:02</t>
  </si>
  <si>
    <t xml:space="preserve"> 2020-02-26 21:44:01</t>
  </si>
  <si>
    <t>湖北及援鄂一线医务子女考上武大奖1万元</t>
  </si>
  <si>
    <t xml:space="preserve"> 2020-02-27 08:52:02</t>
  </si>
  <si>
    <t xml:space="preserve"> 2020-02-26 17:20:01</t>
  </si>
  <si>
    <t>以色列科学家称发现首个不呼吸动物</t>
  </si>
  <si>
    <t xml:space="preserve"> 2020-02-27 07:22:02</t>
  </si>
  <si>
    <t xml:space="preserve"> 2020-02-26 18:46:01</t>
  </si>
  <si>
    <t>我国医用N95口罩日产能突破100万只</t>
  </si>
  <si>
    <t xml:space="preserve"> 2020-02-27 11:18:02</t>
  </si>
  <si>
    <t xml:space="preserve"> 2020-02-26 21:42:03</t>
  </si>
  <si>
    <t>王思聪 泰国</t>
  </si>
  <si>
    <t xml:space="preserve"> 2020-02-27 11:16:01</t>
  </si>
  <si>
    <t xml:space="preserve"> 2020-02-26 22:32:02</t>
  </si>
  <si>
    <t>这真不是男朋友技术问题</t>
  </si>
  <si>
    <t xml:space="preserve"> 2020-02-27 10:38:01</t>
  </si>
  <si>
    <t xml:space="preserve"> 2020-02-26 22:08:02</t>
  </si>
  <si>
    <t>张乘乘</t>
  </si>
  <si>
    <t xml:space="preserve"> 2020-02-26 22:36:01</t>
  </si>
  <si>
    <t>闭关在家要认清的一个事实</t>
  </si>
  <si>
    <t xml:space="preserve"> 2020-02-27 10:02:02</t>
  </si>
  <si>
    <t xml:space="preserve"> 2020-02-26 23:24:01</t>
  </si>
  <si>
    <t>首次戴隐形眼镜的你</t>
  </si>
  <si>
    <t xml:space="preserve"> 2020-02-27 09:00:02</t>
  </si>
  <si>
    <t xml:space="preserve"> 2019-11-19 16:18:02</t>
  </si>
  <si>
    <t>半藏森林</t>
  </si>
  <si>
    <t xml:space="preserve"> 2020-02-27 09:46:01</t>
  </si>
  <si>
    <t xml:space="preserve"> 2020-02-26 21:22:01</t>
  </si>
  <si>
    <t>深坑国际公寓</t>
  </si>
  <si>
    <t xml:space="preserve"> 2020-02-27 10:24:01</t>
  </si>
  <si>
    <t xml:space="preserve"> 2020-02-26 20:42:01</t>
  </si>
  <si>
    <t>20来岁的真实状态</t>
  </si>
  <si>
    <t xml:space="preserve"> 2020-02-27 12:04:01</t>
  </si>
  <si>
    <t xml:space="preserve"> 2020-02-26 21:30:01</t>
  </si>
  <si>
    <t>莎拉波娃退役</t>
  </si>
  <si>
    <t xml:space="preserve"> 2020-02-27 10:34:01</t>
  </si>
  <si>
    <t xml:space="preserve"> 2020-02-26 22:20:01</t>
  </si>
  <si>
    <t>房似锦扶徐姑姑上厕所</t>
  </si>
  <si>
    <t xml:space="preserve"> 2020-02-26 22:26:01</t>
  </si>
  <si>
    <t>华中农大倡议学生就地下田</t>
  </si>
  <si>
    <t>棉花糖做成了蜘蛛网</t>
  </si>
  <si>
    <t xml:space="preserve"> 2020-02-27 07:42:01</t>
  </si>
  <si>
    <t xml:space="preserve"> 2020-02-26 22:46:01</t>
  </si>
  <si>
    <t>疫情结束后的计划清单</t>
  </si>
  <si>
    <t xml:space="preserve"> 2020-02-26 22:56:02</t>
  </si>
  <si>
    <t>原相机自拍大赛</t>
  </si>
  <si>
    <t xml:space="preserve"> 2020-02-26 18:44:01</t>
  </si>
  <si>
    <t>和女朋友在一起的不同阶段</t>
  </si>
  <si>
    <t xml:space="preserve"> 2020-02-27 08:46:02</t>
  </si>
  <si>
    <t>戴口罩后才发现的事实</t>
  </si>
  <si>
    <t xml:space="preserve"> 2020-02-26 19:50:01</t>
  </si>
  <si>
    <t>对鞋底快递外卖包装消毒属过度消毒</t>
  </si>
  <si>
    <t xml:space="preserve"> 2020-02-27 07:18:01</t>
  </si>
  <si>
    <t xml:space="preserve"> 2020-02-26 19:40:02</t>
  </si>
  <si>
    <t>炖鸡</t>
  </si>
  <si>
    <t xml:space="preserve"> 2020-02-27 08:18:02</t>
  </si>
  <si>
    <t xml:space="preserve"> 2020-02-26 20:06:01</t>
  </si>
  <si>
    <t>希腊出现首例新冠病毒确诊病例</t>
  </si>
  <si>
    <t xml:space="preserve"> 2020-02-27 08:28:02</t>
  </si>
  <si>
    <t>苹果建议不要滑动关闭后台程序</t>
  </si>
  <si>
    <t xml:space="preserve"> 2020-02-27 08:22:02</t>
  </si>
  <si>
    <t xml:space="preserve"> 2020-02-26 20:52:02</t>
  </si>
  <si>
    <t>钻石公主号确诊新冠肺炎达705人</t>
  </si>
  <si>
    <t xml:space="preserve"> 2020-02-27 07:12:02</t>
  </si>
  <si>
    <t xml:space="preserve"> 2020-02-26 17:44:01</t>
  </si>
  <si>
    <t>武汉最早新冠肺炎患者详情</t>
  </si>
  <si>
    <t xml:space="preserve"> 2020-02-26 20:44:01</t>
  </si>
  <si>
    <t>关于口罩10个最新问题</t>
  </si>
  <si>
    <t xml:space="preserve"> 2020-02-26 17:08:02</t>
  </si>
  <si>
    <t>柏林电影节灵气美少女</t>
  </si>
  <si>
    <t xml:space="preserve"> 2020-02-27 07:10:01</t>
  </si>
  <si>
    <t xml:space="preserve"> 2020-02-26 16:06:02</t>
  </si>
  <si>
    <t>高伟光翻牌</t>
  </si>
  <si>
    <t xml:space="preserve"> 2020-02-26 19:20:01</t>
  </si>
  <si>
    <t>疫情期间4种疫苗需及时接种</t>
  </si>
  <si>
    <t xml:space="preserve"> 2020-02-26 17:56:02</t>
  </si>
  <si>
    <t>明星直播神反应</t>
  </si>
  <si>
    <t xml:space="preserve"> 2020-02-27 08:34:02</t>
  </si>
  <si>
    <t xml:space="preserve"> 2020-02-26 19:00:02</t>
  </si>
  <si>
    <t>境外团队游客从25万降至不到90人</t>
  </si>
  <si>
    <t xml:space="preserve"> 2020-02-27 08:58:02</t>
  </si>
  <si>
    <t xml:space="preserve"> 2020-02-26 18:50:02</t>
  </si>
  <si>
    <t>护士小姐姐熊抱抢镜</t>
  </si>
  <si>
    <t xml:space="preserve"> 2020-02-27 07:08:01</t>
  </si>
  <si>
    <t xml:space="preserve"> 2020-02-26 19:44:02</t>
  </si>
  <si>
    <t>荆门市委书记市长被予以诫勉</t>
  </si>
  <si>
    <t xml:space="preserve"> 2020-02-27 08:12:02</t>
  </si>
  <si>
    <t xml:space="preserve"> 2020-02-26 21:00:02</t>
  </si>
  <si>
    <t>新冠肺炎致伊朗19人死亡</t>
  </si>
  <si>
    <t xml:space="preserve"> 2020-02-27 08:36:02</t>
  </si>
  <si>
    <t>韩国仁川飞山东威海航班5名乘客发热</t>
  </si>
  <si>
    <t xml:space="preserve"> 2020-02-26 19:24:02</t>
  </si>
  <si>
    <t>韩国SK电讯总部紧急关闭</t>
  </si>
  <si>
    <t xml:space="preserve"> 2020-02-26 23:14:02</t>
  </si>
  <si>
    <t>消毒剂正确使用方法</t>
  </si>
  <si>
    <t xml:space="preserve"> 2020-02-27 16:38:02</t>
  </si>
  <si>
    <t xml:space="preserve"> 2020-02-27 08:38:02</t>
  </si>
  <si>
    <t>浙江10万只鸭子出征巴基斯坦灭蝗</t>
  </si>
  <si>
    <t xml:space="preserve"> 2020-02-27 18:48:01</t>
  </si>
  <si>
    <t xml:space="preserve"> 2020-02-27 11:24:02</t>
  </si>
  <si>
    <t>钟南山 预测4月底疫情基本控制</t>
  </si>
  <si>
    <t xml:space="preserve"> 2020-02-27 18:16:01</t>
  </si>
  <si>
    <t xml:space="preserve"> 2020-02-27 11:26:01</t>
  </si>
  <si>
    <t>科比去世促使莎拉波娃退役</t>
  </si>
  <si>
    <t xml:space="preserve"> 2020-02-27 19:56:02</t>
  </si>
  <si>
    <t xml:space="preserve"> 2020-02-27 11:36:01</t>
  </si>
  <si>
    <t>钟南山 疫情不一定发源在中国</t>
  </si>
  <si>
    <t xml:space="preserve"> 2020-02-27 17:34:02</t>
  </si>
  <si>
    <t xml:space="preserve"> 2020-02-27 10:36:02</t>
  </si>
  <si>
    <t>全国人民超长假期缩影</t>
  </si>
  <si>
    <t xml:space="preserve"> 2020-02-27 16:08:02</t>
  </si>
  <si>
    <t xml:space="preserve"> 2020-02-27 10:46:01</t>
  </si>
  <si>
    <t>iPhoneXR出货量全球第一</t>
  </si>
  <si>
    <t xml:space="preserve"> 2020-02-27 18:34:01</t>
  </si>
  <si>
    <t xml:space="preserve"> 2020-02-27 11:12:01</t>
  </si>
  <si>
    <t>华春莹向美方提出交涉</t>
  </si>
  <si>
    <t xml:space="preserve"> 2020-02-27 15:12:01</t>
  </si>
  <si>
    <t xml:space="preserve"> 2020-02-27 10:58:02</t>
  </si>
  <si>
    <t>海莉发文声援亚洲人</t>
  </si>
  <si>
    <t xml:space="preserve"> 2020-02-27 15:18:02</t>
  </si>
  <si>
    <t xml:space="preserve"> 2020-02-27 10:54:01</t>
  </si>
  <si>
    <t>航空公司回应80名韩国人到成都</t>
  </si>
  <si>
    <t xml:space="preserve"> 2020-02-27 14:08:02</t>
  </si>
  <si>
    <t xml:space="preserve"> 2020-02-27 08:54:01</t>
  </si>
  <si>
    <t>美国现首例无法确定病源新冠肺炎患者</t>
  </si>
  <si>
    <t xml:space="preserve"> 2020-02-27 16:56:01</t>
  </si>
  <si>
    <t>特朗普称新冠病毒风险对美国依旧很低</t>
  </si>
  <si>
    <t xml:space="preserve"> 2020-02-27 15:04:01</t>
  </si>
  <si>
    <t xml:space="preserve"> 2020-02-27 09:20:02</t>
  </si>
  <si>
    <t>韩国新冠肺炎累计1595例</t>
  </si>
  <si>
    <t xml:space="preserve"> 2020-02-27 13:38:01</t>
  </si>
  <si>
    <t>林青霞写信致敬前线抗疫英雄</t>
  </si>
  <si>
    <t xml:space="preserve"> 2020-02-27 16:06:02</t>
  </si>
  <si>
    <t>王毅同日韩外长通电话</t>
  </si>
  <si>
    <t xml:space="preserve"> 2020-02-27 19:50:02</t>
  </si>
  <si>
    <t xml:space="preserve"> 2020-02-27 11:42:02</t>
  </si>
  <si>
    <t>神童瘦了62斤</t>
  </si>
  <si>
    <t xml:space="preserve"> 2020-02-27 15:02:02</t>
  </si>
  <si>
    <t xml:space="preserve"> 2020-02-27 11:32:02</t>
  </si>
  <si>
    <t>福建莆田新增确诊者29天无症状</t>
  </si>
  <si>
    <t xml:space="preserve"> 2020-02-27 15:00:02</t>
  </si>
  <si>
    <t xml:space="preserve"> 2020-02-27 10:40:02</t>
  </si>
  <si>
    <t>世卫专家称若感染希望在中国治疗</t>
  </si>
  <si>
    <t xml:space="preserve"> 2020-02-27 16:24:01</t>
  </si>
  <si>
    <t>包公都戴上口罩了</t>
  </si>
  <si>
    <t xml:space="preserve"> 2020-02-27 14:56:02</t>
  </si>
  <si>
    <t xml:space="preserve"> 2020-02-27 08:56:01</t>
  </si>
  <si>
    <t>尼格买提英文</t>
  </si>
  <si>
    <t>横店剧组复工前需参加考试</t>
  </si>
  <si>
    <t xml:space="preserve"> 2020-02-27 13:28:02</t>
  </si>
  <si>
    <t>武汉公交变身多功能车</t>
  </si>
  <si>
    <t xml:space="preserve"> 2020-02-27 13:14:02</t>
  </si>
  <si>
    <t xml:space="preserve"> 2020-02-27 10:08:02</t>
  </si>
  <si>
    <t>粉丝绸</t>
  </si>
  <si>
    <t xml:space="preserve"> 2020-02-27 12:44:02</t>
  </si>
  <si>
    <t xml:space="preserve"> 2020-02-27 11:38:02</t>
  </si>
  <si>
    <t>河南472家景区对医护免门票</t>
  </si>
  <si>
    <t xml:space="preserve"> 2020-02-27 14:12:02</t>
  </si>
  <si>
    <t>在泰国隔离35天被要求付6万泰铢</t>
  </si>
  <si>
    <t xml:space="preserve"> 2020-02-27 14:42:02</t>
  </si>
  <si>
    <t xml:space="preserve"> 2020-02-27 11:00:01</t>
  </si>
  <si>
    <t>中国铁塔</t>
  </si>
  <si>
    <t xml:space="preserve"> 2020-02-27 13:50:02</t>
  </si>
  <si>
    <t xml:space="preserve"> 2020-02-27 07:20:02</t>
  </si>
  <si>
    <t>北京电影院隔排隔座售票</t>
  </si>
  <si>
    <t xml:space="preserve"> 2020-02-27 14:18:01</t>
  </si>
  <si>
    <t>猫咪可以有多皮</t>
  </si>
  <si>
    <t xml:space="preserve"> 2020-02-27 09:38:01</t>
  </si>
  <si>
    <t>杭州西湖初春美景</t>
  </si>
  <si>
    <t xml:space="preserve"> 2020-02-27 13:00:02</t>
  </si>
  <si>
    <t>中国夫妻谎报旅行史被新加坡起诉</t>
  </si>
  <si>
    <t xml:space="preserve"> 2020-02-27 15:52:02</t>
  </si>
  <si>
    <t>北京新增10例新冠肺炎</t>
  </si>
  <si>
    <t xml:space="preserve"> 2020-02-27 12:30:01</t>
  </si>
  <si>
    <t xml:space="preserve"> 2020-02-27 08:14:02</t>
  </si>
  <si>
    <t>崔娃谈特朗普访印当场笑抽</t>
  </si>
  <si>
    <t xml:space="preserve"> 2020-02-27 07:50:02</t>
  </si>
  <si>
    <t>韩国新天地礼拜时禁戴口罩</t>
  </si>
  <si>
    <t xml:space="preserve"> 2020-02-27 12:26:02</t>
  </si>
  <si>
    <t xml:space="preserve"> 2020-02-27 09:02:02</t>
  </si>
  <si>
    <t>佐藤健</t>
  </si>
  <si>
    <t xml:space="preserve"> 2020-02-27 10:26:02</t>
  </si>
  <si>
    <t>湖北潜江主动报告后确诊奖1万元</t>
  </si>
  <si>
    <t xml:space="preserve"> 2020-02-27 12:22:01</t>
  </si>
  <si>
    <t>31省区市新增433例新冠肺炎</t>
  </si>
  <si>
    <t xml:space="preserve"> 2020-02-27 07:32:02</t>
  </si>
  <si>
    <t>德国出现士兵感染</t>
  </si>
  <si>
    <t>钟南山弟子增援武汉</t>
  </si>
  <si>
    <t xml:space="preserve"> 2020-02-27 07:14:02</t>
  </si>
  <si>
    <t>在东京发口罩女孩的哥哥是援鄂医生</t>
  </si>
  <si>
    <t>湖北彻查刑释确诊人员离汉抵京</t>
  </si>
  <si>
    <t xml:space="preserve"> 2020-02-27 11:50:01</t>
  </si>
  <si>
    <t>老师每天户外蹭网8小时开直播课</t>
  </si>
  <si>
    <t xml:space="preserve"> 2020-02-27 12:16:01</t>
  </si>
  <si>
    <t xml:space="preserve"> 2020-02-27 11:40:02</t>
  </si>
  <si>
    <t>联合调查组调查确诊人员离汉抵京</t>
  </si>
  <si>
    <t xml:space="preserve"> 2020-02-27 12:36:02</t>
  </si>
  <si>
    <t xml:space="preserve"> 2020-02-27 12:06:02</t>
  </si>
  <si>
    <t>我国口罩日产能产量超过7000万只</t>
  </si>
  <si>
    <t xml:space="preserve"> 2020-02-27 12:08:01</t>
  </si>
  <si>
    <t>武汉零感染小区</t>
  </si>
  <si>
    <t xml:space="preserve"> 2020-02-27 12:24:02</t>
  </si>
  <si>
    <t xml:space="preserve"> 2020-02-27 11:20:02</t>
  </si>
  <si>
    <t>动漫联名彩妆</t>
  </si>
  <si>
    <t xml:space="preserve"> 2020-02-27 13:02:01</t>
  </si>
  <si>
    <t>东京奥运会火炬接力考虑缩小规模</t>
  </si>
  <si>
    <t xml:space="preserve"> 2020-02-27 12:20:02</t>
  </si>
  <si>
    <t>钟南山答记者问</t>
  </si>
  <si>
    <t>莫迪送给特朗普的礼物</t>
  </si>
  <si>
    <t xml:space="preserve"> 2020-02-27 12:18:01</t>
  </si>
  <si>
    <t>韩国天主教会暂停所有弥撒</t>
  </si>
  <si>
    <t xml:space="preserve"> 2020-02-28 09:42:02</t>
  </si>
  <si>
    <t xml:space="preserve"> 2020-02-27 19:30:02</t>
  </si>
  <si>
    <t>口罩还要戴多久</t>
  </si>
  <si>
    <t xml:space="preserve"> 2020-03-02 09:46:01</t>
  </si>
  <si>
    <t xml:space="preserve"> 2020-02-27 21:06:02</t>
  </si>
  <si>
    <t>外国人永久居留管理条例</t>
  </si>
  <si>
    <t xml:space="preserve"> 2020-02-28 11:04:02</t>
  </si>
  <si>
    <t xml:space="preserve"> 2020-02-27 22:28:01</t>
  </si>
  <si>
    <t>伊朗副总统新型冠状病毒检测呈阳性</t>
  </si>
  <si>
    <t xml:space="preserve"> 2020-02-28 11:00:02</t>
  </si>
  <si>
    <t xml:space="preserve"> 2020-02-27 21:16:02</t>
  </si>
  <si>
    <t>被张乘乘气死</t>
  </si>
  <si>
    <t xml:space="preserve"> 2020-02-28 10:52:01</t>
  </si>
  <si>
    <t xml:space="preserve"> 2020-02-27 20:44:02</t>
  </si>
  <si>
    <t>东华求婚凤九</t>
  </si>
  <si>
    <t xml:space="preserve"> 2020-02-28 09:44:01</t>
  </si>
  <si>
    <t xml:space="preserve"> 2020-02-27 19:24:02</t>
  </si>
  <si>
    <t>开学时间原则上继续推迟</t>
  </si>
  <si>
    <t xml:space="preserve"> 2020-02-28 08:42:02</t>
  </si>
  <si>
    <t xml:space="preserve"> 2020-02-27 19:06:02</t>
  </si>
  <si>
    <t>蒙古国总统向中国赠送30000只羊</t>
  </si>
  <si>
    <t xml:space="preserve"> 2020-02-28 08:26:01</t>
  </si>
  <si>
    <t xml:space="preserve"> 2020-02-27 19:58:02</t>
  </si>
  <si>
    <t>中央要求从全国调集医疗设备降低死亡率</t>
  </si>
  <si>
    <t xml:space="preserve"> 2020-02-28 08:54:01</t>
  </si>
  <si>
    <t xml:space="preserve"> 2020-02-27 20:08:01</t>
  </si>
  <si>
    <t>韩日抗击疫情中国不会缺席</t>
  </si>
  <si>
    <t xml:space="preserve"> 2020-02-28 08:18:02</t>
  </si>
  <si>
    <t xml:space="preserve"> 2020-02-27 22:58:01</t>
  </si>
  <si>
    <t>专家释疑病人出院后检测呈阳性</t>
  </si>
  <si>
    <t xml:space="preserve"> 2020-02-28 08:14:02</t>
  </si>
  <si>
    <t xml:space="preserve"> 2020-02-27 18:52:02</t>
  </si>
  <si>
    <t>贵州高三初三年级3月16日正式开学</t>
  </si>
  <si>
    <t xml:space="preserve"> 2020-02-28 09:10:02</t>
  </si>
  <si>
    <t xml:space="preserve"> 2020-02-27 23:10:02</t>
  </si>
  <si>
    <t>前伊朗驻梵蒂冈大使因感染冠状病毒去世</t>
  </si>
  <si>
    <t xml:space="preserve"> 2020-02-28 07:00:02</t>
  </si>
  <si>
    <t xml:space="preserve"> 2020-02-27 16:16:02</t>
  </si>
  <si>
    <t>牧鸭治蝗不适合巴基斯坦</t>
  </si>
  <si>
    <t xml:space="preserve"> 2020-02-28 07:46:02</t>
  </si>
  <si>
    <t xml:space="preserve"> 2020-02-27 14:58:01</t>
  </si>
  <si>
    <t>三十三</t>
  </si>
  <si>
    <t xml:space="preserve"> 2020-02-28 05:46:01</t>
  </si>
  <si>
    <t xml:space="preserve"> 2020-02-27 17:22:02</t>
  </si>
  <si>
    <t>中国向日本提供抗疫情物资</t>
  </si>
  <si>
    <t xml:space="preserve"> 2020-02-28 11:56:01</t>
  </si>
  <si>
    <t xml:space="preserve"> 2020-02-27 21:56:02</t>
  </si>
  <si>
    <t>知否小姐</t>
  </si>
  <si>
    <t xml:space="preserve"> 2020-02-28 12:00:02</t>
  </si>
  <si>
    <t xml:space="preserve"> 2020-02-27 23:00:02</t>
  </si>
  <si>
    <t>斯黛拉 我能亲你吗</t>
  </si>
  <si>
    <t xml:space="preserve"> 2020-02-28 11:22:02</t>
  </si>
  <si>
    <t xml:space="preserve"> 2020-02-27 20:58:02</t>
  </si>
  <si>
    <t>没认出来胡可</t>
  </si>
  <si>
    <t xml:space="preserve"> 2020-02-28 11:18:02</t>
  </si>
  <si>
    <t xml:space="preserve"> 2020-02-27 19:42:02</t>
  </si>
  <si>
    <t>周一围 到底谁卑微</t>
  </si>
  <si>
    <t xml:space="preserve"> 2020-02-28 10:48:02</t>
  </si>
  <si>
    <t xml:space="preserve"> 2020-02-27 22:56:02</t>
  </si>
  <si>
    <t>官方回应公司抢注李文亮商标</t>
  </si>
  <si>
    <t xml:space="preserve"> 2020-02-28 11:36:01</t>
  </si>
  <si>
    <t xml:space="preserve"> 2020-02-27 21:48:01</t>
  </si>
  <si>
    <t>卖家对买家无语的瞬间</t>
  </si>
  <si>
    <t xml:space="preserve"> 2020-02-28 11:52:01</t>
  </si>
  <si>
    <t xml:space="preserve"> 2020-02-27 21:38:02</t>
  </si>
  <si>
    <t>武松打的是真老虎</t>
  </si>
  <si>
    <t xml:space="preserve"> 2020-02-28 10:04:01</t>
  </si>
  <si>
    <t xml:space="preserve"> 2020-02-27 21:34:01</t>
  </si>
  <si>
    <t>彭于晏隔空拥抱援鄂护士</t>
  </si>
  <si>
    <t xml:space="preserve"> 2020-03-07 11:20:02</t>
  </si>
  <si>
    <t xml:space="preserve"> 2020-02-27 23:06:02</t>
  </si>
  <si>
    <t>美股大跌</t>
  </si>
  <si>
    <t xml:space="preserve"> 2020-02-28 09:02:02</t>
  </si>
  <si>
    <t xml:space="preserve"> 2020-02-27 16:54:01</t>
  </si>
  <si>
    <t>武汉回京当事人女儿回应</t>
  </si>
  <si>
    <t xml:space="preserve"> 2020-02-28 08:52:02</t>
  </si>
  <si>
    <t xml:space="preserve"> 2020-02-27 20:40:02</t>
  </si>
  <si>
    <t>武汉大学法学院教授梁西逝世</t>
  </si>
  <si>
    <t xml:space="preserve"> 2020-02-27 20:14:01</t>
  </si>
  <si>
    <t>黄轩侧颜</t>
  </si>
  <si>
    <t xml:space="preserve"> 2020-02-28 08:00:02</t>
  </si>
  <si>
    <t xml:space="preserve"> 2020-02-27 17:32:02</t>
  </si>
  <si>
    <t>黄旭熙用膝盖顶了边伯贤</t>
  </si>
  <si>
    <t xml:space="preserve"> 2020-02-28 09:26:02</t>
  </si>
  <si>
    <t xml:space="preserve"> 2020-02-27 19:12:01</t>
  </si>
  <si>
    <t>为啥给我这么怂的生理结构</t>
  </si>
  <si>
    <t xml:space="preserve"> 2020-04-08 04:26:02</t>
  </si>
  <si>
    <t>开学</t>
  </si>
  <si>
    <t xml:space="preserve"> 2020-02-28 10:54:01</t>
  </si>
  <si>
    <t xml:space="preserve"> 2020-02-27 22:40:02</t>
  </si>
  <si>
    <t>记忆中做过最诡异的一次梦</t>
  </si>
  <si>
    <t xml:space="preserve"> 2020-02-28 09:28:02</t>
  </si>
  <si>
    <t xml:space="preserve"> 2020-02-27 23:56:02</t>
  </si>
  <si>
    <t>上海芭蕾舞团戴着口罩复工</t>
  </si>
  <si>
    <t>哪些是畜禽哪些是野生动物</t>
  </si>
  <si>
    <t xml:space="preserve"> 2020-02-28 02:06:02</t>
  </si>
  <si>
    <t xml:space="preserve"> 2020-02-27 16:34:01</t>
  </si>
  <si>
    <t>李现曾出演鹿晗MV</t>
  </si>
  <si>
    <t xml:space="preserve"> 2020-02-28 07:56:02</t>
  </si>
  <si>
    <t xml:space="preserve"> 2020-02-27 19:04:01</t>
  </si>
  <si>
    <t>乐视网2019年亏损超112亿</t>
  </si>
  <si>
    <t xml:space="preserve"> 2020-03-12 08:16:02</t>
  </si>
  <si>
    <t xml:space="preserve"> 2020-02-27 22:52:02</t>
  </si>
  <si>
    <t>安家预告</t>
  </si>
  <si>
    <t xml:space="preserve"> 2020-02-28 07:50:02</t>
  </si>
  <si>
    <t>宝宝和去世狗狗同样胎记</t>
  </si>
  <si>
    <t xml:space="preserve"> 2020-02-27 22:04:02</t>
  </si>
  <si>
    <t>又一名伊朗高官确诊新冠肺炎</t>
  </si>
  <si>
    <t xml:space="preserve"> 2020-02-28 07:44:02</t>
  </si>
  <si>
    <t xml:space="preserve"> 2020-02-27 19:46:01</t>
  </si>
  <si>
    <t>晒出你鼓起勇气点的外卖</t>
  </si>
  <si>
    <t xml:space="preserve"> 2020-02-27 19:52:01</t>
  </si>
  <si>
    <t>中使馆紧急捐赠韩国大邱口罩</t>
  </si>
  <si>
    <t xml:space="preserve"> 2020-02-28 07:02:02</t>
  </si>
  <si>
    <t>味道奇怪但好吃的食物</t>
  </si>
  <si>
    <t xml:space="preserve"> 2020-02-28 07:18:02</t>
  </si>
  <si>
    <t xml:space="preserve"> 2020-02-27 20:54:02</t>
  </si>
  <si>
    <t>你拍过最美的天空照</t>
  </si>
  <si>
    <t xml:space="preserve"> 2020-02-28 07:52:02</t>
  </si>
  <si>
    <t xml:space="preserve"> 2020-02-27 16:58:01</t>
  </si>
  <si>
    <t>韩国新冠肺炎感染增至1766人</t>
  </si>
  <si>
    <t xml:space="preserve"> 2020-02-28 07:22:01</t>
  </si>
  <si>
    <t xml:space="preserve"> 2020-02-27 21:32:01</t>
  </si>
  <si>
    <t>为什么还不能摘戴口罩</t>
  </si>
  <si>
    <t xml:space="preserve"> 2020-02-28 17:22:01</t>
  </si>
  <si>
    <t>黎智英被捕</t>
  </si>
  <si>
    <t xml:space="preserve"> 2020-02-28 21:44:02</t>
  </si>
  <si>
    <t xml:space="preserve"> 2020-02-28 11:20:01</t>
  </si>
  <si>
    <t>教育部回应高考会不会推迟</t>
  </si>
  <si>
    <t xml:space="preserve"> 2020-02-28 16:38:02</t>
  </si>
  <si>
    <t xml:space="preserve"> 2020-02-28 10:50:02</t>
  </si>
  <si>
    <t>教育部鼓励更多应届毕业生参军入伍</t>
  </si>
  <si>
    <t xml:space="preserve"> 2020-02-28 18:30:02</t>
  </si>
  <si>
    <t xml:space="preserve"> 2020-02-28 08:02:01</t>
  </si>
  <si>
    <t>黄晓明为baby庆生</t>
  </si>
  <si>
    <t xml:space="preserve"> 2020-02-28 20:06:02</t>
  </si>
  <si>
    <t xml:space="preserve"> 2020-02-28 11:32:01</t>
  </si>
  <si>
    <t>煎牛奶</t>
  </si>
  <si>
    <t xml:space="preserve"> 2020-02-28 14:58:01</t>
  </si>
  <si>
    <t xml:space="preserve"> 2020-02-28 10:00:01</t>
  </si>
  <si>
    <t>印度首都骚乱已致32人死亡</t>
  </si>
  <si>
    <t xml:space="preserve"> 2020-02-28 15:48:01</t>
  </si>
  <si>
    <t>今年全国普通高校毕业生874万人</t>
  </si>
  <si>
    <t xml:space="preserve"> 2020-02-28 18:08:02</t>
  </si>
  <si>
    <t xml:space="preserve"> 2020-02-28 10:58:02</t>
  </si>
  <si>
    <t>武汉居民现在这样买菜</t>
  </si>
  <si>
    <t xml:space="preserve"> 2020-02-28 15:58:02</t>
  </si>
  <si>
    <t xml:space="preserve"> 2020-02-28 10:16:02</t>
  </si>
  <si>
    <t>谭德塞 中国以外地区才是最大担忧</t>
  </si>
  <si>
    <t xml:space="preserve"> 2020-02-28 08:34:02</t>
  </si>
  <si>
    <t>科比姐姐晒新纹身</t>
  </si>
  <si>
    <t xml:space="preserve"> 2020-02-28 14:10:01</t>
  </si>
  <si>
    <t xml:space="preserve"> 2020-02-28 09:46:02</t>
  </si>
  <si>
    <t>武汉义务送药人被举报赚差价</t>
  </si>
  <si>
    <t xml:space="preserve"> 2020-02-28 13:28:01</t>
  </si>
  <si>
    <t xml:space="preserve"> 2020-02-28 07:32:02</t>
  </si>
  <si>
    <t>韩专家回应精神科几乎全员确诊</t>
  </si>
  <si>
    <t xml:space="preserve"> 2020-02-28 15:12:02</t>
  </si>
  <si>
    <t xml:space="preserve"> 2020-02-28 09:18:02</t>
  </si>
  <si>
    <t>多国确诊病例攀升</t>
  </si>
  <si>
    <t xml:space="preserve"> 2020-02-28 18:52:02</t>
  </si>
  <si>
    <t>女子穿火龙充气服逛商场被拦</t>
  </si>
  <si>
    <t xml:space="preserve"> 2020-02-28 14:54:01</t>
  </si>
  <si>
    <t xml:space="preserve"> 2020-02-28 11:24:02</t>
  </si>
  <si>
    <t>餐厅复工请外卖小哥吃饭</t>
  </si>
  <si>
    <t xml:space="preserve"> 2020-02-28 18:56:01</t>
  </si>
  <si>
    <t xml:space="preserve"> 2020-02-28 11:48:02</t>
  </si>
  <si>
    <t>23岁伊朗女足国脚因新冠肺炎去世</t>
  </si>
  <si>
    <t xml:space="preserve"> 2020-02-28 19:50:02</t>
  </si>
  <si>
    <t xml:space="preserve"> 2020-02-28 11:38:01</t>
  </si>
  <si>
    <t>疫情是否会影响大家工资</t>
  </si>
  <si>
    <t xml:space="preserve"> 2020-02-28 16:40:02</t>
  </si>
  <si>
    <t xml:space="preserve"> 2020-02-28 09:04:02</t>
  </si>
  <si>
    <t>心疼阿兰若</t>
  </si>
  <si>
    <t xml:space="preserve"> 2020-02-28 08:58:02</t>
  </si>
  <si>
    <t>张雯</t>
  </si>
  <si>
    <t xml:space="preserve"> 2020-02-28 13:32:01</t>
  </si>
  <si>
    <t xml:space="preserve"> 2020-02-28 09:50:02</t>
  </si>
  <si>
    <t>西安市民冒雨排两小时长队购物</t>
  </si>
  <si>
    <t xml:space="preserve"> 2020-02-28 13:08:02</t>
  </si>
  <si>
    <t xml:space="preserve"> 2020-02-28 09:32:01</t>
  </si>
  <si>
    <t>魂斗罗作弊码发明人去世</t>
  </si>
  <si>
    <t xml:space="preserve"> 2020-02-28 13:12:01</t>
  </si>
  <si>
    <t xml:space="preserve"> 2020-02-28 11:02:01</t>
  </si>
  <si>
    <t>上海白玉兰开了</t>
  </si>
  <si>
    <t xml:space="preserve"> 2020-02-28 10:20:01</t>
  </si>
  <si>
    <t>苹果的隐形吃法</t>
  </si>
  <si>
    <t xml:space="preserve"> 2020-02-28 16:12:01</t>
  </si>
  <si>
    <t xml:space="preserve"> 2020-02-28 11:42:01</t>
  </si>
  <si>
    <t>教育部回应扩大硕士和专升本招生</t>
  </si>
  <si>
    <t xml:space="preserve"> 2020-02-28 13:30:05</t>
  </si>
  <si>
    <t xml:space="preserve"> 2020-02-28 09:24:01</t>
  </si>
  <si>
    <t>韩国累计确诊新冠肺炎2022例</t>
  </si>
  <si>
    <t xml:space="preserve"> 2020-02-28 12:58:01</t>
  </si>
  <si>
    <t xml:space="preserve"> 2020-02-28 10:56:02</t>
  </si>
  <si>
    <t>16台ECMO从法兰克福运抵武汉</t>
  </si>
  <si>
    <t>武汉零感染小区是如何炼成的</t>
  </si>
  <si>
    <t xml:space="preserve"> 2020-02-28 11:06:01</t>
  </si>
  <si>
    <t>头发拖把</t>
  </si>
  <si>
    <t xml:space="preserve"> 2020-02-28 11:30:02</t>
  </si>
  <si>
    <t>天津滨海新区应急局长倒在战疫一线</t>
  </si>
  <si>
    <t xml:space="preserve"> 2020-02-28 15:18:01</t>
  </si>
  <si>
    <t>研究生毕业答辩可适当延长时间</t>
  </si>
  <si>
    <t xml:space="preserve"> 2020-02-28 12:30:02</t>
  </si>
  <si>
    <t xml:space="preserve"> 2020-02-28 08:40:02</t>
  </si>
  <si>
    <t>湖北以外新增确诊病例9例</t>
  </si>
  <si>
    <t xml:space="preserve"> 2020-02-28 12:50:01</t>
  </si>
  <si>
    <t xml:space="preserve"> 2020-02-28 08:16:02</t>
  </si>
  <si>
    <t>意大利24小时内新增250例新冠肺炎</t>
  </si>
  <si>
    <t xml:space="preserve"> 2020-02-28 14:00:02</t>
  </si>
  <si>
    <t xml:space="preserve"> 2020-02-28 11:58:02</t>
  </si>
  <si>
    <t>当你收到复工通知时</t>
  </si>
  <si>
    <t xml:space="preserve"> 2020-02-28 12:46:02</t>
  </si>
  <si>
    <t>我国农民工总量达2.9亿人</t>
  </si>
  <si>
    <t xml:space="preserve"> 2020-02-28 12:44:02</t>
  </si>
  <si>
    <t xml:space="preserve"> 2020-02-28 11:54:01</t>
  </si>
  <si>
    <t>5名的哥凑钱为医护送20箱水果</t>
  </si>
  <si>
    <t>安家新片花</t>
  </si>
  <si>
    <t xml:space="preserve"> 2020-02-28 14:56:01</t>
  </si>
  <si>
    <t>东京迪士尼将关闭两周</t>
  </si>
  <si>
    <t>扩招</t>
  </si>
  <si>
    <t>王一博水下憋气</t>
  </si>
  <si>
    <t xml:space="preserve"> 2020-02-28 12:20:01</t>
  </si>
  <si>
    <t xml:space="preserve"> 2020-02-28 11:50:02</t>
  </si>
  <si>
    <t>绯色的子弹主题曲预告</t>
  </si>
  <si>
    <t xml:space="preserve"> 2020-02-28 12:26:02</t>
  </si>
  <si>
    <t>2019年国民总收入超98万亿元</t>
  </si>
  <si>
    <t xml:space="preserve"> 2020-02-28 12:52:01</t>
  </si>
  <si>
    <t xml:space="preserve"> 2020-02-28 12:02:01</t>
  </si>
  <si>
    <t>针对性援助湖北高校和湖北籍毕业生</t>
  </si>
  <si>
    <t>茶香脆皮烤鸡</t>
  </si>
  <si>
    <t xml:space="preserve"> 2020-02-28 12:08:02</t>
  </si>
  <si>
    <t>哥伦比亚军机坠毁3人死亡</t>
  </si>
  <si>
    <t xml:space="preserve"> 2020-02-28 08:56:01</t>
  </si>
  <si>
    <t>湖北新增318例新冠肺炎</t>
  </si>
  <si>
    <t xml:space="preserve"> 2020-02-28 12:38:02</t>
  </si>
  <si>
    <t>24省区市新增病例为0</t>
  </si>
  <si>
    <t>韩国1299名新天地教徒有症状待查</t>
  </si>
  <si>
    <t xml:space="preserve"> 2020-02-29 11:38:02</t>
  </si>
  <si>
    <t xml:space="preserve"> 2020-02-28 23:24:01</t>
  </si>
  <si>
    <t>宋丹丹不会再演小品了</t>
  </si>
  <si>
    <t xml:space="preserve"> 2020-02-29 09:06:02</t>
  </si>
  <si>
    <t xml:space="preserve"> 2020-02-28 21:52:02</t>
  </si>
  <si>
    <t>下周将是伊朗疫情爆发高峰期</t>
  </si>
  <si>
    <t xml:space="preserve"> 2020-02-29 09:34:01</t>
  </si>
  <si>
    <t xml:space="preserve"> 2020-02-28 22:46:02</t>
  </si>
  <si>
    <t>湖北省内必需返岗人员需领健康码</t>
  </si>
  <si>
    <t xml:space="preserve"> 2020-02-29 12:38:02</t>
  </si>
  <si>
    <t xml:space="preserve"> 2020-02-28 23:00:01</t>
  </si>
  <si>
    <t>被沙溢沈腾笑死</t>
  </si>
  <si>
    <t xml:space="preserve"> 2020-02-29 09:54:02</t>
  </si>
  <si>
    <t xml:space="preserve"> 2020-02-28 22:54:02</t>
  </si>
  <si>
    <t>赵薇华晨宇 爱情大魔咒</t>
  </si>
  <si>
    <t xml:space="preserve"> 2020-02-29 09:30:02</t>
  </si>
  <si>
    <t xml:space="preserve"> 2020-02-28 18:10:01</t>
  </si>
  <si>
    <t>中国泳协回应孙杨被禁赛</t>
  </si>
  <si>
    <t xml:space="preserve"> 2020-02-29 09:26:01</t>
  </si>
  <si>
    <t xml:space="preserve"> 2020-02-28 20:08:02</t>
  </si>
  <si>
    <t>库克认为中国开始控制住新冠病毒</t>
  </si>
  <si>
    <t xml:space="preserve"> 2020-02-29 07:16:01</t>
  </si>
  <si>
    <t xml:space="preserve"> 2020-02-28 13:34:01</t>
  </si>
  <si>
    <t>扩大中小学教师招聘</t>
  </si>
  <si>
    <t xml:space="preserve"> 2020-02-29 08:44:02</t>
  </si>
  <si>
    <t xml:space="preserve"> 2020-02-28 20:54:02</t>
  </si>
  <si>
    <t>房似锦挨打</t>
  </si>
  <si>
    <t xml:space="preserve"> 2020-02-29 08:56:01</t>
  </si>
  <si>
    <t xml:space="preserve"> 2020-02-28 19:38:02</t>
  </si>
  <si>
    <t>李敏镐新剧预告</t>
  </si>
  <si>
    <t xml:space="preserve"> 2020-02-28 18:58:01</t>
  </si>
  <si>
    <t>孙杨回应遭禁赛8年</t>
  </si>
  <si>
    <t xml:space="preserve"> 2020-02-29 08:30:01</t>
  </si>
  <si>
    <t xml:space="preserve"> 2020-02-28 21:02:02</t>
  </si>
  <si>
    <t>美国加州33人病毒检测阳性</t>
  </si>
  <si>
    <t xml:space="preserve"> 2020-02-29 07:20:02</t>
  </si>
  <si>
    <t xml:space="preserve"> 2020-02-28 22:28:02</t>
  </si>
  <si>
    <t>陕西继续推迟各级各类学校开学时间</t>
  </si>
  <si>
    <t xml:space="preserve"> 2020-02-29 09:28:01</t>
  </si>
  <si>
    <t xml:space="preserve"> 2020-02-28 23:36:02</t>
  </si>
  <si>
    <t>意大利考虑只公布重症确诊患者</t>
  </si>
  <si>
    <t xml:space="preserve"> 2020-03-14 09:22:02</t>
  </si>
  <si>
    <t xml:space="preserve"> 2020-02-28 21:26:01</t>
  </si>
  <si>
    <t>薇娅直播</t>
  </si>
  <si>
    <t xml:space="preserve"> 2020-02-29 13:44:01</t>
  </si>
  <si>
    <t xml:space="preserve"> 2020-02-28 23:30:02</t>
  </si>
  <si>
    <t>金请夏</t>
  </si>
  <si>
    <t xml:space="preserve"> 2020-02-29 11:00:02</t>
  </si>
  <si>
    <t xml:space="preserve"> 2020-02-28 22:42:01</t>
  </si>
  <si>
    <t>广西援汉护士脱防护服时心脏骤停</t>
  </si>
  <si>
    <t xml:space="preserve"> 2020-02-29 09:48:02</t>
  </si>
  <si>
    <t xml:space="preserve"> 2020-02-28 20:38:01</t>
  </si>
  <si>
    <t>美国N95口罩暴涨5倍</t>
  </si>
  <si>
    <t xml:space="preserve"> 2020-02-29 12:00:02</t>
  </si>
  <si>
    <t xml:space="preserve"> 2020-02-28 23:52:01</t>
  </si>
  <si>
    <t>林允王大陆好甜</t>
  </si>
  <si>
    <t xml:space="preserve"> 2020-02-28 19:58:01</t>
  </si>
  <si>
    <t>女生扎头发能扎到发脾气</t>
  </si>
  <si>
    <t xml:space="preserve"> 2020-02-29 11:06:01</t>
  </si>
  <si>
    <t xml:space="preserve"> 2020-02-28 22:20:01</t>
  </si>
  <si>
    <t>你目前的经济状况</t>
  </si>
  <si>
    <t xml:space="preserve"> 2020-02-28 21:34:02</t>
  </si>
  <si>
    <t>羡慕家里开超市的</t>
  </si>
  <si>
    <t xml:space="preserve"> 2020-02-29 11:08:02</t>
  </si>
  <si>
    <t>苏有朋还记得杜飞的台词</t>
  </si>
  <si>
    <t xml:space="preserve"> 2020-02-28 21:38:02</t>
  </si>
  <si>
    <t>蔡徐坤三个问号</t>
  </si>
  <si>
    <t xml:space="preserve"> 2020-02-29 08:42:02</t>
  </si>
  <si>
    <t>泡面炫富大赛</t>
  </si>
  <si>
    <t>新加坡为抗疫前线人员加薪1个月</t>
  </si>
  <si>
    <t xml:space="preserve"> 2020-02-29 08:12:02</t>
  </si>
  <si>
    <t xml:space="preserve"> 2020-02-28 17:16:01</t>
  </si>
  <si>
    <t>孙杨遭禁赛8年</t>
  </si>
  <si>
    <t xml:space="preserve"> 2020-02-28 22:08:02</t>
  </si>
  <si>
    <t>曾一鸣选歌</t>
  </si>
  <si>
    <t xml:space="preserve"> 2020-02-29 07:38:01</t>
  </si>
  <si>
    <t>晒出你已到货的螺蛳粉</t>
  </si>
  <si>
    <t xml:space="preserve"> 2020-02-29 03:26:02</t>
  </si>
  <si>
    <t xml:space="preserve"> 2020-02-28 14:22:01</t>
  </si>
  <si>
    <t>两年内找到工作按应届办理就业手续</t>
  </si>
  <si>
    <t xml:space="preserve"> 2020-02-29 09:18:02</t>
  </si>
  <si>
    <t xml:space="preserve"> 2020-02-28 21:14:01</t>
  </si>
  <si>
    <t>安家三观</t>
  </si>
  <si>
    <t xml:space="preserve"> 2020-02-29 09:36:02</t>
  </si>
  <si>
    <t xml:space="preserve"> 2020-02-28 20:12:01</t>
  </si>
  <si>
    <t>疫情后看釜山行2</t>
  </si>
  <si>
    <t xml:space="preserve"> 2020-02-29 08:50:02</t>
  </si>
  <si>
    <t xml:space="preserve"> 2020-02-28 23:06:01</t>
  </si>
  <si>
    <t>怎么用40秒炸出酥脆薯条</t>
  </si>
  <si>
    <t xml:space="preserve"> 2020-02-28 22:02:02</t>
  </si>
  <si>
    <t>闺蜜间的暗号式聊天</t>
  </si>
  <si>
    <t xml:space="preserve"> 2020-02-28 23:38:01</t>
  </si>
  <si>
    <t>中国向伊朗派出疾控专家组</t>
  </si>
  <si>
    <t xml:space="preserve"> 2020-02-29 08:10:02</t>
  </si>
  <si>
    <t xml:space="preserve"> 2020-02-28 23:50:02</t>
  </si>
  <si>
    <t>唐山路南区2.1级地震</t>
  </si>
  <si>
    <t xml:space="preserve"> 2020-02-29 08:24:02</t>
  </si>
  <si>
    <t xml:space="preserve"> 2020-02-28 18:16:01</t>
  </si>
  <si>
    <t>王子异否认不配合检查</t>
  </si>
  <si>
    <t xml:space="preserve"> 2020-03-31 09:44:02</t>
  </si>
  <si>
    <t xml:space="preserve"> 2020-02-28 23:40:01</t>
  </si>
  <si>
    <t>道琼斯</t>
  </si>
  <si>
    <t xml:space="preserve"> 2020-02-29 04:02:01</t>
  </si>
  <si>
    <t xml:space="preserve"> 2020-02-28 18:32:02</t>
  </si>
  <si>
    <t>江苏有多好吃</t>
  </si>
  <si>
    <t>武汉雷神山医院出院患者达117人</t>
  </si>
  <si>
    <t xml:space="preserve"> 2020-02-28 19:40:02</t>
  </si>
  <si>
    <t>近期自韩来华乘客多为在韩中国公民</t>
  </si>
  <si>
    <t xml:space="preserve"> 2020-02-29 07:12:02</t>
  </si>
  <si>
    <t xml:space="preserve"> 2020-02-28 22:38:01</t>
  </si>
  <si>
    <t>GQ 曾鸣</t>
  </si>
  <si>
    <t xml:space="preserve"> 2020-02-29 17:50:02</t>
  </si>
  <si>
    <t xml:space="preserve"> 2020-02-29 10:18:01</t>
  </si>
  <si>
    <t>花木兰删掉李翔原因</t>
  </si>
  <si>
    <t xml:space="preserve"> 2020-02-29 15:02:02</t>
  </si>
  <si>
    <t xml:space="preserve"> 2020-02-29 07:32:02</t>
  </si>
  <si>
    <t>新冠肺炎全球风险级别调为非常高</t>
  </si>
  <si>
    <t xml:space="preserve"> 2020-02-29 15:50:01</t>
  </si>
  <si>
    <t xml:space="preserve"> 2020-02-29 10:46:02</t>
  </si>
  <si>
    <t>韩国监狱出现首例新冠肺炎</t>
  </si>
  <si>
    <t xml:space="preserve"> 2020-02-29 17:10:01</t>
  </si>
  <si>
    <t>吴青峰发文</t>
  </si>
  <si>
    <t xml:space="preserve"> 2020-02-29 16:44:01</t>
  </si>
  <si>
    <t xml:space="preserve"> 2020-02-29 08:52:02</t>
  </si>
  <si>
    <t>黄金暴跌</t>
  </si>
  <si>
    <t xml:space="preserve"> 2020-02-29 17:48:02</t>
  </si>
  <si>
    <t xml:space="preserve"> 2020-02-29 10:16:02</t>
  </si>
  <si>
    <t>意大利火神山医院</t>
  </si>
  <si>
    <t xml:space="preserve"> 2020-02-29 14:16:02</t>
  </si>
  <si>
    <t xml:space="preserve"> 2020-02-29 10:50:02</t>
  </si>
  <si>
    <t>北京要求人员密集企业到岗率不超50%</t>
  </si>
  <si>
    <t xml:space="preserve"> 2020-02-29 15:26:02</t>
  </si>
  <si>
    <t xml:space="preserve"> 2020-02-29 11:32:01</t>
  </si>
  <si>
    <t>美国出现第三例感染途径不明病例</t>
  </si>
  <si>
    <t xml:space="preserve"> 2020-02-29 21:38:01</t>
  </si>
  <si>
    <t xml:space="preserve"> 2020-02-29 11:02:02</t>
  </si>
  <si>
    <t>联合国秘书长发表声明</t>
  </si>
  <si>
    <t xml:space="preserve"> 2020-02-29 17:26:01</t>
  </si>
  <si>
    <t xml:space="preserve"> 2020-02-29 09:14:01</t>
  </si>
  <si>
    <t>四年一度的2月29来了</t>
  </si>
  <si>
    <t xml:space="preserve"> 2020-02-29 16:22:02</t>
  </si>
  <si>
    <t>国内罕见病人数超2000万</t>
  </si>
  <si>
    <t xml:space="preserve"> 2020-04-05 14:14:02</t>
  </si>
  <si>
    <t xml:space="preserve"> 2020-02-29 08:34:01</t>
  </si>
  <si>
    <t>美国疫情</t>
  </si>
  <si>
    <t xml:space="preserve"> 2020-02-29 13:20:02</t>
  </si>
  <si>
    <t xml:space="preserve"> 2020-02-29 08:46:02</t>
  </si>
  <si>
    <t>教育部要求线上教学不能搞一刀切</t>
  </si>
  <si>
    <t xml:space="preserve"> 2020-02-29 15:34:01</t>
  </si>
  <si>
    <t xml:space="preserve"> 2020-02-29 09:40:01</t>
  </si>
  <si>
    <t>韩国新增594例新冠肺炎</t>
  </si>
  <si>
    <t xml:space="preserve"> 2020-02-29 14:18:02</t>
  </si>
  <si>
    <t xml:space="preserve"> 2020-02-29 08:48:02</t>
  </si>
  <si>
    <t>世卫组织 新冠病毒源头尚不确定</t>
  </si>
  <si>
    <t xml:space="preserve"> 2020-02-29 16:14:02</t>
  </si>
  <si>
    <t xml:space="preserve"> 2020-02-29 11:30:02</t>
  </si>
  <si>
    <t>谷歌一员工确诊新冠肺炎</t>
  </si>
  <si>
    <t xml:space="preserve"> 2020-03-13 08:46:02</t>
  </si>
  <si>
    <t xml:space="preserve"> 2020-02-29 11:04:02</t>
  </si>
  <si>
    <t>美国流感</t>
  </si>
  <si>
    <t xml:space="preserve"> 2020-02-29 14:52:02</t>
  </si>
  <si>
    <t xml:space="preserve"> 2020-02-29 11:10:01</t>
  </si>
  <si>
    <t>江苏继续推迟学生返校</t>
  </si>
  <si>
    <t xml:space="preserve"> 2020-02-29 16:30:01</t>
  </si>
  <si>
    <t xml:space="preserve"> 2020-02-29 11:14:01</t>
  </si>
  <si>
    <t>意大利超市内意面被抢空</t>
  </si>
  <si>
    <t xml:space="preserve"> 2020-02-29 15:54:02</t>
  </si>
  <si>
    <t xml:space="preserve"> 2020-02-29 07:46:02</t>
  </si>
  <si>
    <t>郑爽 王牌对王牌预告</t>
  </si>
  <si>
    <t xml:space="preserve"> 2020-02-29 13:52:01</t>
  </si>
  <si>
    <t>成都要求从日韩入境者酒店隔离14天</t>
  </si>
  <si>
    <t xml:space="preserve"> 2020-02-29 10:54:02</t>
  </si>
  <si>
    <t>官方回应网友建议新冠高架改名</t>
  </si>
  <si>
    <t xml:space="preserve"> 2020-02-29 13:58:02</t>
  </si>
  <si>
    <t>高三学生线上百日宣誓</t>
  </si>
  <si>
    <t xml:space="preserve"> 2020-02-29 14:12:02</t>
  </si>
  <si>
    <t>法国总统称不会因疫情关闭法意边境</t>
  </si>
  <si>
    <t xml:space="preserve"> 2020-02-29 14:40:02</t>
  </si>
  <si>
    <t xml:space="preserve"> 2020-02-29 10:24:02</t>
  </si>
  <si>
    <t>盘点世界泳坛名将被禁赛史</t>
  </si>
  <si>
    <t xml:space="preserve"> 2020-02-29 13:10:01</t>
  </si>
  <si>
    <t xml:space="preserve"> 2020-02-29 09:08:02</t>
  </si>
  <si>
    <t>东京奥运会首次使用动态图标</t>
  </si>
  <si>
    <t xml:space="preserve"> 2020-02-29 14:20:02</t>
  </si>
  <si>
    <t>你们学校的食堂叫什么名字</t>
  </si>
  <si>
    <t xml:space="preserve"> 2020-02-29 13:06:02</t>
  </si>
  <si>
    <t>福布斯中国2020最富有女性榜</t>
  </si>
  <si>
    <t xml:space="preserve"> 2020-02-29 10:20:02</t>
  </si>
  <si>
    <t>关于鸡蛋所有的秘密</t>
  </si>
  <si>
    <t xml:space="preserve"> 2020-02-29 13:14:01</t>
  </si>
  <si>
    <t>北京出租车顺风车暂停出京运营业务</t>
  </si>
  <si>
    <t xml:space="preserve"> 2020-02-29 09:50:01</t>
  </si>
  <si>
    <t>中国境外日新增确诊病例连续3天超中国</t>
  </si>
  <si>
    <t xml:space="preserve"> 2020-02-29 14:08:02</t>
  </si>
  <si>
    <t xml:space="preserve"> 2020-02-29 07:30:01</t>
  </si>
  <si>
    <t>宋茜给工作人员包饺子</t>
  </si>
  <si>
    <t xml:space="preserve"> 2020-02-29 13:40:01</t>
  </si>
  <si>
    <t>84消毒液是怎么来的</t>
  </si>
  <si>
    <t xml:space="preserve"> 2020-02-29 12:36:02</t>
  </si>
  <si>
    <t xml:space="preserve"> 2020-02-29 08:58:01</t>
  </si>
  <si>
    <t>湖北以外新增确诊病例4例</t>
  </si>
  <si>
    <t xml:space="preserve"> 2020-02-29 12:44:02</t>
  </si>
  <si>
    <t xml:space="preserve"> 2020-02-29 10:48:02</t>
  </si>
  <si>
    <t>全国累计治愈首超现有确诊病例数</t>
  </si>
  <si>
    <t xml:space="preserve"> 2020-02-29 12:42:01</t>
  </si>
  <si>
    <t xml:space="preserve"> 2020-02-29 11:50:01</t>
  </si>
  <si>
    <t>武汉马拉松延期举办</t>
  </si>
  <si>
    <t xml:space="preserve"> 2020-02-29 13:16:02</t>
  </si>
  <si>
    <t>国防部回应美方言论</t>
  </si>
  <si>
    <t xml:space="preserve"> 2020-02-29 12:24:01</t>
  </si>
  <si>
    <t xml:space="preserve"> 2020-02-29 11:42:02</t>
  </si>
  <si>
    <t>核酸检测过程全纪录</t>
  </si>
  <si>
    <t xml:space="preserve"> 2020-02-29 12:08:01</t>
  </si>
  <si>
    <t>上半年征兵工作延至下半年</t>
  </si>
  <si>
    <t>开学前后怎样防控新冠肺炎</t>
  </si>
  <si>
    <t xml:space="preserve"> 2020-02-29 19:30:01</t>
  </si>
  <si>
    <t xml:space="preserve"> 2020-02-29 12:02:02</t>
  </si>
  <si>
    <t>宋丹丹猜歌</t>
  </si>
  <si>
    <t xml:space="preserve"> 2020-02-29 18:20:02</t>
  </si>
  <si>
    <t>高三年级原则上省域同步开学</t>
  </si>
  <si>
    <t xml:space="preserve"> 2020-02-29 16:06:02</t>
  </si>
  <si>
    <t>北京市新增1例新冠肺炎确诊病例</t>
  </si>
  <si>
    <t>猫咪会用两种语言交流</t>
  </si>
  <si>
    <t xml:space="preserve"> 2020-02-29 12:32:02</t>
  </si>
  <si>
    <t xml:space="preserve"> 2020-02-29 08:54:02</t>
  </si>
  <si>
    <t>米兰唐人街9成店铺停业</t>
  </si>
  <si>
    <t xml:space="preserve"> 2020-01-01 08:38:02</t>
  </si>
  <si>
    <t>苏打绿</t>
  </si>
  <si>
    <t xml:space="preserve"> 2020-02-29 08:26:02</t>
  </si>
  <si>
    <t>美国加州出现第二例感染途径不明病例</t>
  </si>
  <si>
    <t xml:space="preserve"> 2020-03-01 13:12:01</t>
  </si>
  <si>
    <t xml:space="preserve"> 2020-02-29 21:30:02</t>
  </si>
  <si>
    <t>3月起明令禁止网络暴力人肉搜索</t>
  </si>
  <si>
    <t xml:space="preserve"> 2020-03-01 10:52:02</t>
  </si>
  <si>
    <t xml:space="preserve"> 2020-02-29 21:56:01</t>
  </si>
  <si>
    <t>北京出现假冒小区出入证</t>
  </si>
  <si>
    <t xml:space="preserve"> 2020-03-01 11:44:01</t>
  </si>
  <si>
    <t xml:space="preserve"> 2020-02-29 22:24:01</t>
  </si>
  <si>
    <t>日本首家因疫情倒闭企业</t>
  </si>
  <si>
    <t xml:space="preserve"> 2020-03-01 14:42:02</t>
  </si>
  <si>
    <t xml:space="preserve"> 2020-02-29 22:26:02</t>
  </si>
  <si>
    <t>心疼九八五</t>
  </si>
  <si>
    <t xml:space="preserve"> 2020-03-01 11:06:01</t>
  </si>
  <si>
    <t xml:space="preserve"> 2020-02-29 20:58:01</t>
  </si>
  <si>
    <t>被江达琳气死</t>
  </si>
  <si>
    <t xml:space="preserve"> 2020-03-01 10:30:02</t>
  </si>
  <si>
    <t xml:space="preserve"> 2020-02-29 21:36:01</t>
  </si>
  <si>
    <t>宋茜宋威龙好甜</t>
  </si>
  <si>
    <t xml:space="preserve"> 2020-03-01 09:18:02</t>
  </si>
  <si>
    <t xml:space="preserve"> 2020-02-29 20:10:01</t>
  </si>
  <si>
    <t>1037万多名党员自愿捐款11.8亿元</t>
  </si>
  <si>
    <t xml:space="preserve"> 2020-03-01 14:06:02</t>
  </si>
  <si>
    <t xml:space="preserve"> 2020-02-29 22:08:01</t>
  </si>
  <si>
    <t>红糖饼</t>
  </si>
  <si>
    <t xml:space="preserve"> 2020-03-01 09:52:02</t>
  </si>
  <si>
    <t xml:space="preserve"> 2020-02-29 21:22:02</t>
  </si>
  <si>
    <t>任嘉伦不会滑旱冰</t>
  </si>
  <si>
    <t xml:space="preserve"> 2020-03-01 08:50:02</t>
  </si>
  <si>
    <t xml:space="preserve"> 2020-02-29 20:26:02</t>
  </si>
  <si>
    <t>想见你最后彩蛋</t>
  </si>
  <si>
    <t xml:space="preserve"> 2020-03-01 08:12:02</t>
  </si>
  <si>
    <t xml:space="preserve"> 2020-02-29 21:10:01</t>
  </si>
  <si>
    <t>美国北约14个月内从阿富汗全部撤军</t>
  </si>
  <si>
    <t xml:space="preserve"> 2020-03-01 08:20:02</t>
  </si>
  <si>
    <t xml:space="preserve"> 2020-02-29 22:20:02</t>
  </si>
  <si>
    <t>伊朗一名感染新冠病毒议员去世</t>
  </si>
  <si>
    <t xml:space="preserve"> 2020-03-01 08:38:01</t>
  </si>
  <si>
    <t xml:space="preserve"> 2020-02-29 20:54:01</t>
  </si>
  <si>
    <t>卫哲 裴瑜</t>
  </si>
  <si>
    <t xml:space="preserve"> 2020-03-01 09:34:02</t>
  </si>
  <si>
    <t xml:space="preserve"> 2020-02-29 22:16:02</t>
  </si>
  <si>
    <t>西藏16人救治团队全部解除医学隔离</t>
  </si>
  <si>
    <t xml:space="preserve"> 2020-03-22 15:36:02</t>
  </si>
  <si>
    <t xml:space="preserve"> 2020-02-27 12:54:01</t>
  </si>
  <si>
    <t>肖战</t>
  </si>
  <si>
    <t xml:space="preserve"> 2020-03-01 11:00:02</t>
  </si>
  <si>
    <t>快本这期没有谢娜</t>
  </si>
  <si>
    <t xml:space="preserve"> 2020-03-01 10:38:01</t>
  </si>
  <si>
    <t xml:space="preserve"> 2020-02-29 22:54:02</t>
  </si>
  <si>
    <t>朋友圈文案</t>
  </si>
  <si>
    <t xml:space="preserve"> 2020-03-01 14:10:01</t>
  </si>
  <si>
    <t xml:space="preserve"> 2020-02-29 23:12:02</t>
  </si>
  <si>
    <t>人人影视</t>
  </si>
  <si>
    <t xml:space="preserve"> 2020-03-01 12:40:02</t>
  </si>
  <si>
    <t xml:space="preserve"> 2020-02-29 23:02:01</t>
  </si>
  <si>
    <t>橙光</t>
  </si>
  <si>
    <t xml:space="preserve"> 2020-03-01 10:46:01</t>
  </si>
  <si>
    <t xml:space="preserve"> 2020-02-29 22:36:01</t>
  </si>
  <si>
    <t>张杰云演唱会</t>
  </si>
  <si>
    <t xml:space="preserve"> 2020-03-01 10:42:02</t>
  </si>
  <si>
    <t>这就是四年后的你</t>
  </si>
  <si>
    <t xml:space="preserve"> 2020-03-01 09:28:02</t>
  </si>
  <si>
    <t xml:space="preserve"> 2019-11-18 11:54:01</t>
  </si>
  <si>
    <t>易烊千玺 封面</t>
  </si>
  <si>
    <t xml:space="preserve"> 2020-03-01 09:22:02</t>
  </si>
  <si>
    <t xml:space="preserve"> 2020-02-29 19:38:02</t>
  </si>
  <si>
    <t>四年前的今天发过的朋友圈</t>
  </si>
  <si>
    <t xml:space="preserve"> 2020-03-01 07:12:02</t>
  </si>
  <si>
    <t xml:space="preserve"> 2020-02-29 14:34:01</t>
  </si>
  <si>
    <t>四年后的2月29</t>
  </si>
  <si>
    <t xml:space="preserve"> 2020-03-01 09:56:02</t>
  </si>
  <si>
    <t xml:space="preserve"> 2020-02-29 18:44:01</t>
  </si>
  <si>
    <t>稻城到底有多美</t>
  </si>
  <si>
    <t xml:space="preserve"> 2020-03-01 09:36:01</t>
  </si>
  <si>
    <t xml:space="preserve"> 2020-02-29 22:38:01</t>
  </si>
  <si>
    <t>全年人均月流量7.82GB</t>
  </si>
  <si>
    <t xml:space="preserve"> 2020-03-01 10:10:02</t>
  </si>
  <si>
    <t xml:space="preserve"> 2020-02-29 22:56:02</t>
  </si>
  <si>
    <t>法国疫情扩散进入第二阶段</t>
  </si>
  <si>
    <t xml:space="preserve"> 2020-03-01 12:38:01</t>
  </si>
  <si>
    <t xml:space="preserve"> 2020-02-29 21:40:02</t>
  </si>
  <si>
    <t>美国和塔利班签署和平协议</t>
  </si>
  <si>
    <t xml:space="preserve"> 2020-03-01 07:36:01</t>
  </si>
  <si>
    <t xml:space="preserve"> 2020-02-29 20:22:02</t>
  </si>
  <si>
    <t>成都世界大运会日期确定</t>
  </si>
  <si>
    <t xml:space="preserve"> 2020-02-29 22:58:02</t>
  </si>
  <si>
    <t>平底锅做铁板烧烤豆腐</t>
  </si>
  <si>
    <t xml:space="preserve"> 2020-03-01 08:02:01</t>
  </si>
  <si>
    <t xml:space="preserve"> 2020-02-29 18:46:02</t>
  </si>
  <si>
    <t>陆政廷</t>
  </si>
  <si>
    <t xml:space="preserve"> 2020-03-01 08:44:02</t>
  </si>
  <si>
    <t>蔡徐坤 快乐大本营</t>
  </si>
  <si>
    <t xml:space="preserve"> 2020-03-01 08:08:02</t>
  </si>
  <si>
    <t xml:space="preserve"> 2020-02-29 18:14:01</t>
  </si>
  <si>
    <t>中国援伊朗专家组抵达德黑兰</t>
  </si>
  <si>
    <t xml:space="preserve"> 2020-03-01 10:08:02</t>
  </si>
  <si>
    <t>手抓饼披萨</t>
  </si>
  <si>
    <t xml:space="preserve"> 2020-03-01 07:24:02</t>
  </si>
  <si>
    <t xml:space="preserve"> 2020-02-29 17:28:01</t>
  </si>
  <si>
    <t>周子瑜</t>
  </si>
  <si>
    <t xml:space="preserve"> 2020-03-01 08:30:02</t>
  </si>
  <si>
    <t xml:space="preserve"> 2020-02-29 16:24:02</t>
  </si>
  <si>
    <t>韩国新冠肺炎累计3150例</t>
  </si>
  <si>
    <t xml:space="preserve"> 2020-03-01 07:34:02</t>
  </si>
  <si>
    <t xml:space="preserve"> 2020-02-29 20:06:02</t>
  </si>
  <si>
    <t>袁隆平捐10万元支持湖北抗疫</t>
  </si>
  <si>
    <t xml:space="preserve"> 2020-03-01 08:26:02</t>
  </si>
  <si>
    <t xml:space="preserve"> 2020-02-29 19:10:01</t>
  </si>
  <si>
    <t>上海Costco超市顶楼冒出黑烟</t>
  </si>
  <si>
    <t xml:space="preserve"> 2020-03-01 07:26:02</t>
  </si>
  <si>
    <t xml:space="preserve"> 2020-02-29 16:36:02</t>
  </si>
  <si>
    <t>陈情令新花絮</t>
  </si>
  <si>
    <t xml:space="preserve"> 2020-03-01 01:02:02</t>
  </si>
  <si>
    <t xml:space="preserve"> 2020-02-29 20:48:02</t>
  </si>
  <si>
    <t>北京儿童医院确诊患儿1例</t>
  </si>
  <si>
    <t xml:space="preserve"> 2020-03-01 07:38:01</t>
  </si>
  <si>
    <t xml:space="preserve"> 2020-02-29 20:24:02</t>
  </si>
  <si>
    <t>教皇</t>
  </si>
  <si>
    <t xml:space="preserve"> 2020-02-29 21:54:01</t>
  </si>
  <si>
    <t>凯撒奖引起离场抗议</t>
  </si>
  <si>
    <t xml:space="preserve"> 2020-03-01 09:04:01</t>
  </si>
  <si>
    <t xml:space="preserve"> 2020-02-29 19:50:02</t>
  </si>
  <si>
    <t>天津两名出院患者核酸复阳再次入院</t>
  </si>
  <si>
    <t xml:space="preserve"> 2020-03-01 05:30:02</t>
  </si>
  <si>
    <t xml:space="preserve"> 2020-02-29 17:46:02</t>
  </si>
  <si>
    <t>酸奶煎饼</t>
  </si>
  <si>
    <t xml:space="preserve"> 2020-03-01 00:26:02</t>
  </si>
  <si>
    <t xml:space="preserve"> 2020-02-29 21:48:02</t>
  </si>
  <si>
    <t>武汉优先安排外卖快递返岗</t>
  </si>
  <si>
    <t xml:space="preserve"> 2020-03-01 17:20:02</t>
  </si>
  <si>
    <t>80名中国公民在俄隔离遭虐待不实</t>
  </si>
  <si>
    <t xml:space="preserve"> 2020-03-01 18:02:02</t>
  </si>
  <si>
    <t xml:space="preserve"> 2020-03-01 09:54:02</t>
  </si>
  <si>
    <t>韩专家称最坏情况是40%国民感染</t>
  </si>
  <si>
    <t xml:space="preserve"> 2020-03-01 15:10:02</t>
  </si>
  <si>
    <t xml:space="preserve"> 2020-03-01 10:12:01</t>
  </si>
  <si>
    <t>韩国出生45天婴儿感染新冠肺炎</t>
  </si>
  <si>
    <t xml:space="preserve"> 2020-03-01 15:42:01</t>
  </si>
  <si>
    <t xml:space="preserve"> 2020-03-01 10:48:02</t>
  </si>
  <si>
    <t>现有疑似病例不足千人</t>
  </si>
  <si>
    <t xml:space="preserve"> 2020-03-01 14:40:01</t>
  </si>
  <si>
    <t xml:space="preserve"> 2020-03-01 10:54:01</t>
  </si>
  <si>
    <t>全球首例新冠肺炎病人肺移植手术成功</t>
  </si>
  <si>
    <t>中国将向日本捐赠5000套防护服</t>
  </si>
  <si>
    <t xml:space="preserve"> 2020-03-01 20:46:01</t>
  </si>
  <si>
    <t xml:space="preserve"> 2020-03-01 07:28:02</t>
  </si>
  <si>
    <t>三月</t>
  </si>
  <si>
    <t xml:space="preserve"> 2020-03-01 12:48:01</t>
  </si>
  <si>
    <t>全国累计确诊新冠肺炎79824例</t>
  </si>
  <si>
    <t xml:space="preserve"> 2020-03-01 14:44:02</t>
  </si>
  <si>
    <t xml:space="preserve"> 2020-03-01 09:24:02</t>
  </si>
  <si>
    <t>韩国累计确诊新冠肺炎3526例</t>
  </si>
  <si>
    <t xml:space="preserve"> 2020-03-01 14:00:02</t>
  </si>
  <si>
    <t xml:space="preserve"> 2020-03-01 07:16:01</t>
  </si>
  <si>
    <t>美国出现首例新冠肺炎死亡病例</t>
  </si>
  <si>
    <t xml:space="preserve"> 2020-03-01 13:36:02</t>
  </si>
  <si>
    <t xml:space="preserve"> 2020-03-01 10:44:02</t>
  </si>
  <si>
    <t>邮政业完成八成复工复产任务</t>
  </si>
  <si>
    <t xml:space="preserve"> 2020-03-01 12:22:02</t>
  </si>
  <si>
    <t xml:space="preserve"> 2020-03-01 07:50:02</t>
  </si>
  <si>
    <t>4名伊朗回中国乘客抵京后集中观察14天</t>
  </si>
  <si>
    <t xml:space="preserve"> 2020-03-01 16:26:02</t>
  </si>
  <si>
    <t xml:space="preserve"> 2020-03-01 11:08:02</t>
  </si>
  <si>
    <t>特朗普弄错首例新冠肺炎逝者性别</t>
  </si>
  <si>
    <t xml:space="preserve"> 2020-03-01 17:34:01</t>
  </si>
  <si>
    <t xml:space="preserve"> 2020-03-01 08:00:02</t>
  </si>
  <si>
    <t>黄磊关注迪丽热巴超话</t>
  </si>
  <si>
    <t xml:space="preserve"> 2020-04-07 09:42:02</t>
  </si>
  <si>
    <t>真果粒</t>
  </si>
  <si>
    <t xml:space="preserve"> 2020-03-01 18:04:01</t>
  </si>
  <si>
    <t xml:space="preserve"> 2020-03-01 10:22:02</t>
  </si>
  <si>
    <t>俄网红庆生往浴池倒30公斤干冰</t>
  </si>
  <si>
    <t xml:space="preserve"> 2020-03-01 15:38:02</t>
  </si>
  <si>
    <t>湖北男子隔离21天后复工被赶出</t>
  </si>
  <si>
    <t xml:space="preserve"> 2020-03-01 16:06:02</t>
  </si>
  <si>
    <t xml:space="preserve"> 2020-03-01 11:46:02</t>
  </si>
  <si>
    <t>薯片煎饼果子</t>
  </si>
  <si>
    <t xml:space="preserve"> 2020-03-01 13:04:01</t>
  </si>
  <si>
    <t>LPR</t>
  </si>
  <si>
    <t xml:space="preserve"> 2020-03-01 16:42:01</t>
  </si>
  <si>
    <t xml:space="preserve"> 2020-03-01 08:46:01</t>
  </si>
  <si>
    <t>李晟敏</t>
  </si>
  <si>
    <t xml:space="preserve"> 2020-03-01 14:18:01</t>
  </si>
  <si>
    <t>李弘彬</t>
  </si>
  <si>
    <t xml:space="preserve"> 2020-03-01 17:46:01</t>
  </si>
  <si>
    <t xml:space="preserve"> 2020-03-01 09:38:01</t>
  </si>
  <si>
    <t>女追男的真实写照</t>
  </si>
  <si>
    <t xml:space="preserve"> 2020-03-01 13:30:02</t>
  </si>
  <si>
    <t xml:space="preserve"> 2020-03-01 11:48:01</t>
  </si>
  <si>
    <t>湖北武警抢运物资支援抗疫</t>
  </si>
  <si>
    <t xml:space="preserve"> 2020-03-01 14:24:02</t>
  </si>
  <si>
    <t>易烊千玺智族GQ封面</t>
  </si>
  <si>
    <t xml:space="preserve"> 2020-03-01 17:06:02</t>
  </si>
  <si>
    <t xml:space="preserve"> 2020-03-01 09:46:01</t>
  </si>
  <si>
    <t>火神山医院版面膜</t>
  </si>
  <si>
    <t xml:space="preserve"> 2020-03-01 16:16:02</t>
  </si>
  <si>
    <t xml:space="preserve"> 2020-03-01 10:00:02</t>
  </si>
  <si>
    <t>张伯礼 除湖北外省市4月底可摘口罩</t>
  </si>
  <si>
    <t xml:space="preserve"> 2020-03-01 15:44:02</t>
  </si>
  <si>
    <t xml:space="preserve"> 2020-03-01 10:14:01</t>
  </si>
  <si>
    <t>方舱医院读书哥出舱了</t>
  </si>
  <si>
    <t xml:space="preserve"> 2020-03-01 15:06:02</t>
  </si>
  <si>
    <t xml:space="preserve"> 2020-03-01 11:38:02</t>
  </si>
  <si>
    <t>武汉社区工作人员被一句谢谢弄哭</t>
  </si>
  <si>
    <t xml:space="preserve"> 2020-03-01 14:50:01</t>
  </si>
  <si>
    <t>容器的形状决定猫的形状</t>
  </si>
  <si>
    <t xml:space="preserve"> 2020-03-01 13:16:01</t>
  </si>
  <si>
    <t>一家人武汉修轮胎滞留1个月</t>
  </si>
  <si>
    <t xml:space="preserve"> 2020-03-01 14:58:01</t>
  </si>
  <si>
    <t xml:space="preserve"> 2020-03-01 07:40:02</t>
  </si>
  <si>
    <t>当姐姐的快乐你无法想象</t>
  </si>
  <si>
    <t xml:space="preserve"> 2020-03-01 14:08:02</t>
  </si>
  <si>
    <t xml:space="preserve"> 2020-03-01 09:44:01</t>
  </si>
  <si>
    <t>武汉中心医院江学庆医生感染去世</t>
  </si>
  <si>
    <t xml:space="preserve"> 2020-03-01 15:18:01</t>
  </si>
  <si>
    <t xml:space="preserve"> 2020-03-01 09:58:01</t>
  </si>
  <si>
    <t>东京马拉松</t>
  </si>
  <si>
    <t xml:space="preserve"> 2020-03-01 12:58:02</t>
  </si>
  <si>
    <t xml:space="preserve"> 2020-03-01 11:22:01</t>
  </si>
  <si>
    <t>莫兰特隔扣浓眉</t>
  </si>
  <si>
    <t xml:space="preserve"> 2020-03-01 13:18:02</t>
  </si>
  <si>
    <t xml:space="preserve"> 2020-03-01 07:14:01</t>
  </si>
  <si>
    <t>三月发的朋友圈文案</t>
  </si>
  <si>
    <t xml:space="preserve"> 2020-03-01 16:54:01</t>
  </si>
  <si>
    <t xml:space="preserve"> 2020-03-01 12:00:01</t>
  </si>
  <si>
    <t>美国宣布禁止有伊朗旅行史外国人入境</t>
  </si>
  <si>
    <t xml:space="preserve"> 2020-03-01 16:28:02</t>
  </si>
  <si>
    <t xml:space="preserve"> 2020-03-01 12:02:02</t>
  </si>
  <si>
    <t>美国考虑部分采取中国防疫措施</t>
  </si>
  <si>
    <t xml:space="preserve"> 2020-03-01 13:02:02</t>
  </si>
  <si>
    <t xml:space="preserve"> 2020-03-01 08:52:02</t>
  </si>
  <si>
    <t>辽宁新增1例新冠肺炎</t>
  </si>
  <si>
    <t xml:space="preserve"> 2020-03-01 12:08:01</t>
  </si>
  <si>
    <t>湖人7连胜终结</t>
  </si>
  <si>
    <t xml:space="preserve"> 2020-03-01 13:14:02</t>
  </si>
  <si>
    <t>大邱医院改造集装箱收治患者</t>
  </si>
  <si>
    <t xml:space="preserve"> 2020-03-01 12:14:01</t>
  </si>
  <si>
    <t>任嘉伦谭松韵合唱六月的雨</t>
  </si>
  <si>
    <t xml:space="preserve"> 2020-03-01 15:40:02</t>
  </si>
  <si>
    <t>三月第一天</t>
  </si>
  <si>
    <t xml:space="preserve"> 2020-03-01 11:18:01</t>
  </si>
  <si>
    <t>80岁出院老伯含泪感谢解放军</t>
  </si>
  <si>
    <t xml:space="preserve"> 2020-03-02 14:00:02</t>
  </si>
  <si>
    <t xml:space="preserve"> 2020-03-01 21:48:01</t>
  </si>
  <si>
    <t>肖战工作室道歉</t>
  </si>
  <si>
    <t xml:space="preserve"> 2020-03-02 10:52:02</t>
  </si>
  <si>
    <t xml:space="preserve"> 2020-03-01 22:24:01</t>
  </si>
  <si>
    <t>深圳新增由英国途经香港输入病例</t>
  </si>
  <si>
    <t xml:space="preserve"> 2020-03-02 10:20:01</t>
  </si>
  <si>
    <t xml:space="preserve"> 2020-03-01 19:16:02</t>
  </si>
  <si>
    <t>韩国首次证实新天地教徒到过武汉</t>
  </si>
  <si>
    <t xml:space="preserve"> 2020-03-02 11:40:02</t>
  </si>
  <si>
    <t xml:space="preserve"> 2020-03-01 20:30:02</t>
  </si>
  <si>
    <t>周深 少管我</t>
  </si>
  <si>
    <t xml:space="preserve"> 2020-03-02 11:46:02</t>
  </si>
  <si>
    <t xml:space="preserve"> 2020-03-01 21:00:02</t>
  </si>
  <si>
    <t>上海老洋房</t>
  </si>
  <si>
    <t xml:space="preserve"> 2020-03-02 11:04:02</t>
  </si>
  <si>
    <t xml:space="preserve"> 2020-03-01 21:30:02</t>
  </si>
  <si>
    <t>江达琳的脑子</t>
  </si>
  <si>
    <t xml:space="preserve"> 2020-03-02 11:44:02</t>
  </si>
  <si>
    <t xml:space="preserve"> 2020-03-01 20:04:02</t>
  </si>
  <si>
    <t>全面暂停离汉离鄂网约车业务</t>
  </si>
  <si>
    <t xml:space="preserve"> 2020-03-02 09:38:02</t>
  </si>
  <si>
    <t xml:space="preserve"> 2020-03-01 17:40:02</t>
  </si>
  <si>
    <t>意大利居民拒戴口罩要自由</t>
  </si>
  <si>
    <t xml:space="preserve"> 2020-03-02 11:00:02</t>
  </si>
  <si>
    <t xml:space="preserve"> 2020-03-01 20:58:01</t>
  </si>
  <si>
    <t>何炅做麻辣烫</t>
  </si>
  <si>
    <t xml:space="preserve"> 2020-03-02 08:22:02</t>
  </si>
  <si>
    <t xml:space="preserve"> 2020-03-01 18:40:02</t>
  </si>
  <si>
    <t>36岁医生抗疫时心脏骤停去世</t>
  </si>
  <si>
    <t xml:space="preserve"> 2020-03-02 07:32:02</t>
  </si>
  <si>
    <t xml:space="preserve"> 2020-03-01 22:52:01</t>
  </si>
  <si>
    <t>德赫亚失误</t>
  </si>
  <si>
    <t xml:space="preserve"> 2020-03-02 08:02:01</t>
  </si>
  <si>
    <t xml:space="preserve"> 2020-03-01 22:40:02</t>
  </si>
  <si>
    <t>英国新增12名新冠肺炎感染者</t>
  </si>
  <si>
    <t xml:space="preserve"> 2020-03-02 13:14:02</t>
  </si>
  <si>
    <t xml:space="preserve"> 2020-03-01 23:14:01</t>
  </si>
  <si>
    <t>肖战后援会道歉</t>
  </si>
  <si>
    <t xml:space="preserve"> 2020-03-02 11:54:01</t>
  </si>
  <si>
    <t xml:space="preserve"> 2020-03-01 23:34:02</t>
  </si>
  <si>
    <t>日本网友用中文表达感谢</t>
  </si>
  <si>
    <t xml:space="preserve"> 2020-03-02 12:26:02</t>
  </si>
  <si>
    <t xml:space="preserve"> 2020-02-16 21:10:02</t>
  </si>
  <si>
    <t>剑网三</t>
  </si>
  <si>
    <t xml:space="preserve"> 2020-03-02 11:34:01</t>
  </si>
  <si>
    <t xml:space="preserve"> 2020-03-01 21:40:02</t>
  </si>
  <si>
    <t>单身率特别高的大学专业</t>
  </si>
  <si>
    <t xml:space="preserve"> 2020-03-01 20:56:02</t>
  </si>
  <si>
    <t>罗云熙素颜</t>
  </si>
  <si>
    <t xml:space="preserve"> 2020-03-02 08:40:01</t>
  </si>
  <si>
    <t xml:space="preserve"> 2020-03-01 23:00:02</t>
  </si>
  <si>
    <t>这次疫情让你看到了什么</t>
  </si>
  <si>
    <t xml:space="preserve"> 2020-03-02 09:32:02</t>
  </si>
  <si>
    <t xml:space="preserve"> 2020-03-01 23:10:02</t>
  </si>
  <si>
    <t>雷神山医院里的钟南山漫画</t>
  </si>
  <si>
    <t xml:space="preserve"> 2020-03-02 10:32:02</t>
  </si>
  <si>
    <t xml:space="preserve"> 2020-03-01 21:54:01</t>
  </si>
  <si>
    <t>九八五成功开单</t>
  </si>
  <si>
    <t xml:space="preserve"> 2020-03-02 08:30:01</t>
  </si>
  <si>
    <t xml:space="preserve"> 2020-03-01 22:12:01</t>
  </si>
  <si>
    <t>认真的告白有多甜</t>
  </si>
  <si>
    <t xml:space="preserve"> 2020-03-02 10:56:01</t>
  </si>
  <si>
    <t xml:space="preserve"> 2020-03-01 20:48:01</t>
  </si>
  <si>
    <t>王鹤棣剃光头</t>
  </si>
  <si>
    <t xml:space="preserve"> 2020-03-02 10:58:02</t>
  </si>
  <si>
    <t xml:space="preserve"> 2020-03-01 22:44:02</t>
  </si>
  <si>
    <t>白凯南节目</t>
  </si>
  <si>
    <t xml:space="preserve"> 2020-03-02 09:12:02</t>
  </si>
  <si>
    <t>谭新凯什么时候下线</t>
  </si>
  <si>
    <t xml:space="preserve"> 2020-03-02 08:14:02</t>
  </si>
  <si>
    <t xml:space="preserve"> 2020-03-01 17:16:02</t>
  </si>
  <si>
    <t>武汉首家方舱医院休舱</t>
  </si>
  <si>
    <t xml:space="preserve"> 2020-03-02 10:02:02</t>
  </si>
  <si>
    <t xml:space="preserve"> 2020-03-01 19:44:01</t>
  </si>
  <si>
    <t>意大利议员戴口罩被嘲怒摔话筒</t>
  </si>
  <si>
    <t xml:space="preserve"> 2020-03-02 09:06:01</t>
  </si>
  <si>
    <t xml:space="preserve"> 2020-03-01 18:10:02</t>
  </si>
  <si>
    <t>李现刮胡子前后</t>
  </si>
  <si>
    <t xml:space="preserve"> 2020-03-02 10:12:02</t>
  </si>
  <si>
    <t>王俊凯自拍角度</t>
  </si>
  <si>
    <t xml:space="preserve"> 2020-03-02 10:54:01</t>
  </si>
  <si>
    <t xml:space="preserve"> 2020-03-01 21:52:02</t>
  </si>
  <si>
    <t>像极了儿时家人给你脱衣服</t>
  </si>
  <si>
    <t xml:space="preserve"> 2020-03-02 11:52:02</t>
  </si>
  <si>
    <t>10架次航班接回1314名中国公民</t>
  </si>
  <si>
    <t xml:space="preserve"> 2020-03-02 07:46:02</t>
  </si>
  <si>
    <t xml:space="preserve"> 2020-03-01 18:06:01</t>
  </si>
  <si>
    <t>三个人的友情有多脆弱</t>
  </si>
  <si>
    <t xml:space="preserve"> 2020-03-02 10:10:01</t>
  </si>
  <si>
    <t xml:space="preserve"> 2020-03-01 20:20:02</t>
  </si>
  <si>
    <t>吴京裹被子cos大象</t>
  </si>
  <si>
    <t xml:space="preserve"> 2020-03-02 07:52:01</t>
  </si>
  <si>
    <t xml:space="preserve"> 2020-03-01 17:32:02</t>
  </si>
  <si>
    <t>入睡的必要条件</t>
  </si>
  <si>
    <t xml:space="preserve"> 2020-03-02 07:30:02</t>
  </si>
  <si>
    <t>有一种乡愁叫火锅</t>
  </si>
  <si>
    <t xml:space="preserve"> 2020-03-31 21:38:02</t>
  </si>
  <si>
    <t xml:space="preserve"> 2020-01-26 20:36:01</t>
  </si>
  <si>
    <t>武汉日记</t>
  </si>
  <si>
    <t xml:space="preserve"> 2020-03-02 08:18:01</t>
  </si>
  <si>
    <t xml:space="preserve"> 2020-03-01 19:52:02</t>
  </si>
  <si>
    <t>伊朗华人谈当地疫情</t>
  </si>
  <si>
    <t xml:space="preserve"> 2020-03-02 07:18:02</t>
  </si>
  <si>
    <t xml:space="preserve"> 2020-03-01 20:38:02</t>
  </si>
  <si>
    <t>如何用一只猫开台灯</t>
  </si>
  <si>
    <t>烧饼曹鹤阳群口相声</t>
  </si>
  <si>
    <t xml:space="preserve"> 2020-03-02 01:18:01</t>
  </si>
  <si>
    <t xml:space="preserve"> 2020-03-01 22:04:02</t>
  </si>
  <si>
    <t>爆裂风车</t>
  </si>
  <si>
    <t xml:space="preserve"> 2020-03-02 07:08:02</t>
  </si>
  <si>
    <t xml:space="preserve"> 2020-03-01 20:26:01</t>
  </si>
  <si>
    <t>别人没法理解的自卑点</t>
  </si>
  <si>
    <t xml:space="preserve"> 2020-03-02 07:40:02</t>
  </si>
  <si>
    <t xml:space="preserve"> 2020-03-01 19:40:02</t>
  </si>
  <si>
    <t>韩新天地教会会长被诉过失杀人</t>
  </si>
  <si>
    <t xml:space="preserve"> 2020-03-02 07:14:02</t>
  </si>
  <si>
    <t xml:space="preserve"> 2020-03-01 19:00:02</t>
  </si>
  <si>
    <t>油条配酱油还是豆浆</t>
  </si>
  <si>
    <t xml:space="preserve"> 2020-03-02 07:10:02</t>
  </si>
  <si>
    <t xml:space="preserve"> 2020-03-01 16:56:02</t>
  </si>
  <si>
    <t>房贷</t>
  </si>
  <si>
    <t xml:space="preserve"> 2020-03-02 16:40:01</t>
  </si>
  <si>
    <t>王思聪点赞</t>
  </si>
  <si>
    <t xml:space="preserve"> 2020-03-02 16:16:02</t>
  </si>
  <si>
    <t>新天地教会会长新冠病毒检测呈阴性</t>
  </si>
  <si>
    <t xml:space="preserve"> 2020-03-02 16:36:02</t>
  </si>
  <si>
    <t xml:space="preserve"> 2020-03-02 10:22:02</t>
  </si>
  <si>
    <t>瓦妮莎呼吁严惩传播科比遗照的警察</t>
  </si>
  <si>
    <t xml:space="preserve"> 2020-03-02 14:26:01</t>
  </si>
  <si>
    <t xml:space="preserve"> 2020-03-02 09:14:02</t>
  </si>
  <si>
    <t>哈文</t>
  </si>
  <si>
    <t xml:space="preserve"> 2020-03-02 19:02:02</t>
  </si>
  <si>
    <t xml:space="preserve"> 2020-03-02 11:36:02</t>
  </si>
  <si>
    <t>复工第一天上班</t>
  </si>
  <si>
    <t xml:space="preserve"> 2020-03-02 16:20:01</t>
  </si>
  <si>
    <t xml:space="preserve"> 2020-03-02 11:18:01</t>
  </si>
  <si>
    <t>云南临沧通报强制师生服用大锅药</t>
  </si>
  <si>
    <t xml:space="preserve"> 2020-03-02 15:14:01</t>
  </si>
  <si>
    <t>浙江新增1例境外输入性确诊病例</t>
  </si>
  <si>
    <t xml:space="preserve"> 2020-03-02 15:42:01</t>
  </si>
  <si>
    <t xml:space="preserve"> 2020-03-02 08:06:01</t>
  </si>
  <si>
    <t>阿富汗总统拒绝释放塔利班囚犯</t>
  </si>
  <si>
    <t xml:space="preserve"> 2020-03-02 15:34:02</t>
  </si>
  <si>
    <t xml:space="preserve"> 2020-03-02 10:14:02</t>
  </si>
  <si>
    <t>薯片炒饭</t>
  </si>
  <si>
    <t xml:space="preserve"> 2020-03-02 11:26:01</t>
  </si>
  <si>
    <t>罗马教皇身体不适取消工作安排</t>
  </si>
  <si>
    <t xml:space="preserve"> 2020-03-02 14:04:01</t>
  </si>
  <si>
    <t>中国将尽快推动出台生物安全法</t>
  </si>
  <si>
    <t xml:space="preserve"> 2020-03-02 13:02:01</t>
  </si>
  <si>
    <t xml:space="preserve"> 2020-03-02 10:40:02</t>
  </si>
  <si>
    <t>浙江应急响应调整为二级</t>
  </si>
  <si>
    <t xml:space="preserve"> 2020-03-02 13:54:02</t>
  </si>
  <si>
    <t xml:space="preserve"> 2020-03-02 11:06:02</t>
  </si>
  <si>
    <t>河南靳庄村抗疫16天</t>
  </si>
  <si>
    <t xml:space="preserve"> 2020-03-02 19:00:02</t>
  </si>
  <si>
    <t>电竞圈</t>
  </si>
  <si>
    <t xml:space="preserve"> 2020-03-02 17:40:02</t>
  </si>
  <si>
    <t>郭炜炜</t>
  </si>
  <si>
    <t xml:space="preserve"> 2020-03-02 15:04:02</t>
  </si>
  <si>
    <t xml:space="preserve"> 2020-03-02 11:48:02</t>
  </si>
  <si>
    <t>澳门全部娱乐场所重开</t>
  </si>
  <si>
    <t xml:space="preserve"> 2020-03-02 09:36:02</t>
  </si>
  <si>
    <t>脱口秀大会斥白凯南抄袭</t>
  </si>
  <si>
    <t xml:space="preserve"> 2020-03-02 19:58:02</t>
  </si>
  <si>
    <t xml:space="preserve"> 2020-03-02 11:56:02</t>
  </si>
  <si>
    <t>原来不着急理发的梗是真的</t>
  </si>
  <si>
    <t xml:space="preserve"> 2020-03-02 13:52:01</t>
  </si>
  <si>
    <t>法国官方建议取消贴面礼</t>
  </si>
  <si>
    <t xml:space="preserve"> 2020-03-02 08:28:02</t>
  </si>
  <si>
    <t>被改过的最可惜的地名</t>
  </si>
  <si>
    <t xml:space="preserve"> 2020-03-02 13:28:01</t>
  </si>
  <si>
    <t xml:space="preserve"> 2020-03-02 11:42:01</t>
  </si>
  <si>
    <t>巴基斯坦等国派军机运输医疗防护用品</t>
  </si>
  <si>
    <t xml:space="preserve"> 2020-03-02 13:50:01</t>
  </si>
  <si>
    <t xml:space="preserve"> 2020-03-02 07:42:01</t>
  </si>
  <si>
    <t>15000个武汉加油中国加油拼成钟南山</t>
  </si>
  <si>
    <t xml:space="preserve"> 2020-03-12 16:58:02</t>
  </si>
  <si>
    <t>慕课崩了</t>
  </si>
  <si>
    <t xml:space="preserve"> 2020-03-02 14:46:01</t>
  </si>
  <si>
    <t xml:space="preserve"> 2020-03-02 07:44:01</t>
  </si>
  <si>
    <t>小时候磕过最早的cp</t>
  </si>
  <si>
    <t xml:space="preserve"> 2020-03-02 13:42:02</t>
  </si>
  <si>
    <t>刘良还原新冠肺炎逝者解剖后的肺</t>
  </si>
  <si>
    <t xml:space="preserve"> 2020-03-02 13:20:02</t>
  </si>
  <si>
    <t>法国买口罩需医生开处方</t>
  </si>
  <si>
    <t xml:space="preserve"> 2020-03-02 14:10:02</t>
  </si>
  <si>
    <t xml:space="preserve"> 2020-03-02 08:20:02</t>
  </si>
  <si>
    <t>单身真不是随便谁都能单的</t>
  </si>
  <si>
    <t xml:space="preserve"> 2020-03-02 16:04:01</t>
  </si>
  <si>
    <t>中国汉字的人是相互支撑的架构</t>
  </si>
  <si>
    <t xml:space="preserve"> 2020-03-02 13:10:02</t>
  </si>
  <si>
    <t>CSGO</t>
  </si>
  <si>
    <t xml:space="preserve"> 2020-03-02 12:42:02</t>
  </si>
  <si>
    <t>4名由韩至渝重庆旅客因发热送诊</t>
  </si>
  <si>
    <t xml:space="preserve"> 2020-03-02 13:40:02</t>
  </si>
  <si>
    <t>方舱清流哥</t>
  </si>
  <si>
    <t xml:space="preserve"> 2020-03-02 13:04:01</t>
  </si>
  <si>
    <t xml:space="preserve"> 2020-03-02 10:30:01</t>
  </si>
  <si>
    <t>31省区市新增202例新冠肺炎</t>
  </si>
  <si>
    <t xml:space="preserve"> 2020-04-03 12:24:02</t>
  </si>
  <si>
    <t xml:space="preserve"> 2020-03-02 07:58:02</t>
  </si>
  <si>
    <t>懂球帝</t>
  </si>
  <si>
    <t xml:space="preserve"> 2020-03-02 14:40:02</t>
  </si>
  <si>
    <t>全军医护保持零感染</t>
  </si>
  <si>
    <t xml:space="preserve"> 2020-03-02 12:50:01</t>
  </si>
  <si>
    <t xml:space="preserve"> 2020-03-02 11:12:02</t>
  </si>
  <si>
    <t>原来妈妈才是英雄</t>
  </si>
  <si>
    <t xml:space="preserve"> 2020-03-02 17:50:01</t>
  </si>
  <si>
    <t xml:space="preserve"> 2020-03-02 12:00:02</t>
  </si>
  <si>
    <t>治愈男子送医院7吨重石碑</t>
  </si>
  <si>
    <t xml:space="preserve"> 2020-03-02 12:36:02</t>
  </si>
  <si>
    <t xml:space="preserve"> 2020-03-02 07:20:01</t>
  </si>
  <si>
    <t>意大利新增566例新冠肺炎</t>
  </si>
  <si>
    <t xml:space="preserve"> 2020-03-02 12:38:02</t>
  </si>
  <si>
    <t xml:space="preserve"> 2019-11-02 12:28:02</t>
  </si>
  <si>
    <t>詹姆斯三双</t>
  </si>
  <si>
    <t xml:space="preserve"> 2020-03-02 09:44:01</t>
  </si>
  <si>
    <t>湖北14个市州新增病例为0</t>
  </si>
  <si>
    <t xml:space="preserve"> 2020-03-02 12:18:01</t>
  </si>
  <si>
    <t>美国纽约州首次出现确诊病例</t>
  </si>
  <si>
    <t>3批共4000名军队医务人员驰援武汉</t>
  </si>
  <si>
    <t xml:space="preserve"> 2020-03-02 12:20:02</t>
  </si>
  <si>
    <t xml:space="preserve"> 2020-03-02 08:38:01</t>
  </si>
  <si>
    <t>中国境外累计确诊新冠肺炎7169例</t>
  </si>
  <si>
    <t xml:space="preserve"> 2020-03-02 12:12:02</t>
  </si>
  <si>
    <t xml:space="preserve"> 2020-03-02 11:28:02</t>
  </si>
  <si>
    <t>运-20出动10架次驰援武汉</t>
  </si>
  <si>
    <t xml:space="preserve"> 2020-03-03 13:16:01</t>
  </si>
  <si>
    <t xml:space="preserve"> 2020-03-02 21:28:02</t>
  </si>
  <si>
    <t>余文乐道歉</t>
  </si>
  <si>
    <t xml:space="preserve"> 2020-03-03 12:16:02</t>
  </si>
  <si>
    <t xml:space="preserve"> 2020-03-02 20:20:01</t>
  </si>
  <si>
    <t>孙杨公布完整血样瓶</t>
  </si>
  <si>
    <t xml:space="preserve"> 2020-03-03 09:46:02</t>
  </si>
  <si>
    <t xml:space="preserve"> 2020-03-02 22:34:02</t>
  </si>
  <si>
    <t>杰克韦尔奇去世</t>
  </si>
  <si>
    <t xml:space="preserve"> 2020-04-04 18:50:02</t>
  </si>
  <si>
    <t xml:space="preserve"> 2020-03-02 22:58:02</t>
  </si>
  <si>
    <t>知乎崩了</t>
  </si>
  <si>
    <t xml:space="preserve"> 2020-03-03 12:46:02</t>
  </si>
  <si>
    <t xml:space="preserve"> 2020-03-02 22:48:02</t>
  </si>
  <si>
    <t>湖北卫视 江苏省合肥市</t>
  </si>
  <si>
    <t xml:space="preserve"> 2020-03-03 12:10:01</t>
  </si>
  <si>
    <t>斯黛拉踢崔英俊</t>
  </si>
  <si>
    <t xml:space="preserve"> 2020-03-03 09:36:02</t>
  </si>
  <si>
    <t xml:space="preserve"> 2020-03-02 19:36:02</t>
  </si>
  <si>
    <t>高鑫去口罩厂做义工</t>
  </si>
  <si>
    <t xml:space="preserve"> 2020-03-03 10:20:01</t>
  </si>
  <si>
    <t xml:space="preserve"> 2020-03-02 21:34:01</t>
  </si>
  <si>
    <t>钟南山团队建议严格防控实施至4月底</t>
  </si>
  <si>
    <t xml:space="preserve"> 2020-03-03 07:06:02</t>
  </si>
  <si>
    <t xml:space="preserve"> 2020-03-02 20:00:02</t>
  </si>
  <si>
    <t>对外国和本国公民无差别执行措施</t>
  </si>
  <si>
    <t xml:space="preserve"> 2020-03-03 09:24:02</t>
  </si>
  <si>
    <t>偶像失声</t>
  </si>
  <si>
    <t xml:space="preserve"> 2020-03-03 10:22:02</t>
  </si>
  <si>
    <t xml:space="preserve"> 2020-03-02 22:24:02</t>
  </si>
  <si>
    <t>三部门发布16个新职业</t>
  </si>
  <si>
    <t xml:space="preserve"> 2020-03-03 08:30:01</t>
  </si>
  <si>
    <t xml:space="preserve"> 2020-03-02 18:44:02</t>
  </si>
  <si>
    <t>刘昊然晒乐高</t>
  </si>
  <si>
    <t xml:space="preserve"> 2020-03-03 09:40:02</t>
  </si>
  <si>
    <t xml:space="preserve"> 2020-03-02 18:18:02</t>
  </si>
  <si>
    <t>为什么你还买不到口罩</t>
  </si>
  <si>
    <t xml:space="preserve"> 2020-03-03 09:14:02</t>
  </si>
  <si>
    <t xml:space="preserve"> 2020-03-02 23:26:02</t>
  </si>
  <si>
    <t>佛罗里达州宣布进入公共卫生紧急状态</t>
  </si>
  <si>
    <t xml:space="preserve"> 2020-03-03 07:14:02</t>
  </si>
  <si>
    <t xml:space="preserve"> 2020-03-02 17:42:02</t>
  </si>
  <si>
    <t>马云回赠日本100万只口罩</t>
  </si>
  <si>
    <t xml:space="preserve"> 2020-03-03 10:28:01</t>
  </si>
  <si>
    <t xml:space="preserve"> 2020-03-02 23:02:02</t>
  </si>
  <si>
    <t>中国成为联合国安理会轮值主席国</t>
  </si>
  <si>
    <t xml:space="preserve"> 2020-03-03 11:18:02</t>
  </si>
  <si>
    <t xml:space="preserve"> 2020-03-02 22:06:01</t>
  </si>
  <si>
    <t>朱闪闪</t>
  </si>
  <si>
    <t xml:space="preserve"> 2020-03-03 09:50:02</t>
  </si>
  <si>
    <t>妈妈眼中的你吃螺蛳粉</t>
  </si>
  <si>
    <t xml:space="preserve"> 2020-03-03 11:04:02</t>
  </si>
  <si>
    <t xml:space="preserve"> 2020-03-02 21:50:01</t>
  </si>
  <si>
    <t>穷的新名词</t>
  </si>
  <si>
    <t>教师资格证面试成绩</t>
  </si>
  <si>
    <t xml:space="preserve"> 2020-03-03 10:12:02</t>
  </si>
  <si>
    <t xml:space="preserve"> 2020-03-02 22:54:02</t>
  </si>
  <si>
    <t>把防护服穿成了记事本</t>
  </si>
  <si>
    <t xml:space="preserve"> 2020-03-03 11:26:02</t>
  </si>
  <si>
    <t>Ulay</t>
  </si>
  <si>
    <t xml:space="preserve"> 2020-03-03 08:34:01</t>
  </si>
  <si>
    <t xml:space="preserve"> 2020-03-02 21:00:02</t>
  </si>
  <si>
    <t>王一楠</t>
  </si>
  <si>
    <t xml:space="preserve"> 2020-03-03 08:44:02</t>
  </si>
  <si>
    <t>化了全妆如何擦眼泪</t>
  </si>
  <si>
    <t xml:space="preserve"> 2020-03-02 19:34:02</t>
  </si>
  <si>
    <t>韩国新冠肺炎定点医院16名护士辞职</t>
  </si>
  <si>
    <t xml:space="preserve"> 2020-03-03 07:24:01</t>
  </si>
  <si>
    <t xml:space="preserve"> 2020-03-02 20:50:02</t>
  </si>
  <si>
    <t>安家老洋房故事原型</t>
  </si>
  <si>
    <t xml:space="preserve"> 2020-03-03 10:38:02</t>
  </si>
  <si>
    <t xml:space="preserve"> 2020-03-02 22:44:02</t>
  </si>
  <si>
    <t>江达琳人设</t>
  </si>
  <si>
    <t xml:space="preserve"> 2020-03-03 10:04:02</t>
  </si>
  <si>
    <t xml:space="preserve"> 2020-03-02 22:14:02</t>
  </si>
  <si>
    <t>韩国大邱建方舱医院</t>
  </si>
  <si>
    <t xml:space="preserve"> 2020-03-03 07:38:01</t>
  </si>
  <si>
    <t xml:space="preserve"> 2020-03-02 21:16:02</t>
  </si>
  <si>
    <t>李易峰围观韩延直播</t>
  </si>
  <si>
    <t xml:space="preserve"> 2020-03-03 08:32:02</t>
  </si>
  <si>
    <t xml:space="preserve"> 2020-03-02 23:06:02</t>
  </si>
  <si>
    <t>3D打印的新冠肺炎病灶模型</t>
  </si>
  <si>
    <t xml:space="preserve"> 2020-03-03 08:04:01</t>
  </si>
  <si>
    <t xml:space="preserve"> 2020-03-02 21:04:02</t>
  </si>
  <si>
    <t>上万非法移民冲击希腊土耳其</t>
  </si>
  <si>
    <t xml:space="preserve"> 2020-03-03 08:42:02</t>
  </si>
  <si>
    <t>完美关系 邦尼</t>
  </si>
  <si>
    <t>北海道知事</t>
  </si>
  <si>
    <t xml:space="preserve"> 2020-03-03 07:20:02</t>
  </si>
  <si>
    <t xml:space="preserve"> 2020-03-02 22:46:02</t>
  </si>
  <si>
    <t>2020年全面建成北斗全球系统</t>
  </si>
  <si>
    <t>塔利班宣布终止部分停战协定</t>
  </si>
  <si>
    <t xml:space="preserve"> 2020-03-03 08:14:01</t>
  </si>
  <si>
    <t xml:space="preserve"> 2020-03-02 16:42:02</t>
  </si>
  <si>
    <t>余文乐</t>
  </si>
  <si>
    <t xml:space="preserve"> 2020-04-08 08:24:02</t>
  </si>
  <si>
    <t xml:space="preserve"> 2019-12-04 08:24:02</t>
  </si>
  <si>
    <t>美股</t>
  </si>
  <si>
    <t xml:space="preserve"> 2020-03-03 07:10:02</t>
  </si>
  <si>
    <t xml:space="preserve"> 2020-03-02 17:14:02</t>
  </si>
  <si>
    <t>张掖到底有多美</t>
  </si>
  <si>
    <t xml:space="preserve"> 2020-03-03 07:18:02</t>
  </si>
  <si>
    <t xml:space="preserve"> 2020-03-02 19:04:02</t>
  </si>
  <si>
    <t>美国超市厕纸被一抢而空</t>
  </si>
  <si>
    <t xml:space="preserve"> 2020-03-03 08:06:02</t>
  </si>
  <si>
    <t>辽宁一民警牺牲在防疫一线</t>
  </si>
  <si>
    <t>灏泽先生</t>
  </si>
  <si>
    <t xml:space="preserve"> 2020-03-03 07:22:02</t>
  </si>
  <si>
    <t>王一博素颜</t>
  </si>
  <si>
    <t xml:space="preserve"> 2020-03-03 08:22:02</t>
  </si>
  <si>
    <t>加拿大政府建议民众尽早囤货</t>
  </si>
  <si>
    <t>长沙县包装厂起火</t>
  </si>
  <si>
    <t xml:space="preserve"> 2020-03-03 03:44:01</t>
  </si>
  <si>
    <t xml:space="preserve"> 2020-03-02 19:06:02</t>
  </si>
  <si>
    <t>辣条炒面</t>
  </si>
  <si>
    <t>爬山找信号的女孩能在家上课了</t>
  </si>
  <si>
    <t xml:space="preserve"> 2020-03-03 00:22:02</t>
  </si>
  <si>
    <t xml:space="preserve"> 2020-03-02 23:30:02</t>
  </si>
  <si>
    <t>C919大飞机复工</t>
  </si>
  <si>
    <t xml:space="preserve"> 2020-03-03 15:30:01</t>
  </si>
  <si>
    <t xml:space="preserve"> 2020-03-03 09:34:01</t>
  </si>
  <si>
    <t>浙江新增7例均为意大利输入病例</t>
  </si>
  <si>
    <t xml:space="preserve"> 2020-03-03 16:42:02</t>
  </si>
  <si>
    <t xml:space="preserve"> 2020-03-03 11:34:01</t>
  </si>
  <si>
    <t>国家将加快人工智能研究生培养</t>
  </si>
  <si>
    <t xml:space="preserve"> 2020-03-03 14:02:02</t>
  </si>
  <si>
    <t xml:space="preserve"> 2020-03-03 09:26:02</t>
  </si>
  <si>
    <t>伊朗将中国诊疗方案译成波斯语</t>
  </si>
  <si>
    <t xml:space="preserve"> 2020-03-16 23:28:02</t>
  </si>
  <si>
    <t xml:space="preserve"> 2020-03-03 11:46:02</t>
  </si>
  <si>
    <t>马薇薇</t>
  </si>
  <si>
    <t xml:space="preserve"> 2020-03-03 15:46:02</t>
  </si>
  <si>
    <t xml:space="preserve"> 2020-03-03 09:38:02</t>
  </si>
  <si>
    <t>上海新增确诊1例新冠肺炎</t>
  </si>
  <si>
    <t xml:space="preserve"> 2020-03-03 13:44:02</t>
  </si>
  <si>
    <t xml:space="preserve"> 2020-03-03 09:42:02</t>
  </si>
  <si>
    <t>韩国累计确诊4812例新冠肺炎</t>
  </si>
  <si>
    <t xml:space="preserve"> 2020-03-03 17:36:02</t>
  </si>
  <si>
    <t xml:space="preserve"> 2020-03-03 11:52:02</t>
  </si>
  <si>
    <t>为了吃螺蛳粉有多拼</t>
  </si>
  <si>
    <t xml:space="preserve"> 2020-03-03 14:18:02</t>
  </si>
  <si>
    <t>武汉外地滞留者可申领3000元政府救助</t>
  </si>
  <si>
    <t xml:space="preserve"> 2020-03-03 13:30:02</t>
  </si>
  <si>
    <t>辽宁新增3例确诊均为丹东病例</t>
  </si>
  <si>
    <t xml:space="preserve"> 2020-03-03 13:14:02</t>
  </si>
  <si>
    <t>31省区市新增125例新冠肺炎</t>
  </si>
  <si>
    <t xml:space="preserve"> 2020-03-03 12:26:02</t>
  </si>
  <si>
    <t>世卫组织工作人员在伊朗感染新冠病毒</t>
  </si>
  <si>
    <t xml:space="preserve"> 2020-03-03 18:08:01</t>
  </si>
  <si>
    <t xml:space="preserve"> 2020-03-03 10:44:02</t>
  </si>
  <si>
    <t>孙俪求杨超越保佑业绩</t>
  </si>
  <si>
    <t xml:space="preserve"> 2020-03-03 15:22:01</t>
  </si>
  <si>
    <t xml:space="preserve"> 2020-03-03 10:30:02</t>
  </si>
  <si>
    <t>新版绯闻女孩主演</t>
  </si>
  <si>
    <t xml:space="preserve"> 2020-03-03 16:22:02</t>
  </si>
  <si>
    <t>王竟力</t>
  </si>
  <si>
    <t xml:space="preserve"> 2020-03-03 15:08:01</t>
  </si>
  <si>
    <t xml:space="preserve"> 2020-03-03 11:20:01</t>
  </si>
  <si>
    <t>丽水</t>
  </si>
  <si>
    <t xml:space="preserve"> 2020-03-03 15:14:01</t>
  </si>
  <si>
    <t xml:space="preserve"> 2020-03-03 10:32:01</t>
  </si>
  <si>
    <t>拼多多市值反超百度</t>
  </si>
  <si>
    <t xml:space="preserve"> 2020-03-03 14:22:01</t>
  </si>
  <si>
    <t xml:space="preserve"> 2020-03-03 11:10:02</t>
  </si>
  <si>
    <t>如何用韩剧的方式哄女友</t>
  </si>
  <si>
    <t xml:space="preserve"> 2020-03-03 15:12:01</t>
  </si>
  <si>
    <t xml:space="preserve"> 2020-03-03 08:28:01</t>
  </si>
  <si>
    <t>odd</t>
  </si>
  <si>
    <t xml:space="preserve"> 2020-03-03 15:06:01</t>
  </si>
  <si>
    <t xml:space="preserve"> 2020-03-03 10:48:02</t>
  </si>
  <si>
    <t>特朗普称现在举行集会安全</t>
  </si>
  <si>
    <t xml:space="preserve"> 2020-03-03 14:26:02</t>
  </si>
  <si>
    <t xml:space="preserve"> 2020-03-03 08:40:01</t>
  </si>
  <si>
    <t>快跑</t>
  </si>
  <si>
    <t xml:space="preserve"> 2020-03-03 13:50:02</t>
  </si>
  <si>
    <t xml:space="preserve"> 2020-03-03 08:38:01</t>
  </si>
  <si>
    <t>蒙古国又向中国捐赠20000只口罩</t>
  </si>
  <si>
    <t>苹果5亿美元和解降速门诉讼</t>
  </si>
  <si>
    <t xml:space="preserve"> 2020-03-03 07:44:01</t>
  </si>
  <si>
    <t>大乔白蛇</t>
  </si>
  <si>
    <t xml:space="preserve"> 2020-03-03 13:32:02</t>
  </si>
  <si>
    <t xml:space="preserve"> 2020-03-03 10:14:01</t>
  </si>
  <si>
    <t>NBA发布新冠肺炎备忘录</t>
  </si>
  <si>
    <t xml:space="preserve"> 2020-03-03 14:12:02</t>
  </si>
  <si>
    <t xml:space="preserve"> 2020-03-03 09:54:02</t>
  </si>
  <si>
    <t>黄石两村民发热打牌致多人感染</t>
  </si>
  <si>
    <t>哪一瞬间让你决定想分手</t>
  </si>
  <si>
    <t xml:space="preserve"> 2020-03-03 09:48:01</t>
  </si>
  <si>
    <t>北京新高考举行首次适应性测试</t>
  </si>
  <si>
    <t xml:space="preserve"> 2020-03-03 14:08:01</t>
  </si>
  <si>
    <t xml:space="preserve"> 2020-03-03 11:08:01</t>
  </si>
  <si>
    <t>我们的乐队阵容</t>
  </si>
  <si>
    <t>新冠肺炎患者的肺和SARS患者的区别</t>
  </si>
  <si>
    <t xml:space="preserve"> 2020-03-03 13:58:01</t>
  </si>
  <si>
    <t xml:space="preserve"> 2020-03-03 09:52:02</t>
  </si>
  <si>
    <t>95后火神山小护士</t>
  </si>
  <si>
    <t xml:space="preserve"> 2020-03-03 10:18:02</t>
  </si>
  <si>
    <t>祁连山区拍到四只雪豹同框活动</t>
  </si>
  <si>
    <t xml:space="preserve"> 2020-03-03 12:18:02</t>
  </si>
  <si>
    <t xml:space="preserve"> 2020-03-03 08:48:02</t>
  </si>
  <si>
    <t>美疾控中心误放一名新冠患者</t>
  </si>
  <si>
    <t xml:space="preserve"> 2020-03-03 12:14:02</t>
  </si>
  <si>
    <t>日本新冠肺炎治疗方案</t>
  </si>
  <si>
    <t xml:space="preserve"> 2020-03-03 12:20:02</t>
  </si>
  <si>
    <t xml:space="preserve"> 2020-03-03 11:06:01</t>
  </si>
  <si>
    <t>诺基亚CEO离职</t>
  </si>
  <si>
    <t xml:space="preserve"> 2020-03-03 16:50:02</t>
  </si>
  <si>
    <t xml:space="preserve"> 2020-03-03 11:56:02</t>
  </si>
  <si>
    <t>韩国100多名军人是新天地教徒</t>
  </si>
  <si>
    <t xml:space="preserve"> 2020-03-03 17:12:01</t>
  </si>
  <si>
    <t xml:space="preserve"> 2020-03-03 11:58:02</t>
  </si>
  <si>
    <t>韩国政府进入24小时全面戒备状态</t>
  </si>
  <si>
    <t xml:space="preserve"> 2020-03-03 11:54:01</t>
  </si>
  <si>
    <t>中央要求各地关心关爱一线社区工作者</t>
  </si>
  <si>
    <t xml:space="preserve"> 2020-03-03 13:08:02</t>
  </si>
  <si>
    <t>青山一道 同担风雨</t>
  </si>
  <si>
    <t xml:space="preserve"> 2020-03-03 12:44:01</t>
  </si>
  <si>
    <t>中国工作组考察巴基斯坦蝗灾区</t>
  </si>
  <si>
    <t xml:space="preserve"> 2020-03-03 16:56:02</t>
  </si>
  <si>
    <t>浙江8输入病例在意大利同一餐厅工作</t>
  </si>
  <si>
    <t xml:space="preserve"> 2020-03-03 15:40:02</t>
  </si>
  <si>
    <t xml:space="preserve"> 2020-03-03 12:00:01</t>
  </si>
  <si>
    <t>10地连续10天以上无新增病例</t>
  </si>
  <si>
    <t xml:space="preserve"> 2020-03-03 12:08:02</t>
  </si>
  <si>
    <t xml:space="preserve"> 2020-03-03 08:02:01</t>
  </si>
  <si>
    <t>意大利累计确诊2036例新冠肺炎</t>
  </si>
  <si>
    <t xml:space="preserve"> 2020-03-03 07:08:01</t>
  </si>
  <si>
    <t>锁骨放口红挑战</t>
  </si>
  <si>
    <t xml:space="preserve"> 2020-03-03 08:58:02</t>
  </si>
  <si>
    <t>湖北以外连续2天无新增死亡病例</t>
  </si>
  <si>
    <t xml:space="preserve"> 2020-03-03 10:06:01</t>
  </si>
  <si>
    <t>9岁男孩山坡搭棚上网课</t>
  </si>
  <si>
    <t xml:space="preserve"> 2020-03-03 18:38:02</t>
  </si>
  <si>
    <t>黄冈给郑爽一家写感谢信</t>
  </si>
  <si>
    <t xml:space="preserve"> 2020-03-04 10:32:02</t>
  </si>
  <si>
    <t xml:space="preserve"> 2020-03-03 22:40:01</t>
  </si>
  <si>
    <t>巴基斯坦蝗虫进入交配繁殖阶段</t>
  </si>
  <si>
    <t xml:space="preserve"> 2020-03-04 08:06:02</t>
  </si>
  <si>
    <t xml:space="preserve"> 2020-03-03 20:16:01</t>
  </si>
  <si>
    <t>华南海鲜市场开始消杀工作</t>
  </si>
  <si>
    <t xml:space="preserve"> 2020-03-04 09:46:02</t>
  </si>
  <si>
    <t xml:space="preserve"> 2020-03-03 21:22:02</t>
  </si>
  <si>
    <t>怀疑钞票有病毒用微波炉加热</t>
  </si>
  <si>
    <t xml:space="preserve"> 2020-03-04 13:14:01</t>
  </si>
  <si>
    <t xml:space="preserve"> 2020-03-03 22:48:02</t>
  </si>
  <si>
    <t>Luna 纪录片</t>
  </si>
  <si>
    <t xml:space="preserve"> 2020-03-04 12:24:02</t>
  </si>
  <si>
    <t xml:space="preserve"> 2020-03-03 22:30:02</t>
  </si>
  <si>
    <t>斯黛拉怼江达琳</t>
  </si>
  <si>
    <t xml:space="preserve"> 2020-03-04 10:26:02</t>
  </si>
  <si>
    <t>中方连发四问回应美限制中国媒体</t>
  </si>
  <si>
    <t xml:space="preserve"> 2020-03-04 07:24:02</t>
  </si>
  <si>
    <t xml:space="preserve"> 2020-03-03 17:20:02</t>
  </si>
  <si>
    <t>国际泳联考虑将孙杨金牌罚给霍顿</t>
  </si>
  <si>
    <t xml:space="preserve"> 2020-03-04 07:50:02</t>
  </si>
  <si>
    <t xml:space="preserve"> 2020-03-03 20:52:01</t>
  </si>
  <si>
    <t>王子健朱闪闪</t>
  </si>
  <si>
    <t xml:space="preserve"> 2020-03-04 09:52:01</t>
  </si>
  <si>
    <t xml:space="preserve"> 2020-03-03 21:14:02</t>
  </si>
  <si>
    <t>韩国大邱一确诊者混入长队买口罩</t>
  </si>
  <si>
    <t xml:space="preserve"> 2020-03-04 09:36:02</t>
  </si>
  <si>
    <t>神农架发生野猪非洲猪瘟疫情</t>
  </si>
  <si>
    <t xml:space="preserve"> 2020-03-11 13:52:01</t>
  </si>
  <si>
    <t>无心法师</t>
  </si>
  <si>
    <t xml:space="preserve"> 2020-03-04 09:54:01</t>
  </si>
  <si>
    <t xml:space="preserve"> 2020-03-03 21:50:02</t>
  </si>
  <si>
    <t>西藏试种耙耙柑成功</t>
  </si>
  <si>
    <t xml:space="preserve"> 2020-03-04 13:48:01</t>
  </si>
  <si>
    <t xml:space="preserve"> 2020-03-03 22:28:02</t>
  </si>
  <si>
    <t>邢晓瑶</t>
  </si>
  <si>
    <t xml:space="preserve"> 2020-03-19 11:22:02</t>
  </si>
  <si>
    <t xml:space="preserve"> 2020-03-03 22:38:01</t>
  </si>
  <si>
    <t>李佳琦直播间</t>
  </si>
  <si>
    <t xml:space="preserve"> 2020-03-04 08:32:02</t>
  </si>
  <si>
    <t xml:space="preserve"> 2020-03-03 19:46:02</t>
  </si>
  <si>
    <t>茅台集团重大人事变动</t>
  </si>
  <si>
    <t xml:space="preserve"> 2020-03-04 10:54:01</t>
  </si>
  <si>
    <t xml:space="preserve"> 2020-03-03 22:32:01</t>
  </si>
  <si>
    <t>逃犯因脸太大戴不全口罩落网</t>
  </si>
  <si>
    <t>凤凰娱乐</t>
  </si>
  <si>
    <t xml:space="preserve"> 2020-03-04 08:58:02</t>
  </si>
  <si>
    <t xml:space="preserve"> 2020-03-03 20:00:02</t>
  </si>
  <si>
    <t>钟南山李兰娟等10个院士团队齐聚湖北</t>
  </si>
  <si>
    <t xml:space="preserve"> 2020-03-04 08:52:02</t>
  </si>
  <si>
    <t xml:space="preserve"> 2020-03-03 19:08:02</t>
  </si>
  <si>
    <t>火箭军回应护士向国家要男朋友</t>
  </si>
  <si>
    <t xml:space="preserve"> 2020-03-04 08:26:01</t>
  </si>
  <si>
    <t xml:space="preserve"> 2020-03-03 22:26:02</t>
  </si>
  <si>
    <t>笑煮</t>
  </si>
  <si>
    <t xml:space="preserve"> 2020-03-04 10:56:02</t>
  </si>
  <si>
    <t xml:space="preserve"> 2020-03-03 22:24:02</t>
  </si>
  <si>
    <t>陈瑶男装</t>
  </si>
  <si>
    <t xml:space="preserve"> 2020-03-04 11:00:02</t>
  </si>
  <si>
    <t xml:space="preserve"> 2020-03-03 21:44:02</t>
  </si>
  <si>
    <t>火神山医院的大眼睛医生</t>
  </si>
  <si>
    <t xml:space="preserve"> 2020-03-11 09:38:02</t>
  </si>
  <si>
    <t>将恋爱进行到底</t>
  </si>
  <si>
    <t xml:space="preserve"> 2020-03-03 20:42:01</t>
  </si>
  <si>
    <t>河南严禁老师直播课程打赏</t>
  </si>
  <si>
    <t xml:space="preserve"> 2020-03-04 08:38:02</t>
  </si>
  <si>
    <t>九九八十一</t>
  </si>
  <si>
    <t xml:space="preserve"> 2020-03-04 07:22:02</t>
  </si>
  <si>
    <t>具荷拉哥哥发文</t>
  </si>
  <si>
    <t xml:space="preserve"> 2020-03-04 08:50:02</t>
  </si>
  <si>
    <t xml:space="preserve"> 2020-03-03 17:42:02</t>
  </si>
  <si>
    <t>江苏网警</t>
  </si>
  <si>
    <t xml:space="preserve"> 2020-03-04 07:56:01</t>
  </si>
  <si>
    <t xml:space="preserve"> 2020-03-03 18:50:02</t>
  </si>
  <si>
    <t>武汉将分批分步恢复正常医疗秩序</t>
  </si>
  <si>
    <t xml:space="preserve"> 2020-03-04 09:12:02</t>
  </si>
  <si>
    <t>上影演员剧团李季去世</t>
  </si>
  <si>
    <t>方舱医院患者准备考研见到导师</t>
  </si>
  <si>
    <t xml:space="preserve"> 2020-03-03 22:42:02</t>
  </si>
  <si>
    <t>复工后与同事的相处方式</t>
  </si>
  <si>
    <t xml:space="preserve"> 2020-03-03 17:00:02</t>
  </si>
  <si>
    <t>第一次和人连麦睡觉</t>
  </si>
  <si>
    <t xml:space="preserve"> 2020-03-04 07:34:01</t>
  </si>
  <si>
    <t xml:space="preserve"> 2020-03-03 18:52:01</t>
  </si>
  <si>
    <t>武汉被打配菜员发声</t>
  </si>
  <si>
    <t xml:space="preserve"> 2020-03-04 07:46:01</t>
  </si>
  <si>
    <t xml:space="preserve"> 2020-03-03 23:10:02</t>
  </si>
  <si>
    <t>930万贫困人口已实现易地搬迁</t>
  </si>
  <si>
    <t xml:space="preserve"> 2020-03-04 03:48:01</t>
  </si>
  <si>
    <t xml:space="preserve"> 2020-03-03 17:38:02</t>
  </si>
  <si>
    <t>温州本科生可七折买房</t>
  </si>
  <si>
    <t xml:space="preserve"> 2020-03-04 02:32:02</t>
  </si>
  <si>
    <t xml:space="preserve"> 2020-03-03 22:14:02</t>
  </si>
  <si>
    <t>希腊派特种部队严防难民越境</t>
  </si>
  <si>
    <t xml:space="preserve"> 2020-03-03 20:30:02</t>
  </si>
  <si>
    <t>泰国隔离</t>
  </si>
  <si>
    <t xml:space="preserve"> 2020-03-04 07:20:02</t>
  </si>
  <si>
    <t xml:space="preserve"> 2020-03-03 18:56:01</t>
  </si>
  <si>
    <t>报答型恋爱</t>
  </si>
  <si>
    <t xml:space="preserve"> 2020-03-04 08:40:02</t>
  </si>
  <si>
    <t>C罗母亲中风被紧急送医</t>
  </si>
  <si>
    <t xml:space="preserve"> 2020-03-04 11:04:02</t>
  </si>
  <si>
    <t xml:space="preserve"> 2020-03-03 23:32:01</t>
  </si>
  <si>
    <t>美联储降息</t>
  </si>
  <si>
    <t xml:space="preserve"> 2020-03-04 09:40:02</t>
  </si>
  <si>
    <t xml:space="preserve"> 2020-03-03 23:04:01</t>
  </si>
  <si>
    <t>国际奥委会全力支持东京奥运会举办</t>
  </si>
  <si>
    <t xml:space="preserve"> 2020-03-04 06:08:01</t>
  </si>
  <si>
    <t xml:space="preserve"> 2020-03-03 18:10:01</t>
  </si>
  <si>
    <t>东京奥运允许被推迟至年底举行</t>
  </si>
  <si>
    <t xml:space="preserve"> 2020-03-05 07:10:02</t>
  </si>
  <si>
    <t xml:space="preserve"> 2020-03-04 10:58:01</t>
  </si>
  <si>
    <t>张文宏预测新冠病毒最终发展</t>
  </si>
  <si>
    <t xml:space="preserve"> 2020-03-04 16:24:01</t>
  </si>
  <si>
    <t xml:space="preserve"> 2020-03-04 10:00:02</t>
  </si>
  <si>
    <t>湖北新增确诊病例115例</t>
  </si>
  <si>
    <t xml:space="preserve"> 2020-03-04 14:16:02</t>
  </si>
  <si>
    <t xml:space="preserve"> 2020-03-04 09:28:02</t>
  </si>
  <si>
    <t>武汉拟提拔10名战疫一线干部</t>
  </si>
  <si>
    <t xml:space="preserve"> 2020-03-04 17:32:01</t>
  </si>
  <si>
    <t xml:space="preserve"> 2020-03-04 07:52:01</t>
  </si>
  <si>
    <t>美国超级星期二</t>
  </si>
  <si>
    <t xml:space="preserve"> 2020-03-04 16:22:02</t>
  </si>
  <si>
    <t xml:space="preserve"> 2020-03-04 08:18:02</t>
  </si>
  <si>
    <t>安倍在参议会发言时咳嗽</t>
  </si>
  <si>
    <t xml:space="preserve"> 2020-03-04 16:34:02</t>
  </si>
  <si>
    <t xml:space="preserve"> 2020-03-04 07:32:02</t>
  </si>
  <si>
    <t>王子健男友力</t>
  </si>
  <si>
    <t xml:space="preserve"> 2020-03-04 07:18:02</t>
  </si>
  <si>
    <t>德国载有1200名乘客游轮检测结果出炉</t>
  </si>
  <si>
    <t xml:space="preserve"> 2020-03-04 15:38:01</t>
  </si>
  <si>
    <t xml:space="preserve"> 2020-03-04 09:32:02</t>
  </si>
  <si>
    <t>韩国累计确诊5328例新冠肺炎</t>
  </si>
  <si>
    <t xml:space="preserve"> 2020-03-04 15:00:02</t>
  </si>
  <si>
    <t>高校新增备案本科专业1672个</t>
  </si>
  <si>
    <t xml:space="preserve"> 2020-03-04 15:54:02</t>
  </si>
  <si>
    <t xml:space="preserve"> 2020-03-04 08:28:02</t>
  </si>
  <si>
    <t>浙江多名华侨从意大利回国</t>
  </si>
  <si>
    <t xml:space="preserve"> 2020-03-04 13:40:01</t>
  </si>
  <si>
    <t>中国境外确诊病例超过1万</t>
  </si>
  <si>
    <t xml:space="preserve"> 2020-03-04 12:54:01</t>
  </si>
  <si>
    <t xml:space="preserve"> 2020-03-04 09:56:02</t>
  </si>
  <si>
    <t>31省区市新增119例新冠肺炎病例</t>
  </si>
  <si>
    <t xml:space="preserve"> 2020-03-04 16:02:04</t>
  </si>
  <si>
    <t xml:space="preserve"> 2020-03-04 08:54:02</t>
  </si>
  <si>
    <t>肖战ins头像</t>
  </si>
  <si>
    <t xml:space="preserve"> 2020-03-04 17:22:02</t>
  </si>
  <si>
    <t xml:space="preserve"> 2020-03-04 10:48:02</t>
  </si>
  <si>
    <t>大学生上网课欠话费近700元</t>
  </si>
  <si>
    <t xml:space="preserve"> 2020-03-04 15:46:02</t>
  </si>
  <si>
    <t xml:space="preserve"> 2020-03-04 10:28:02</t>
  </si>
  <si>
    <t>俄罗斯两万人同吃野韭菜</t>
  </si>
  <si>
    <t xml:space="preserve"> 2020-03-04 17:06:01</t>
  </si>
  <si>
    <t>特朗普捐工资10万美元抗疫</t>
  </si>
  <si>
    <t xml:space="preserve"> 2020-03-04 13:46:02</t>
  </si>
  <si>
    <t xml:space="preserve"> 2020-03-04 10:34:02</t>
  </si>
  <si>
    <t>人民币也被隔离消毒</t>
  </si>
  <si>
    <t xml:space="preserve"> 2020-03-04 11:28:01</t>
  </si>
  <si>
    <t>北京新增3例新冠肺炎确诊病例</t>
  </si>
  <si>
    <t xml:space="preserve"> 2020-03-04 14:32:02</t>
  </si>
  <si>
    <t xml:space="preserve"> 2020-03-04 08:48:02</t>
  </si>
  <si>
    <t>眼睛太大的人有什么烦恼</t>
  </si>
  <si>
    <t xml:space="preserve"> 2020-03-04 13:54:01</t>
  </si>
  <si>
    <t xml:space="preserve"> 2020-03-04 10:36:01</t>
  </si>
  <si>
    <t>女子非法潜入医院隔离病房偷窃</t>
  </si>
  <si>
    <t xml:space="preserve"> 2020-03-04 14:30:02</t>
  </si>
  <si>
    <t xml:space="preserve"> 2020-03-04 11:40:02</t>
  </si>
  <si>
    <t>吴亦凡T杂志封面</t>
  </si>
  <si>
    <t xml:space="preserve"> 2020-03-04 17:56:02</t>
  </si>
  <si>
    <t xml:space="preserve"> 2020-03-04 11:08:02</t>
  </si>
  <si>
    <t>霸王别姬动态海报</t>
  </si>
  <si>
    <t xml:space="preserve"> 2020-03-04 11:14:01</t>
  </si>
  <si>
    <t>英国政府做出最坏打算</t>
  </si>
  <si>
    <t xml:space="preserve"> 2020-03-04 13:58:02</t>
  </si>
  <si>
    <t xml:space="preserve"> 2020-03-04 07:26:02</t>
  </si>
  <si>
    <t>小孩说过最可怕的一句话</t>
  </si>
  <si>
    <t xml:space="preserve"> 2020-03-04 13:52:02</t>
  </si>
  <si>
    <t xml:space="preserve"> 2020-03-04 08:22:02</t>
  </si>
  <si>
    <t>黄金 涨</t>
  </si>
  <si>
    <t>韩国政府定点发售口罩现场人挤人</t>
  </si>
  <si>
    <t xml:space="preserve"> 2020-03-04 07:42:01</t>
  </si>
  <si>
    <t>同一人颜值相差甚远的照片</t>
  </si>
  <si>
    <t xml:space="preserve"> 2020-03-04 16:14:02</t>
  </si>
  <si>
    <t>伊朗将暂时释放逾5.4万名囚犯</t>
  </si>
  <si>
    <t xml:space="preserve"> 2020-03-04 13:18:02</t>
  </si>
  <si>
    <t xml:space="preserve"> 2020-03-04 09:14:02</t>
  </si>
  <si>
    <t>咖啡奥利奥双皮奶</t>
  </si>
  <si>
    <t xml:space="preserve"> 2020-03-04 09:50:01</t>
  </si>
  <si>
    <t>退伍军人说要在方舱工作到它关门</t>
  </si>
  <si>
    <t xml:space="preserve"> 2020-03-04 13:00:02</t>
  </si>
  <si>
    <t xml:space="preserve"> 2020-03-04 11:36:02</t>
  </si>
  <si>
    <t>2月份楼市成交量降八成</t>
  </si>
  <si>
    <t xml:space="preserve"> 2020-03-04 12:46:02</t>
  </si>
  <si>
    <t>腾讯课堂崩了</t>
  </si>
  <si>
    <t xml:space="preserve"> 2020-03-04 12:28:01</t>
  </si>
  <si>
    <t xml:space="preserve"> 2020-03-04 08:34:02</t>
  </si>
  <si>
    <t>仙女jk制服大赛</t>
  </si>
  <si>
    <t xml:space="preserve"> 2020-03-04 12:30:01</t>
  </si>
  <si>
    <t xml:space="preserve"> 2020-03-04 11:34:01</t>
  </si>
  <si>
    <t>邓肯执教首胜</t>
  </si>
  <si>
    <t xml:space="preserve"> 2020-03-04 12:52:02</t>
  </si>
  <si>
    <t>印度禁止意伊韩日四国公民入境</t>
  </si>
  <si>
    <t xml:space="preserve"> 2020-03-04 12:38:02</t>
  </si>
  <si>
    <t>特朗普与塔利班领导人通电话</t>
  </si>
  <si>
    <t>因为太懂事受过哪些委屈</t>
  </si>
  <si>
    <t xml:space="preserve"> 2020-03-04 09:34:02</t>
  </si>
  <si>
    <t>北京调整境外人员入境隔离政策</t>
  </si>
  <si>
    <t xml:space="preserve"> 2020-03-04 12:22:02</t>
  </si>
  <si>
    <t xml:space="preserve"> 2020-03-04 10:10:02</t>
  </si>
  <si>
    <t>詹姆斯连续当选月最佳</t>
  </si>
  <si>
    <t xml:space="preserve"> 2020-03-04 12:16:02</t>
  </si>
  <si>
    <t>31省份1月份彩票销量均下降</t>
  </si>
  <si>
    <t xml:space="preserve"> 2020-03-04 08:08:02</t>
  </si>
  <si>
    <t>韩国忠南西山乐天化学工厂发生爆炸</t>
  </si>
  <si>
    <t xml:space="preserve"> 2020-03-05 10:52:02</t>
  </si>
  <si>
    <t xml:space="preserve"> 2020-03-04 21:26:01</t>
  </si>
  <si>
    <t>新冠病毒攻击中枢神经系统</t>
  </si>
  <si>
    <t xml:space="preserve"> 2020-03-05 11:40:02</t>
  </si>
  <si>
    <t xml:space="preserve"> 2020-03-04 19:14:02</t>
  </si>
  <si>
    <t>papi酱生子</t>
  </si>
  <si>
    <t xml:space="preserve"> 2020-03-05 10:04:02</t>
  </si>
  <si>
    <t>意大利决定关闭全国学校及大学</t>
  </si>
  <si>
    <t xml:space="preserve"> 2020-03-05 12:18:02</t>
  </si>
  <si>
    <t xml:space="preserve"> 2020-03-04 22:32:01</t>
  </si>
  <si>
    <t>崔英俊恶心</t>
  </si>
  <si>
    <t xml:space="preserve"> 2020-03-05 10:46:02</t>
  </si>
  <si>
    <t xml:space="preserve"> 2020-03-04 20:24:02</t>
  </si>
  <si>
    <t>65岁的陈道明</t>
  </si>
  <si>
    <t xml:space="preserve"> 2020-03-04 23:12:02</t>
  </si>
  <si>
    <t>找塞班</t>
  </si>
  <si>
    <t xml:space="preserve"> 2020-03-05 10:02:01</t>
  </si>
  <si>
    <t xml:space="preserve"> 2020-03-04 18:04:02</t>
  </si>
  <si>
    <t>外交部 坚决反对称新冠病毒是中国病毒</t>
  </si>
  <si>
    <t xml:space="preserve"> 2020-03-05 10:38:02</t>
  </si>
  <si>
    <t xml:space="preserve"> 2020-03-04 20:46:01</t>
  </si>
  <si>
    <t>房似锦妈妈</t>
  </si>
  <si>
    <t xml:space="preserve"> 2020-03-04 20:48:01</t>
  </si>
  <si>
    <t>心疼老严夫妇</t>
  </si>
  <si>
    <t xml:space="preserve"> 2020-03-05 10:16:02</t>
  </si>
  <si>
    <t xml:space="preserve"> 2020-03-04 18:18:02</t>
  </si>
  <si>
    <t>英国再现集装箱藏人案</t>
  </si>
  <si>
    <t xml:space="preserve"> 2020-03-05 09:00:02</t>
  </si>
  <si>
    <t xml:space="preserve"> 2020-03-04 19:56:02</t>
  </si>
  <si>
    <t>青春型精神病</t>
  </si>
  <si>
    <t xml:space="preserve"> 2020-03-05 08:30:01</t>
  </si>
  <si>
    <t xml:space="preserve"> 2020-03-04 20:22:02</t>
  </si>
  <si>
    <t>沙漠蝗虫迁徙到中国的可能性很小</t>
  </si>
  <si>
    <t xml:space="preserve"> 2020-03-05 09:24:01</t>
  </si>
  <si>
    <t xml:space="preserve"> 2020-03-04 22:06:02</t>
  </si>
  <si>
    <t>全国21省区市下调应急响应级别</t>
  </si>
  <si>
    <t xml:space="preserve"> 2020-03-05 09:28:01</t>
  </si>
  <si>
    <t xml:space="preserve"> 2020-03-04 21:46:02</t>
  </si>
  <si>
    <t>法国政府征用全国口罩</t>
  </si>
  <si>
    <t xml:space="preserve"> 2020-03-14 12:10:02</t>
  </si>
  <si>
    <t xml:space="preserve"> 2019-11-10 18:30:01</t>
  </si>
  <si>
    <t>李佳琦</t>
  </si>
  <si>
    <t xml:space="preserve"> 2020-03-05 12:06:02</t>
  </si>
  <si>
    <t xml:space="preserve"> 2020-03-04 21:38:01</t>
  </si>
  <si>
    <t>dmzj</t>
  </si>
  <si>
    <t xml:space="preserve"> 2020-03-05 12:36:02</t>
  </si>
  <si>
    <t xml:space="preserve"> 2020-03-04 22:58:02</t>
  </si>
  <si>
    <t>爸妈眼中长得好看的明星</t>
  </si>
  <si>
    <t xml:space="preserve"> 2020-03-05 07:48:01</t>
  </si>
  <si>
    <t xml:space="preserve"> 2020-03-04 19:04:02</t>
  </si>
  <si>
    <t>吴亦凡雀斑妆</t>
  </si>
  <si>
    <t xml:space="preserve"> 2020-03-05 10:48:02</t>
  </si>
  <si>
    <t xml:space="preserve"> 2020-03-04 23:02:02</t>
  </si>
  <si>
    <t>叶东烈</t>
  </si>
  <si>
    <t xml:space="preserve"> 2020-03-05 09:12:01</t>
  </si>
  <si>
    <t xml:space="preserve"> 2020-03-04 22:52:02</t>
  </si>
  <si>
    <t>英国将新冠肺炎列为法定传染病</t>
  </si>
  <si>
    <t xml:space="preserve"> 2020-03-05 10:44:02</t>
  </si>
  <si>
    <t xml:space="preserve"> 2020-03-04 21:08:02</t>
  </si>
  <si>
    <t>网课多了什么同学都有</t>
  </si>
  <si>
    <t xml:space="preserve"> 2020-03-05 08:32:01</t>
  </si>
  <si>
    <t xml:space="preserve"> 2020-03-04 23:06:01</t>
  </si>
  <si>
    <t>记忆中最穷的一次经历</t>
  </si>
  <si>
    <t xml:space="preserve"> 2020-03-05 11:44:02</t>
  </si>
  <si>
    <t>张乘乘 潘贵雨</t>
  </si>
  <si>
    <t xml:space="preserve"> 2020-03-05 09:52:01</t>
  </si>
  <si>
    <t xml:space="preserve"> 2020-03-04 21:24:02</t>
  </si>
  <si>
    <t>明星直播唱歌翻车现场</t>
  </si>
  <si>
    <t xml:space="preserve"> 2020-03-05 09:54:01</t>
  </si>
  <si>
    <t xml:space="preserve"> 2020-03-04 18:34:02</t>
  </si>
  <si>
    <t>韩国最大华人聚集城市零感染</t>
  </si>
  <si>
    <t xml:space="preserve"> 2020-03-05 09:48:01</t>
  </si>
  <si>
    <t xml:space="preserve"> 2020-03-04 19:48:02</t>
  </si>
  <si>
    <t>把吐司做成吃不起的样子</t>
  </si>
  <si>
    <t xml:space="preserve"> 2020-03-05 07:36:02</t>
  </si>
  <si>
    <t xml:space="preserve"> 2020-03-04 17:24:02</t>
  </si>
  <si>
    <t>伊朗政坛成新冠肺炎重灾区</t>
  </si>
  <si>
    <t xml:space="preserve"> 2020-03-05 09:04:02</t>
  </si>
  <si>
    <t xml:space="preserve"> 2020-03-04 22:50:02</t>
  </si>
  <si>
    <t>湖北南漳万亩樱花迎春开</t>
  </si>
  <si>
    <t xml:space="preserve"> 2020-03-05 10:10:01</t>
  </si>
  <si>
    <t xml:space="preserve"> 2020-03-04 21:28:02</t>
  </si>
  <si>
    <t>蜡笔小新恐龙鞋</t>
  </si>
  <si>
    <t xml:space="preserve"> 2020-03-05 09:50:01</t>
  </si>
  <si>
    <t>爸爸年轻时很帅是什么体验</t>
  </si>
  <si>
    <t xml:space="preserve"> 2020-03-05 05:04:01</t>
  </si>
  <si>
    <t xml:space="preserve"> 2020-03-04 16:42:01</t>
  </si>
  <si>
    <t>甘薇放弃财产优先分配权</t>
  </si>
  <si>
    <t xml:space="preserve"> 2020-03-05 04:06:02</t>
  </si>
  <si>
    <t xml:space="preserve"> 2020-03-04 17:00:02</t>
  </si>
  <si>
    <t>美国对塔利班展开空袭</t>
  </si>
  <si>
    <t xml:space="preserve"> 2020-03-05 07:12:02</t>
  </si>
  <si>
    <t xml:space="preserve"> 2020-03-04 18:16:02</t>
  </si>
  <si>
    <t>土豆的网红吃法</t>
  </si>
  <si>
    <t xml:space="preserve"> 2020-03-04 19:06:02</t>
  </si>
  <si>
    <t>五花肉凉鞋</t>
  </si>
  <si>
    <t xml:space="preserve"> 2020-03-05 07:22:02</t>
  </si>
  <si>
    <t xml:space="preserve"> 2020-03-04 18:06:02</t>
  </si>
  <si>
    <t>优雅的性感长什么样</t>
  </si>
  <si>
    <t xml:space="preserve"> 2020-03-05 07:20:02</t>
  </si>
  <si>
    <t xml:space="preserve"> 2020-03-04 21:00:02</t>
  </si>
  <si>
    <t>完美关系剧情</t>
  </si>
  <si>
    <t xml:space="preserve"> 2020-03-05 08:36:02</t>
  </si>
  <si>
    <t xml:space="preserve"> 2020-03-04 19:08:01</t>
  </si>
  <si>
    <t>澳大利亚人也开始抢厕纸了</t>
  </si>
  <si>
    <t xml:space="preserve"> 2020-03-05 07:34:02</t>
  </si>
  <si>
    <t xml:space="preserve"> 2020-03-04 19:42:02</t>
  </si>
  <si>
    <t>4128万多名党员捐款47.3亿元</t>
  </si>
  <si>
    <t xml:space="preserve"> 2020-03-05 08:28:01</t>
  </si>
  <si>
    <t xml:space="preserve"> 2020-03-04 20:08:02</t>
  </si>
  <si>
    <t>北京制定国内首个新冠肺炎临床路径</t>
  </si>
  <si>
    <t xml:space="preserve"> 2020-03-05 09:40:01</t>
  </si>
  <si>
    <t xml:space="preserve"> 2020-03-05 00:04:02</t>
  </si>
  <si>
    <t>斑海豹幼崽在辽宁盘锦获救</t>
  </si>
  <si>
    <t xml:space="preserve"> 2020-03-05 08:12:01</t>
  </si>
  <si>
    <t xml:space="preserve"> 2020-03-04 18:36:02</t>
  </si>
  <si>
    <t>蚊子会不会传播新冠病毒</t>
  </si>
  <si>
    <t xml:space="preserve"> 2020-03-05 07:16:01</t>
  </si>
  <si>
    <t xml:space="preserve"> 2020-03-04 15:48:02</t>
  </si>
  <si>
    <t>迪丽热巴翻牌</t>
  </si>
  <si>
    <t xml:space="preserve"> 2020-03-05 00:16:01</t>
  </si>
  <si>
    <t xml:space="preserve"> 2020-03-04 22:24:01</t>
  </si>
  <si>
    <t>阿丘</t>
  </si>
  <si>
    <t xml:space="preserve"> 2020-03-04 19:24:02</t>
  </si>
  <si>
    <t>移动CT做一个胸部检查不到3分钟</t>
  </si>
  <si>
    <t xml:space="preserve"> 2020-03-05 08:06:02</t>
  </si>
  <si>
    <t xml:space="preserve"> 2020-03-04 16:04:02</t>
  </si>
  <si>
    <t>日本网民疯抢花岗岩</t>
  </si>
  <si>
    <t xml:space="preserve"> 2020-03-05 07:32:02</t>
  </si>
  <si>
    <t xml:space="preserve"> 2020-03-04 21:48:02</t>
  </si>
  <si>
    <t>退伍军人张登汉</t>
  </si>
  <si>
    <t xml:space="preserve"> 2020-03-04 23:22:02</t>
  </si>
  <si>
    <t>卢浮宫重新开放</t>
  </si>
  <si>
    <t xml:space="preserve"> 2020-03-04 17:50:02</t>
  </si>
  <si>
    <t>郭富城母亲设灵仪式</t>
  </si>
  <si>
    <t xml:space="preserve"> 2020-03-05 17:50:02</t>
  </si>
  <si>
    <t>滞留武汉亲戚家8人挤两室一厅</t>
  </si>
  <si>
    <t xml:space="preserve"> 2020-03-05 18:20:02</t>
  </si>
  <si>
    <t xml:space="preserve"> 2020-03-05 11:02:02</t>
  </si>
  <si>
    <t>又一艘公主号邮轮发生疫情</t>
  </si>
  <si>
    <t xml:space="preserve"> 2020-03-05 17:12:01</t>
  </si>
  <si>
    <t xml:space="preserve"> 2020-03-05 11:28:01</t>
  </si>
  <si>
    <t>巴基斯坦拿出全国医院库存口罩给中国</t>
  </si>
  <si>
    <t xml:space="preserve"> 2020-03-05 18:02:01</t>
  </si>
  <si>
    <t>最近的电视剧都好气人</t>
  </si>
  <si>
    <t xml:space="preserve"> 2020-03-05 15:08:02</t>
  </si>
  <si>
    <t>全国首个口罩自助售卖机</t>
  </si>
  <si>
    <t xml:space="preserve"> 2020-03-05 17:16:01</t>
  </si>
  <si>
    <t xml:space="preserve"> 2020-03-05 10:56:02</t>
  </si>
  <si>
    <t>170多个国家领导人向中国表示慰问支持</t>
  </si>
  <si>
    <t xml:space="preserve"> 2020-03-05 14:00:02</t>
  </si>
  <si>
    <t xml:space="preserve"> 2020-03-05 07:50:02</t>
  </si>
  <si>
    <t>美疾控中心停止公布各州确诊数</t>
  </si>
  <si>
    <t xml:space="preserve"> 2020-03-05 14:34:02</t>
  </si>
  <si>
    <t xml:space="preserve"> 2020-03-05 10:14:02</t>
  </si>
  <si>
    <t>奥运会开幕式鼓励代表团派男女两位旗手</t>
  </si>
  <si>
    <t>中华鳖乌龟等不入禁食名录</t>
  </si>
  <si>
    <t xml:space="preserve"> 2020-03-05 13:50:02</t>
  </si>
  <si>
    <t>特朗普嘲讽布隆伯格</t>
  </si>
  <si>
    <t xml:space="preserve"> 2020-03-05 15:36:01</t>
  </si>
  <si>
    <t xml:space="preserve"> 2020-03-05 10:40:01</t>
  </si>
  <si>
    <t>浙江输入病例曾途经巴黎广州杭州</t>
  </si>
  <si>
    <t xml:space="preserve"> 2020-03-05 09:22:01</t>
  </si>
  <si>
    <t>四川新增确诊病例1例</t>
  </si>
  <si>
    <t xml:space="preserve"> 2020-03-05 14:24:02</t>
  </si>
  <si>
    <t>洛杉矶宣布进入紧急状态</t>
  </si>
  <si>
    <t xml:space="preserve"> 2020-03-05 14:48:01</t>
  </si>
  <si>
    <t xml:space="preserve"> 2020-03-05 10:00:02</t>
  </si>
  <si>
    <t>韩国新冠肺炎升至5766人</t>
  </si>
  <si>
    <t xml:space="preserve"> 2020-03-05 13:48:01</t>
  </si>
  <si>
    <t xml:space="preserve"> 2020-03-05 11:30:01</t>
  </si>
  <si>
    <t>韩国拟全面禁止口罩出口</t>
  </si>
  <si>
    <t xml:space="preserve"> 2020-03-05 17:36:02</t>
  </si>
  <si>
    <t xml:space="preserve"> 2020-03-05 11:42:01</t>
  </si>
  <si>
    <t>富士康一名员工不幸去世</t>
  </si>
  <si>
    <t xml:space="preserve"> 2020-03-05 16:30:01</t>
  </si>
  <si>
    <t xml:space="preserve"> 2020-03-05 08:14:01</t>
  </si>
  <si>
    <t>旺仔漏奶滑</t>
  </si>
  <si>
    <t xml:space="preserve"> 2020-03-05 16:46:01</t>
  </si>
  <si>
    <t>上海迪士尼航拍</t>
  </si>
  <si>
    <t xml:space="preserve"> 2020-03-05 14:12:02</t>
  </si>
  <si>
    <t xml:space="preserve"> 2020-03-05 09:56:01</t>
  </si>
  <si>
    <t>贪官被捕时试图吃掉证据被噎住</t>
  </si>
  <si>
    <t xml:space="preserve"> 2020-03-05 14:40:01</t>
  </si>
  <si>
    <t xml:space="preserve"> 2020-03-05 08:34:02</t>
  </si>
  <si>
    <t>方舱医院10岁男孩说太无聊</t>
  </si>
  <si>
    <t>郑琦捐钱</t>
  </si>
  <si>
    <t xml:space="preserve"> 2020-03-05 14:16:02</t>
  </si>
  <si>
    <t xml:space="preserve"> 2020-03-05 09:30:01</t>
  </si>
  <si>
    <t>不想上班谎称接触确诊患者</t>
  </si>
  <si>
    <t xml:space="preserve"> 2020-03-05 12:50:02</t>
  </si>
  <si>
    <t>已接回1300余名滞留海外中国公民</t>
  </si>
  <si>
    <t xml:space="preserve"> 2020-03-05 18:30:02</t>
  </si>
  <si>
    <t>联合国前秘书长去世</t>
  </si>
  <si>
    <t xml:space="preserve"> 2020-03-05 15:28:02</t>
  </si>
  <si>
    <t>今年女生节最想收的礼物</t>
  </si>
  <si>
    <t xml:space="preserve"> 2020-03-05 15:54:01</t>
  </si>
  <si>
    <t xml:space="preserve"> 2020-03-05 11:46:02</t>
  </si>
  <si>
    <t>捐款333元希望病毒快快散去</t>
  </si>
  <si>
    <t xml:space="preserve"> 2020-03-05 15:40:01</t>
  </si>
  <si>
    <t>惊蛰</t>
  </si>
  <si>
    <t xml:space="preserve"> 2020-03-05 21:16:02</t>
  </si>
  <si>
    <t xml:space="preserve"> 2020-03-05 11:52:02</t>
  </si>
  <si>
    <t>卓宝</t>
  </si>
  <si>
    <t xml:space="preserve"> 2020-03-05 13:10:01</t>
  </si>
  <si>
    <t>马龙召集国乒队员为武汉捐款</t>
  </si>
  <si>
    <t>62个国家7个国际组织向中国捐赠物资</t>
  </si>
  <si>
    <t xml:space="preserve"> 2020-03-05 15:58:02</t>
  </si>
  <si>
    <t xml:space="preserve"> 2020-03-05 11:50:01</t>
  </si>
  <si>
    <t>12308日均人工接听1100多通求助电话</t>
  </si>
  <si>
    <t>花木兰特别版海报</t>
  </si>
  <si>
    <t xml:space="preserve"> 2020-03-05 12:28:02</t>
  </si>
  <si>
    <t xml:space="preserve"> 2020-03-05 09:02:01</t>
  </si>
  <si>
    <t>北京新增1例新冠肺炎</t>
  </si>
  <si>
    <t xml:space="preserve"> 2020-03-05 12:26:02</t>
  </si>
  <si>
    <t xml:space="preserve"> 2020-03-05 09:26:01</t>
  </si>
  <si>
    <t>购物车</t>
  </si>
  <si>
    <t>蝗虫席卷东非</t>
  </si>
  <si>
    <t xml:space="preserve"> 2020-03-05 12:20:01</t>
  </si>
  <si>
    <t xml:space="preserve"> 2020-03-05 08:16:01</t>
  </si>
  <si>
    <t>四川十里野生樱花开了</t>
  </si>
  <si>
    <t xml:space="preserve"> 2020-03-05 10:50:02</t>
  </si>
  <si>
    <t>日本将新冠肺炎检测纳入医保</t>
  </si>
  <si>
    <t xml:space="preserve"> 2020-03-05 12:44:02</t>
  </si>
  <si>
    <t>天海将0元转让全部股权</t>
  </si>
  <si>
    <t xml:space="preserve"> 2020-03-05 11:48:01</t>
  </si>
  <si>
    <t>象棋冠军获保送清华资格</t>
  </si>
  <si>
    <t xml:space="preserve"> 2020-03-05 17:22:02</t>
  </si>
  <si>
    <t>宠物被迫营业现场</t>
  </si>
  <si>
    <t xml:space="preserve"> 2020-03-05 17:18:01</t>
  </si>
  <si>
    <t xml:space="preserve"> 2020-03-05 12:08:02</t>
  </si>
  <si>
    <t>百变小樱手链</t>
  </si>
  <si>
    <t xml:space="preserve"> 2020-03-05 12:14:01</t>
  </si>
  <si>
    <t>所有意大利境内体育赛事必须空场进行</t>
  </si>
  <si>
    <t xml:space="preserve"> 2020-03-05 19:24:02</t>
  </si>
  <si>
    <t>青春有你2定档</t>
  </si>
  <si>
    <t xml:space="preserve"> 2020-03-05 19:40:01</t>
  </si>
  <si>
    <t>黄子佼孟耿如结婚</t>
  </si>
  <si>
    <t>暴露年龄的童年美食</t>
  </si>
  <si>
    <t>全球多国现抢购潮</t>
  </si>
  <si>
    <t xml:space="preserve"> 2020-03-06 08:20:02</t>
  </si>
  <si>
    <t xml:space="preserve"> 2020-03-05 18:32:02</t>
  </si>
  <si>
    <t>武汉3月底有望新增病例基本清零</t>
  </si>
  <si>
    <t xml:space="preserve"> 2020-03-06 11:04:02</t>
  </si>
  <si>
    <t xml:space="preserve"> 2020-03-05 23:12:02</t>
  </si>
  <si>
    <t>甘肃新增11例境外输入病例</t>
  </si>
  <si>
    <t xml:space="preserve"> 2020-03-06 10:28:01</t>
  </si>
  <si>
    <t xml:space="preserve"> 2020-03-05 19:14:02</t>
  </si>
  <si>
    <t>乔布斯遗孀将裸捐250亿美元</t>
  </si>
  <si>
    <t xml:space="preserve"> 2020-03-06 11:24:01</t>
  </si>
  <si>
    <t xml:space="preserve"> 2020-03-05 22:14:02</t>
  </si>
  <si>
    <t>斯黛拉叶东烈在一起</t>
  </si>
  <si>
    <t xml:space="preserve"> 2020-03-06 10:00:01</t>
  </si>
  <si>
    <t xml:space="preserve"> 2020-03-05 20:14:02</t>
  </si>
  <si>
    <t>白滚滚上线</t>
  </si>
  <si>
    <t xml:space="preserve"> 2020-03-06 11:30:02</t>
  </si>
  <si>
    <t xml:space="preserve"> 2020-03-05 20:04:02</t>
  </si>
  <si>
    <t>三生三世枕上书大结局</t>
  </si>
  <si>
    <t xml:space="preserve"> 2020-03-06 08:40:02</t>
  </si>
  <si>
    <t xml:space="preserve"> 2020-03-05 21:20:02</t>
  </si>
  <si>
    <t>金希澈直播</t>
  </si>
  <si>
    <t xml:space="preserve"> 2020-03-06 10:10:02</t>
  </si>
  <si>
    <t xml:space="preserve"> 2020-03-05 19:38:01</t>
  </si>
  <si>
    <t>塞班找到了</t>
  </si>
  <si>
    <t xml:space="preserve"> 2020-03-06 09:28:01</t>
  </si>
  <si>
    <t xml:space="preserve"> 2020-03-05 17:08:01</t>
  </si>
  <si>
    <t>外交部回应美主持人要中国就疫情道歉</t>
  </si>
  <si>
    <t xml:space="preserve"> 2020-03-06 09:22:01</t>
  </si>
  <si>
    <t xml:space="preserve"> 2020-03-05 21:44:02</t>
  </si>
  <si>
    <t>张乘乘戏精</t>
  </si>
  <si>
    <t xml:space="preserve"> 2020-03-06 08:42:02</t>
  </si>
  <si>
    <t>草地贪夜蛾已经入侵我国</t>
  </si>
  <si>
    <t xml:space="preserve"> 2020-03-06 08:44:02</t>
  </si>
  <si>
    <t xml:space="preserve"> 2020-03-05 19:52:02</t>
  </si>
  <si>
    <t>日本签证</t>
  </si>
  <si>
    <t xml:space="preserve"> 2020-03-06 07:52:02</t>
  </si>
  <si>
    <t xml:space="preserve"> 2020-03-05 16:36:02</t>
  </si>
  <si>
    <t>陈乔恩艾伦好甜</t>
  </si>
  <si>
    <t xml:space="preserve"> 2020-03-06 07:50:02</t>
  </si>
  <si>
    <t xml:space="preserve"> 2020-03-05 21:12:02</t>
  </si>
  <si>
    <t>徐姑姑好暖</t>
  </si>
  <si>
    <t xml:space="preserve"> 2020-03-05 22:30:02</t>
  </si>
  <si>
    <t>伊朗启动国家动员计划</t>
  </si>
  <si>
    <t xml:space="preserve"> 2020-03-06 10:38:01</t>
  </si>
  <si>
    <t>自制爆米花离世女孩家属起诉邻居</t>
  </si>
  <si>
    <t xml:space="preserve"> 2020-03-06 12:24:01</t>
  </si>
  <si>
    <t xml:space="preserve"> 2020-03-05 22:06:01</t>
  </si>
  <si>
    <t>父母说漏嘴的事情</t>
  </si>
  <si>
    <t xml:space="preserve"> 2020-03-06 09:14:02</t>
  </si>
  <si>
    <t xml:space="preserve"> 2020-03-05 22:56:01</t>
  </si>
  <si>
    <t>今年第一个超级月亮3月10日登场</t>
  </si>
  <si>
    <t xml:space="preserve"> 2020-03-06 09:32:02</t>
  </si>
  <si>
    <t xml:space="preserve"> 2020-03-05 22:48:01</t>
  </si>
  <si>
    <t>花瓣耳饰</t>
  </si>
  <si>
    <t xml:space="preserve"> 2020-03-06 09:34:01</t>
  </si>
  <si>
    <t xml:space="preserve"> 2020-03-05 22:58:01</t>
  </si>
  <si>
    <t>小时候特别火的顺口溜</t>
  </si>
  <si>
    <t xml:space="preserve"> 2020-03-06 10:42:02</t>
  </si>
  <si>
    <t>薇娅直播间</t>
  </si>
  <si>
    <t xml:space="preserve"> 2020-03-06 09:42:02</t>
  </si>
  <si>
    <t xml:space="preserve"> 2020-03-05 21:36:02</t>
  </si>
  <si>
    <t>安家向公馆</t>
  </si>
  <si>
    <t xml:space="preserve"> 2020-03-06 10:56:01</t>
  </si>
  <si>
    <t xml:space="preserve"> 2020-03-05 22:52:02</t>
  </si>
  <si>
    <t>冰块腮红</t>
  </si>
  <si>
    <t xml:space="preserve"> 2020-03-06 09:10:02</t>
  </si>
  <si>
    <t xml:space="preserve"> 2020-03-05 18:50:02</t>
  </si>
  <si>
    <t>卵母细胞</t>
  </si>
  <si>
    <t xml:space="preserve"> 2020-03-05 22:40:01</t>
  </si>
  <si>
    <t>当时不懂后来才理解的情节</t>
  </si>
  <si>
    <t xml:space="preserve"> 2020-03-06 09:36:01</t>
  </si>
  <si>
    <t xml:space="preserve"> 2020-03-05 20:38:01</t>
  </si>
  <si>
    <t>小罗因使用假护照被捕</t>
  </si>
  <si>
    <t>陈梦瑶 周艺轩粉丝</t>
  </si>
  <si>
    <t xml:space="preserve"> 2020-03-06 08:10:01</t>
  </si>
  <si>
    <t xml:space="preserve"> 2020-03-05 14:08:02</t>
  </si>
  <si>
    <t>土耳其议会打起来了</t>
  </si>
  <si>
    <t xml:space="preserve"> 2020-03-05 19:26:02</t>
  </si>
  <si>
    <t>喻佳丽结婚</t>
  </si>
  <si>
    <t xml:space="preserve"> 2020-03-06 09:56:01</t>
  </si>
  <si>
    <t xml:space="preserve"> 2020-03-05 20:20:02</t>
  </si>
  <si>
    <t>上千游客涌入西湖赏花</t>
  </si>
  <si>
    <t xml:space="preserve"> 2020-04-05 21:44:02</t>
  </si>
  <si>
    <t xml:space="preserve"> 2020-03-05 14:36:01</t>
  </si>
  <si>
    <t>开学时间</t>
  </si>
  <si>
    <t xml:space="preserve"> 2020-03-05 17:10:01</t>
  </si>
  <si>
    <t>易烊千玺ins</t>
  </si>
  <si>
    <t xml:space="preserve"> 2020-03-06 03:16:02</t>
  </si>
  <si>
    <t>中国防控措施至少成功预防10万病例</t>
  </si>
  <si>
    <t xml:space="preserve"> 2020-03-06 10:02:02</t>
  </si>
  <si>
    <t xml:space="preserve"> 2020-03-05 23:08:02</t>
  </si>
  <si>
    <t>你眼中的最美大学</t>
  </si>
  <si>
    <t xml:space="preserve"> 2020-03-06 08:48:02</t>
  </si>
  <si>
    <t xml:space="preserve"> 2020-03-05 21:56:02</t>
  </si>
  <si>
    <t>意大利皮亚琴察市长确诊</t>
  </si>
  <si>
    <t xml:space="preserve"> 2020-03-06 07:04:01</t>
  </si>
  <si>
    <t xml:space="preserve"> 2020-03-05 21:28:02</t>
  </si>
  <si>
    <t>Faker2000杀</t>
  </si>
  <si>
    <t xml:space="preserve"> 2020-03-06 08:54:02</t>
  </si>
  <si>
    <t xml:space="preserve"> 2020-03-05 21:24:02</t>
  </si>
  <si>
    <t>医生为病人停下欣赏日落</t>
  </si>
  <si>
    <t xml:space="preserve"> 2020-03-06 07:28:02</t>
  </si>
  <si>
    <t xml:space="preserve"> 2020-03-05 19:10:02</t>
  </si>
  <si>
    <t>网红凉拌鲫鱼</t>
  </si>
  <si>
    <t xml:space="preserve"> 2020-03-06 08:14:02</t>
  </si>
  <si>
    <t>当代辣妈等级表</t>
  </si>
  <si>
    <t xml:space="preserve"> 2020-03-05 21:08:01</t>
  </si>
  <si>
    <t>叶东烈打崔英俊</t>
  </si>
  <si>
    <t xml:space="preserve"> 2020-03-06 08:18:01</t>
  </si>
  <si>
    <t>现实中的高级漫画眼</t>
  </si>
  <si>
    <t xml:space="preserve"> 2020-03-05 20:52:01</t>
  </si>
  <si>
    <t>600张照片记录ICU九死一生</t>
  </si>
  <si>
    <t xml:space="preserve"> 2020-03-06 09:16:02</t>
  </si>
  <si>
    <t xml:space="preserve"> 2020-03-05 20:54:02</t>
  </si>
  <si>
    <t>天鹅北迁途中又返回</t>
  </si>
  <si>
    <t xml:space="preserve"> 2020-03-06 09:54:02</t>
  </si>
  <si>
    <t xml:space="preserve"> 2020-03-05 22:10:02</t>
  </si>
  <si>
    <t>海拔800米的万亩樱花开了</t>
  </si>
  <si>
    <t xml:space="preserve"> 2020-03-06 07:06:02</t>
  </si>
  <si>
    <t xml:space="preserve"> 2020-03-05 19:56:01</t>
  </si>
  <si>
    <t>当队里剩下最后一个女生时</t>
  </si>
  <si>
    <t xml:space="preserve"> 2020-03-05 19:30:01</t>
  </si>
  <si>
    <t>韩国新冠肺炎累计确诊6088例</t>
  </si>
  <si>
    <t xml:space="preserve"> 2020-03-06 03:38:01</t>
  </si>
  <si>
    <t xml:space="preserve"> 2020-03-05 21:52:02</t>
  </si>
  <si>
    <t>南非确诊首例新冠肺炎病例</t>
  </si>
  <si>
    <t xml:space="preserve"> 2020-03-06 07:18:02</t>
  </si>
  <si>
    <t xml:space="preserve"> 2020-03-05 18:06:02</t>
  </si>
  <si>
    <t>北京要求每张餐桌只能坐一个人</t>
  </si>
  <si>
    <t xml:space="preserve"> 2020-03-06 20:12:01</t>
  </si>
  <si>
    <t xml:space="preserve"> 2020-03-06 11:16:02</t>
  </si>
  <si>
    <t>吴尊林丽吟16岁合照</t>
  </si>
  <si>
    <t xml:space="preserve"> 2020-03-06 13:58:02</t>
  </si>
  <si>
    <t>蒋超良辞去湖北省人大常委会主任职务</t>
  </si>
  <si>
    <t xml:space="preserve"> 2020-03-06 18:14:02</t>
  </si>
  <si>
    <t xml:space="preserve"> 2020-03-06 10:44:01</t>
  </si>
  <si>
    <t>陈晓陈妍希计划生二胎</t>
  </si>
  <si>
    <t xml:space="preserve"> 2020-03-06 19:16:01</t>
  </si>
  <si>
    <t xml:space="preserve"> 2020-03-06 11:28:01</t>
  </si>
  <si>
    <t>东北医生凭一己之力带偏医院</t>
  </si>
  <si>
    <t xml:space="preserve"> 2020-03-06 18:06:01</t>
  </si>
  <si>
    <t xml:space="preserve"> 2020-03-06 09:18:02</t>
  </si>
  <si>
    <t>鬼怪沙发吻戏</t>
  </si>
  <si>
    <t xml:space="preserve"> 2020-03-06 17:54:02</t>
  </si>
  <si>
    <t xml:space="preserve"> 2020-03-06 09:46:01</t>
  </si>
  <si>
    <t>易烊千玺东北大爷式揣手</t>
  </si>
  <si>
    <t xml:space="preserve"> 2020-03-06 14:12:02</t>
  </si>
  <si>
    <t xml:space="preserve"> 2020-03-06 09:12:02</t>
  </si>
  <si>
    <t>韩国禁止在疫情期间出口医疗物资</t>
  </si>
  <si>
    <t xml:space="preserve"> 2020-03-06 15:08:02</t>
  </si>
  <si>
    <t xml:space="preserve"> 2020-03-06 10:26:01</t>
  </si>
  <si>
    <t>华人讲述美国新冠病毒检测花销</t>
  </si>
  <si>
    <t xml:space="preserve"> 2020-03-06 16:54:02</t>
  </si>
  <si>
    <t xml:space="preserve"> 2020-03-06 09:48:02</t>
  </si>
  <si>
    <t>库里复出</t>
  </si>
  <si>
    <t xml:space="preserve"> 2020-03-06 14:54:02</t>
  </si>
  <si>
    <t xml:space="preserve"> 2020-03-06 10:24:02</t>
  </si>
  <si>
    <t>中国留学生镜头记录疫情下的米兰</t>
  </si>
  <si>
    <t xml:space="preserve"> 2020-03-06 15:20:01</t>
  </si>
  <si>
    <t xml:space="preserve"> 2020-03-06 11:34:02</t>
  </si>
  <si>
    <t>加州继续拒绝至尊公主号靠岸</t>
  </si>
  <si>
    <t xml:space="preserve"> 2020-03-06 20:44:01</t>
  </si>
  <si>
    <t xml:space="preserve"> 2020-03-06 11:22:02</t>
  </si>
  <si>
    <t>国家邮政局回应快递摆地摊</t>
  </si>
  <si>
    <t xml:space="preserve"> 2020-03-06 14:28:02</t>
  </si>
  <si>
    <t>湖北除武汉外新增清零</t>
  </si>
  <si>
    <t xml:space="preserve"> 2020-03-06 14:34:02</t>
  </si>
  <si>
    <t xml:space="preserve"> 2020-03-06 08:56:02</t>
  </si>
  <si>
    <t>无接触按钮电梯</t>
  </si>
  <si>
    <t xml:space="preserve"> 2020-03-06 15:04:02</t>
  </si>
  <si>
    <t xml:space="preserve"> 2020-03-06 07:54:02</t>
  </si>
  <si>
    <t>房似锦人设</t>
  </si>
  <si>
    <t xml:space="preserve"> 2020-03-06 16:06:02</t>
  </si>
  <si>
    <t xml:space="preserve"> 2020-03-06 11:26:02</t>
  </si>
  <si>
    <t>韩国大叔变成鸟爸爸</t>
  </si>
  <si>
    <t xml:space="preserve"> 2020-03-06 15:28:02</t>
  </si>
  <si>
    <t>悉尼超市女顾客为抢厕纸拔刀相向</t>
  </si>
  <si>
    <t xml:space="preserve"> 2020-03-10 23:00:02</t>
  </si>
  <si>
    <t xml:space="preserve"> 2020-03-06 12:04:01</t>
  </si>
  <si>
    <t>婚前21天</t>
  </si>
  <si>
    <t xml:space="preserve"> 2020-03-06 13:50:02</t>
  </si>
  <si>
    <t xml:space="preserve"> 2020-03-06 11:54:01</t>
  </si>
  <si>
    <t>四川青川发生3.9级地震</t>
  </si>
  <si>
    <t xml:space="preserve"> 2020-03-06 15:10:01</t>
  </si>
  <si>
    <t>国泰航空泄露940万名乘客信息</t>
  </si>
  <si>
    <t xml:space="preserve"> 2020-03-06 11:02:01</t>
  </si>
  <si>
    <t>Facebook员工感染新冠病毒</t>
  </si>
  <si>
    <t xml:space="preserve"> 2020-03-06 15:44:02</t>
  </si>
  <si>
    <t xml:space="preserve"> 2020-03-06 09:40:02</t>
  </si>
  <si>
    <t>舒晴沈英杰好甜</t>
  </si>
  <si>
    <t xml:space="preserve"> 2020-03-06 15:14:02</t>
  </si>
  <si>
    <t>纯牛奶隐藏的神奇吃法</t>
  </si>
  <si>
    <t xml:space="preserve"> 2020-03-06 16:12:02</t>
  </si>
  <si>
    <t>武汉新增126例新冠肺炎</t>
  </si>
  <si>
    <t xml:space="preserve"> 2020-03-06 15:46:01</t>
  </si>
  <si>
    <t xml:space="preserve"> 2020-03-06 11:08:02</t>
  </si>
  <si>
    <t>新冠肺炎出院患者准确叫出医生名字</t>
  </si>
  <si>
    <t xml:space="preserve"> 2020-03-06 15:36:02</t>
  </si>
  <si>
    <t xml:space="preserve"> 2020-03-06 11:48:01</t>
  </si>
  <si>
    <t>向公馆原型</t>
  </si>
  <si>
    <t xml:space="preserve"> 2020-03-06 13:42:02</t>
  </si>
  <si>
    <t>张文宏医生硬核大实话合集</t>
  </si>
  <si>
    <t xml:space="preserve"> 2020-03-06 13:26:02</t>
  </si>
  <si>
    <t xml:space="preserve"> 2020-03-06 11:06:02</t>
  </si>
  <si>
    <t>库里连中3个logoshot</t>
  </si>
  <si>
    <t xml:space="preserve"> 2020-03-06 13:06:01</t>
  </si>
  <si>
    <t xml:space="preserve"> 2020-03-06 10:36:01</t>
  </si>
  <si>
    <t>澳大利亚报纸印空白页当厕纸</t>
  </si>
  <si>
    <t xml:space="preserve"> 2020-03-06 15:16:02</t>
  </si>
  <si>
    <t>朱闪闪可爱</t>
  </si>
  <si>
    <t xml:space="preserve"> 2020-03-06 12:58:01</t>
  </si>
  <si>
    <t xml:space="preserve"> 2020-03-06 07:08:01</t>
  </si>
  <si>
    <t>你见过最好看的素人帅哥</t>
  </si>
  <si>
    <t xml:space="preserve"> 2020-03-06 12:38:02</t>
  </si>
  <si>
    <t xml:space="preserve"> 2020-03-06 08:50:01</t>
  </si>
  <si>
    <t>伊朗议长顾问因新冠肺炎去世</t>
  </si>
  <si>
    <t xml:space="preserve"> 2020-03-06 12:46:02</t>
  </si>
  <si>
    <t xml:space="preserve"> 2020-03-06 10:04:02</t>
  </si>
  <si>
    <t>上汽集团旗下两大子公司降薪</t>
  </si>
  <si>
    <t xml:space="preserve"> 2020-03-06 12:36:01</t>
  </si>
  <si>
    <t xml:space="preserve"> 2020-03-06 08:58:02</t>
  </si>
  <si>
    <t>北京新增4例境外输入新冠肺炎病例</t>
  </si>
  <si>
    <t xml:space="preserve"> 2020-03-06 12:42:02</t>
  </si>
  <si>
    <t>陕西抗疫补贴超一线医护院长被免职</t>
  </si>
  <si>
    <t>为了押韵而写的歌词</t>
  </si>
  <si>
    <t xml:space="preserve"> 2020-03-06 14:00:02</t>
  </si>
  <si>
    <t xml:space="preserve"> 2020-03-06 09:58:02</t>
  </si>
  <si>
    <t>美股再遭重挫</t>
  </si>
  <si>
    <t>韩国新冠肺炎确诊升至6284人</t>
  </si>
  <si>
    <t xml:space="preserve"> 2020-03-06 12:50:02</t>
  </si>
  <si>
    <t>坚决制止针对中国公民歧视事件</t>
  </si>
  <si>
    <t xml:space="preserve"> 2020-03-06 12:26:02</t>
  </si>
  <si>
    <t>奥运圣火采集地附近发现新冠肺炎患者</t>
  </si>
  <si>
    <t xml:space="preserve"> 2020-03-06 12:30:01</t>
  </si>
  <si>
    <t>女子潜入隔离病区偷窃4人被问责</t>
  </si>
  <si>
    <t>武汉医院视频连线意大利医院</t>
  </si>
  <si>
    <t xml:space="preserve"> 2020-03-06 12:34:02</t>
  </si>
  <si>
    <t xml:space="preserve"> 2020-03-06 11:32:02</t>
  </si>
  <si>
    <t>樱花彩妆</t>
  </si>
  <si>
    <t xml:space="preserve"> 2020-03-06 12:18:02</t>
  </si>
  <si>
    <t xml:space="preserve"> 2020-03-06 07:30:02</t>
  </si>
  <si>
    <t>英国不再日更确诊病例位置引不满</t>
  </si>
  <si>
    <t xml:space="preserve"> 2020-03-06 13:22:02</t>
  </si>
  <si>
    <t xml:space="preserve"> 2020-03-06 11:40:01</t>
  </si>
  <si>
    <t>卡塔尔赛张本智和首轮出局</t>
  </si>
  <si>
    <t xml:space="preserve"> 2020-03-06 12:14:02</t>
  </si>
  <si>
    <t>邮政快递业复工率已达90.2%</t>
  </si>
  <si>
    <t xml:space="preserve"> 2020-03-07 13:38:01</t>
  </si>
  <si>
    <t xml:space="preserve"> 2020-03-06 22:26:02</t>
  </si>
  <si>
    <t>被梅姨拐卖15年的孩子找到了</t>
  </si>
  <si>
    <t xml:space="preserve"> 2020-03-07 14:42:01</t>
  </si>
  <si>
    <t xml:space="preserve"> 2020-03-06 23:22:02</t>
  </si>
  <si>
    <t>郑爽俞灏明拥抱</t>
  </si>
  <si>
    <t xml:space="preserve"> 2020-03-07 13:10:01</t>
  </si>
  <si>
    <t xml:space="preserve"> 2020-03-06 22:38:02</t>
  </si>
  <si>
    <t>沈腾无脸男太好笑了</t>
  </si>
  <si>
    <t xml:space="preserve"> 2020-03-07 09:50:02</t>
  </si>
  <si>
    <t>郑爽关晓彤冰雪奇缘</t>
  </si>
  <si>
    <t xml:space="preserve"> 2020-03-07 09:42:02</t>
  </si>
  <si>
    <t xml:space="preserve"> 2020-03-06 22:44:02</t>
  </si>
  <si>
    <t>东京奥组委取消圣火仪式上的学生表演</t>
  </si>
  <si>
    <t xml:space="preserve"> 2020-03-07 11:02:02</t>
  </si>
  <si>
    <t xml:space="preserve"> 2020-03-06 22:48:01</t>
  </si>
  <si>
    <t>庆余年拍动画</t>
  </si>
  <si>
    <t xml:space="preserve"> 2020-03-07 12:04:01</t>
  </si>
  <si>
    <t xml:space="preserve"> 2020-03-06 22:46:01</t>
  </si>
  <si>
    <t>斯黛拉叶东烈接吻</t>
  </si>
  <si>
    <t xml:space="preserve"> 2020-03-07 08:38:02</t>
  </si>
  <si>
    <t xml:space="preserve"> 2020-03-06 21:38:01</t>
  </si>
  <si>
    <t>全球确诊病例已达10万例</t>
  </si>
  <si>
    <t xml:space="preserve"> 2020-03-06 23:04:02</t>
  </si>
  <si>
    <t>甘肃新增17例境外输入新冠肺炎</t>
  </si>
  <si>
    <t xml:space="preserve"> 2020-03-07 08:40:02</t>
  </si>
  <si>
    <t xml:space="preserve"> 2020-03-06 20:34:02</t>
  </si>
  <si>
    <t>江达琳谭新凯分手</t>
  </si>
  <si>
    <t xml:space="preserve"> 2020-03-07 06:00:02</t>
  </si>
  <si>
    <t xml:space="preserve"> 2020-03-06 13:48:02</t>
  </si>
  <si>
    <t>愿你被这个世界温柔以待</t>
  </si>
  <si>
    <t xml:space="preserve"> 2020-03-07 18:18:02</t>
  </si>
  <si>
    <t xml:space="preserve"> 2020-03-06 20:40:02</t>
  </si>
  <si>
    <t>戴自更被双开</t>
  </si>
  <si>
    <t xml:space="preserve"> 2020-03-07 14:00:01</t>
  </si>
  <si>
    <t xml:space="preserve"> 2020-03-06 21:12:01</t>
  </si>
  <si>
    <t>八旬奶奶治愈出院下跪致谢</t>
  </si>
  <si>
    <t xml:space="preserve"> 2020-03-07 09:46:01</t>
  </si>
  <si>
    <t xml:space="preserve"> 2020-03-06 21:46:01</t>
  </si>
  <si>
    <t>房似锦被跳单</t>
  </si>
  <si>
    <t xml:space="preserve"> 2020-03-07 09:34:02</t>
  </si>
  <si>
    <t>华晨宇cos哪吒</t>
  </si>
  <si>
    <t xml:space="preserve"> 2020-03-07 10:04:01</t>
  </si>
  <si>
    <t xml:space="preserve"> 2020-03-06 22:06:02</t>
  </si>
  <si>
    <t>全国发放112亿元稳岗返还补贴</t>
  </si>
  <si>
    <t xml:space="preserve"> 2020-03-07 11:40:02</t>
  </si>
  <si>
    <t xml:space="preserve"> 2020-03-06 22:28:02</t>
  </si>
  <si>
    <t>宋威龙来薇娅直播间</t>
  </si>
  <si>
    <t xml:space="preserve"> 2020-03-07 10:08:01</t>
  </si>
  <si>
    <t xml:space="preserve"> 2020-03-06 22:24:02</t>
  </si>
  <si>
    <t>大学生发明金钟叉防共餐交叉感染</t>
  </si>
  <si>
    <t xml:space="preserve"> 2020-03-07 07:34:02</t>
  </si>
  <si>
    <t xml:space="preserve"> 2020-03-06 18:56:01</t>
  </si>
  <si>
    <t>南医大奸杀案嫌犯被批捕</t>
  </si>
  <si>
    <t xml:space="preserve"> 2020-03-07 09:14:02</t>
  </si>
  <si>
    <t xml:space="preserve"> 2020-03-06 20:58:01</t>
  </si>
  <si>
    <t>安家 倪海棠</t>
  </si>
  <si>
    <t xml:space="preserve"> 2020-03-07 09:10:02</t>
  </si>
  <si>
    <t xml:space="preserve"> 2020-03-06 19:08:02</t>
  </si>
  <si>
    <t>中央指导组回应武汉居民大喊假的假的</t>
  </si>
  <si>
    <t xml:space="preserve"> 2020-03-07 09:22:01</t>
  </si>
  <si>
    <t>林更新同人文</t>
  </si>
  <si>
    <t xml:space="preserve"> 2020-03-07 08:34:01</t>
  </si>
  <si>
    <t xml:space="preserve"> 2020-03-06 16:56:02</t>
  </si>
  <si>
    <t>哆啦A梦原本不是蓝色</t>
  </si>
  <si>
    <t xml:space="preserve"> 2020-03-06 20:22:02</t>
  </si>
  <si>
    <t>厦门到底有多美</t>
  </si>
  <si>
    <t xml:space="preserve"> 2020-03-07 07:52:02</t>
  </si>
  <si>
    <t xml:space="preserve"> 2020-03-06 18:36:02</t>
  </si>
  <si>
    <t>韩国71.7%确诊病例属集体感染</t>
  </si>
  <si>
    <t>手工建造寄生虫别墅</t>
  </si>
  <si>
    <t>华晨宇 我们</t>
  </si>
  <si>
    <t xml:space="preserve"> 2020-03-07 07:32:02</t>
  </si>
  <si>
    <t xml:space="preserve"> 2020-03-06 18:32:01</t>
  </si>
  <si>
    <t>李冰冰方律师声明</t>
  </si>
  <si>
    <t xml:space="preserve"> 2020-03-07 08:36:02</t>
  </si>
  <si>
    <t xml:space="preserve"> 2020-03-06 13:00:02</t>
  </si>
  <si>
    <t>9岁女孩 我替武汉谢谢你们</t>
  </si>
  <si>
    <t xml:space="preserve"> 2020-03-07 07:36:02</t>
  </si>
  <si>
    <t xml:space="preserve"> 2020-03-06 16:42:02</t>
  </si>
  <si>
    <t>五花肉卫衣</t>
  </si>
  <si>
    <t xml:space="preserve"> 2020-03-07 07:38:02</t>
  </si>
  <si>
    <t>女生发完自拍后的心路历程</t>
  </si>
  <si>
    <t xml:space="preserve"> 2020-03-07 07:22:02</t>
  </si>
  <si>
    <t xml:space="preserve"> 2020-03-06 16:08:01</t>
  </si>
  <si>
    <t>星期六</t>
  </si>
  <si>
    <t xml:space="preserve"> 2020-03-07 07:28:02</t>
  </si>
  <si>
    <t xml:space="preserve"> 2020-03-06 18:30:01</t>
  </si>
  <si>
    <t>OPPO</t>
  </si>
  <si>
    <t xml:space="preserve"> 2020-03-07 07:56:02</t>
  </si>
  <si>
    <t xml:space="preserve"> 2020-03-06 15:48:01</t>
  </si>
  <si>
    <t>学校如果再不开学</t>
  </si>
  <si>
    <t xml:space="preserve"> 2020-03-07 07:58:01</t>
  </si>
  <si>
    <t xml:space="preserve"> 2020-03-06 22:12:02</t>
  </si>
  <si>
    <t>至尊公主号开始新冠病毒测试</t>
  </si>
  <si>
    <t xml:space="preserve"> 2020-03-07 10:24:01</t>
  </si>
  <si>
    <t xml:space="preserve"> 2020-03-06 22:58:02</t>
  </si>
  <si>
    <t>洛杉矶马拉松约27000人参赛</t>
  </si>
  <si>
    <t xml:space="preserve"> 2020-03-11 16:42:02</t>
  </si>
  <si>
    <t>花木兰新歌</t>
  </si>
  <si>
    <t xml:space="preserve"> 2020-03-06 18:24:01</t>
  </si>
  <si>
    <t>医院辟谣刘真去世</t>
  </si>
  <si>
    <t xml:space="preserve"> 2020-03-07 08:32:02</t>
  </si>
  <si>
    <t xml:space="preserve"> 2020-03-06 19:02:02</t>
  </si>
  <si>
    <t>武大樱花将进入盛开期</t>
  </si>
  <si>
    <t xml:space="preserve"> 2020-03-07 08:20:02</t>
  </si>
  <si>
    <t xml:space="preserve"> 2020-03-06 21:58:02</t>
  </si>
  <si>
    <t>突尼斯美国使馆附近发生爆炸袭击</t>
  </si>
  <si>
    <t xml:space="preserve"> 2020-03-06 19:22:01</t>
  </si>
  <si>
    <t>如何回答亲戚让你换头像</t>
  </si>
  <si>
    <t xml:space="preserve"> 2020-03-07 08:18:01</t>
  </si>
  <si>
    <t xml:space="preserve"> 2020-03-06 21:30:02</t>
  </si>
  <si>
    <t>养老金不仅能保当前也能保长远</t>
  </si>
  <si>
    <t xml:space="preserve"> 2020-03-07 08:04:01</t>
  </si>
  <si>
    <t xml:space="preserve"> 2020-03-06 19:38:02</t>
  </si>
  <si>
    <t>武汉距离逐步解除疫情防控限制不会太远</t>
  </si>
  <si>
    <t xml:space="preserve"> 2020-03-07 07:12:02</t>
  </si>
  <si>
    <t xml:space="preserve"> 2020-03-06 17:22:02</t>
  </si>
  <si>
    <t>马云为伊朗筹集到100万只口罩</t>
  </si>
  <si>
    <t xml:space="preserve"> 2020-03-07 19:54:01</t>
  </si>
  <si>
    <t xml:space="preserve"> 2020-03-07 11:46:02</t>
  </si>
  <si>
    <t>检察日报评孙杨案</t>
  </si>
  <si>
    <t xml:space="preserve"> 2020-03-07 16:26:02</t>
  </si>
  <si>
    <t xml:space="preserve"> 2020-03-07 10:16:02</t>
  </si>
  <si>
    <t>钟南山爷爷给孩子们的回信</t>
  </si>
  <si>
    <t xml:space="preserve"> 2020-03-07 15:40:01</t>
  </si>
  <si>
    <t>凌晨4点的武汉是啥样</t>
  </si>
  <si>
    <t xml:space="preserve"> 2020-03-07 19:58:02</t>
  </si>
  <si>
    <t>蒋梦婕爸爸谈女儿与尹正被拍</t>
  </si>
  <si>
    <t xml:space="preserve"> 2020-03-07 16:54:01</t>
  </si>
  <si>
    <t xml:space="preserve"> 2020-03-07 08:00:02</t>
  </si>
  <si>
    <t>王大陆问林允本名</t>
  </si>
  <si>
    <t xml:space="preserve"> 2020-03-07 11:26:02</t>
  </si>
  <si>
    <t>夏思思等4人被追授湖北省三八红旗手</t>
  </si>
  <si>
    <t xml:space="preserve"> 2020-03-07 18:20:02</t>
  </si>
  <si>
    <t xml:space="preserve"> 2020-03-07 09:48:02</t>
  </si>
  <si>
    <t>申军良已抵达广州认亲</t>
  </si>
  <si>
    <t xml:space="preserve"> 2020-03-07 15:12:02</t>
  </si>
  <si>
    <t>无证据显示新冠病毒会在夏季消失</t>
  </si>
  <si>
    <t xml:space="preserve"> 2020-03-08 07:22:02</t>
  </si>
  <si>
    <t>严格禁止普遍要求教师直播上课或录课</t>
  </si>
  <si>
    <t xml:space="preserve"> 2020-03-07 15:32:02</t>
  </si>
  <si>
    <t>马天宇cos敖丙</t>
  </si>
  <si>
    <t xml:space="preserve"> 2020-03-07 14:36:01</t>
  </si>
  <si>
    <t xml:space="preserve"> 2020-03-07 11:42:01</t>
  </si>
  <si>
    <t>国外援助中国抗疫物资清单</t>
  </si>
  <si>
    <t xml:space="preserve"> 2020-03-07 14:44:01</t>
  </si>
  <si>
    <t xml:space="preserve"> 2020-03-07 08:42:02</t>
  </si>
  <si>
    <t>武汉新增确诊病例74例</t>
  </si>
  <si>
    <t xml:space="preserve"> 2020-03-07 20:02:01</t>
  </si>
  <si>
    <t xml:space="preserve"> 2020-03-07 11:04:01</t>
  </si>
  <si>
    <t>女生节</t>
  </si>
  <si>
    <t xml:space="preserve"> 2020-03-07 20:04:02</t>
  </si>
  <si>
    <t xml:space="preserve"> 2020-03-07 11:48:01</t>
  </si>
  <si>
    <t>央视记者被护士摁住冲眼睛</t>
  </si>
  <si>
    <t xml:space="preserve"> 2020-03-07 17:30:02</t>
  </si>
  <si>
    <t xml:space="preserve"> 2020-03-07 10:02:02</t>
  </si>
  <si>
    <t>单眼皮的女生有多好看</t>
  </si>
  <si>
    <t xml:space="preserve"> 2020-03-07 17:26:02</t>
  </si>
  <si>
    <t xml:space="preserve"> 2020-03-07 10:06:02</t>
  </si>
  <si>
    <t>刘亦菲Ocean Drive封面</t>
  </si>
  <si>
    <t xml:space="preserve"> 2020-03-07 15:30:02</t>
  </si>
  <si>
    <t xml:space="preserve"> 2020-03-07 11:08:02</t>
  </si>
  <si>
    <t>武汉药袋哥把药袋串得像鞭炮</t>
  </si>
  <si>
    <t>特朗普称美国确诊少要归功于他</t>
  </si>
  <si>
    <t xml:space="preserve"> 2020-03-07 17:12:01</t>
  </si>
  <si>
    <t>给暗恋男生的微信备注</t>
  </si>
  <si>
    <t xml:space="preserve"> 2020-03-07 14:40:01</t>
  </si>
  <si>
    <t xml:space="preserve"> 2020-03-07 11:22:02</t>
  </si>
  <si>
    <t>上海辰山植物园樱花烂漫</t>
  </si>
  <si>
    <t xml:space="preserve"> 2020-03-07 15:36:02</t>
  </si>
  <si>
    <t xml:space="preserve"> 2020-03-07 11:14:02</t>
  </si>
  <si>
    <t>贝尔出演雷神4反派</t>
  </si>
  <si>
    <t xml:space="preserve"> 2020-03-07 14:12:01</t>
  </si>
  <si>
    <t xml:space="preserve"> 2020-03-07 10:20:02</t>
  </si>
  <si>
    <t>湖北荆州区撤销农村片区交通卡口</t>
  </si>
  <si>
    <t xml:space="preserve"> 2020-03-07 08:24:02</t>
  </si>
  <si>
    <t>赵伊瑞表白被拒绝</t>
  </si>
  <si>
    <t xml:space="preserve"> 2020-03-07 19:08:02</t>
  </si>
  <si>
    <t>特朗普任命新白宫办公厅主任</t>
  </si>
  <si>
    <t xml:space="preserve"> 2020-03-07 13:06:02</t>
  </si>
  <si>
    <t xml:space="preserve"> 2020-03-07 10:26:02</t>
  </si>
  <si>
    <t>东京奥运会新建永久场馆竣工</t>
  </si>
  <si>
    <t xml:space="preserve"> 2020-03-07 15:06:02</t>
  </si>
  <si>
    <t xml:space="preserve"> 2020-03-07 09:04:01</t>
  </si>
  <si>
    <t>小区封闭男子将头钻出围栏理发</t>
  </si>
  <si>
    <t xml:space="preserve"> 2020-03-07 16:46:02</t>
  </si>
  <si>
    <t>和温柔的人相处有多舒服</t>
  </si>
  <si>
    <t xml:space="preserve"> 2020-03-07 14:52:02</t>
  </si>
  <si>
    <t xml:space="preserve"> 2020-03-07 10:58:02</t>
  </si>
  <si>
    <t>法国数千教徒集会多人确诊</t>
  </si>
  <si>
    <t xml:space="preserve"> 2020-03-07 14:56:02</t>
  </si>
  <si>
    <t>假偶天成</t>
  </si>
  <si>
    <t xml:space="preserve"> 2020-03-07 13:56:02</t>
  </si>
  <si>
    <t>秘密花园预告</t>
  </si>
  <si>
    <t xml:space="preserve"> 2020-03-07 14:54:02</t>
  </si>
  <si>
    <t xml:space="preserve"> 2020-03-07 07:40:01</t>
  </si>
  <si>
    <t>林茂根 气人</t>
  </si>
  <si>
    <t>武汉监狱等特殊场所累计确诊1795人</t>
  </si>
  <si>
    <t xml:space="preserve"> 2020-03-17 12:06:01</t>
  </si>
  <si>
    <t xml:space="preserve"> 2020-03-07 10:12:02</t>
  </si>
  <si>
    <t>北京新增3例境外输入病例</t>
  </si>
  <si>
    <t xml:space="preserve"> 2020-03-07 12:34:02</t>
  </si>
  <si>
    <t>武汉公示无疫情小区社区</t>
  </si>
  <si>
    <t xml:space="preserve"> 2020-03-07 12:58:02</t>
  </si>
  <si>
    <t xml:space="preserve"> 2020-03-07 09:40:02</t>
  </si>
  <si>
    <t>韩国新增483例新冠肺炎</t>
  </si>
  <si>
    <t xml:space="preserve"> 2020-03-07 09:36:01</t>
  </si>
  <si>
    <t>国外网友用伏特加自制洗手液</t>
  </si>
  <si>
    <t xml:space="preserve"> 2020-03-07 12:08:02</t>
  </si>
  <si>
    <t>大邱一公寓出现46名确诊患者</t>
  </si>
  <si>
    <t xml:space="preserve"> 2020-03-07 17:22:02</t>
  </si>
  <si>
    <t>快递3月将恢复至疫情前水平</t>
  </si>
  <si>
    <t xml:space="preserve"> 2020-03-07 13:02:01</t>
  </si>
  <si>
    <t xml:space="preserve"> 2020-03-07 07:26:02</t>
  </si>
  <si>
    <t>熔喷布企业谈价格暴涨</t>
  </si>
  <si>
    <t xml:space="preserve"> 2020-03-07 15:46:01</t>
  </si>
  <si>
    <t xml:space="preserve"> 2020-03-07 12:12:02</t>
  </si>
  <si>
    <t>北京66人因聚众赌博被查处</t>
  </si>
  <si>
    <t>NBA提醒各队做好空场准备</t>
  </si>
  <si>
    <t xml:space="preserve"> 2020-03-07 07:14:01</t>
  </si>
  <si>
    <t>被语文书安利过哪些东西</t>
  </si>
  <si>
    <t xml:space="preserve"> 2020-03-07 12:18:02</t>
  </si>
  <si>
    <t xml:space="preserve"> 2020-03-07 10:46:01</t>
  </si>
  <si>
    <t>阿联酋8日起全国停课</t>
  </si>
  <si>
    <t xml:space="preserve"> 2020-03-08 16:34:02</t>
  </si>
  <si>
    <t xml:space="preserve"> 2020-03-07 20:38:02</t>
  </si>
  <si>
    <t>泉州欣佳酒店</t>
  </si>
  <si>
    <t xml:space="preserve"> 2020-03-08 09:26:02</t>
  </si>
  <si>
    <t xml:space="preserve"> 2020-03-07 22:04:02</t>
  </si>
  <si>
    <t>泉州坍塌酒店为密切接触者隔离酒店</t>
  </si>
  <si>
    <t xml:space="preserve"> 2020-03-08 09:32:02</t>
  </si>
  <si>
    <t xml:space="preserve"> 2020-03-07 21:32:01</t>
  </si>
  <si>
    <t>湖北发放第一批绿码</t>
  </si>
  <si>
    <t xml:space="preserve"> 2020-03-08 12:38:01</t>
  </si>
  <si>
    <t xml:space="preserve"> 2020-03-07 22:48:02</t>
  </si>
  <si>
    <t>吴尊工作室声明</t>
  </si>
  <si>
    <t xml:space="preserve"> 2020-03-08 11:28:02</t>
  </si>
  <si>
    <t xml:space="preserve"> 2020-03-07 20:46:02</t>
  </si>
  <si>
    <t>王子健有女朋友</t>
  </si>
  <si>
    <t xml:space="preserve"> 2020-03-08 08:18:02</t>
  </si>
  <si>
    <t xml:space="preserve"> 2020-03-07 21:04:02</t>
  </si>
  <si>
    <t>钟南山院士的50天行程表</t>
  </si>
  <si>
    <t xml:space="preserve"> 2020-03-08 09:52:02</t>
  </si>
  <si>
    <t xml:space="preserve"> 2020-03-07 22:34:01</t>
  </si>
  <si>
    <t>徐姑姑追回跳单</t>
  </si>
  <si>
    <t xml:space="preserve"> 2020-03-07 21:00:02</t>
  </si>
  <si>
    <t>意大利民主党领导人感染新冠病毒</t>
  </si>
  <si>
    <t xml:space="preserve"> 2020-03-08 07:48:02</t>
  </si>
  <si>
    <t xml:space="preserve"> 2020-02-29 18:54:02</t>
  </si>
  <si>
    <t>孙杨妈妈</t>
  </si>
  <si>
    <t xml:space="preserve"> 2020-03-08 10:02:02</t>
  </si>
  <si>
    <t xml:space="preserve"> 2020-03-07 23:32:01</t>
  </si>
  <si>
    <t>申军良父子已团聚</t>
  </si>
  <si>
    <t xml:space="preserve"> 2020-03-08 07:44:02</t>
  </si>
  <si>
    <t xml:space="preserve"> 2020-03-07 19:44:01</t>
  </si>
  <si>
    <t>高伟光给吴宣仪妈妈安排签名照</t>
  </si>
  <si>
    <t xml:space="preserve"> 2020-03-08 08:54:02</t>
  </si>
  <si>
    <t xml:space="preserve"> 2020-03-07 22:30:02</t>
  </si>
  <si>
    <t>林彦俊 白色羽绒服</t>
  </si>
  <si>
    <t xml:space="preserve"> 2020-03-08 07:06:02</t>
  </si>
  <si>
    <t xml:space="preserve"> 2020-03-07 17:58:01</t>
  </si>
  <si>
    <t>无直接证据证明梅姨存在</t>
  </si>
  <si>
    <t xml:space="preserve"> 2020-03-08 08:14:02</t>
  </si>
  <si>
    <t xml:space="preserve"> 2020-03-07 19:48:02</t>
  </si>
  <si>
    <t>沈腾无脸男表情包</t>
  </si>
  <si>
    <t xml:space="preserve"> 2020-03-08 10:08:01</t>
  </si>
  <si>
    <t xml:space="preserve"> 2020-03-07 22:52:01</t>
  </si>
  <si>
    <t>快乐大本营下期有黄景瑜</t>
  </si>
  <si>
    <t xml:space="preserve"> 2020-03-08 10:40:02</t>
  </si>
  <si>
    <t xml:space="preserve"> 2020-03-07 20:48:02</t>
  </si>
  <si>
    <t>国际象棋手吸食过量笑气身亡</t>
  </si>
  <si>
    <t xml:space="preserve"> 2020-03-08 11:52:02</t>
  </si>
  <si>
    <t xml:space="preserve"> 2020-03-07 20:20:02</t>
  </si>
  <si>
    <t>看一集就爱上的女主角</t>
  </si>
  <si>
    <t xml:space="preserve"> 2020-03-08 08:10:02</t>
  </si>
  <si>
    <t xml:space="preserve"> 2020-03-07 19:34:02</t>
  </si>
  <si>
    <t>什么饮料和火锅最配</t>
  </si>
  <si>
    <t xml:space="preserve"> 2020-03-07 23:30:02</t>
  </si>
  <si>
    <t>泉州酒店倒塌或与修地基有关</t>
  </si>
  <si>
    <t xml:space="preserve"> 2020-03-08 07:34:02</t>
  </si>
  <si>
    <t xml:space="preserve"> 2020-03-07 23:14:02</t>
  </si>
  <si>
    <t>新疆应急响应调整为三级</t>
  </si>
  <si>
    <t xml:space="preserve"> 2020-03-08 11:36:02</t>
  </si>
  <si>
    <t xml:space="preserve"> 2020-03-07 21:56:02</t>
  </si>
  <si>
    <t>适合代入小说的长相</t>
  </si>
  <si>
    <t xml:space="preserve"> 2020-03-08 10:36:02</t>
  </si>
  <si>
    <t xml:space="preserve"> 2020-03-07 20:14:02</t>
  </si>
  <si>
    <t>成都双流机场旁有只大熊猫</t>
  </si>
  <si>
    <t xml:space="preserve"> 2020-03-08 11:00:01</t>
  </si>
  <si>
    <t xml:space="preserve"> 2020-03-07 22:36:02</t>
  </si>
  <si>
    <t>体测时的尴尬经历</t>
  </si>
  <si>
    <t xml:space="preserve"> 2020-03-07 21:48:02</t>
  </si>
  <si>
    <t>非诚勿扰陈东缘</t>
  </si>
  <si>
    <t xml:space="preserve"> 2020-03-08 08:12:02</t>
  </si>
  <si>
    <t xml:space="preserve"> 2020-03-07 23:02:02</t>
  </si>
  <si>
    <t>伊朗演员教大家花式洗手</t>
  </si>
  <si>
    <t xml:space="preserve"> 2020-03-07 20:00:03</t>
  </si>
  <si>
    <t>万物皆可水煮</t>
  </si>
  <si>
    <t xml:space="preserve"> 2020-03-08 09:06:01</t>
  </si>
  <si>
    <t>伊朗新当选议员患新冠肺炎去世</t>
  </si>
  <si>
    <t xml:space="preserve"> 2020-03-08 08:16:02</t>
  </si>
  <si>
    <t>郭俊辰可爱</t>
  </si>
  <si>
    <t xml:space="preserve"> 2020-03-08 08:52:02</t>
  </si>
  <si>
    <t xml:space="preserve"> 2020-03-07 23:18:01</t>
  </si>
  <si>
    <t>张文宏谈新冠疫苗</t>
  </si>
  <si>
    <t xml:space="preserve"> 2020-03-07 21:12:02</t>
  </si>
  <si>
    <t>医生对脱机患者大喊你活过来了</t>
  </si>
  <si>
    <t xml:space="preserve"> 2020-03-07 23:00:02</t>
  </si>
  <si>
    <t>红十字会派遣专家支援伊拉克疫情防控</t>
  </si>
  <si>
    <t xml:space="preserve"> 2020-03-08 07:32:02</t>
  </si>
  <si>
    <t xml:space="preserve"> 2020-03-07 21:10:01</t>
  </si>
  <si>
    <t>福建确诊全部清零</t>
  </si>
  <si>
    <t xml:space="preserve"> 2020-03-08 08:04:02</t>
  </si>
  <si>
    <t xml:space="preserve"> 2020-03-07 22:00:02</t>
  </si>
  <si>
    <t>泉州倒塌酒店被困人员约70人</t>
  </si>
  <si>
    <t xml:space="preserve"> 2020-03-07 18:24:01</t>
  </si>
  <si>
    <t>广东数百万斤田鸡滞销压塘</t>
  </si>
  <si>
    <t xml:space="preserve"> 2020-04-03 02:40:02</t>
  </si>
  <si>
    <t xml:space="preserve"> 2020-03-03 12:48:02</t>
  </si>
  <si>
    <t>重生</t>
  </si>
  <si>
    <t xml:space="preserve"> 2020-03-08 08:50:02</t>
  </si>
  <si>
    <t>篮网主帅下课</t>
  </si>
  <si>
    <t xml:space="preserve"> 2020-03-08 07:20:02</t>
  </si>
  <si>
    <t xml:space="preserve"> 2020-03-07 18:38:01</t>
  </si>
  <si>
    <t>令人怦然心动的证件照</t>
  </si>
  <si>
    <t xml:space="preserve"> 2020-03-08 07:04:02</t>
  </si>
  <si>
    <t xml:space="preserve"> 2020-03-07 17:28:01</t>
  </si>
  <si>
    <t>普京被美女现场求婚</t>
  </si>
  <si>
    <t xml:space="preserve"> 2020-03-08 07:30:02</t>
  </si>
  <si>
    <t>iPad Air 3会出现永久性黑屏</t>
  </si>
  <si>
    <t xml:space="preserve"> 2020-03-08 07:46:02</t>
  </si>
  <si>
    <t>日本预计下周起禁止转售口罩</t>
  </si>
  <si>
    <t xml:space="preserve"> 2020-03-08 11:04:02</t>
  </si>
  <si>
    <t xml:space="preserve"> 2020-03-07 23:06:02</t>
  </si>
  <si>
    <t>草莓巧克力爆米花</t>
  </si>
  <si>
    <t xml:space="preserve"> 2020-03-08 11:20:02</t>
  </si>
  <si>
    <t xml:space="preserve"> 2020-03-07 23:22:02</t>
  </si>
  <si>
    <t>马龙许昕男双夺冠</t>
  </si>
  <si>
    <t xml:space="preserve"> 2020-03-08 04:00:02</t>
  </si>
  <si>
    <t xml:space="preserve"> 2020-03-07 17:42:02</t>
  </si>
  <si>
    <t>被哪个明星的cos惊艳到</t>
  </si>
  <si>
    <t xml:space="preserve"> 2020-03-07 22:22:01</t>
  </si>
  <si>
    <t>杨凯 周玉琢</t>
  </si>
  <si>
    <t xml:space="preserve"> 2020-03-07 23:08:02</t>
  </si>
  <si>
    <t>晒出最好看的手</t>
  </si>
  <si>
    <t xml:space="preserve"> 2020-03-08 16:00:02</t>
  </si>
  <si>
    <t>库里患甲型流感</t>
  </si>
  <si>
    <t xml:space="preserve"> 2020-03-08 15:24:01</t>
  </si>
  <si>
    <t xml:space="preserve"> 2020-03-08 10:20:01</t>
  </si>
  <si>
    <t>消防员用口罩为获救男孩蒙眼睛</t>
  </si>
  <si>
    <t xml:space="preserve"> 2020-03-08 14:38:02</t>
  </si>
  <si>
    <t>武汉新增新冠肺炎确诊病例41例</t>
  </si>
  <si>
    <t xml:space="preserve"> 2020-03-08 19:52:02</t>
  </si>
  <si>
    <t xml:space="preserve"> 2020-03-08 11:32:02</t>
  </si>
  <si>
    <t>胡歌吴磊拼一起变李佳琦</t>
  </si>
  <si>
    <t xml:space="preserve"> 2020-03-08 19:14:02</t>
  </si>
  <si>
    <t xml:space="preserve"> 2020-03-08 11:06:01</t>
  </si>
  <si>
    <t>特朗普希望至尊公主号乘客不下船</t>
  </si>
  <si>
    <t xml:space="preserve"> 2020-03-08 17:34:02</t>
  </si>
  <si>
    <t>日本网红猫咪猫叔去世</t>
  </si>
  <si>
    <t xml:space="preserve"> 2020-03-08 16:02:02</t>
  </si>
  <si>
    <t xml:space="preserve"> 2020-03-08 08:06:02</t>
  </si>
  <si>
    <t>宇红男团飞轮海</t>
  </si>
  <si>
    <t xml:space="preserve"> 2020-03-08 15:28:01</t>
  </si>
  <si>
    <t>孟美岐回应兜四爷</t>
  </si>
  <si>
    <t xml:space="preserve"> 2020-03-08 14:02:02</t>
  </si>
  <si>
    <t>泉州欣佳酒店坍塌瞬间监控视频</t>
  </si>
  <si>
    <t xml:space="preserve"> 2020-03-08 14:42:01</t>
  </si>
  <si>
    <t xml:space="preserve"> 2020-03-08 07:26:02</t>
  </si>
  <si>
    <t>意大利鼓励健康人不戴口罩</t>
  </si>
  <si>
    <t xml:space="preserve"> 2020-03-08 16:56:02</t>
  </si>
  <si>
    <t xml:space="preserve"> 2020-03-08 11:18:02</t>
  </si>
  <si>
    <t>刘亦菲唱花木兰主题曲</t>
  </si>
  <si>
    <t xml:space="preserve"> 2020-03-08 21:26:02</t>
  </si>
  <si>
    <t xml:space="preserve"> 2020-03-08 08:08:02</t>
  </si>
  <si>
    <t>三八妇女节</t>
  </si>
  <si>
    <t xml:space="preserve"> 2020-03-08 14:14:02</t>
  </si>
  <si>
    <t xml:space="preserve"> 2020-03-08 07:52:01</t>
  </si>
  <si>
    <t>丁宁遭伊藤美诚横扫</t>
  </si>
  <si>
    <t xml:space="preserve"> 2020-03-08 17:14:01</t>
  </si>
  <si>
    <t xml:space="preserve"> 2020-03-08 09:30:02</t>
  </si>
  <si>
    <t>张伟丽UFC首场卫冕战</t>
  </si>
  <si>
    <t xml:space="preserve"> 2020-03-08 11:42:02</t>
  </si>
  <si>
    <t>坍塌事故系房屋改装作业时发生</t>
  </si>
  <si>
    <t xml:space="preserve"> 2020-03-08 18:24:02</t>
  </si>
  <si>
    <t xml:space="preserve"> 2020-03-08 11:14:02</t>
  </si>
  <si>
    <t>我太喜欢小朋友这个称呼了</t>
  </si>
  <si>
    <t xml:space="preserve"> 2020-03-08 17:56:01</t>
  </si>
  <si>
    <t xml:space="preserve"> 2020-03-08 10:38:01</t>
  </si>
  <si>
    <t>吴磊的后备箱</t>
  </si>
  <si>
    <t xml:space="preserve"> 2020-03-08 11:40:02</t>
  </si>
  <si>
    <t>武汉痊愈患者把医护名字写满外套</t>
  </si>
  <si>
    <t xml:space="preserve"> 2020-03-08 15:44:01</t>
  </si>
  <si>
    <t xml:space="preserve"> 2020-03-08 10:46:02</t>
  </si>
  <si>
    <t>编剧六六将赴武汉</t>
  </si>
  <si>
    <t xml:space="preserve"> 2020-03-08 13:34:02</t>
  </si>
  <si>
    <t xml:space="preserve"> 2020-03-08 10:00:02</t>
  </si>
  <si>
    <t>韩国累计确诊升至7134例</t>
  </si>
  <si>
    <t xml:space="preserve"> 2020-03-08 20:46:02</t>
  </si>
  <si>
    <t xml:space="preserve"> 2020-03-08 12:02:02</t>
  </si>
  <si>
    <t>韩网评韩国十大美女</t>
  </si>
  <si>
    <t xml:space="preserve"> 2020-03-08 18:22:01</t>
  </si>
  <si>
    <t xml:space="preserve"> 2020-03-08 12:04:02</t>
  </si>
  <si>
    <t>马航MH370失联六周年</t>
  </si>
  <si>
    <t xml:space="preserve"> 2020-03-08 12:56:01</t>
  </si>
  <si>
    <t xml:space="preserve"> 2020-03-08 10:24:01</t>
  </si>
  <si>
    <t>骑骆驼找信号上网课</t>
  </si>
  <si>
    <t xml:space="preserve"> 2020-03-08 14:48:02</t>
  </si>
  <si>
    <t>你磕过最久的一对CP</t>
  </si>
  <si>
    <t xml:space="preserve"> 2020-03-08 15:38:01</t>
  </si>
  <si>
    <t xml:space="preserve"> 2020-03-08 08:56:02</t>
  </si>
  <si>
    <t>王俊凯表演系最不怕表演</t>
  </si>
  <si>
    <t xml:space="preserve"> 2020-03-08 13:28:02</t>
  </si>
  <si>
    <t xml:space="preserve"> 2020-03-08 09:54:01</t>
  </si>
  <si>
    <t>广电总局组织拍摄抗疫电视剧</t>
  </si>
  <si>
    <t xml:space="preserve"> 2020-03-08 15:12:02</t>
  </si>
  <si>
    <t xml:space="preserve"> 2020-03-08 09:16:01</t>
  </si>
  <si>
    <t>泉州欣佳酒店救出47人</t>
  </si>
  <si>
    <t xml:space="preserve"> 2020-03-08 11:30:01</t>
  </si>
  <si>
    <t>UFC直播</t>
  </si>
  <si>
    <t xml:space="preserve"> 2020-03-08 10:50:02</t>
  </si>
  <si>
    <t>泉州欣佳酒店已有2人遇难</t>
  </si>
  <si>
    <t xml:space="preserve"> 2020-03-08 14:00:02</t>
  </si>
  <si>
    <t xml:space="preserve"> 2020-03-08 10:26:01</t>
  </si>
  <si>
    <t>贵州六盘水现上百只钳嘴鹤</t>
  </si>
  <si>
    <t xml:space="preserve"> 2020-03-08 13:46:01</t>
  </si>
  <si>
    <t xml:space="preserve"> 2020-03-08 09:36:02</t>
  </si>
  <si>
    <t>至尊公主号内部画面</t>
  </si>
  <si>
    <t xml:space="preserve"> 2020-03-08 10:04:01</t>
  </si>
  <si>
    <t>国家卫健委调派18位专家支援泉州</t>
  </si>
  <si>
    <t xml:space="preserve"> 2020-03-08 17:40:01</t>
  </si>
  <si>
    <t xml:space="preserve"> 2020-03-08 08:34:02</t>
  </si>
  <si>
    <t>女神节快乐</t>
  </si>
  <si>
    <t xml:space="preserve"> 2020-03-08 17:10:02</t>
  </si>
  <si>
    <t xml:space="preserve"> 2020-03-08 11:38:01</t>
  </si>
  <si>
    <t>泉州酒店坍塌事故房主已被警方控制</t>
  </si>
  <si>
    <t xml:space="preserve"> 2020-03-08 14:40:02</t>
  </si>
  <si>
    <t>武汉市民隔窗祝陕西医疗队女神节快乐</t>
  </si>
  <si>
    <t xml:space="preserve"> 2020-03-08 12:34:02</t>
  </si>
  <si>
    <t>斯坦福大学暂停现场授课</t>
  </si>
  <si>
    <t xml:space="preserve"> 2020-03-08 12:42:02</t>
  </si>
  <si>
    <t xml:space="preserve"> 2020-03-08 07:24:02</t>
  </si>
  <si>
    <t>中国政府向世卫组织捐款2000万美元</t>
  </si>
  <si>
    <t xml:space="preserve"> 2020-03-08 12:16:01</t>
  </si>
  <si>
    <t xml:space="preserve"> 2020-03-08 11:26:02</t>
  </si>
  <si>
    <t>泰坦尼克号沉船的原因</t>
  </si>
  <si>
    <t xml:space="preserve"> 2020-03-08 12:48:02</t>
  </si>
  <si>
    <t xml:space="preserve"> 2020-03-08 08:26:01</t>
  </si>
  <si>
    <t>郭麒麟配音神探夏洛克</t>
  </si>
  <si>
    <t xml:space="preserve"> 2020-03-08 11:58:01</t>
  </si>
  <si>
    <t>詹姆斯晒季后赛承诺</t>
  </si>
  <si>
    <t xml:space="preserve"> 2020-03-08 13:24:02</t>
  </si>
  <si>
    <t xml:space="preserve"> 2020-03-08 12:10:02</t>
  </si>
  <si>
    <t>泉州酒店坍塌事故致4死</t>
  </si>
  <si>
    <t xml:space="preserve"> 2020-03-08 12:40:02</t>
  </si>
  <si>
    <t xml:space="preserve"> 2020-03-08 09:34:02</t>
  </si>
  <si>
    <t>福建首批医疗队重返金银潭</t>
  </si>
  <si>
    <t xml:space="preserve"> 2020-03-08 14:16:02</t>
  </si>
  <si>
    <t xml:space="preserve"> 2020-03-08 12:08:01</t>
  </si>
  <si>
    <t>印度新冠肺炎病例总数升至34例</t>
  </si>
  <si>
    <t>北京新增2例境外输入确诊病例</t>
  </si>
  <si>
    <t xml:space="preserve"> 2020-03-08 12:30:01</t>
  </si>
  <si>
    <t>李梓萌为驰援湖北医疗队比心</t>
  </si>
  <si>
    <t>泉州坍塌酒店伤者回忆惊魂一刻</t>
  </si>
  <si>
    <t xml:space="preserve"> 2020-03-09 10:10:02</t>
  </si>
  <si>
    <t xml:space="preserve"> 2020-03-08 22:38:02</t>
  </si>
  <si>
    <t>登机前吃退烧药隐瞒病情最高可判7年</t>
  </si>
  <si>
    <t xml:space="preserve"> 2020-03-09 11:10:01</t>
  </si>
  <si>
    <t xml:space="preserve"> 2020-03-08 23:12:02</t>
  </si>
  <si>
    <t>纽约iPhone11库存即将售罄</t>
  </si>
  <si>
    <t xml:space="preserve"> 2020-03-09 09:12:01</t>
  </si>
  <si>
    <t xml:space="preserve"> 2020-03-08 20:32:01</t>
  </si>
  <si>
    <t>宁静否认改国籍</t>
  </si>
  <si>
    <t xml:space="preserve"> 2020-03-09 11:14:02</t>
  </si>
  <si>
    <t xml:space="preserve"> 2020-03-08 23:08:01</t>
  </si>
  <si>
    <t>江达琳卫哲接吻</t>
  </si>
  <si>
    <t xml:space="preserve"> 2020-03-09 09:40:02</t>
  </si>
  <si>
    <t xml:space="preserve"> 2020-03-08 23:14:02</t>
  </si>
  <si>
    <t>合格口罩可吸附大量纸屑</t>
  </si>
  <si>
    <t xml:space="preserve"> 2020-03-09 08:40:02</t>
  </si>
  <si>
    <t xml:space="preserve"> 2020-03-08 20:34:02</t>
  </si>
  <si>
    <t>钟南山院士公布研究最新成果</t>
  </si>
  <si>
    <t xml:space="preserve"> 2020-03-09 08:42:02</t>
  </si>
  <si>
    <t xml:space="preserve"> 2020-03-08 21:46:02</t>
  </si>
  <si>
    <t>ICU病房医生16秒为病人换上人工肺</t>
  </si>
  <si>
    <t xml:space="preserve"> 2020-03-09 14:06:02</t>
  </si>
  <si>
    <t xml:space="preserve"> 2020-03-08 20:12:02</t>
  </si>
  <si>
    <t>意大利又一大区主席感染新冠病毒</t>
  </si>
  <si>
    <t xml:space="preserve"> 2020-03-09 08:16:01</t>
  </si>
  <si>
    <t>樊振东</t>
  </si>
  <si>
    <t xml:space="preserve"> 2020-03-08 20:54:01</t>
  </si>
  <si>
    <t>徐姑姑喜欢房似锦</t>
  </si>
  <si>
    <t xml:space="preserve"> 2020-03-09 07:00:02</t>
  </si>
  <si>
    <t xml:space="preserve"> 2020-03-08 13:06:02</t>
  </si>
  <si>
    <t>给女孩</t>
  </si>
  <si>
    <t xml:space="preserve"> 2020-03-09 09:00:02</t>
  </si>
  <si>
    <t xml:space="preserve"> 2020-03-08 22:04:02</t>
  </si>
  <si>
    <t>白鹿原民俗村将被拆除</t>
  </si>
  <si>
    <t xml:space="preserve"> 2020-03-09 07:22:01</t>
  </si>
  <si>
    <t>海默弟弟 拍戏用的医用口罩快被偷光了</t>
  </si>
  <si>
    <t xml:space="preserve"> 2020-03-09 07:12:02</t>
  </si>
  <si>
    <t xml:space="preserve"> 2020-03-08 17:18:02</t>
  </si>
  <si>
    <t>朴宰范 扇耳光</t>
  </si>
  <si>
    <t xml:space="preserve"> 2020-03-09 08:00:02</t>
  </si>
  <si>
    <t xml:space="preserve"> 2020-03-08 22:22:02</t>
  </si>
  <si>
    <t>美国护士控诉美疾控中心</t>
  </si>
  <si>
    <t xml:space="preserve"> 2020-03-09 13:44:01</t>
  </si>
  <si>
    <t>赵又廷高圆圆女儿</t>
  </si>
  <si>
    <t xml:space="preserve"> 2020-03-09 13:10:01</t>
  </si>
  <si>
    <t xml:space="preserve"> 2020-03-08 22:46:02</t>
  </si>
  <si>
    <t>05后公布恋情的方式</t>
  </si>
  <si>
    <t>张乘乘徐姑姑婚礼</t>
  </si>
  <si>
    <t xml:space="preserve"> 2020-03-09 11:40:02</t>
  </si>
  <si>
    <t xml:space="preserve"> 2020-03-08 21:28:02</t>
  </si>
  <si>
    <t>泰国演员TAE是欧阳娜娜干爹</t>
  </si>
  <si>
    <t xml:space="preserve"> 2020-03-09 11:44:02</t>
  </si>
  <si>
    <t xml:space="preserve"> 2020-03-08 22:14:02</t>
  </si>
  <si>
    <t>不勤洗床单被套有多可怕</t>
  </si>
  <si>
    <t xml:space="preserve"> 2020-03-09 11:24:02</t>
  </si>
  <si>
    <t>天猫超市否认大数据杀熟</t>
  </si>
  <si>
    <t xml:space="preserve"> 2020-03-09 09:32:01</t>
  </si>
  <si>
    <t xml:space="preserve"> 2020-03-08 22:18:02</t>
  </si>
  <si>
    <t>女性生理卫生用品纳入疫情保障用品清单</t>
  </si>
  <si>
    <t xml:space="preserve"> 2020-03-09 11:26:02</t>
  </si>
  <si>
    <t>韩国6名患者确诊前献过血</t>
  </si>
  <si>
    <t xml:space="preserve"> 2020-03-09 09:10:02</t>
  </si>
  <si>
    <t xml:space="preserve"> 2020-03-08 23:30:01</t>
  </si>
  <si>
    <t>日本僧人赤身淋冷水为疫情祈愿</t>
  </si>
  <si>
    <t>乳茶</t>
  </si>
  <si>
    <t xml:space="preserve"> 2020-03-08 21:02:02</t>
  </si>
  <si>
    <t>全网最暴躁的小猫</t>
  </si>
  <si>
    <t xml:space="preserve"> 2020-03-09 08:22:02</t>
  </si>
  <si>
    <t xml:space="preserve"> 2020-03-08 23:38:02</t>
  </si>
  <si>
    <t>宝钢</t>
  </si>
  <si>
    <t xml:space="preserve"> 2020-03-09 16:12:02</t>
  </si>
  <si>
    <t xml:space="preserve"> 2020-03-08 20:24:02</t>
  </si>
  <si>
    <t>纽约州长怒怼联邦政府</t>
  </si>
  <si>
    <t xml:space="preserve"> 2020-03-09 09:28:02</t>
  </si>
  <si>
    <t xml:space="preserve"> 2020-03-08 22:16:02</t>
  </si>
  <si>
    <t>江达琳短发</t>
  </si>
  <si>
    <t xml:space="preserve"> 2020-03-08 21:04:02</t>
  </si>
  <si>
    <t>周迅惠英红赵雅芝女性色彩海报</t>
  </si>
  <si>
    <t xml:space="preserve"> 2020-03-09 10:14:02</t>
  </si>
  <si>
    <t xml:space="preserve"> 2020-03-08 23:06:01</t>
  </si>
  <si>
    <t>最难以接受的地方小吃</t>
  </si>
  <si>
    <t xml:space="preserve"> 2020-03-09 07:20:01</t>
  </si>
  <si>
    <t xml:space="preserve"> 2020-02-29 14:54:02</t>
  </si>
  <si>
    <t>Uzi</t>
  </si>
  <si>
    <t xml:space="preserve"> 2020-03-09 17:24:01</t>
  </si>
  <si>
    <t xml:space="preserve"> 2020-03-08 21:58:02</t>
  </si>
  <si>
    <t>德国拦截瑞士进口防护口罩</t>
  </si>
  <si>
    <t xml:space="preserve"> 2020-03-09 07:32:02</t>
  </si>
  <si>
    <t xml:space="preserve"> 2020-03-08 20:20:02</t>
  </si>
  <si>
    <t>假闺蜜头像</t>
  </si>
  <si>
    <t>孟鹤堂演绎依萍失恋</t>
  </si>
  <si>
    <t>袁姗姗妈妈宅家广场舞</t>
  </si>
  <si>
    <t xml:space="preserve"> 2020-03-09 08:56:02</t>
  </si>
  <si>
    <t>平底锅酸奶蛋糕</t>
  </si>
  <si>
    <t>马云给20万女医护送礼物</t>
  </si>
  <si>
    <t xml:space="preserve"> 2020-03-09 09:22:01</t>
  </si>
  <si>
    <t>欣佳酒店坍塌幸存者</t>
  </si>
  <si>
    <t xml:space="preserve"> 2020-03-09 07:14:01</t>
  </si>
  <si>
    <t xml:space="preserve"> 2020-03-08 21:32:01</t>
  </si>
  <si>
    <t>林俊杰连线湖北一线护士歌迷</t>
  </si>
  <si>
    <t>房似锦救爷爷</t>
  </si>
  <si>
    <t xml:space="preserve"> 2020-03-09 03:50:01</t>
  </si>
  <si>
    <t xml:space="preserve"> 2020-03-08 23:32:01</t>
  </si>
  <si>
    <t>GNR</t>
  </si>
  <si>
    <t xml:space="preserve"> 2020-03-09 07:50:01</t>
  </si>
  <si>
    <t xml:space="preserve"> 2020-03-08 23:00:02</t>
  </si>
  <si>
    <t>武汉公交司机等医护到凌晨4点半</t>
  </si>
  <si>
    <t xml:space="preserve"> 2020-03-08 20:02:01</t>
  </si>
  <si>
    <t>科学家已亲试第一针新冠疫苗</t>
  </si>
  <si>
    <t xml:space="preserve"> 2020-03-09 03:20:02</t>
  </si>
  <si>
    <t xml:space="preserve"> 2020-03-08 16:22:01</t>
  </si>
  <si>
    <t>吴尊发文</t>
  </si>
  <si>
    <t xml:space="preserve"> 2020-03-09 02:44:01</t>
  </si>
  <si>
    <t xml:space="preserve"> 2020-03-08 19:48:01</t>
  </si>
  <si>
    <t>95岁老奶奶口红是必备品</t>
  </si>
  <si>
    <t xml:space="preserve"> 2020-03-09 01:34:02</t>
  </si>
  <si>
    <t xml:space="preserve"> 2020-03-08 17:16:02</t>
  </si>
  <si>
    <t>龙吟</t>
  </si>
  <si>
    <t xml:space="preserve"> 2020-03-08 17:08:02</t>
  </si>
  <si>
    <t>泉州</t>
  </si>
  <si>
    <t xml:space="preserve"> 2020-03-09 17:22:02</t>
  </si>
  <si>
    <t xml:space="preserve"> 2020-03-09 09:44:02</t>
  </si>
  <si>
    <t>邓超以为孙俪用灵芝给他煲汤</t>
  </si>
  <si>
    <t xml:space="preserve"> 2020-03-09 15:20:02</t>
  </si>
  <si>
    <t>湖北除武汉外新增确诊新增疑似双清零</t>
  </si>
  <si>
    <t xml:space="preserve"> 2020-03-09 10:12:02</t>
  </si>
  <si>
    <t>科比一家超时空同框</t>
  </si>
  <si>
    <t xml:space="preserve"> 2020-03-09 18:18:02</t>
  </si>
  <si>
    <t xml:space="preserve"> 2020-03-09 11:16:02</t>
  </si>
  <si>
    <t>具荷拉哥哥起诉母亲</t>
  </si>
  <si>
    <t xml:space="preserve"> 2020-03-09 17:18:02</t>
  </si>
  <si>
    <t>刘亦菲生图</t>
  </si>
  <si>
    <t xml:space="preserve"> 2020-03-09 14:54:02</t>
  </si>
  <si>
    <t xml:space="preserve"> 2020-03-09 11:42:02</t>
  </si>
  <si>
    <t>上海迪士尼小镇等部分恢复运营</t>
  </si>
  <si>
    <t xml:space="preserve"> 2020-03-09 15:50:02</t>
  </si>
  <si>
    <t xml:space="preserve"> 2020-03-09 09:24:02</t>
  </si>
  <si>
    <t>股市暴跌</t>
  </si>
  <si>
    <t xml:space="preserve"> 2020-03-09 15:24:02</t>
  </si>
  <si>
    <t xml:space="preserve"> 2020-03-09 09:16:02</t>
  </si>
  <si>
    <t>意大利确诊病例死亡率升至全球最高</t>
  </si>
  <si>
    <t xml:space="preserve"> 2020-03-09 13:32:01</t>
  </si>
  <si>
    <t xml:space="preserve"> 2020-03-09 11:00:02</t>
  </si>
  <si>
    <t>央视315晚会将延迟播出</t>
  </si>
  <si>
    <t xml:space="preserve"> 2020-03-09 14:04:02</t>
  </si>
  <si>
    <t xml:space="preserve"> 2020-03-09 10:26:01</t>
  </si>
  <si>
    <t>中国货轮遇海盗尼日利亚海军营救</t>
  </si>
  <si>
    <t xml:space="preserve"> 2020-03-09 15:44:02</t>
  </si>
  <si>
    <t>朴有天缓刑期间首开直播</t>
  </si>
  <si>
    <t xml:space="preserve"> 2020-03-09 15:10:01</t>
  </si>
  <si>
    <t xml:space="preserve"> 2020-03-09 11:28:02</t>
  </si>
  <si>
    <t>民政部回应武汉小区造假事件</t>
  </si>
  <si>
    <t xml:space="preserve"> 2020-03-09 14:24:01</t>
  </si>
  <si>
    <t xml:space="preserve"> 2020-03-09 11:50:01</t>
  </si>
  <si>
    <t>中国境外101个国家地区受新冠肺炎影响</t>
  </si>
  <si>
    <t xml:space="preserve"> 2020-03-09 13:52:02</t>
  </si>
  <si>
    <t xml:space="preserve"> 2020-03-09 09:36:02</t>
  </si>
  <si>
    <t>葡萄牙总统因新冠疫情将主动接受隔离</t>
  </si>
  <si>
    <t xml:space="preserve"> 2020-03-09 13:28:02</t>
  </si>
  <si>
    <t>意大利大面积封城影响超千万人</t>
  </si>
  <si>
    <t xml:space="preserve"> 2020-03-09 16:52:02</t>
  </si>
  <si>
    <t xml:space="preserve"> 2020-03-09 09:04:02</t>
  </si>
  <si>
    <t>高校通知学生6月返校直接毕业</t>
  </si>
  <si>
    <t xml:space="preserve"> 2020-03-09 11:32:02</t>
  </si>
  <si>
    <t>日本一幼儿园拒绝停课</t>
  </si>
  <si>
    <t xml:space="preserve"> 2020-03-09 15:58:02</t>
  </si>
  <si>
    <t>小唐尼看张伟丽比赛</t>
  </si>
  <si>
    <t xml:space="preserve"> 2020-03-09 16:16:01</t>
  </si>
  <si>
    <t xml:space="preserve"> 2020-03-09 10:56:02</t>
  </si>
  <si>
    <t>上网课划水的后果</t>
  </si>
  <si>
    <t xml:space="preserve"> 2020-03-09 15:26:02</t>
  </si>
  <si>
    <t>韩美娟曝被威胁</t>
  </si>
  <si>
    <t xml:space="preserve"> 2020-03-09 17:38:02</t>
  </si>
  <si>
    <t>看一集就忘不了的男主角</t>
  </si>
  <si>
    <t xml:space="preserve"> 2020-03-09 14:46:02</t>
  </si>
  <si>
    <t xml:space="preserve"> 2020-03-09 11:46:02</t>
  </si>
  <si>
    <t>金圣柱入伍</t>
  </si>
  <si>
    <t xml:space="preserve"> 2020-03-09 13:16:01</t>
  </si>
  <si>
    <t>朝鲜发射不明飞行体</t>
  </si>
  <si>
    <t xml:space="preserve"> 2020-03-09 13:58:02</t>
  </si>
  <si>
    <t>被朋友放在心上的感觉真好</t>
  </si>
  <si>
    <t xml:space="preserve"> 2020-03-09 15:48:02</t>
  </si>
  <si>
    <t xml:space="preserve"> 2020-03-09 07:58:02</t>
  </si>
  <si>
    <t>王一博给妈妈做柚子鸡</t>
  </si>
  <si>
    <t xml:space="preserve"> 2020-03-09 07:48:02</t>
  </si>
  <si>
    <t>姜gary儿子的记忆力</t>
  </si>
  <si>
    <t xml:space="preserve"> 2020-03-09 15:08:01</t>
  </si>
  <si>
    <t xml:space="preserve"> 2020-03-09 10:16:02</t>
  </si>
  <si>
    <t>河南宝泉景区拥挤不堪</t>
  </si>
  <si>
    <t xml:space="preserve"> 2020-03-09 07:26:02</t>
  </si>
  <si>
    <t>瑞士不再对轻症患者进行新冠病毒检测</t>
  </si>
  <si>
    <t xml:space="preserve"> 2020-03-09 14:32:01</t>
  </si>
  <si>
    <t>人鱼公主裙</t>
  </si>
  <si>
    <t xml:space="preserve"> 2020-03-23 12:50:02</t>
  </si>
  <si>
    <t xml:space="preserve"> 2020-03-09 08:44:02</t>
  </si>
  <si>
    <t>异度侵入</t>
  </si>
  <si>
    <t xml:space="preserve"> 2020-03-09 13:20:02</t>
  </si>
  <si>
    <t xml:space="preserve"> 2020-03-09 09:54:02</t>
  </si>
  <si>
    <t>护士收到张信哲为她录的视频</t>
  </si>
  <si>
    <t xml:space="preserve"> 2020-03-09 13:50:02</t>
  </si>
  <si>
    <t xml:space="preserve"> 2020-03-09 11:58:02</t>
  </si>
  <si>
    <t>重庆广阳岛1280亩油菜花开了</t>
  </si>
  <si>
    <t xml:space="preserve"> 2020-03-09 07:16:01</t>
  </si>
  <si>
    <t>詹姆斯跪地救球</t>
  </si>
  <si>
    <t xml:space="preserve"> 2020-03-09 12:00:02</t>
  </si>
  <si>
    <t>十音 lks</t>
  </si>
  <si>
    <t xml:space="preserve"> 2020-03-09 12:28:02</t>
  </si>
  <si>
    <t xml:space="preserve"> 2020-03-09 11:52:02</t>
  </si>
  <si>
    <t>坚决制止多头重复向基层派任务要表格</t>
  </si>
  <si>
    <t xml:space="preserve"> 2020-03-09 12:22:02</t>
  </si>
  <si>
    <t xml:space="preserve"> 2020-03-09 11:48:01</t>
  </si>
  <si>
    <t>当我和别人吵架后</t>
  </si>
  <si>
    <t xml:space="preserve"> 2020-03-09 12:38:01</t>
  </si>
  <si>
    <t xml:space="preserve"> 2020-03-09 12:02:02</t>
  </si>
  <si>
    <t>方舱医院导游龙大侠</t>
  </si>
  <si>
    <t xml:space="preserve"> 2020-03-09 16:02:01</t>
  </si>
  <si>
    <t xml:space="preserve"> 2020-03-09 12:14:02</t>
  </si>
  <si>
    <t>C罗假装和球迷握手</t>
  </si>
  <si>
    <t>胡润全球少壮派白手起家富豪榜</t>
  </si>
  <si>
    <t xml:space="preserve"> 2020-03-09 12:56:02</t>
  </si>
  <si>
    <t xml:space="preserve"> 2020-03-09 10:24:01</t>
  </si>
  <si>
    <t>昆明市民送别红嘴鸥</t>
  </si>
  <si>
    <t xml:space="preserve"> 2020-03-09 07:34:02</t>
  </si>
  <si>
    <t>父子相认后申军良首度发声</t>
  </si>
  <si>
    <t>像极了你刚学说唱的样子</t>
  </si>
  <si>
    <t xml:space="preserve"> 2020-03-10 11:08:01</t>
  </si>
  <si>
    <t xml:space="preserve"> 2020-03-09 21:42:02</t>
  </si>
  <si>
    <t>阚太太要求离婚</t>
  </si>
  <si>
    <t xml:space="preserve"> 2020-03-10 09:26:02</t>
  </si>
  <si>
    <t xml:space="preserve"> 2020-03-09 18:38:02</t>
  </si>
  <si>
    <t>满足三个条件可开学</t>
  </si>
  <si>
    <t xml:space="preserve"> 2020-04-08 08:54:02</t>
  </si>
  <si>
    <t xml:space="preserve"> 2020-03-09 21:04:02</t>
  </si>
  <si>
    <t>超级月亮</t>
  </si>
  <si>
    <t xml:space="preserve"> 2020-03-10 11:42:02</t>
  </si>
  <si>
    <t xml:space="preserve"> 2020-03-09 22:00:02</t>
  </si>
  <si>
    <t>美股熔断</t>
  </si>
  <si>
    <t xml:space="preserve"> 2020-03-10 09:32:02</t>
  </si>
  <si>
    <t xml:space="preserve"> 2020-03-09 19:56:02</t>
  </si>
  <si>
    <t>微信iOS版将支持暗黑模式</t>
  </si>
  <si>
    <t xml:space="preserve"> 2020-03-10 09:22:02</t>
  </si>
  <si>
    <t xml:space="preserve"> 2020-03-09 22:36:02</t>
  </si>
  <si>
    <t>纽交所因暴跌宣布暂停交易15分钟</t>
  </si>
  <si>
    <t xml:space="preserve"> 2020-03-10 09:54:02</t>
  </si>
  <si>
    <t>胡可演技</t>
  </si>
  <si>
    <t xml:space="preserve"> 2020-03-10 08:56:02</t>
  </si>
  <si>
    <t xml:space="preserve"> 2020-03-09 22:30:01</t>
  </si>
  <si>
    <t>西班牙新冠肺炎确诊病例已达999例</t>
  </si>
  <si>
    <t xml:space="preserve"> 2020-03-10 07:26:02</t>
  </si>
  <si>
    <t xml:space="preserve"> 2020-03-09 20:18:01</t>
  </si>
  <si>
    <t>中国首批援巴蝗灾防控物资运抵卡拉奇</t>
  </si>
  <si>
    <t xml:space="preserve"> 2020-03-10 09:46:01</t>
  </si>
  <si>
    <t xml:space="preserve"> 2020-03-09 20:54:02</t>
  </si>
  <si>
    <t>王子健太卑微了</t>
  </si>
  <si>
    <t xml:space="preserve"> 2020-03-10 08:18:01</t>
  </si>
  <si>
    <t xml:space="preserve"> 2020-03-09 17:40:02</t>
  </si>
  <si>
    <t>苹果 微信</t>
  </si>
  <si>
    <t xml:space="preserve"> 2020-03-10 10:44:02</t>
  </si>
  <si>
    <t>仅代表个人立场弱弱说一句</t>
  </si>
  <si>
    <t xml:space="preserve"> 2020-03-10 08:08:02</t>
  </si>
  <si>
    <t>刘耀文私生 追踪器</t>
  </si>
  <si>
    <t xml:space="preserve"> 2020-03-10 08:32:01</t>
  </si>
  <si>
    <t xml:space="preserve"> 2020-03-09 20:20:02</t>
  </si>
  <si>
    <t>浙江2020年首张人身安全保护令</t>
  </si>
  <si>
    <t xml:space="preserve"> 2020-03-10 07:44:02</t>
  </si>
  <si>
    <t xml:space="preserve"> 2020-03-09 18:20:02</t>
  </si>
  <si>
    <t>特朗普握过手的人接触过确诊病例</t>
  </si>
  <si>
    <t xml:space="preserve"> 2020-03-10 11:36:01</t>
  </si>
  <si>
    <t xml:space="preserve"> 2020-03-09 20:30:02</t>
  </si>
  <si>
    <t>尿尿的正确读音</t>
  </si>
  <si>
    <t xml:space="preserve"> 2020-03-24 11:26:02</t>
  </si>
  <si>
    <t xml:space="preserve"> 2019-12-14 00:08:02</t>
  </si>
  <si>
    <t>特朗普</t>
  </si>
  <si>
    <t xml:space="preserve"> 2020-03-10 08:58:02</t>
  </si>
  <si>
    <t xml:space="preserve"> 2020-03-09 22:44:02</t>
  </si>
  <si>
    <t>马航MH17空难案在荷兰开庭</t>
  </si>
  <si>
    <t xml:space="preserve"> 2020-03-10 09:48:02</t>
  </si>
  <si>
    <t xml:space="preserve"> 2020-03-09 23:12:01</t>
  </si>
  <si>
    <t>消防员让女子踩自己走出坍塌楼体</t>
  </si>
  <si>
    <t xml:space="preserve"> 2020-03-10 10:10:01</t>
  </si>
  <si>
    <t xml:space="preserve"> 2020-03-09 22:38:02</t>
  </si>
  <si>
    <t>卫哲江达琳停电吻</t>
  </si>
  <si>
    <t xml:space="preserve"> 2020-03-09 22:08:02</t>
  </si>
  <si>
    <t>原生家庭会影响择偶标准么</t>
  </si>
  <si>
    <t xml:space="preserve"> 2020-03-10 09:50:02</t>
  </si>
  <si>
    <t xml:space="preserve"> 2020-03-09 21:26:02</t>
  </si>
  <si>
    <t>全国人大微博</t>
  </si>
  <si>
    <t xml:space="preserve"> 2020-03-10 00:30:01</t>
  </si>
  <si>
    <t xml:space="preserve"> 2020-03-09 21:40:02</t>
  </si>
  <si>
    <t>胡必亮</t>
  </si>
  <si>
    <t xml:space="preserve"> 2020-03-10 08:36:02</t>
  </si>
  <si>
    <t xml:space="preserve"> 2020-03-09 18:46:01</t>
  </si>
  <si>
    <t>非洲球员球场相撞后去世</t>
  </si>
  <si>
    <t xml:space="preserve"> 2020-03-28 04:50:02</t>
  </si>
  <si>
    <t xml:space="preserve"> 2020-03-09 21:52:01</t>
  </si>
  <si>
    <t>法证先锋</t>
  </si>
  <si>
    <t xml:space="preserve"> 2020-03-09 22:10:01</t>
  </si>
  <si>
    <t>生鱼片眼膜</t>
  </si>
  <si>
    <t xml:space="preserve"> 2020-03-10 08:14:02</t>
  </si>
  <si>
    <t xml:space="preserve"> 2020-03-09 21:16:02</t>
  </si>
  <si>
    <t>泉州坍塌酒店现场发现被困母子</t>
  </si>
  <si>
    <t xml:space="preserve"> 2020-03-10 07:14:01</t>
  </si>
  <si>
    <t xml:space="preserve"> 2020-03-09 17:48:01</t>
  </si>
  <si>
    <t>外交部谴责蓬佩奥武汉冠状病毒表述</t>
  </si>
  <si>
    <t xml:space="preserve"> 2020-03-10 09:44:02</t>
  </si>
  <si>
    <t>跳广场舞被猫关掉音乐</t>
  </si>
  <si>
    <t xml:space="preserve"> 2020-03-10 09:40:02</t>
  </si>
  <si>
    <t>舒晴拒绝沈英杰</t>
  </si>
  <si>
    <t xml:space="preserve"> 2020-03-10 08:38:02</t>
  </si>
  <si>
    <t>美国一疗养院13人死亡70人疑似</t>
  </si>
  <si>
    <t xml:space="preserve"> 2020-03-10 07:36:02</t>
  </si>
  <si>
    <t xml:space="preserve"> 2020-03-09 21:32:02</t>
  </si>
  <si>
    <t>我国成功发射第54颗北斗导航卫星</t>
  </si>
  <si>
    <t xml:space="preserve"> 2020-03-10 08:26:02</t>
  </si>
  <si>
    <t xml:space="preserve"> 2020-03-09 22:52:02</t>
  </si>
  <si>
    <t>沙特油价</t>
  </si>
  <si>
    <t xml:space="preserve"> 2020-03-10 07:08:02</t>
  </si>
  <si>
    <t xml:space="preserve"> 2020-03-09 16:48:01</t>
  </si>
  <si>
    <t>蔡徐坤说虞书欣演情景剧</t>
  </si>
  <si>
    <t xml:space="preserve"> 2020-03-10 08:20:02</t>
  </si>
  <si>
    <t xml:space="preserve"> 2020-03-09 22:14:01</t>
  </si>
  <si>
    <t>黄石一小区公告称要捕杀流浪狗</t>
  </si>
  <si>
    <t xml:space="preserve"> 2020-03-10 08:12:02</t>
  </si>
  <si>
    <t>朱闪闪卡门上了</t>
  </si>
  <si>
    <t xml:space="preserve"> 2020-03-10 09:56:01</t>
  </si>
  <si>
    <t xml:space="preserve"> 2020-03-09 21:54:01</t>
  </si>
  <si>
    <t>瑞士要求德国速还被扣口罩</t>
  </si>
  <si>
    <t xml:space="preserve"> 2020-03-10 07:10:02</t>
  </si>
  <si>
    <t xml:space="preserve"> 2020-03-09 17:10:02</t>
  </si>
  <si>
    <t>思政课上出现王源</t>
  </si>
  <si>
    <t xml:space="preserve"> 2020-03-09 21:48:01</t>
  </si>
  <si>
    <t>张伟丽感谢马布里</t>
  </si>
  <si>
    <t xml:space="preserve"> 2020-03-10 07:16:01</t>
  </si>
  <si>
    <t xml:space="preserve"> 2020-03-09 23:00:02</t>
  </si>
  <si>
    <t>总是被意外眷顾的我</t>
  </si>
  <si>
    <t xml:space="preserve"> 2020-03-09 22:16:01</t>
  </si>
  <si>
    <t>瑞典央行副行长新冠病毒检测呈阳性</t>
  </si>
  <si>
    <t>休舱后最动人的瞬间</t>
  </si>
  <si>
    <t xml:space="preserve"> 2020-03-09 20:08:02</t>
  </si>
  <si>
    <t>外国留学生倒时差上网课</t>
  </si>
  <si>
    <t xml:space="preserve"> 2020-03-09 15:34:01</t>
  </si>
  <si>
    <t>钟南山估计全球疫情至少延续到6月份</t>
  </si>
  <si>
    <t xml:space="preserve"> 2020-03-10 08:06:01</t>
  </si>
  <si>
    <t xml:space="preserve"> 2020-03-09 21:44:02</t>
  </si>
  <si>
    <t>黑寡妇终极预告</t>
  </si>
  <si>
    <t>阿根廷足协许诺赠送援鄂护士梅西球衣</t>
  </si>
  <si>
    <t xml:space="preserve"> 2020-03-10 20:22:02</t>
  </si>
  <si>
    <t xml:space="preserve"> 2020-03-10 10:42:02</t>
  </si>
  <si>
    <t>郑恺苗苗</t>
  </si>
  <si>
    <t xml:space="preserve"> 2020-03-11 08:06:02</t>
  </si>
  <si>
    <t xml:space="preserve"> 2020-03-10 11:46:02</t>
  </si>
  <si>
    <t>意大利监狱暴动已有20人越狱</t>
  </si>
  <si>
    <t xml:space="preserve"> 2020-03-10 17:28:02</t>
  </si>
  <si>
    <t xml:space="preserve"> 2020-03-10 09:28:01</t>
  </si>
  <si>
    <t>刘亦菲凤凰裙</t>
  </si>
  <si>
    <t xml:space="preserve"> 2020-03-10 19:16:02</t>
  </si>
  <si>
    <t xml:space="preserve"> 2020-03-10 10:12:01</t>
  </si>
  <si>
    <t>罗志祥经纪人回应分手传闻</t>
  </si>
  <si>
    <t xml:space="preserve"> 2020-03-10 15:58:02</t>
  </si>
  <si>
    <t xml:space="preserve"> 2020-03-10 10:46:02</t>
  </si>
  <si>
    <t>钉钉崩了</t>
  </si>
  <si>
    <t xml:space="preserve"> 2020-03-10 18:46:02</t>
  </si>
  <si>
    <t>意大利封闭全国</t>
  </si>
  <si>
    <t xml:space="preserve"> 2020-03-10 15:46:02</t>
  </si>
  <si>
    <t xml:space="preserve"> 2020-03-10 08:10:02</t>
  </si>
  <si>
    <t>新冠肺炎有可能成为大流行病</t>
  </si>
  <si>
    <t xml:space="preserve"> 2020-03-10 14:30:02</t>
  </si>
  <si>
    <t>华南海鲜市场连夜清理冻品</t>
  </si>
  <si>
    <t xml:space="preserve"> 2020-03-10 14:26:02</t>
  </si>
  <si>
    <t xml:space="preserve"> 2020-03-10 09:00:02</t>
  </si>
  <si>
    <t>医生在家猝死未认定工伤决定被撤销</t>
  </si>
  <si>
    <t xml:space="preserve"> 2020-03-10 15:50:02</t>
  </si>
  <si>
    <t>想见你主演重回拍摄地</t>
  </si>
  <si>
    <t xml:space="preserve"> 2020-03-10 14:24:02</t>
  </si>
  <si>
    <t>意大利媒体泄露封城令</t>
  </si>
  <si>
    <t xml:space="preserve"> 2020-03-11 09:12:02</t>
  </si>
  <si>
    <t xml:space="preserve"> 2020-03-10 11:52:02</t>
  </si>
  <si>
    <t>白宫称特朗普尚未接受新冠病毒检测</t>
  </si>
  <si>
    <t xml:space="preserve"> 2020-03-10 14:28:01</t>
  </si>
  <si>
    <t>NBA宣布更衣室不再对媒体开放</t>
  </si>
  <si>
    <t xml:space="preserve"> 2020-03-10 13:34:01</t>
  </si>
  <si>
    <t xml:space="preserve"> 2020-03-10 07:28:02</t>
  </si>
  <si>
    <t>2月iPhone在中国销量仅49万部</t>
  </si>
  <si>
    <t xml:space="preserve"> 2020-03-10 20:18:02</t>
  </si>
  <si>
    <t xml:space="preserve"> 2020-03-10 11:58:02</t>
  </si>
  <si>
    <t>淘宝崩了</t>
  </si>
  <si>
    <t xml:space="preserve"> 2020-03-10 15:00:02</t>
  </si>
  <si>
    <t xml:space="preserve"> 2020-03-10 09:42:01</t>
  </si>
  <si>
    <t>少年的你原著作者谈融梗</t>
  </si>
  <si>
    <t xml:space="preserve"> 2020-03-10 15:10:02</t>
  </si>
  <si>
    <t>聊天秒回的人是生命之光</t>
  </si>
  <si>
    <t xml:space="preserve"> 2020-03-10 14:44:01</t>
  </si>
  <si>
    <t xml:space="preserve"> 2020-03-10 11:38:02</t>
  </si>
  <si>
    <t>四川疫情低风险地区恢复餐饮</t>
  </si>
  <si>
    <t xml:space="preserve"> 2020-03-10 14:56:02</t>
  </si>
  <si>
    <t xml:space="preserve"> 2020-03-10 11:00:02</t>
  </si>
  <si>
    <t>脆皮香蕉</t>
  </si>
  <si>
    <t xml:space="preserve"> 2020-03-10 16:56:01</t>
  </si>
  <si>
    <t xml:space="preserve"> 2020-03-10 09:34:01</t>
  </si>
  <si>
    <t>花木兰世界首映礼</t>
  </si>
  <si>
    <t xml:space="preserve"> 2020-03-10 16:20:01</t>
  </si>
  <si>
    <t>周深 雪花落下</t>
  </si>
  <si>
    <t xml:space="preserve"> 2020-03-10 09:58:01</t>
  </si>
  <si>
    <t>华人在那不勒斯免费发放6000口罩</t>
  </si>
  <si>
    <t xml:space="preserve"> 2020-03-10 16:38:01</t>
  </si>
  <si>
    <t xml:space="preserve"> 2020-03-10 11:44:02</t>
  </si>
  <si>
    <t>网课忘关麦会有什么后果</t>
  </si>
  <si>
    <t xml:space="preserve"> 2020-03-10 13:54:02</t>
  </si>
  <si>
    <t>意大利医生呼吁买菜一次派一人</t>
  </si>
  <si>
    <t xml:space="preserve"> 2020-03-10 16:54:01</t>
  </si>
  <si>
    <t>华为将遭遇首次负增长</t>
  </si>
  <si>
    <t xml:space="preserve"> 2020-03-10 16:58:02</t>
  </si>
  <si>
    <t>发腮</t>
  </si>
  <si>
    <t xml:space="preserve"> 2020-03-10 13:02:02</t>
  </si>
  <si>
    <t xml:space="preserve"> 2020-03-10 09:24:01</t>
  </si>
  <si>
    <t>韩国将从3月11日起加强股票卖空规定</t>
  </si>
  <si>
    <t xml:space="preserve"> 2020-03-10 13:44:01</t>
  </si>
  <si>
    <t>印尼人因新冠肺炎大量抢购生姜</t>
  </si>
  <si>
    <t xml:space="preserve"> 2020-03-10 16:12:02</t>
  </si>
  <si>
    <t>一句台词证明你看过的剧</t>
  </si>
  <si>
    <t xml:space="preserve"> 2020-03-10 15:24:02</t>
  </si>
  <si>
    <t>一节逃不掉的网课</t>
  </si>
  <si>
    <t xml:space="preserve"> 2020-03-10 13:48:01</t>
  </si>
  <si>
    <t xml:space="preserve"> 2020-03-10 11:50:02</t>
  </si>
  <si>
    <t>日本议员拍卖口罩获利后谢罪</t>
  </si>
  <si>
    <t xml:space="preserve"> 2020-03-10 09:52:01</t>
  </si>
  <si>
    <t>蒙古国境内出现首例新冠肺炎</t>
  </si>
  <si>
    <t xml:space="preserve"> 2020-03-10 14:36:01</t>
  </si>
  <si>
    <t>广东第3例境外输入病例轨迹公布</t>
  </si>
  <si>
    <t>游戏中最容易背锅的位置</t>
  </si>
  <si>
    <t xml:space="preserve"> 2020-03-10 13:18:02</t>
  </si>
  <si>
    <t>拥有稀少姓氏是怎样的体验</t>
  </si>
  <si>
    <t>至尊公主号乘客下船</t>
  </si>
  <si>
    <t xml:space="preserve"> 2020-03-10 12:52:02</t>
  </si>
  <si>
    <t xml:space="preserve"> 2020-03-10 08:28:01</t>
  </si>
  <si>
    <t>呼吁在京外籍人士尽量减少不必要出行</t>
  </si>
  <si>
    <t xml:space="preserve"> 2020-03-10 12:56:02</t>
  </si>
  <si>
    <t>美国至少10个州宣布进入紧急状态</t>
  </si>
  <si>
    <t xml:space="preserve"> 2020-03-10 12:44:02</t>
  </si>
  <si>
    <t>冰岛总理府一员工感染新冠肺炎</t>
  </si>
  <si>
    <t xml:space="preserve"> 2020-03-10 12:16:02</t>
  </si>
  <si>
    <t xml:space="preserve"> 2020-03-10 11:48:01</t>
  </si>
  <si>
    <t>泉州坍塌酒店多次违规改建</t>
  </si>
  <si>
    <t xml:space="preserve"> 2020-03-10 12:28:01</t>
  </si>
  <si>
    <t xml:space="preserve"> 2020-03-10 12:00:02</t>
  </si>
  <si>
    <t>詹姆斯3次当选周最佳</t>
  </si>
  <si>
    <t xml:space="preserve"> 2020-03-16 21:24:02</t>
  </si>
  <si>
    <t xml:space="preserve"> 2019-10-26 08:24:01</t>
  </si>
  <si>
    <t>比特币</t>
  </si>
  <si>
    <t xml:space="preserve"> 2020-03-10 14:34:02</t>
  </si>
  <si>
    <t xml:space="preserve"> 2020-03-10 12:08:02</t>
  </si>
  <si>
    <t>花果山云海</t>
  </si>
  <si>
    <t xml:space="preserve"> 2020-03-10 14:22:02</t>
  </si>
  <si>
    <t xml:space="preserve"> 2020-03-10 12:14:02</t>
  </si>
  <si>
    <t>45人群里44人是骗子</t>
  </si>
  <si>
    <t xml:space="preserve"> 2020-03-10 12:36:01</t>
  </si>
  <si>
    <t>兵哥哥版防疫居家健身指南</t>
  </si>
  <si>
    <t xml:space="preserve"> 2020-03-10 12:20:02</t>
  </si>
  <si>
    <t xml:space="preserve"> 2020-03-10 11:10:02</t>
  </si>
  <si>
    <t>蒙古国首都通往各地交通采取封闭措施</t>
  </si>
  <si>
    <t xml:space="preserve"> 2020-03-10 14:40:02</t>
  </si>
  <si>
    <t>泉州坍塌事故为安全生产责任事故</t>
  </si>
  <si>
    <t>被叫阿姨是什么体验</t>
  </si>
  <si>
    <t xml:space="preserve"> 2020-03-11 10:06:02</t>
  </si>
  <si>
    <t xml:space="preserve"> 2020-03-10 19:44:01</t>
  </si>
  <si>
    <t>吴尊老婆露脸的原因</t>
  </si>
  <si>
    <t xml:space="preserve"> 2020-03-11 09:36:01</t>
  </si>
  <si>
    <t xml:space="preserve"> 2020-03-10 22:26:02</t>
  </si>
  <si>
    <t>6人入境瞒报相继确诊被立案</t>
  </si>
  <si>
    <t xml:space="preserve"> 2020-03-11 11:12:02</t>
  </si>
  <si>
    <t xml:space="preserve"> 2020-03-10 20:24:01</t>
  </si>
  <si>
    <t>张柏芝</t>
  </si>
  <si>
    <t xml:space="preserve"> 2020-03-11 09:54:01</t>
  </si>
  <si>
    <t xml:space="preserve"> 2020-03-10 21:42:02</t>
  </si>
  <si>
    <t>具荷拉生前亲笔信</t>
  </si>
  <si>
    <t xml:space="preserve"> 2020-03-11 11:02:02</t>
  </si>
  <si>
    <t>斯黛拉不吃小龙虾</t>
  </si>
  <si>
    <t xml:space="preserve"> 2020-03-11 10:52:01</t>
  </si>
  <si>
    <t xml:space="preserve"> 2020-03-10 21:12:01</t>
  </si>
  <si>
    <t>泉州坍塌酒店发现大量现金</t>
  </si>
  <si>
    <t xml:space="preserve"> 2020-03-11 11:22:01</t>
  </si>
  <si>
    <t xml:space="preserve"> 2020-03-10 22:36:02</t>
  </si>
  <si>
    <t>网恋的新名词</t>
  </si>
  <si>
    <t xml:space="preserve"> 2020-03-11 08:32:01</t>
  </si>
  <si>
    <t xml:space="preserve"> 2020-03-10 19:50:02</t>
  </si>
  <si>
    <t>贝佐斯一天损失70亿美元</t>
  </si>
  <si>
    <t xml:space="preserve"> 2020-03-11 09:32:02</t>
  </si>
  <si>
    <t xml:space="preserve"> 2020-03-10 18:38:01</t>
  </si>
  <si>
    <t>德国接收希土边界难民儿童</t>
  </si>
  <si>
    <t xml:space="preserve"> 2020-03-11 09:34:02</t>
  </si>
  <si>
    <t xml:space="preserve"> 2020-03-10 21:30:01</t>
  </si>
  <si>
    <t>瓜哥 九八五</t>
  </si>
  <si>
    <t xml:space="preserve"> 2020-03-11 11:36:01</t>
  </si>
  <si>
    <t xml:space="preserve"> 2020-03-10 22:04:01</t>
  </si>
  <si>
    <t>邦尼妈妈</t>
  </si>
  <si>
    <t xml:space="preserve"> 2020-03-11 07:52:02</t>
  </si>
  <si>
    <t xml:space="preserve"> 2020-03-10 22:44:01</t>
  </si>
  <si>
    <t>重庆应急响应调整为二级</t>
  </si>
  <si>
    <t xml:space="preserve"> 2020-03-11 10:30:02</t>
  </si>
  <si>
    <t xml:space="preserve"> 2020-03-10 22:06:01</t>
  </si>
  <si>
    <t>曲玲珑 徐姑姑</t>
  </si>
  <si>
    <t xml:space="preserve"> 2020-03-11 08:26:02</t>
  </si>
  <si>
    <t xml:space="preserve"> 2020-03-10 19:54:01</t>
  </si>
  <si>
    <t>周杰伦戴脏脏辫假发</t>
  </si>
  <si>
    <t xml:space="preserve"> 2020-03-11 10:18:02</t>
  </si>
  <si>
    <t xml:space="preserve"> 2020-03-10 23:04:02</t>
  </si>
  <si>
    <t>现在的年轻老师有多可爱</t>
  </si>
  <si>
    <t xml:space="preserve"> 2020-03-11 11:32:02</t>
  </si>
  <si>
    <t xml:space="preserve"> 2020-03-10 22:16:02</t>
  </si>
  <si>
    <t>女明星吃饭和我吃饭的区别</t>
  </si>
  <si>
    <t xml:space="preserve"> 2020-03-11 10:28:02</t>
  </si>
  <si>
    <t xml:space="preserve"> 2020-03-10 22:40:02</t>
  </si>
  <si>
    <t>广州拍出史上最高单价地块</t>
  </si>
  <si>
    <t xml:space="preserve"> 2020-03-11 08:48:01</t>
  </si>
  <si>
    <t>里皮</t>
  </si>
  <si>
    <t xml:space="preserve"> 2020-03-11 08:16:02</t>
  </si>
  <si>
    <t xml:space="preserve"> 2020-03-10 19:24:02</t>
  </si>
  <si>
    <t>泉州酒店搜救犬贝贝四肢感染</t>
  </si>
  <si>
    <t xml:space="preserve"> 2020-03-11 10:48:01</t>
  </si>
  <si>
    <t>有种演技叫改头换面</t>
  </si>
  <si>
    <t xml:space="preserve"> 2020-03-11 10:40:02</t>
  </si>
  <si>
    <t xml:space="preserve"> 2020-03-10 22:42:02</t>
  </si>
  <si>
    <t>和奶茶最搭的甜品</t>
  </si>
  <si>
    <t xml:space="preserve"> 2020-03-11 08:04:02</t>
  </si>
  <si>
    <t xml:space="preserve"> 2020-03-10 21:44:02</t>
  </si>
  <si>
    <t>日本3月15日起禁止倒卖口罩</t>
  </si>
  <si>
    <t xml:space="preserve"> 2020-03-10 21:46:02</t>
  </si>
  <si>
    <t>山西发掘一晋国晚期高等级大墓</t>
  </si>
  <si>
    <t xml:space="preserve"> 2020-03-10 22:30:02</t>
  </si>
  <si>
    <t>当父母熟练使用表情包后</t>
  </si>
  <si>
    <t xml:space="preserve"> 2020-03-11 09:02:02</t>
  </si>
  <si>
    <t xml:space="preserve"> 2020-03-10 22:58:02</t>
  </si>
  <si>
    <t>留下童年阴影的影视角色</t>
  </si>
  <si>
    <t xml:space="preserve"> 2020-03-10 20:48:02</t>
  </si>
  <si>
    <t>安家爷叔</t>
  </si>
  <si>
    <t xml:space="preserve"> 2020-03-11 07:48:02</t>
  </si>
  <si>
    <t xml:space="preserve"> 2020-03-10 18:56:01</t>
  </si>
  <si>
    <t>曾经拒绝现在真香的食物</t>
  </si>
  <si>
    <t xml:space="preserve"> 2020-03-11 07:36:02</t>
  </si>
  <si>
    <t>伊朗西南部发生假酒中毒事件</t>
  </si>
  <si>
    <t xml:space="preserve"> 2020-03-11 08:24:02</t>
  </si>
  <si>
    <t xml:space="preserve"> 2020-03-10 21:08:02</t>
  </si>
  <si>
    <t>支援湖北护士给儿子取名李援鄂</t>
  </si>
  <si>
    <t xml:space="preserve"> 2020-03-10 19:02:02</t>
  </si>
  <si>
    <t>悲伤他追上我了</t>
  </si>
  <si>
    <t xml:space="preserve"> 2020-03-11 07:58:02</t>
  </si>
  <si>
    <t xml:space="preserve"> 2020-03-10 21:14:01</t>
  </si>
  <si>
    <t>上海等6省市经历最暖冬季</t>
  </si>
  <si>
    <t xml:space="preserve"> 2020-03-11 08:30:02</t>
  </si>
  <si>
    <t xml:space="preserve"> 2020-03-10 18:50:01</t>
  </si>
  <si>
    <t>意大利式疫情小喇叭开播</t>
  </si>
  <si>
    <t xml:space="preserve"> 2020-03-11 07:40:01</t>
  </si>
  <si>
    <t xml:space="preserve"> 2020-03-10 17:34:01</t>
  </si>
  <si>
    <t>我和别的女孩的区别</t>
  </si>
  <si>
    <t xml:space="preserve"> 2020-03-11 07:26:02</t>
  </si>
  <si>
    <t xml:space="preserve"> 2020-03-10 15:02:01</t>
  </si>
  <si>
    <t>王者荣耀安卓iOS互通</t>
  </si>
  <si>
    <t xml:space="preserve"> 2020-03-11 07:50:01</t>
  </si>
  <si>
    <t xml:space="preserve"> 2020-03-10 19:36:02</t>
  </si>
  <si>
    <t>拳手拒绝为殴打朴宰范道歉</t>
  </si>
  <si>
    <t xml:space="preserve"> 2020-03-11 09:14:02</t>
  </si>
  <si>
    <t xml:space="preserve"> 2020-03-10 21:10:01</t>
  </si>
  <si>
    <t>错峰起床</t>
  </si>
  <si>
    <t xml:space="preserve"> 2020-03-11 07:42:01</t>
  </si>
  <si>
    <t xml:space="preserve"> 2020-03-10 14:32:01</t>
  </si>
  <si>
    <t>炎亚纶 飞轮海私下不会联络</t>
  </si>
  <si>
    <t xml:space="preserve"> 2020-03-10 19:28:02</t>
  </si>
  <si>
    <t>承诺包一年家务的蒋昊峻</t>
  </si>
  <si>
    <t xml:space="preserve"> 2020-03-11 07:20:01</t>
  </si>
  <si>
    <t xml:space="preserve"> 2020-03-10 14:10:01</t>
  </si>
  <si>
    <t>钉钉回应崩了</t>
  </si>
  <si>
    <t xml:space="preserve"> 2020-03-11 02:56:02</t>
  </si>
  <si>
    <t xml:space="preserve"> 2020-03-10 18:18:02</t>
  </si>
  <si>
    <t>泉州倒塌酒店遇难者名单</t>
  </si>
  <si>
    <t xml:space="preserve"> 2020-03-11 07:16:02</t>
  </si>
  <si>
    <t xml:space="preserve"> 2020-03-10 19:22:02</t>
  </si>
  <si>
    <t>自制云朵舒芙蕾</t>
  </si>
  <si>
    <t xml:space="preserve"> 2020-03-11 02:32:02</t>
  </si>
  <si>
    <t xml:space="preserve"> 2020-03-10 23:06:02</t>
  </si>
  <si>
    <t>兵哥哥的烟花秀</t>
  </si>
  <si>
    <t xml:space="preserve"> 2020-03-11 01:52:02</t>
  </si>
  <si>
    <t xml:space="preserve"> 2020-03-10 17:36:02</t>
  </si>
  <si>
    <t>疫情没有造成大量的因病因疫返贫</t>
  </si>
  <si>
    <t xml:space="preserve"> 2020-03-11 17:14:02</t>
  </si>
  <si>
    <t xml:space="preserve"> 2020-03-11 09:50:02</t>
  </si>
  <si>
    <t>穆雅斓称推荐产品获诺贝尔化妆学奖</t>
  </si>
  <si>
    <t xml:space="preserve"> 2020-03-11 15:50:02</t>
  </si>
  <si>
    <t xml:space="preserve"> 2020-03-11 10:34:02</t>
  </si>
  <si>
    <t>伊朗主持人下跪呼吁减少出门</t>
  </si>
  <si>
    <t xml:space="preserve"> 2020-03-11 14:44:02</t>
  </si>
  <si>
    <t>湖北潜江取消26号通告</t>
  </si>
  <si>
    <t xml:space="preserve"> 2020-03-11 18:52:01</t>
  </si>
  <si>
    <t xml:space="preserve"> 2020-03-11 11:14:01</t>
  </si>
  <si>
    <t>孔刘汤唯合作</t>
  </si>
  <si>
    <t xml:space="preserve"> 2020-03-11 17:10:02</t>
  </si>
  <si>
    <t xml:space="preserve"> 2020-03-11 10:20:01</t>
  </si>
  <si>
    <t>女儿报警爸爸开车撞了妈妈的车</t>
  </si>
  <si>
    <t xml:space="preserve"> 2020-03-11 19:06:01</t>
  </si>
  <si>
    <t xml:space="preserve"> 2020-03-11 10:50:02</t>
  </si>
  <si>
    <t>创造营2020官宣</t>
  </si>
  <si>
    <t xml:space="preserve"> 2020-03-11 16:56:02</t>
  </si>
  <si>
    <t xml:space="preserve"> 2020-03-11 08:02:02</t>
  </si>
  <si>
    <t>意大利紧急求助中国</t>
  </si>
  <si>
    <t xml:space="preserve"> 2020-03-11 14:52:02</t>
  </si>
  <si>
    <t xml:space="preserve"> 2020-03-11 11:30:02</t>
  </si>
  <si>
    <t>日本重申奥运会将按计划举行</t>
  </si>
  <si>
    <t xml:space="preserve"> 2020-03-11 16:20:01</t>
  </si>
  <si>
    <t>中国近期确诊病例数下降趋势明显</t>
  </si>
  <si>
    <t xml:space="preserve"> 2020-03-11 14:38:01</t>
  </si>
  <si>
    <t xml:space="preserve"> 2020-03-11 08:20:02</t>
  </si>
  <si>
    <t>刘真老公再发文</t>
  </si>
  <si>
    <t xml:space="preserve"> 2020-03-11 13:44:01</t>
  </si>
  <si>
    <t>疫情下91%法国人继续行亲吻礼</t>
  </si>
  <si>
    <t xml:space="preserve"> 2020-03-11 13:40:02</t>
  </si>
  <si>
    <t xml:space="preserve"> 2020-03-11 10:42:02</t>
  </si>
  <si>
    <t>韩官员建议给每人发100万韩币</t>
  </si>
  <si>
    <t xml:space="preserve"> 2020-03-11 13:46:02</t>
  </si>
  <si>
    <t xml:space="preserve"> 2020-03-11 09:06:01</t>
  </si>
  <si>
    <t>武汉新增确诊13例新冠肺炎</t>
  </si>
  <si>
    <t xml:space="preserve"> 2020-03-11 14:26:01</t>
  </si>
  <si>
    <t xml:space="preserve"> 2020-03-11 09:52:01</t>
  </si>
  <si>
    <t>山西高校应届毕业生按4月初开学准备</t>
  </si>
  <si>
    <t xml:space="preserve"> 2020-03-11 16:18:01</t>
  </si>
  <si>
    <t xml:space="preserve"> 2020-03-11 11:58:02</t>
  </si>
  <si>
    <t>江苏拟规定电视开机广告必须能关闭</t>
  </si>
  <si>
    <t xml:space="preserve"> 2020-03-11 20:06:02</t>
  </si>
  <si>
    <t xml:space="preserve"> 2020-03-11 11:40:02</t>
  </si>
  <si>
    <t>辰亦儒汪东城吴尊互动</t>
  </si>
  <si>
    <t xml:space="preserve"> 2020-03-11 19:18:02</t>
  </si>
  <si>
    <t xml:space="preserve"> 2020-03-11 11:54:02</t>
  </si>
  <si>
    <t>萧亚轩 不如先庆祝能在一起</t>
  </si>
  <si>
    <t xml:space="preserve"> 2020-03-11 15:48:02</t>
  </si>
  <si>
    <t xml:space="preserve"> 2020-03-11 11:10:02</t>
  </si>
  <si>
    <t>中国车主欲集体起诉特斯拉</t>
  </si>
  <si>
    <t xml:space="preserve"> 2020-03-11 11:44:01</t>
  </si>
  <si>
    <t>创3学员报到</t>
  </si>
  <si>
    <t xml:space="preserve"> 2020-03-11 09:10:01</t>
  </si>
  <si>
    <t>BIGBANG与YG续约</t>
  </si>
  <si>
    <t xml:space="preserve"> 2020-03-11 16:28:02</t>
  </si>
  <si>
    <t>斯嘉丽黑寡妇妆</t>
  </si>
  <si>
    <t xml:space="preserve"> 2020-03-11 11:04:01</t>
  </si>
  <si>
    <t>想哭的我戴上了猫的面具预告</t>
  </si>
  <si>
    <t>意大利ICU内部画面</t>
  </si>
  <si>
    <t xml:space="preserve"> 2020-03-11 13:24:01</t>
  </si>
  <si>
    <t>印度当街烧新冠病毒怪物塑像</t>
  </si>
  <si>
    <t xml:space="preserve"> 2020-03-11 11:52:01</t>
  </si>
  <si>
    <t>姆巴佩新冠肺炎检测结果为阴性</t>
  </si>
  <si>
    <t xml:space="preserve"> 2020-03-11 15:34:02</t>
  </si>
  <si>
    <t>许光汉海边大片</t>
  </si>
  <si>
    <t xml:space="preserve"> 2020-03-11 11:28:01</t>
  </si>
  <si>
    <t>林青霞手写书信致敬抗疫英雄</t>
  </si>
  <si>
    <t xml:space="preserve"> 2020-03-11 08:18:01</t>
  </si>
  <si>
    <t>90岁母亲陪护了4天4夜的儿子离世</t>
  </si>
  <si>
    <t xml:space="preserve"> 2020-03-11 14:24:02</t>
  </si>
  <si>
    <t xml:space="preserve"> 2020-03-11 10:54:02</t>
  </si>
  <si>
    <t>肯尼亚白色长颈鹿母子被猎杀</t>
  </si>
  <si>
    <t>VOGUE</t>
  </si>
  <si>
    <t xml:space="preserve"> 2020-03-11 13:30:01</t>
  </si>
  <si>
    <t xml:space="preserve"> 2020-03-11 10:24:02</t>
  </si>
  <si>
    <t>首次出现美国输入确诊病例</t>
  </si>
  <si>
    <t xml:space="preserve"> 2020-03-11 15:04:02</t>
  </si>
  <si>
    <t>4省市新增10例境外输入病例</t>
  </si>
  <si>
    <t xml:space="preserve"> 2020-03-11 14:34:02</t>
  </si>
  <si>
    <t>中国境外确诊病例数破3万</t>
  </si>
  <si>
    <t>休舱这天终于看清你们的脸</t>
  </si>
  <si>
    <t xml:space="preserve"> 2020-03-11 12:54:02</t>
  </si>
  <si>
    <t xml:space="preserve"> 2020-03-11 10:08:01</t>
  </si>
  <si>
    <t>韩研发两小时检测病毒试剂盒</t>
  </si>
  <si>
    <t xml:space="preserve"> 2020-03-11 12:40:02</t>
  </si>
  <si>
    <t>山东出现首例境外输入病例</t>
  </si>
  <si>
    <t xml:space="preserve"> 2020-03-11 12:36:01</t>
  </si>
  <si>
    <t xml:space="preserve"> 2020-03-11 08:52:01</t>
  </si>
  <si>
    <t>美国华裔患者批医院不专业</t>
  </si>
  <si>
    <t xml:space="preserve"> 2020-03-11 12:34:01</t>
  </si>
  <si>
    <t xml:space="preserve"> 2020-03-11 11:56:02</t>
  </si>
  <si>
    <t>波兰武装部队总司令确诊新冠肺炎</t>
  </si>
  <si>
    <t xml:space="preserve"> 2020-03-11 12:20:02</t>
  </si>
  <si>
    <t xml:space="preserve"> 2020-03-11 11:50:01</t>
  </si>
  <si>
    <t>复兴医院已连续21天无新增确诊</t>
  </si>
  <si>
    <t xml:space="preserve"> 2020-03-11 12:04:02</t>
  </si>
  <si>
    <t>女孩子的五大快乐源泉</t>
  </si>
  <si>
    <t xml:space="preserve"> 2020-03-11 15:18:02</t>
  </si>
  <si>
    <t>我真的好怕浏览不点赞的人</t>
  </si>
  <si>
    <t xml:space="preserve"> 2020-03-11 12:32:01</t>
  </si>
  <si>
    <t xml:space="preserve"> 2020-03-11 12:02:02</t>
  </si>
  <si>
    <t>旅行中遇到的奇葩建筑</t>
  </si>
  <si>
    <t xml:space="preserve"> 2020-03-11 13:58:02</t>
  </si>
  <si>
    <t xml:space="preserve"> 2020-03-11 12:12:01</t>
  </si>
  <si>
    <t>意大利卫生部官员感谢中方树立榜样</t>
  </si>
  <si>
    <t xml:space="preserve"> 2020-03-11 12:38:02</t>
  </si>
  <si>
    <t xml:space="preserve"> 2020-03-11 12:08:02</t>
  </si>
  <si>
    <t>新版出入境健康申明卡启用</t>
  </si>
  <si>
    <t>伊朗伊斯兰革命卫队建方舱医院</t>
  </si>
  <si>
    <t>十年前和十年后的颜值变化</t>
  </si>
  <si>
    <t xml:space="preserve"> 2020-03-11 09:16:01</t>
  </si>
  <si>
    <t>韩国大邱前议长过世后才确诊</t>
  </si>
  <si>
    <t>巡山偶遇3只成年雪豹</t>
  </si>
  <si>
    <t xml:space="preserve"> 2020-03-12 11:50:02</t>
  </si>
  <si>
    <t xml:space="preserve"> 2020-03-11 22:46:02</t>
  </si>
  <si>
    <t>张伟丽被强制医疗停赛2个月</t>
  </si>
  <si>
    <t xml:space="preserve"> 2020-03-12 09:56:01</t>
  </si>
  <si>
    <t xml:space="preserve"> 2020-03-11 20:50:02</t>
  </si>
  <si>
    <t>纽约时报猛踩中国20分钟后赞意大利</t>
  </si>
  <si>
    <t xml:space="preserve"> 2020-03-12 08:48:02</t>
  </si>
  <si>
    <t xml:space="preserve"> 2020-03-11 22:02:01</t>
  </si>
  <si>
    <t>日本爆发两起群体感染81人确诊</t>
  </si>
  <si>
    <t xml:space="preserve"> 2020-03-12 09:06:02</t>
  </si>
  <si>
    <t xml:space="preserve"> 2020-03-11 21:10:02</t>
  </si>
  <si>
    <t>意大利外长感谢中国援助</t>
  </si>
  <si>
    <t xml:space="preserve"> 2020-03-12 08:58:01</t>
  </si>
  <si>
    <t xml:space="preserve"> 2020-03-11 20:28:01</t>
  </si>
  <si>
    <t>被困70小时男子说不敢哭怕费体力</t>
  </si>
  <si>
    <t xml:space="preserve"> 2020-03-12 08:52:02</t>
  </si>
  <si>
    <t xml:space="preserve"> 2020-03-11 21:26:02</t>
  </si>
  <si>
    <t>TheShy滑板鞋</t>
  </si>
  <si>
    <t xml:space="preserve"> 2020-03-12 07:24:01</t>
  </si>
  <si>
    <t xml:space="preserve"> 2020-03-11 19:32:01</t>
  </si>
  <si>
    <t>钟南山全程英语分享中国经验</t>
  </si>
  <si>
    <t xml:space="preserve"> 2020-03-12 09:48:01</t>
  </si>
  <si>
    <t xml:space="preserve"> 2020-03-11 22:44:01</t>
  </si>
  <si>
    <t>16家企业被纳入电信业务经营不良名单</t>
  </si>
  <si>
    <t xml:space="preserve"> 2020-03-12 08:24:01</t>
  </si>
  <si>
    <t xml:space="preserve"> 2020-03-11 18:50:01</t>
  </si>
  <si>
    <t>我可以吃小熊饼干吗</t>
  </si>
  <si>
    <t xml:space="preserve"> 2020-03-12 08:22:02</t>
  </si>
  <si>
    <t xml:space="preserve"> 2020-03-11 18:24:02</t>
  </si>
  <si>
    <t>泉州一家五口确认遇难</t>
  </si>
  <si>
    <t xml:space="preserve"> 2020-03-12 09:04:01</t>
  </si>
  <si>
    <t xml:space="preserve"> 2020-03-11 22:48:02</t>
  </si>
  <si>
    <t>全国新增确诊与治愈趋势对比图</t>
  </si>
  <si>
    <t xml:space="preserve"> 2020-03-11 17:56:02</t>
  </si>
  <si>
    <t>加拿大5500万个N95口罩囤过期</t>
  </si>
  <si>
    <t xml:space="preserve"> 2020-03-12 07:58:01</t>
  </si>
  <si>
    <t>郑州郭伟鹏</t>
  </si>
  <si>
    <t xml:space="preserve"> 2020-03-11 21:22:01</t>
  </si>
  <si>
    <t>首次考古发现北宋柿色彩瓷器</t>
  </si>
  <si>
    <t xml:space="preserve"> 2020-03-12 11:28:01</t>
  </si>
  <si>
    <t xml:space="preserve"> 2020-03-11 23:24:02</t>
  </si>
  <si>
    <t>彭冠英张含韵</t>
  </si>
  <si>
    <t xml:space="preserve"> 2020-03-12 13:46:02</t>
  </si>
  <si>
    <t xml:space="preserve"> 2020-03-11 23:20:02</t>
  </si>
  <si>
    <t>女演员换衣服被偷拍勒索</t>
  </si>
  <si>
    <t xml:space="preserve"> 2020-03-12 11:46:02</t>
  </si>
  <si>
    <t xml:space="preserve"> 2020-03-11 23:16:02</t>
  </si>
  <si>
    <t>烤肉店复工点整本菜单</t>
  </si>
  <si>
    <t xml:space="preserve"> 2020-03-12 10:34:01</t>
  </si>
  <si>
    <t>马云捐赠欧洲180万个口罩</t>
  </si>
  <si>
    <t xml:space="preserve"> 2020-03-12 09:58:02</t>
  </si>
  <si>
    <t>小说还原度最高的演员</t>
  </si>
  <si>
    <t xml:space="preserve"> 2020-03-11 21:38:02</t>
  </si>
  <si>
    <t>心疼宋爷爷江奶奶</t>
  </si>
  <si>
    <t xml:space="preserve"> 2020-03-12 09:26:02</t>
  </si>
  <si>
    <t>武汉一社区用环卫车运送平价肉</t>
  </si>
  <si>
    <t xml:space="preserve"> 2020-03-12 09:08:02</t>
  </si>
  <si>
    <t>烟头烧掉2119公顷草原获刑3年</t>
  </si>
  <si>
    <t xml:space="preserve"> 2020-03-12 09:16:02</t>
  </si>
  <si>
    <t xml:space="preserve"> 2020-03-11 20:10:01</t>
  </si>
  <si>
    <t>在综艺里直播搓澡</t>
  </si>
  <si>
    <t xml:space="preserve"> 2020-03-12 03:00:02</t>
  </si>
  <si>
    <t xml:space="preserve"> 2020-03-11 13:54:01</t>
  </si>
  <si>
    <t>李宇春粉丝捐款刷屏</t>
  </si>
  <si>
    <t xml:space="preserve"> 2020-03-12 07:36:02</t>
  </si>
  <si>
    <t xml:space="preserve"> 2020-03-11 21:58:01</t>
  </si>
  <si>
    <t>网传北京4月开学系谣言</t>
  </si>
  <si>
    <t xml:space="preserve"> 2020-03-12 09:02:02</t>
  </si>
  <si>
    <t>只要啵啵的芋泥啵啵奶茶</t>
  </si>
  <si>
    <t xml:space="preserve"> 2020-03-12 09:34:02</t>
  </si>
  <si>
    <t xml:space="preserve"> 2020-03-11 21:54:01</t>
  </si>
  <si>
    <t>吃几口就会腻的食物</t>
  </si>
  <si>
    <t xml:space="preserve"> 2020-03-12 08:56:02</t>
  </si>
  <si>
    <t>2020届毕业生最新就业政策</t>
  </si>
  <si>
    <t xml:space="preserve"> 2020-03-12 10:24:02</t>
  </si>
  <si>
    <t xml:space="preserve"> 2020-03-11 20:22:02</t>
  </si>
  <si>
    <t>郑州境外回国确诊患者母亲致歉</t>
  </si>
  <si>
    <t xml:space="preserve"> 2020-03-12 07:30:01</t>
  </si>
  <si>
    <t xml:space="preserve"> 2020-03-11 22:50:02</t>
  </si>
  <si>
    <t>新疆高三初三3月16日开学</t>
  </si>
  <si>
    <t>在韩中国留学生讲述现状</t>
  </si>
  <si>
    <t xml:space="preserve"> 2020-03-11 20:32:02</t>
  </si>
  <si>
    <t>我是一个保安</t>
  </si>
  <si>
    <t xml:space="preserve"> 2020-03-12 08:06:02</t>
  </si>
  <si>
    <t xml:space="preserve"> 2020-03-11 22:20:01</t>
  </si>
  <si>
    <t>西班牙确诊病例破两千</t>
  </si>
  <si>
    <t xml:space="preserve"> 2020-03-12 10:26:02</t>
  </si>
  <si>
    <t xml:space="preserve"> 2020-03-12 00:02:02</t>
  </si>
  <si>
    <t>钟文泽</t>
  </si>
  <si>
    <t xml:space="preserve"> 2020-03-11 18:54:01</t>
  </si>
  <si>
    <t>韩国男子把39万元纸币放微波炉消毒</t>
  </si>
  <si>
    <t xml:space="preserve"> 2020-03-12 08:34:02</t>
  </si>
  <si>
    <t xml:space="preserve"> 2020-03-11 20:18:02</t>
  </si>
  <si>
    <t>中国联通总裁辞任</t>
  </si>
  <si>
    <t xml:space="preserve"> 2020-03-11 19:30:01</t>
  </si>
  <si>
    <t>加一个字毁掉一款游戏</t>
  </si>
  <si>
    <t xml:space="preserve"> 2020-04-06 07:20:02</t>
  </si>
  <si>
    <t xml:space="preserve"> 2019-10-26 21:44:02</t>
  </si>
  <si>
    <t>iG赢了</t>
  </si>
  <si>
    <t xml:space="preserve"> 2020-03-11 23:52:02</t>
  </si>
  <si>
    <t>18亿像素火星全景照片</t>
  </si>
  <si>
    <t xml:space="preserve"> 2020-03-12 08:12:02</t>
  </si>
  <si>
    <t xml:space="preserve"> 2020-03-11 23:38:02</t>
  </si>
  <si>
    <t>全英赛林丹救赛点获赛季首胜</t>
  </si>
  <si>
    <t xml:space="preserve"> 2020-03-12 07:38:02</t>
  </si>
  <si>
    <t xml:space="preserve"> 2020-03-11 21:52:01</t>
  </si>
  <si>
    <t>花木兰片长</t>
  </si>
  <si>
    <t xml:space="preserve"> 2020-03-12 07:40:02</t>
  </si>
  <si>
    <t xml:space="preserve"> 2020-03-11 20:14:02</t>
  </si>
  <si>
    <t>厦门警方通报学生砍伤父母</t>
  </si>
  <si>
    <t xml:space="preserve"> 2020-03-11 14:54:02</t>
  </si>
  <si>
    <t>孙悟空大闹天宫的真正原因</t>
  </si>
  <si>
    <t xml:space="preserve"> 2020-03-11 23:34:02</t>
  </si>
  <si>
    <t>匈牙利宣布进入紧急状态</t>
  </si>
  <si>
    <t xml:space="preserve"> 2020-03-12 03:52:02</t>
  </si>
  <si>
    <t xml:space="preserve"> 2020-03-11 20:02:02</t>
  </si>
  <si>
    <t>45%在韩就读中国留学生未返校</t>
  </si>
  <si>
    <t xml:space="preserve"> 2020-03-12 07:32:02</t>
  </si>
  <si>
    <t>意大利医院床单制口罩</t>
  </si>
  <si>
    <t>土耳其总统出访全程避握手</t>
  </si>
  <si>
    <t xml:space="preserve"> 2020-03-12 07:16:02</t>
  </si>
  <si>
    <t>李兰娟 希望3月底新增病例清零</t>
  </si>
  <si>
    <t xml:space="preserve"> 2020-03-12 19:00:02</t>
  </si>
  <si>
    <t xml:space="preserve"> 2020-03-12 11:04:01</t>
  </si>
  <si>
    <t>张含韵否认与彭冠英恋情</t>
  </si>
  <si>
    <t xml:space="preserve"> 2020-03-12 16:24:01</t>
  </si>
  <si>
    <t xml:space="preserve"> 2020-03-12 08:00:02</t>
  </si>
  <si>
    <t>意大利驻欧盟大使称只有中国回应我们</t>
  </si>
  <si>
    <t xml:space="preserve"> 2020-03-12 15:50:02</t>
  </si>
  <si>
    <t xml:space="preserve"> 2020-03-12 09:36:01</t>
  </si>
  <si>
    <t>汤姆汉克斯夫妇感染新冠肺炎</t>
  </si>
  <si>
    <t xml:space="preserve"> 2020-03-12 16:56:02</t>
  </si>
  <si>
    <t xml:space="preserve"> 2020-03-12 10:36:02</t>
  </si>
  <si>
    <t>泉州一家五口遇难时的姿势</t>
  </si>
  <si>
    <t xml:space="preserve"> 2020-03-12 14:14:02</t>
  </si>
  <si>
    <t xml:space="preserve"> 2020-03-12 11:08:01</t>
  </si>
  <si>
    <t>全国已有9300多万贫困人口脱贫</t>
  </si>
  <si>
    <t xml:space="preserve"> 2020-03-12 15:32:01</t>
  </si>
  <si>
    <t xml:space="preserve"> 2020-03-12 11:38:01</t>
  </si>
  <si>
    <t>意大利男子控诉殡仪馆拒收妹妹遗体</t>
  </si>
  <si>
    <t xml:space="preserve"> 2020-03-12 16:50:02</t>
  </si>
  <si>
    <t xml:space="preserve"> 2020-03-12 09:50:02</t>
  </si>
  <si>
    <t>戈贝尔确诊新冠肺炎</t>
  </si>
  <si>
    <t xml:space="preserve"> 2020-03-12 14:00:02</t>
  </si>
  <si>
    <t xml:space="preserve"> 2020-03-12 10:38:01</t>
  </si>
  <si>
    <t>湖北新增确诊降至个位数</t>
  </si>
  <si>
    <t xml:space="preserve"> 2020-03-12 17:18:01</t>
  </si>
  <si>
    <t>NBA停赛</t>
  </si>
  <si>
    <t xml:space="preserve"> 2020-03-12 14:24:01</t>
  </si>
  <si>
    <t xml:space="preserve"> 2020-03-12 11:40:02</t>
  </si>
  <si>
    <t>泉州坍塌酒店最后一名受困者被找到</t>
  </si>
  <si>
    <t xml:space="preserve"> 2020-03-12 13:44:02</t>
  </si>
  <si>
    <t xml:space="preserve"> 2020-03-12 09:40:02</t>
  </si>
  <si>
    <t>韩国新冠肺炎确诊病例新增114例</t>
  </si>
  <si>
    <t xml:space="preserve"> 2020-03-12 12:50:02</t>
  </si>
  <si>
    <t xml:space="preserve"> 2020-03-12 09:12:02</t>
  </si>
  <si>
    <t>北京对现有输入性病例开展倒查</t>
  </si>
  <si>
    <t xml:space="preserve"> 2020-03-12 13:10:02</t>
  </si>
  <si>
    <t xml:space="preserve"> 2020-03-12 09:28:01</t>
  </si>
  <si>
    <t>美国宣布对欧洲实施旅行禁令</t>
  </si>
  <si>
    <t xml:space="preserve"> 2020-03-12 12:42:02</t>
  </si>
  <si>
    <t xml:space="preserve"> 2020-03-12 10:54:02</t>
  </si>
  <si>
    <t>现有贫困人口551万人贫困县52个</t>
  </si>
  <si>
    <t xml:space="preserve"> 2020-03-12 10:02:02</t>
  </si>
  <si>
    <t>中方分享新冠肺炎诊疗方案</t>
  </si>
  <si>
    <t xml:space="preserve"> 2020-03-12 17:46:02</t>
  </si>
  <si>
    <t xml:space="preserve"> 2020-03-12 10:08:02</t>
  </si>
  <si>
    <t>黄轩跑错直播间</t>
  </si>
  <si>
    <t xml:space="preserve"> 2020-03-12 17:16:02</t>
  </si>
  <si>
    <t xml:space="preserve"> 2020-03-12 11:42:02</t>
  </si>
  <si>
    <t>小朋友自拍有多可爱</t>
  </si>
  <si>
    <t xml:space="preserve"> 2020-03-12 15:46:02</t>
  </si>
  <si>
    <t xml:space="preserve"> 2020-03-12 11:22:02</t>
  </si>
  <si>
    <t>穆迪埃确诊新冠肺炎</t>
  </si>
  <si>
    <t xml:space="preserve"> 2020-03-12 14:38:02</t>
  </si>
  <si>
    <t>北京非初高三学生不统一组织线上学习</t>
  </si>
  <si>
    <t xml:space="preserve"> 2020-03-12 14:26:01</t>
  </si>
  <si>
    <t xml:space="preserve"> 2020-03-12 08:08:01</t>
  </si>
  <si>
    <t>PDD直播打电话给卢本伟</t>
  </si>
  <si>
    <t xml:space="preserve"> 2020-03-12 14:52:02</t>
  </si>
  <si>
    <t xml:space="preserve"> 2020-03-12 11:06:02</t>
  </si>
  <si>
    <t>孙正义提供肺炎检测遭日本网友恶评</t>
  </si>
  <si>
    <t xml:space="preserve"> 2020-03-12 15:42:02</t>
  </si>
  <si>
    <t>特朗普发表全国讲话</t>
  </si>
  <si>
    <t xml:space="preserve"> 2020-03-12 13:16:01</t>
  </si>
  <si>
    <t>香港部分文化设施重新开放</t>
  </si>
  <si>
    <t xml:space="preserve"> 2020-03-12 15:18:01</t>
  </si>
  <si>
    <t>江奶奶和宋爷爷的爱情</t>
  </si>
  <si>
    <t xml:space="preserve"> 2020-03-12 13:50:02</t>
  </si>
  <si>
    <t>苹果申请折叠手机专利</t>
  </si>
  <si>
    <t xml:space="preserve"> 2020-03-12 10:30:01</t>
  </si>
  <si>
    <t>加拿大万人大会出现确诊患者</t>
  </si>
  <si>
    <t xml:space="preserve"> 2020-03-12 13:56:01</t>
  </si>
  <si>
    <t>英国医生看病时需共用口罩</t>
  </si>
  <si>
    <t xml:space="preserve"> 2020-03-12 12:44:01</t>
  </si>
  <si>
    <t xml:space="preserve"> 2020-03-12 10:58:01</t>
  </si>
  <si>
    <t>江西全省住院确诊病例清零</t>
  </si>
  <si>
    <t xml:space="preserve"> 2020-03-12 15:24:01</t>
  </si>
  <si>
    <t xml:space="preserve"> 2020-03-12 07:26:02</t>
  </si>
  <si>
    <t>植树节</t>
  </si>
  <si>
    <t xml:space="preserve"> 2020-03-12 13:00:02</t>
  </si>
  <si>
    <t>24家银行2019年共赚4390亿</t>
  </si>
  <si>
    <t xml:space="preserve"> 2020-03-12 12:38:02</t>
  </si>
  <si>
    <t>东北老爸用噪音花式催儿子上课</t>
  </si>
  <si>
    <t xml:space="preserve"> 2020-03-12 10:00:01</t>
  </si>
  <si>
    <t>小石榴今天出院</t>
  </si>
  <si>
    <t xml:space="preserve"> 2020-03-12 12:58:02</t>
  </si>
  <si>
    <t xml:space="preserve"> 2020-03-12 01:06:02</t>
  </si>
  <si>
    <t>新冠肺炎疫情已具有大流行特征</t>
  </si>
  <si>
    <t xml:space="preserve"> 2020-03-12 12:56:02</t>
  </si>
  <si>
    <t>由丑变美是一种什么体验</t>
  </si>
  <si>
    <t xml:space="preserve"> 2020-03-12 13:32:02</t>
  </si>
  <si>
    <t xml:space="preserve"> 2020-03-12 09:00:02</t>
  </si>
  <si>
    <t>江学庆</t>
  </si>
  <si>
    <t xml:space="preserve"> 2020-03-12 18:50:01</t>
  </si>
  <si>
    <t xml:space="preserve"> 2020-03-12 12:04:02</t>
  </si>
  <si>
    <t>特朗普称有望提前解除对中国旅行预警</t>
  </si>
  <si>
    <t xml:space="preserve"> 2020-03-12 12:16:02</t>
  </si>
  <si>
    <t xml:space="preserve"> 2020-03-12 11:48:01</t>
  </si>
  <si>
    <t>江西调整应急响应为二级</t>
  </si>
  <si>
    <t xml:space="preserve"> 2020-03-12 13:08:02</t>
  </si>
  <si>
    <t xml:space="preserve"> 2020-03-12 12:02:02</t>
  </si>
  <si>
    <t>花木兰日本版主题曲</t>
  </si>
  <si>
    <t xml:space="preserve"> 2020-03-12 12:24:02</t>
  </si>
  <si>
    <t xml:space="preserve"> 2020-03-12 11:56:02</t>
  </si>
  <si>
    <t>纳指期货触发熔断</t>
  </si>
  <si>
    <t xml:space="preserve"> 2020-03-12 14:32:02</t>
  </si>
  <si>
    <t xml:space="preserve"> 2020-03-12 12:06:02</t>
  </si>
  <si>
    <t>默克尔警告7成德国人可能会感染</t>
  </si>
  <si>
    <t xml:space="preserve"> 2020-03-12 12:08:01</t>
  </si>
  <si>
    <t>美疾控中心承认一些流感死者可能患新冠</t>
  </si>
  <si>
    <t>国务院扶贫办介绍中国脱贫标准</t>
  </si>
  <si>
    <t xml:space="preserve"> 2020-03-12 17:42:02</t>
  </si>
  <si>
    <t xml:space="preserve"> 2020-03-12 12:10:01</t>
  </si>
  <si>
    <t>郑州大姐怒斥境外输入确诊者</t>
  </si>
  <si>
    <t xml:space="preserve"> 2020-03-12 15:02:02</t>
  </si>
  <si>
    <t>日本邮政</t>
  </si>
  <si>
    <t xml:space="preserve"> 2020-03-12 12:34:01</t>
  </si>
  <si>
    <t>父母头像大赏</t>
  </si>
  <si>
    <t xml:space="preserve"> 2020-03-12 12:30:02</t>
  </si>
  <si>
    <t xml:space="preserve"> 2020-03-12 07:20:02</t>
  </si>
  <si>
    <t>尤文球员确诊新冠肺炎</t>
  </si>
  <si>
    <t xml:space="preserve"> 2020-03-12 12:22:02</t>
  </si>
  <si>
    <t>方舱将消毒后交还社会</t>
  </si>
  <si>
    <t xml:space="preserve"> 2020-03-12 12:20:01</t>
  </si>
  <si>
    <t xml:space="preserve"> 2020-03-12 07:18:01</t>
  </si>
  <si>
    <t>意大利新冠肺炎累计确诊12462例</t>
  </si>
  <si>
    <t xml:space="preserve"> 2020-03-13 10:34:02</t>
  </si>
  <si>
    <t xml:space="preserve"> 2020-03-12 20:50:02</t>
  </si>
  <si>
    <t>虞书欣说话</t>
  </si>
  <si>
    <t xml:space="preserve"> 2020-03-13 08:30:02</t>
  </si>
  <si>
    <t xml:space="preserve"> 2020-03-12 22:44:02</t>
  </si>
  <si>
    <t>意大利民众出门须携带自我声明</t>
  </si>
  <si>
    <t xml:space="preserve"> 2020-03-13 12:34:02</t>
  </si>
  <si>
    <t xml:space="preserve"> 2020-03-12 23:24:02</t>
  </si>
  <si>
    <t>米切尔新冠病毒检测呈阳性</t>
  </si>
  <si>
    <t xml:space="preserve"> 2020-03-13 11:34:02</t>
  </si>
  <si>
    <t xml:space="preserve"> 2020-03-12 21:58:01</t>
  </si>
  <si>
    <t>张乘乘生孩子</t>
  </si>
  <si>
    <t xml:space="preserve"> 2020-03-13 10:14:02</t>
  </si>
  <si>
    <t xml:space="preserve"> 2020-03-12 21:18:01</t>
  </si>
  <si>
    <t>Lisa太可爱了</t>
  </si>
  <si>
    <t xml:space="preserve"> 2020-03-13 10:18:01</t>
  </si>
  <si>
    <t xml:space="preserve"> 2020-03-12 22:00:02</t>
  </si>
  <si>
    <t>许佳琪好飒</t>
  </si>
  <si>
    <t xml:space="preserve"> 2020-03-13 09:06:01</t>
  </si>
  <si>
    <t xml:space="preserve"> 2020-03-12 23:02:02</t>
  </si>
  <si>
    <t>白岩松连线中国驻意大利大使李军华</t>
  </si>
  <si>
    <t xml:space="preserve"> 2020-03-13 08:02:02</t>
  </si>
  <si>
    <t xml:space="preserve"> 2020-03-12 22:48:02</t>
  </si>
  <si>
    <t>美国国会大厦参众两院大楼关闭</t>
  </si>
  <si>
    <t xml:space="preserve"> 2020-03-13 08:00:02</t>
  </si>
  <si>
    <t xml:space="preserve"> 2020-03-12 20:56:02</t>
  </si>
  <si>
    <t>宋老师 再会了美廷</t>
  </si>
  <si>
    <t xml:space="preserve"> 2020-03-13 08:50:01</t>
  </si>
  <si>
    <t xml:space="preserve"> 2020-03-12 21:08:02</t>
  </si>
  <si>
    <t>蔡徐坤 打篮球只是我的爱好</t>
  </si>
  <si>
    <t xml:space="preserve"> 2020-03-13 08:54:02</t>
  </si>
  <si>
    <t xml:space="preserve"> 2020-03-12 21:52:02</t>
  </si>
  <si>
    <t>美股再度熔断</t>
  </si>
  <si>
    <t xml:space="preserve"> 2020-03-13 10:10:02</t>
  </si>
  <si>
    <t>中国野生动物保护协会被处罚</t>
  </si>
  <si>
    <t xml:space="preserve"> 2020-03-13 07:50:02</t>
  </si>
  <si>
    <t xml:space="preserve"> 2020-03-12 17:24:02</t>
  </si>
  <si>
    <t>冠状病毒在温度较高的夏天比较不活跃</t>
  </si>
  <si>
    <t xml:space="preserve"> 2020-03-13 07:30:02</t>
  </si>
  <si>
    <t xml:space="preserve"> 2020-03-12 21:32:02</t>
  </si>
  <si>
    <t>韩国强制要求公务员轮流居家办公</t>
  </si>
  <si>
    <t xml:space="preserve"> 2020-03-12 23:08:01</t>
  </si>
  <si>
    <t>武汉医院回应用救护车拉肉</t>
  </si>
  <si>
    <t xml:space="preserve"> 2020-03-13 09:22:02</t>
  </si>
  <si>
    <t xml:space="preserve"> 2020-03-12 19:10:02</t>
  </si>
  <si>
    <t>医生曝刘真半瘫痪</t>
  </si>
  <si>
    <t xml:space="preserve"> 2020-03-13 10:02:02</t>
  </si>
  <si>
    <t xml:space="preserve"> 2020-03-12 23:22:01</t>
  </si>
  <si>
    <t>江奶奶遗嘱</t>
  </si>
  <si>
    <t xml:space="preserve"> 2020-03-13 07:40:02</t>
  </si>
  <si>
    <t xml:space="preserve"> 2020-03-12 22:58:02</t>
  </si>
  <si>
    <t>爱尔兰宣布关闭全部学校</t>
  </si>
  <si>
    <t xml:space="preserve"> 2020-03-13 08:10:02</t>
  </si>
  <si>
    <t>罗玉凤</t>
  </si>
  <si>
    <t xml:space="preserve"> 2020-03-19 14:02:01</t>
  </si>
  <si>
    <t xml:space="preserve"> 2020-03-12 22:30:02</t>
  </si>
  <si>
    <t>巴菲特</t>
  </si>
  <si>
    <t>陈珏嗓音</t>
  </si>
  <si>
    <t xml:space="preserve"> 2020-03-13 09:36:02</t>
  </si>
  <si>
    <t>江达琳智商上线</t>
  </si>
  <si>
    <t xml:space="preserve"> 2020-03-13 08:52:02</t>
  </si>
  <si>
    <t xml:space="preserve"> 2020-03-12 20:52:01</t>
  </si>
  <si>
    <t>奚美娟演技</t>
  </si>
  <si>
    <t xml:space="preserve"> 2020-03-24 17:16:02</t>
  </si>
  <si>
    <t>黄金</t>
  </si>
  <si>
    <t xml:space="preserve"> 2020-03-13 09:20:02</t>
  </si>
  <si>
    <t xml:space="preserve"> 2020-03-12 20:26:01</t>
  </si>
  <si>
    <t>口罩一戴六亲不认</t>
  </si>
  <si>
    <t xml:space="preserve"> 2020-03-13 08:08:02</t>
  </si>
  <si>
    <t xml:space="preserve"> 2020-03-12 21:54:01</t>
  </si>
  <si>
    <t>上官喜爱实力</t>
  </si>
  <si>
    <t xml:space="preserve"> 2020-03-13 08:42:02</t>
  </si>
  <si>
    <t xml:space="preserve"> 2020-03-12 23:20:01</t>
  </si>
  <si>
    <t>菲律宾首都马尼拉紧急封城</t>
  </si>
  <si>
    <t xml:space="preserve"> 2020-03-13 08:04:02</t>
  </si>
  <si>
    <t xml:space="preserve"> 2020-03-12 21:26:01</t>
  </si>
  <si>
    <t>刘雯美版VOGUE封面</t>
  </si>
  <si>
    <t xml:space="preserve"> 2020-03-13 08:16:02</t>
  </si>
  <si>
    <t xml:space="preserve"> 2020-03-12 18:20:02</t>
  </si>
  <si>
    <t>晒鸡翅被当蝙蝠举报</t>
  </si>
  <si>
    <t xml:space="preserve"> 2020-03-13 08:18:02</t>
  </si>
  <si>
    <t xml:space="preserve"> 2020-03-12 23:26:02</t>
  </si>
  <si>
    <t>方舱医院江文洋医生</t>
  </si>
  <si>
    <t xml:space="preserve"> 2020-03-13 07:58:01</t>
  </si>
  <si>
    <t xml:space="preserve"> 2020-03-12 20:14:02</t>
  </si>
  <si>
    <t>西班牙副首相妻子确诊新冠肺炎</t>
  </si>
  <si>
    <t xml:space="preserve"> 2020-03-12 20:24:01</t>
  </si>
  <si>
    <t>西班牙市民被迫头戴塑料袋出门</t>
  </si>
  <si>
    <t xml:space="preserve"> 2020-03-12 19:04:02</t>
  </si>
  <si>
    <t>悉尼上空出现洗手字样</t>
  </si>
  <si>
    <t>菲律宾</t>
  </si>
  <si>
    <t xml:space="preserve"> 2020-03-13 07:38:02</t>
  </si>
  <si>
    <t xml:space="preserve"> 2020-03-12 20:28:02</t>
  </si>
  <si>
    <t>日本人抢购纳豆防疫</t>
  </si>
  <si>
    <t xml:space="preserve"> 2020-03-12 19:40:01</t>
  </si>
  <si>
    <t>意大利将建米兰版火神山</t>
  </si>
  <si>
    <t xml:space="preserve"> 2020-03-13 08:28:01</t>
  </si>
  <si>
    <t xml:space="preserve"> 2020-03-12 18:02:02</t>
  </si>
  <si>
    <t>钟南山说国外疫情很像武汉早期情况</t>
  </si>
  <si>
    <t xml:space="preserve"> 2020-03-12 22:16:06</t>
  </si>
  <si>
    <t>新冠肺炎AI辅助系统20秒完成CT诊断</t>
  </si>
  <si>
    <t xml:space="preserve"> 2020-03-13 05:26:02</t>
  </si>
  <si>
    <t xml:space="preserve"> 2020-03-12 22:34:02</t>
  </si>
  <si>
    <t>人社部要求坚决防止企业违法裁员</t>
  </si>
  <si>
    <t xml:space="preserve"> 2020-03-13 07:20:02</t>
  </si>
  <si>
    <t xml:space="preserve"> 2020-03-12 23:10:03</t>
  </si>
  <si>
    <t>英国新增确诊134例</t>
  </si>
  <si>
    <t xml:space="preserve"> 2020-03-13 06:22:02</t>
  </si>
  <si>
    <t xml:space="preserve"> 2020-03-12 18:52:01</t>
  </si>
  <si>
    <t>周艺轩</t>
  </si>
  <si>
    <t xml:space="preserve"> 2020-03-13 07:22:02</t>
  </si>
  <si>
    <t xml:space="preserve"> 2020-03-12 20:42:01</t>
  </si>
  <si>
    <t>医生躺在空床上如释重负</t>
  </si>
  <si>
    <t xml:space="preserve"> 2020-03-13 07:18:02</t>
  </si>
  <si>
    <t xml:space="preserve"> 2020-03-12 23:28:02</t>
  </si>
  <si>
    <t>希腊取消国庆节阅兵</t>
  </si>
  <si>
    <t xml:space="preserve"> 2020-03-13 02:20:01</t>
  </si>
  <si>
    <t xml:space="preserve"> 2020-03-12 23:18:01</t>
  </si>
  <si>
    <t>四个字形容你的网课生活</t>
  </si>
  <si>
    <t xml:space="preserve"> 2020-03-13 16:20:01</t>
  </si>
  <si>
    <t>大学生瞒父母游13国回国发热被隔离</t>
  </si>
  <si>
    <t xml:space="preserve"> 2020-03-13 17:48:02</t>
  </si>
  <si>
    <t xml:space="preserve"> 2020-03-13 09:58:02</t>
  </si>
  <si>
    <t>2020年清明节放假安排</t>
  </si>
  <si>
    <t xml:space="preserve"> 2020-03-13 16:16:01</t>
  </si>
  <si>
    <t xml:space="preserve"> 2020-03-13 11:28:02</t>
  </si>
  <si>
    <t>武汉新增5例新冠肺炎</t>
  </si>
  <si>
    <t xml:space="preserve"> 2020-03-13 16:18:01</t>
  </si>
  <si>
    <t xml:space="preserve"> 2020-03-13 08:06:02</t>
  </si>
  <si>
    <t>花木兰全球撤档</t>
  </si>
  <si>
    <t xml:space="preserve"> 2020-03-13 10:42:02</t>
  </si>
  <si>
    <t>为什么援意专家组多位专家来自四川</t>
  </si>
  <si>
    <t xml:space="preserve"> 2020-03-13 14:44:01</t>
  </si>
  <si>
    <t xml:space="preserve"> 2020-03-13 11:32:02</t>
  </si>
  <si>
    <t>我国出台19条硬举措促进消费扩容提质</t>
  </si>
  <si>
    <t xml:space="preserve"> 2020-03-13 14:22:01</t>
  </si>
  <si>
    <t xml:space="preserve"> 2020-03-13 09:26:02</t>
  </si>
  <si>
    <t>湖北孝感回应100人在小区聚集</t>
  </si>
  <si>
    <t xml:space="preserve"> 2020-03-13 16:14:01</t>
  </si>
  <si>
    <t>刘亦菲黑天鹅裙</t>
  </si>
  <si>
    <t xml:space="preserve"> 2020-03-13 14:12:01</t>
  </si>
  <si>
    <t xml:space="preserve"> 2020-03-13 11:18:01</t>
  </si>
  <si>
    <t>北京新增境外输入确诊1例</t>
  </si>
  <si>
    <t xml:space="preserve"> 2020-03-13 15:00:02</t>
  </si>
  <si>
    <t xml:space="preserve"> 2020-03-13 11:56:02</t>
  </si>
  <si>
    <t>瑞典不再给轻症及疑似患者进行检测</t>
  </si>
  <si>
    <t xml:space="preserve"> 2020-03-13 14:04:05</t>
  </si>
  <si>
    <t xml:space="preserve"> 2020-03-13 10:38:02</t>
  </si>
  <si>
    <t>美国的检测系统达不到需求</t>
  </si>
  <si>
    <t xml:space="preserve"> 2020-03-13 14:08:02</t>
  </si>
  <si>
    <t>戈贝尔道歉</t>
  </si>
  <si>
    <t xml:space="preserve"> 2020-03-13 14:16:01</t>
  </si>
  <si>
    <t xml:space="preserve"> 2020-03-13 07:32:02</t>
  </si>
  <si>
    <t>青春有你剪辑</t>
  </si>
  <si>
    <t xml:space="preserve"> 2020-03-13 13:34:01</t>
  </si>
  <si>
    <t xml:space="preserve"> 2020-03-13 11:20:02</t>
  </si>
  <si>
    <t>全国除湖北外中小企业开工率已达60%</t>
  </si>
  <si>
    <t xml:space="preserve"> 2020-03-13 16:42:02</t>
  </si>
  <si>
    <t xml:space="preserve"> 2020-03-13 11:44:01</t>
  </si>
  <si>
    <t>中国关闭珠穆朗玛峰通道</t>
  </si>
  <si>
    <t xml:space="preserve"> 2020-03-13 15:22:02</t>
  </si>
  <si>
    <t xml:space="preserve"> 2020-03-13 10:06:02</t>
  </si>
  <si>
    <t>特朗普与CNN又开撕</t>
  </si>
  <si>
    <t xml:space="preserve"> 2020-03-13 15:18:01</t>
  </si>
  <si>
    <t>美国人疯抢卫生纸还打架引崔娃吐槽</t>
  </si>
  <si>
    <t xml:space="preserve"> 2020-03-13 15:20:02</t>
  </si>
  <si>
    <t xml:space="preserve"> 2020-03-13 10:44:02</t>
  </si>
  <si>
    <t>王俊凯choker西装造型</t>
  </si>
  <si>
    <t xml:space="preserve"> 2020-03-13 10:48:02</t>
  </si>
  <si>
    <t>加拿大总理妻子确诊新冠肺炎</t>
  </si>
  <si>
    <t xml:space="preserve"> 2020-03-16 16:50:01</t>
  </si>
  <si>
    <t xml:space="preserve"> 2020-02-24 15:20:02</t>
  </si>
  <si>
    <t>基金</t>
  </si>
  <si>
    <t xml:space="preserve"> 2020-03-13 14:36:01</t>
  </si>
  <si>
    <t>微胖女生颜值大赛</t>
  </si>
  <si>
    <t xml:space="preserve"> 2020-03-13 15:24:02</t>
  </si>
  <si>
    <t>用文言文说分手</t>
  </si>
  <si>
    <t xml:space="preserve"> 2020-03-13 15:02:02</t>
  </si>
  <si>
    <t xml:space="preserve"> 2020-03-13 07:34:02</t>
  </si>
  <si>
    <t>许留山</t>
  </si>
  <si>
    <t xml:space="preserve"> 2020-03-13 11:50:01</t>
  </si>
  <si>
    <t>NBA不会对戈贝尔罚款或禁赛</t>
  </si>
  <si>
    <t xml:space="preserve"> 2020-03-13 14:38:02</t>
  </si>
  <si>
    <t>那些被你删掉的朋友圈</t>
  </si>
  <si>
    <t xml:space="preserve"> 2020-03-13 13:56:02</t>
  </si>
  <si>
    <t xml:space="preserve"> 2020-03-13 11:36:02</t>
  </si>
  <si>
    <t>2018位浙江援鄂医务人员全名单</t>
  </si>
  <si>
    <t>五大科技巨头市值一夜蒸发4000亿美元</t>
  </si>
  <si>
    <t xml:space="preserve"> 2020-03-13 13:10:01</t>
  </si>
  <si>
    <t xml:space="preserve"> 2020-03-13 07:24:02</t>
  </si>
  <si>
    <t>西班牙国王王后接受新冠病毒检测</t>
  </si>
  <si>
    <t>北京市人民检察院对戴自更决定逮捕</t>
  </si>
  <si>
    <t>友情里的冷暴力</t>
  </si>
  <si>
    <t xml:space="preserve"> 2020-03-13 12:50:02</t>
  </si>
  <si>
    <t xml:space="preserve"> 2020-03-13 11:16:02</t>
  </si>
  <si>
    <t>全国新增确诊病例8例</t>
  </si>
  <si>
    <t xml:space="preserve"> 2020-03-13 13:48:01</t>
  </si>
  <si>
    <t>加拿大总理特鲁多自我隔离</t>
  </si>
  <si>
    <t xml:space="preserve"> 2020-03-13 12:42:02</t>
  </si>
  <si>
    <t xml:space="preserve"> 2020-03-13 10:04:01</t>
  </si>
  <si>
    <t>英国停止对轻症患者进行检测</t>
  </si>
  <si>
    <t xml:space="preserve"> 2020-03-13 13:28:02</t>
  </si>
  <si>
    <t>韩国新冠肺炎增至7979例</t>
  </si>
  <si>
    <t xml:space="preserve"> 2020-03-13 13:12:02</t>
  </si>
  <si>
    <t xml:space="preserve"> 2020-03-13 07:26:01</t>
  </si>
  <si>
    <t>林丹不敌谌龙</t>
  </si>
  <si>
    <t xml:space="preserve"> 2020-03-13 12:46:02</t>
  </si>
  <si>
    <t xml:space="preserve"> 2020-03-13 07:42:01</t>
  </si>
  <si>
    <t>美国会医师预测近半数美国人可能感染</t>
  </si>
  <si>
    <t xml:space="preserve"> 2020-03-13 13:14:01</t>
  </si>
  <si>
    <t xml:space="preserve"> 2020-03-13 11:30:01</t>
  </si>
  <si>
    <t>贵州千亩油菜花开了</t>
  </si>
  <si>
    <t xml:space="preserve"> 2020-03-13 13:00:02</t>
  </si>
  <si>
    <t>春光中的武汉</t>
  </si>
  <si>
    <t xml:space="preserve"> 2020-03-13 12:30:02</t>
  </si>
  <si>
    <t xml:space="preserve"> 2020-03-13 10:16:02</t>
  </si>
  <si>
    <t>恒大对费南多重罚300万</t>
  </si>
  <si>
    <t xml:space="preserve"> 2020-03-13 12:08:02</t>
  </si>
  <si>
    <t>隔离中的汤姆汉克斯夫妇</t>
  </si>
  <si>
    <t xml:space="preserve"> 2020-03-13 12:44:01</t>
  </si>
  <si>
    <t xml:space="preserve"> 2020-03-13 12:14:01</t>
  </si>
  <si>
    <t>台湾海峡3.4级地震</t>
  </si>
  <si>
    <t>中国以外累计确诊新冠肺炎44067例</t>
  </si>
  <si>
    <t>巴西总统接受新冠病毒检测</t>
  </si>
  <si>
    <t xml:space="preserve"> 2020-03-13 12:24:02</t>
  </si>
  <si>
    <t xml:space="preserve"> 2020-03-13 09:34:02</t>
  </si>
  <si>
    <t>花木兰伦敦首映式</t>
  </si>
  <si>
    <t xml:space="preserve"> 2020-03-14 11:20:02</t>
  </si>
  <si>
    <t xml:space="preserve"> 2020-03-13 23:18:02</t>
  </si>
  <si>
    <t>钟南山露出笑容</t>
  </si>
  <si>
    <t xml:space="preserve"> 2020-03-14 10:16:02</t>
  </si>
  <si>
    <t xml:space="preserve"> 2020-03-13 21:48:02</t>
  </si>
  <si>
    <t>张乘乘孩子不是徐姑姑的</t>
  </si>
  <si>
    <t xml:space="preserve"> 2020-03-14 08:16:01</t>
  </si>
  <si>
    <t xml:space="preserve"> 2020-03-13 22:48:02</t>
  </si>
  <si>
    <t>1.7万吨中央储备猪肉投放</t>
  </si>
  <si>
    <t xml:space="preserve"> 2020-03-14 11:10:01</t>
  </si>
  <si>
    <t xml:space="preserve"> 2020-03-13 21:26:02</t>
  </si>
  <si>
    <t>小朋友戴口罩都是张着嘴的</t>
  </si>
  <si>
    <t xml:space="preserve"> 2020-03-14 09:08:02</t>
  </si>
  <si>
    <t xml:space="preserve"> 2020-03-13 21:02:02</t>
  </si>
  <si>
    <t>詹青云</t>
  </si>
  <si>
    <t xml:space="preserve"> 2020-03-14 09:24:01</t>
  </si>
  <si>
    <t xml:space="preserve"> 2020-03-13 22:40:01</t>
  </si>
  <si>
    <t>刚学化妆时做过的傻事</t>
  </si>
  <si>
    <t xml:space="preserve"> 2020-03-14 07:54:02</t>
  </si>
  <si>
    <t xml:space="preserve"> 2020-03-13 18:04:01</t>
  </si>
  <si>
    <t>周扬青回怼网友</t>
  </si>
  <si>
    <t>南京将发放超3亿消费券</t>
  </si>
  <si>
    <t xml:space="preserve"> 2020-03-14 09:38:02</t>
  </si>
  <si>
    <t xml:space="preserve"> 2020-03-13 21:14:01</t>
  </si>
  <si>
    <t>季明亮 朱闪闪</t>
  </si>
  <si>
    <t xml:space="preserve"> 2020-03-14 07:46:02</t>
  </si>
  <si>
    <t xml:space="preserve"> 2020-03-13 22:04:01</t>
  </si>
  <si>
    <t>伊朗贷款50亿美元抗疫</t>
  </si>
  <si>
    <t xml:space="preserve"> 2020-03-14 00:36:02</t>
  </si>
  <si>
    <t xml:space="preserve"> 2020-03-13 22:18:02</t>
  </si>
  <si>
    <t>巴西总统新冠病毒检测阳性</t>
  </si>
  <si>
    <t xml:space="preserve"> 2020-03-14 09:16:02</t>
  </si>
  <si>
    <t xml:space="preserve"> 2020-03-13 21:12:02</t>
  </si>
  <si>
    <t>法兰克福飞上海航班发现4名发热旅客</t>
  </si>
  <si>
    <t xml:space="preserve"> 2020-03-13 23:26:02</t>
  </si>
  <si>
    <t>英国累计确诊升至798人</t>
  </si>
  <si>
    <t xml:space="preserve"> 2020-03-14 12:44:02</t>
  </si>
  <si>
    <t xml:space="preserve"> 2020-03-13 23:14:02</t>
  </si>
  <si>
    <t>黄雅莉的家</t>
  </si>
  <si>
    <t xml:space="preserve"> 2020-03-14 08:50:02</t>
  </si>
  <si>
    <t xml:space="preserve"> 2020-03-13 18:12:01</t>
  </si>
  <si>
    <t>张伟丽对手将做整形手术</t>
  </si>
  <si>
    <t xml:space="preserve"> 2020-03-13 18:20:01</t>
  </si>
  <si>
    <t>意大利网友刷屏感谢中国使馆</t>
  </si>
  <si>
    <t xml:space="preserve"> 2020-03-14 08:46:02</t>
  </si>
  <si>
    <t xml:space="preserve"> 2020-03-13 20:40:02</t>
  </si>
  <si>
    <t>翟云霄气人</t>
  </si>
  <si>
    <t xml:space="preserve"> 2020-03-14 08:30:02</t>
  </si>
  <si>
    <t xml:space="preserve"> 2020-03-13 22:02:01</t>
  </si>
  <si>
    <t>西班牙宣布进入紧急状态</t>
  </si>
  <si>
    <t xml:space="preserve"> 2020-03-14 08:58:02</t>
  </si>
  <si>
    <t xml:space="preserve"> 2020-03-13 19:46:02</t>
  </si>
  <si>
    <t>买只狗咬自己</t>
  </si>
  <si>
    <t xml:space="preserve"> 2020-03-14 07:04:01</t>
  </si>
  <si>
    <t xml:space="preserve"> 2020-03-13 19:16:01</t>
  </si>
  <si>
    <t>当今大一学生太难了</t>
  </si>
  <si>
    <t xml:space="preserve"> 2020-03-13 21:58:01</t>
  </si>
  <si>
    <t>那些被眼镜封印住的颜值</t>
  </si>
  <si>
    <t xml:space="preserve"> 2020-03-14 09:02:02</t>
  </si>
  <si>
    <t xml:space="preserve"> 2020-03-14 00:00:02</t>
  </si>
  <si>
    <t>国羽男单21年来首次无缘全英四强</t>
  </si>
  <si>
    <t xml:space="preserve"> 2020-03-14 07:12:02</t>
  </si>
  <si>
    <t xml:space="preserve"> 2020-03-13 18:34:01</t>
  </si>
  <si>
    <t>朴灿烈更博</t>
  </si>
  <si>
    <t xml:space="preserve"> 2020-03-14 07:42:01</t>
  </si>
  <si>
    <t xml:space="preserve"> 2020-03-13 20:44:02</t>
  </si>
  <si>
    <t>浙江发布首个儿童口罩团体标准</t>
  </si>
  <si>
    <t xml:space="preserve"> 2020-03-14 09:10:02</t>
  </si>
  <si>
    <t xml:space="preserve"> 2020-03-13 20:48:01</t>
  </si>
  <si>
    <t>湖北除武汉其他市县疫情均为中低风险</t>
  </si>
  <si>
    <t xml:space="preserve"> 2020-03-14 07:24:02</t>
  </si>
  <si>
    <t xml:space="preserve"> 2020-03-13 21:08:02</t>
  </si>
  <si>
    <t>韩国意大利伊朗累计确诊总和超3万人</t>
  </si>
  <si>
    <t xml:space="preserve"> 2020-03-14 10:58:01</t>
  </si>
  <si>
    <t xml:space="preserve"> 2020-03-13 22:34:02</t>
  </si>
  <si>
    <t>黄霄云淘汰</t>
  </si>
  <si>
    <t xml:space="preserve"> 2020-03-13 22:08:01</t>
  </si>
  <si>
    <t>周深 俄语花腔美声</t>
  </si>
  <si>
    <t xml:space="preserve"> 2020-03-14 07:36:02</t>
  </si>
  <si>
    <t xml:space="preserve"> 2020-03-13 17:56:01</t>
  </si>
  <si>
    <t>不建议睡前翻朋友圈的原因</t>
  </si>
  <si>
    <t xml:space="preserve"> 2020-03-14 08:38:02</t>
  </si>
  <si>
    <t xml:space="preserve"> 2020-03-13 19:50:02</t>
  </si>
  <si>
    <t>呼和浩特两姐妹隐瞒出境史被立案</t>
  </si>
  <si>
    <t xml:space="preserve"> 2020-03-14 09:32:02</t>
  </si>
  <si>
    <t>澳大利亚确诊官员曾与伊万卡会面</t>
  </si>
  <si>
    <t xml:space="preserve"> 2020-03-13 18:16:02</t>
  </si>
  <si>
    <t>女生睡前是一部剧</t>
  </si>
  <si>
    <t xml:space="preserve"> 2020-03-14 04:38:01</t>
  </si>
  <si>
    <t xml:space="preserve"> 2020-03-13 19:14:01</t>
  </si>
  <si>
    <t>火神山护士孙青</t>
  </si>
  <si>
    <t xml:space="preserve"> 2020-03-14 07:18:01</t>
  </si>
  <si>
    <t xml:space="preserve"> 2020-03-13 14:48:02</t>
  </si>
  <si>
    <t>宋仲基推倒与宋慧乔原婚房盖新楼</t>
  </si>
  <si>
    <t>瑞典将不再统计新冠肺炎确诊人数</t>
  </si>
  <si>
    <t xml:space="preserve"> 2020-03-14 07:44:02</t>
  </si>
  <si>
    <t xml:space="preserve"> 2020-03-13 16:40:02</t>
  </si>
  <si>
    <t>中国可能是世界投资避险的最佳区域</t>
  </si>
  <si>
    <t xml:space="preserve"> 2020-03-13 21:28:01</t>
  </si>
  <si>
    <t>我目前的现状</t>
  </si>
  <si>
    <t xml:space="preserve"> 2020-03-14 08:12:02</t>
  </si>
  <si>
    <t xml:space="preserve"> 2020-03-13 20:46:01</t>
  </si>
  <si>
    <t>方舱读书哥回家了</t>
  </si>
  <si>
    <t xml:space="preserve"> 2020-03-13 20:10:02</t>
  </si>
  <si>
    <t>全球死亡病例已超5000例</t>
  </si>
  <si>
    <t xml:space="preserve"> 2020-03-14 10:38:02</t>
  </si>
  <si>
    <t xml:space="preserve"> 2020-03-13 18:52:02</t>
  </si>
  <si>
    <t>日本回应特朗普推迟奥运会建议</t>
  </si>
  <si>
    <t xml:space="preserve"> 2020-03-14 07:00:02</t>
  </si>
  <si>
    <t xml:space="preserve"> 2020-03-13 18:42:02</t>
  </si>
  <si>
    <t>C罗新冠病毒检测为阴性</t>
  </si>
  <si>
    <t xml:space="preserve"> 2020-03-14 01:34:01</t>
  </si>
  <si>
    <t xml:space="preserve"> 2020-03-13 17:26:01</t>
  </si>
  <si>
    <t>金泰亨 梨泰院ClassOST</t>
  </si>
  <si>
    <t xml:space="preserve"> 2020-03-14 00:40:02</t>
  </si>
  <si>
    <t>澳大利亚新冠肺炎病例增至156例</t>
  </si>
  <si>
    <t xml:space="preserve"> 2020-03-14 01:06:02</t>
  </si>
  <si>
    <t xml:space="preserve"> 2020-03-13 20:50:01</t>
  </si>
  <si>
    <t>全球票房损失或达百亿美元</t>
  </si>
  <si>
    <t xml:space="preserve"> 2020-03-14 17:32:01</t>
  </si>
  <si>
    <t xml:space="preserve"> 2020-03-14 08:56:01</t>
  </si>
  <si>
    <t>大学开学要继续后延</t>
  </si>
  <si>
    <t xml:space="preserve"> 2020-03-14 18:34:01</t>
  </si>
  <si>
    <t xml:space="preserve"> 2020-03-14 10:48:01</t>
  </si>
  <si>
    <t>库里不敢咳嗽</t>
  </si>
  <si>
    <t xml:space="preserve"> 2020-03-14 17:16:02</t>
  </si>
  <si>
    <t xml:space="preserve"> 2020-03-14 10:18:01</t>
  </si>
  <si>
    <t>特朗普称赞中国疫情防控成果</t>
  </si>
  <si>
    <t xml:space="preserve"> 2020-03-14 16:12:01</t>
  </si>
  <si>
    <t xml:space="preserve"> 2020-03-14 11:42:02</t>
  </si>
  <si>
    <t>希腊取消东京奥运火炬传递</t>
  </si>
  <si>
    <t xml:space="preserve"> 2020-03-14 17:42:01</t>
  </si>
  <si>
    <t>张佳宁支持妈妈再婚</t>
  </si>
  <si>
    <t xml:space="preserve"> 2020-03-14 16:18:02</t>
  </si>
  <si>
    <t xml:space="preserve"> 2020-03-14 11:00:02</t>
  </si>
  <si>
    <t>湖南岳阳筛查发现5名无症状感染者</t>
  </si>
  <si>
    <t xml:space="preserve"> 2020-03-14 19:36:02</t>
  </si>
  <si>
    <t xml:space="preserve"> 2020-03-14 11:50:02</t>
  </si>
  <si>
    <t>全球最小新冠病毒感染者</t>
  </si>
  <si>
    <t xml:space="preserve"> 2020-03-14 19:12:02</t>
  </si>
  <si>
    <t xml:space="preserve"> 2020-03-14 10:34:02</t>
  </si>
  <si>
    <t>世卫组织称任何国家都不能自暴自弃</t>
  </si>
  <si>
    <t xml:space="preserve"> 2020-03-14 16:16:01</t>
  </si>
  <si>
    <t xml:space="preserve"> 2020-03-14 09:40:01</t>
  </si>
  <si>
    <t>美国病死率高或说明很多病人没被发现</t>
  </si>
  <si>
    <t xml:space="preserve"> 2020-03-14 16:02:02</t>
  </si>
  <si>
    <t xml:space="preserve"> 2020-03-14 07:56:01</t>
  </si>
  <si>
    <t>沈腾模仿找塞班</t>
  </si>
  <si>
    <t xml:space="preserve"> 2020-03-14 14:42:02</t>
  </si>
  <si>
    <t>金婚老夫妻从重症到出院回家</t>
  </si>
  <si>
    <t xml:space="preserve"> 2020-03-14 14:34:01</t>
  </si>
  <si>
    <t xml:space="preserve"> 2020-03-14 11:14:02</t>
  </si>
  <si>
    <t>林书豪累积捐款超300万</t>
  </si>
  <si>
    <t xml:space="preserve"> 2020-03-14 15:04:01</t>
  </si>
  <si>
    <t xml:space="preserve"> 2020-03-14 09:42:01</t>
  </si>
  <si>
    <t>意大利首席医务官因新冠肺炎去世</t>
  </si>
  <si>
    <t xml:space="preserve"> 2020-03-14 09:18:01</t>
  </si>
  <si>
    <t>中国与瘟疫的千年战争</t>
  </si>
  <si>
    <t xml:space="preserve"> 2020-03-14 17:44:02</t>
  </si>
  <si>
    <t xml:space="preserve"> 2020-03-14 08:40:02</t>
  </si>
  <si>
    <t>比尔盖茨退出微软董事会</t>
  </si>
  <si>
    <t xml:space="preserve"> 2020-03-14 19:34:02</t>
  </si>
  <si>
    <t>胡歌仙剑花絮照</t>
  </si>
  <si>
    <t xml:space="preserve"> 2020-03-14 17:22:02</t>
  </si>
  <si>
    <t xml:space="preserve"> 2020-03-14 12:00:02</t>
  </si>
  <si>
    <t>四川一小学未开学催家长缴学费</t>
  </si>
  <si>
    <t xml:space="preserve"> 2020-03-14 16:08:02</t>
  </si>
  <si>
    <t>这个冬天突然长大的小孩</t>
  </si>
  <si>
    <t xml:space="preserve"> 2020-03-14 16:22:02</t>
  </si>
  <si>
    <t>全智贤回眸</t>
  </si>
  <si>
    <t xml:space="preserve"> 2020-03-14 14:38:02</t>
  </si>
  <si>
    <t>伊巴卡新冠病毒检测呈阴性</t>
  </si>
  <si>
    <t xml:space="preserve"> 2020-03-14 09:54:02</t>
  </si>
  <si>
    <t>小美人鱼停拍</t>
  </si>
  <si>
    <t xml:space="preserve"> 2020-03-14 15:44:02</t>
  </si>
  <si>
    <t xml:space="preserve"> 2020-03-14 10:40:02</t>
  </si>
  <si>
    <t>中东版方舱医院内部画面</t>
  </si>
  <si>
    <t xml:space="preserve"> 2020-03-14 17:46:02</t>
  </si>
  <si>
    <t xml:space="preserve"> 2020-03-14 09:26:02</t>
  </si>
  <si>
    <t>境外入唐山隐瞒病情治疗费自担</t>
  </si>
  <si>
    <t xml:space="preserve"> 2020-03-14 13:56:02</t>
  </si>
  <si>
    <t xml:space="preserve"> 2020-03-14 10:46:02</t>
  </si>
  <si>
    <t>湖北除武汉外连续9天零新增</t>
  </si>
  <si>
    <t xml:space="preserve"> 2020-03-14 14:50:01</t>
  </si>
  <si>
    <t xml:space="preserve"> 2020-03-14 07:32:02</t>
  </si>
  <si>
    <t>詹青云回应</t>
  </si>
  <si>
    <t xml:space="preserve"> 2020-03-14 11:54:01</t>
  </si>
  <si>
    <t>国内新冠肺炎确诊患者超80%被治愈</t>
  </si>
  <si>
    <t xml:space="preserve"> 2020-03-14 13:38:02</t>
  </si>
  <si>
    <t xml:space="preserve"> 2020-03-14 09:44:02</t>
  </si>
  <si>
    <t>Dunk</t>
  </si>
  <si>
    <t xml:space="preserve"> 2020-03-14 13:58:02</t>
  </si>
  <si>
    <t>特朗普称将很快接受新冠病毒检测</t>
  </si>
  <si>
    <t xml:space="preserve"> 2020-03-14 13:22:01</t>
  </si>
  <si>
    <t>美股大涨</t>
  </si>
  <si>
    <t xml:space="preserve"> 2020-03-14 13:28:02</t>
  </si>
  <si>
    <t xml:space="preserve"> 2020-03-14 10:50:02</t>
  </si>
  <si>
    <t>武汉新增4例新冠肺炎</t>
  </si>
  <si>
    <t xml:space="preserve"> 2020-03-14 14:40:02</t>
  </si>
  <si>
    <t xml:space="preserve"> 2020-03-14 10:08:02</t>
  </si>
  <si>
    <t>子女该支持离异父母再婚吗</t>
  </si>
  <si>
    <t>黑寡妇封面</t>
  </si>
  <si>
    <t xml:space="preserve"> 2020-03-14 14:08:02</t>
  </si>
  <si>
    <t xml:space="preserve"> 2020-03-14 11:22:01</t>
  </si>
  <si>
    <t>小罗参加监狱杯赛夺冠</t>
  </si>
  <si>
    <t xml:space="preserve"> 2020-03-14 12:58:02</t>
  </si>
  <si>
    <t xml:space="preserve"> 2020-03-14 10:28:02</t>
  </si>
  <si>
    <t>美国新冠肺炎确诊病例突破2000</t>
  </si>
  <si>
    <t xml:space="preserve"> 2020-03-14 13:34:01</t>
  </si>
  <si>
    <t xml:space="preserve"> 2020-03-14 08:52:01</t>
  </si>
  <si>
    <t>你曾滴答我必哗啦</t>
  </si>
  <si>
    <t xml:space="preserve"> 2020-03-14 14:36:02</t>
  </si>
  <si>
    <t xml:space="preserve"> 2020-03-14 08:34:02</t>
  </si>
  <si>
    <t>世卫组织宣布欧洲是全球疫情重灾区</t>
  </si>
  <si>
    <t xml:space="preserve"> 2020-03-14 13:08:01</t>
  </si>
  <si>
    <t>隔离点解除志愿者精准还原学生寝室</t>
  </si>
  <si>
    <t xml:space="preserve"> 2020-03-14 12:34:02</t>
  </si>
  <si>
    <t xml:space="preserve"> 2020-03-14 12:04:02</t>
  </si>
  <si>
    <t>四川专家支援意大利背后的故事</t>
  </si>
  <si>
    <t xml:space="preserve"> 2020-03-14 12:30:01</t>
  </si>
  <si>
    <t>武汉新增病例连续3天个位数并递减</t>
  </si>
  <si>
    <t xml:space="preserve"> 2020-03-14 12:40:02</t>
  </si>
  <si>
    <t>杜富国变身播音员</t>
  </si>
  <si>
    <t xml:space="preserve"> 2020-03-14 16:48:02</t>
  </si>
  <si>
    <t xml:space="preserve"> 2020-03-14 12:12:02</t>
  </si>
  <si>
    <t>马云用歌剧为意大利加油</t>
  </si>
  <si>
    <t xml:space="preserve"> 2020-03-14 15:42:01</t>
  </si>
  <si>
    <t>俄罗斯建设首个方舱医院</t>
  </si>
  <si>
    <t xml:space="preserve"> 2020-03-14 13:52:02</t>
  </si>
  <si>
    <t>巴西驻美大使新冠病毒检测阳性</t>
  </si>
  <si>
    <t xml:space="preserve"> 2020-03-14 10:20:01</t>
  </si>
  <si>
    <t>阳台敲锣救母女子母亲已出院</t>
  </si>
  <si>
    <t xml:space="preserve"> 2020-03-14 12:28:02</t>
  </si>
  <si>
    <t>郑州官方通报郭某鹏治疗情况</t>
  </si>
  <si>
    <t xml:space="preserve"> 2020-03-14 12:26:02</t>
  </si>
  <si>
    <t xml:space="preserve"> 2020-03-14 08:18:01</t>
  </si>
  <si>
    <t>湖北潜江市民放炮庆祝解封</t>
  </si>
  <si>
    <t xml:space="preserve"> 2020-03-14 12:24:01</t>
  </si>
  <si>
    <t>31省区市新增确诊病例11例</t>
  </si>
  <si>
    <t xml:space="preserve"> 2020-03-15 11:34:01</t>
  </si>
  <si>
    <t xml:space="preserve"> 2020-03-14 21:38:02</t>
  </si>
  <si>
    <t>王子文长发</t>
  </si>
  <si>
    <t xml:space="preserve"> 2020-03-15 09:22:01</t>
  </si>
  <si>
    <t xml:space="preserve"> 2020-03-14 23:12:02</t>
  </si>
  <si>
    <t>ECMO抢救全程首次公开</t>
  </si>
  <si>
    <t xml:space="preserve"> 2020-03-15 10:28:02</t>
  </si>
  <si>
    <t xml:space="preserve"> 2020-03-14 22:34:01</t>
  </si>
  <si>
    <t>刘惜君嗓音</t>
  </si>
  <si>
    <t xml:space="preserve"> 2020-03-15 11:40:02</t>
  </si>
  <si>
    <t xml:space="preserve"> 2020-03-14 23:18:02</t>
  </si>
  <si>
    <t>毕业三年后同学差距有多大</t>
  </si>
  <si>
    <t xml:space="preserve"> 2020-03-14 23:48:02</t>
  </si>
  <si>
    <t>安倍再次强调东京奥运会将如期举行</t>
  </si>
  <si>
    <t xml:space="preserve"> 2020-03-15 08:48:02</t>
  </si>
  <si>
    <t xml:space="preserve"> 2020-03-14 21:48:02</t>
  </si>
  <si>
    <t>蔡卓宜哭了</t>
  </si>
  <si>
    <t xml:space="preserve"> 2020-03-15 09:48:02</t>
  </si>
  <si>
    <t xml:space="preserve"> 2020-03-14 22:10:02</t>
  </si>
  <si>
    <t>清肺排毒汤总有效率97%</t>
  </si>
  <si>
    <t xml:space="preserve"> 2020-03-15 08:12:02</t>
  </si>
  <si>
    <t xml:space="preserve"> 2020-03-14 20:48:02</t>
  </si>
  <si>
    <t>孔雪儿首A</t>
  </si>
  <si>
    <t xml:space="preserve"> 2020-03-15 08:32:02</t>
  </si>
  <si>
    <t xml:space="preserve"> 2020-03-14 19:44:01</t>
  </si>
  <si>
    <t>迪士尼关闭最后一天数千游客冒雨涌入</t>
  </si>
  <si>
    <t xml:space="preserve"> 2020-03-15 08:44:01</t>
  </si>
  <si>
    <t xml:space="preserve"> 2020-03-14 22:26:02</t>
  </si>
  <si>
    <t>西班牙政府宣布将封锁全国</t>
  </si>
  <si>
    <t xml:space="preserve"> 2020-03-14 20:26:02</t>
  </si>
  <si>
    <t>香港新冠肺炎确诊病例累计增至140例</t>
  </si>
  <si>
    <t xml:space="preserve"> 2020-03-15 08:06:01</t>
  </si>
  <si>
    <t xml:space="preserve"> 2020-03-14 22:48:01</t>
  </si>
  <si>
    <t>意大利新冠肺炎死亡率超7%</t>
  </si>
  <si>
    <t xml:space="preserve"> 2020-03-15 09:56:02</t>
  </si>
  <si>
    <t>被潘贵雨气死</t>
  </si>
  <si>
    <t xml:space="preserve"> 2020-03-15 12:04:01</t>
  </si>
  <si>
    <t>宋慧乔海藻卷发</t>
  </si>
  <si>
    <t xml:space="preserve"> 2020-03-15 11:24:01</t>
  </si>
  <si>
    <t xml:space="preserve"> 2020-03-14 23:02:01</t>
  </si>
  <si>
    <t>河南街头绿化带现果子狸窝</t>
  </si>
  <si>
    <t xml:space="preserve"> 2020-03-15 08:54:02</t>
  </si>
  <si>
    <t xml:space="preserve"> 2020-03-14 20:56:02</t>
  </si>
  <si>
    <t>蔡依林 黑色抹胸短裙</t>
  </si>
  <si>
    <t xml:space="preserve"> 2020-03-15 09:30:02</t>
  </si>
  <si>
    <t xml:space="preserve"> 2020-03-14 22:28:02</t>
  </si>
  <si>
    <t>江西农大教授种出38色油菜花</t>
  </si>
  <si>
    <t xml:space="preserve"> 2020-03-15 08:18:02</t>
  </si>
  <si>
    <t xml:space="preserve"> 2020-03-14 23:40:02</t>
  </si>
  <si>
    <t>英国累积确诊升至1140人</t>
  </si>
  <si>
    <t xml:space="preserve"> 2020-03-15 07:38:02</t>
  </si>
  <si>
    <t xml:space="preserve"> 2020-03-14 20:36:01</t>
  </si>
  <si>
    <t>鞠婧祎声音</t>
  </si>
  <si>
    <t xml:space="preserve"> 2020-03-15 09:18:02</t>
  </si>
  <si>
    <t xml:space="preserve"> 2020-03-14 22:00:02</t>
  </si>
  <si>
    <t>江达琳三观</t>
  </si>
  <si>
    <t xml:space="preserve"> 2020-03-15 09:12:02</t>
  </si>
  <si>
    <t xml:space="preserve"> 2020-03-14 21:56:01</t>
  </si>
  <si>
    <t>中国新相亲 陈晓宇</t>
  </si>
  <si>
    <t xml:space="preserve"> 2020-03-15 10:14:02</t>
  </si>
  <si>
    <t xml:space="preserve"> 2020-03-14 23:06:02</t>
  </si>
  <si>
    <t>疫情下的意大利</t>
  </si>
  <si>
    <t xml:space="preserve"> 2020-03-15 08:56:02</t>
  </si>
  <si>
    <t xml:space="preserve"> 2020-03-14 23:30:02</t>
  </si>
  <si>
    <t>坍塌酒店幸存者讲诉废墟下的69小时</t>
  </si>
  <si>
    <t xml:space="preserve"> 2020-03-15 09:04:02</t>
  </si>
  <si>
    <t xml:space="preserve"> 2020-03-14 23:26:01</t>
  </si>
  <si>
    <t>王俊凯谈年少成名</t>
  </si>
  <si>
    <t xml:space="preserve"> 2020-03-15 10:16:01</t>
  </si>
  <si>
    <t xml:space="preserve"> 2020-03-14 22:06:02</t>
  </si>
  <si>
    <t>汪苏泷 五花肉</t>
  </si>
  <si>
    <t xml:space="preserve"> 2020-03-15 03:50:02</t>
  </si>
  <si>
    <t xml:space="preserve"> 2020-03-14 23:28:01</t>
  </si>
  <si>
    <t>巴拿马宣布进入紧急状态</t>
  </si>
  <si>
    <t xml:space="preserve"> 2020-04-03 15:34:02</t>
  </si>
  <si>
    <t xml:space="preserve"> 2020-03-14 22:20:01</t>
  </si>
  <si>
    <t>我们的乐队</t>
  </si>
  <si>
    <t xml:space="preserve"> 2020-03-15 06:24:02</t>
  </si>
  <si>
    <t>许佳琪舞蹈solo</t>
  </si>
  <si>
    <t>意大利卫生部副部长新冠病毒检测呈阳性</t>
  </si>
  <si>
    <t xml:space="preserve"> 2020-03-15 07:28:01</t>
  </si>
  <si>
    <t xml:space="preserve"> 2020-03-14 21:46:01</t>
  </si>
  <si>
    <t>王清张钰太好笑了</t>
  </si>
  <si>
    <t xml:space="preserve"> 2020-03-15 11:28:02</t>
  </si>
  <si>
    <t xml:space="preserve"> 2020-03-14 22:24:02</t>
  </si>
  <si>
    <t>谢彬彬的故事好甜</t>
  </si>
  <si>
    <t>张韶涵李汶翰合唱</t>
  </si>
  <si>
    <t xml:space="preserve"> 2020-03-15 01:24:02</t>
  </si>
  <si>
    <t xml:space="preserve"> 2020-03-14 22:52:02</t>
  </si>
  <si>
    <t>北京消协公布五大投诉热点问题</t>
  </si>
  <si>
    <t xml:space="preserve"> 2020-03-15 07:34:02</t>
  </si>
  <si>
    <t xml:space="preserve"> 2020-03-14 21:20:02</t>
  </si>
  <si>
    <t>黄景瑜跳舞</t>
  </si>
  <si>
    <t xml:space="preserve"> 2020-03-14 20:06:01</t>
  </si>
  <si>
    <t>学生分批返校行李全面消毒</t>
  </si>
  <si>
    <t xml:space="preserve"> 2020-03-14 20:30:02</t>
  </si>
  <si>
    <t>机场走成秀场的明星</t>
  </si>
  <si>
    <t xml:space="preserve"> 2020-03-15 08:38:02</t>
  </si>
  <si>
    <t xml:space="preserve"> 2020-03-14 20:10:02</t>
  </si>
  <si>
    <t>意大利华人讲述意大利医疗现状</t>
  </si>
  <si>
    <t xml:space="preserve"> 2020-03-15 00:34:01</t>
  </si>
  <si>
    <t xml:space="preserve"> 2020-03-15 00:00:02</t>
  </si>
  <si>
    <t>桑普多利亚新增四人确诊</t>
  </si>
  <si>
    <t xml:space="preserve"> 2020-03-15 05:18:02</t>
  </si>
  <si>
    <t>赵小棠中国舞</t>
  </si>
  <si>
    <t xml:space="preserve"> 2020-03-15 06:14:01</t>
  </si>
  <si>
    <t xml:space="preserve"> 2020-03-14 18:16:01</t>
  </si>
  <si>
    <t>雪碧炸鸡</t>
  </si>
  <si>
    <t xml:space="preserve"> 2020-03-15 08:20:01</t>
  </si>
  <si>
    <t>印尼运输部长新冠病毒检测呈阳性</t>
  </si>
  <si>
    <t xml:space="preserve"> 2020-03-15 07:26:02</t>
  </si>
  <si>
    <t xml:space="preserve"> 2020-03-14 23:22:02</t>
  </si>
  <si>
    <t>周奇奇配音</t>
  </si>
  <si>
    <t xml:space="preserve"> 2020-03-15 00:48:01</t>
  </si>
  <si>
    <t xml:space="preserve"> 2020-03-14 19:06:01</t>
  </si>
  <si>
    <t>印度合十礼流行全球</t>
  </si>
  <si>
    <t xml:space="preserve"> 2020-03-15 07:24:02</t>
  </si>
  <si>
    <t>意大利宣布停飞国内大部分航班</t>
  </si>
  <si>
    <t xml:space="preserve"> 2020-03-15 00:32:01</t>
  </si>
  <si>
    <t xml:space="preserve"> 2020-03-14 20:42:01</t>
  </si>
  <si>
    <t>好想要这张椅子</t>
  </si>
  <si>
    <t xml:space="preserve"> 2020-03-15 15:52:02</t>
  </si>
  <si>
    <t xml:space="preserve"> 2020-03-15 10:22:01</t>
  </si>
  <si>
    <t>武汉通报殡葬车运送生活物资</t>
  </si>
  <si>
    <t xml:space="preserve"> 2020-03-15 16:36:01</t>
  </si>
  <si>
    <t xml:space="preserve"> 2020-03-15 11:26:02</t>
  </si>
  <si>
    <t>英国女王离开白金汉宫</t>
  </si>
  <si>
    <t xml:space="preserve"> 2020-03-15 19:22:01</t>
  </si>
  <si>
    <t xml:space="preserve"> 2020-03-15 11:46:01</t>
  </si>
  <si>
    <t>男子在赴美航班上死亡</t>
  </si>
  <si>
    <t xml:space="preserve"> 2020-03-15 17:22:01</t>
  </si>
  <si>
    <t xml:space="preserve"> 2020-03-15 08:02:02</t>
  </si>
  <si>
    <t>虞书欣镜头</t>
  </si>
  <si>
    <t xml:space="preserve"> 2020-03-15 15:36:01</t>
  </si>
  <si>
    <t xml:space="preserve"> 2020-03-15 09:24:01</t>
  </si>
  <si>
    <t>凌晨四点的告白</t>
  </si>
  <si>
    <t xml:space="preserve"> 2020-03-16 05:26:01</t>
  </si>
  <si>
    <t xml:space="preserve"> 2020-03-15 08:50:02</t>
  </si>
  <si>
    <t>315</t>
  </si>
  <si>
    <t xml:space="preserve"> 2020-03-15 14:30:02</t>
  </si>
  <si>
    <t xml:space="preserve"> 2020-03-15 11:22:02</t>
  </si>
  <si>
    <t>98岁天文学泰斗韩天芑夫妇治愈出院</t>
  </si>
  <si>
    <t xml:space="preserve"> 2020-03-15 15:40:01</t>
  </si>
  <si>
    <t xml:space="preserve"> 2020-03-15 10:30:02</t>
  </si>
  <si>
    <t>NBA第三例新冠确诊</t>
  </si>
  <si>
    <t xml:space="preserve"> 2020-03-15 15:12:01</t>
  </si>
  <si>
    <t xml:space="preserve"> 2020-03-15 09:52:02</t>
  </si>
  <si>
    <t>印度农民怕染病毒活埋6000只鸡</t>
  </si>
  <si>
    <t xml:space="preserve"> 2020-03-15 14:42:01</t>
  </si>
  <si>
    <t xml:space="preserve"> 2020-03-15 07:30:02</t>
  </si>
  <si>
    <t>5名大学生手拉手救人两人溺亡</t>
  </si>
  <si>
    <t xml:space="preserve"> 2020-03-15 07:52:01</t>
  </si>
  <si>
    <t>特朗普新冠病毒测试结果呈阴性</t>
  </si>
  <si>
    <t xml:space="preserve"> 2020-03-15 15:48:01</t>
  </si>
  <si>
    <t xml:space="preserve"> 2020-03-15 08:58:01</t>
  </si>
  <si>
    <t>罗马上空响起义勇军进行曲</t>
  </si>
  <si>
    <t xml:space="preserve"> 2020-03-15 14:00:02</t>
  </si>
  <si>
    <t>武汉现有确诊病例降至万人以下</t>
  </si>
  <si>
    <t xml:space="preserve"> 2020-03-15 14:16:01</t>
  </si>
  <si>
    <t>中国专家组意大利开工首日全记录</t>
  </si>
  <si>
    <t xml:space="preserve"> 2020-03-15 18:48:01</t>
  </si>
  <si>
    <t xml:space="preserve"> 2020-03-15 11:44:02</t>
  </si>
  <si>
    <t>你把后羿吓着了</t>
  </si>
  <si>
    <t xml:space="preserve"> 2020-03-15 17:58:01</t>
  </si>
  <si>
    <t xml:space="preserve"> 2020-03-15 11:54:02</t>
  </si>
  <si>
    <t>苹果不允许娱乐游戏App以疫情为主题</t>
  </si>
  <si>
    <t xml:space="preserve"> 2020-03-15 11:30:01</t>
  </si>
  <si>
    <t>票房损失巨大但游戏营收增长</t>
  </si>
  <si>
    <t xml:space="preserve"> 2020-03-15 17:14:02</t>
  </si>
  <si>
    <t xml:space="preserve"> 2020-03-15 10:58:02</t>
  </si>
  <si>
    <t>Jennie韩版嘉人封面</t>
  </si>
  <si>
    <t xml:space="preserve"> 2020-03-15 17:10:02</t>
  </si>
  <si>
    <t xml:space="preserve"> 2020-03-15 09:20:02</t>
  </si>
  <si>
    <t>人气高但你却无感的水果</t>
  </si>
  <si>
    <t xml:space="preserve"> 2020-03-15 15:46:02</t>
  </si>
  <si>
    <t>圆脸女生颜值大赛</t>
  </si>
  <si>
    <t>特朗普女儿伊万卡开始居家办公</t>
  </si>
  <si>
    <t xml:space="preserve"> 2020-03-15 14:40:02</t>
  </si>
  <si>
    <t>广东输入病例主动申报确诊病例接触史</t>
  </si>
  <si>
    <t xml:space="preserve"> 2020-03-15 14:52:02</t>
  </si>
  <si>
    <t>假如有一天通知你开学了</t>
  </si>
  <si>
    <t xml:space="preserve"> 2020-03-15 14:12:02</t>
  </si>
  <si>
    <t>中国驰援意大利防疫物资运抵都灵</t>
  </si>
  <si>
    <t xml:space="preserve"> 2020-03-15 14:28:01</t>
  </si>
  <si>
    <t xml:space="preserve"> 2020-03-15 10:00:02</t>
  </si>
  <si>
    <t>世卫组织质疑英国群体免疫方法</t>
  </si>
  <si>
    <t xml:space="preserve"> 2020-03-15 19:12:02</t>
  </si>
  <si>
    <t xml:space="preserve"> 2020-03-15 09:44:01</t>
  </si>
  <si>
    <t>最想取消的一门课</t>
  </si>
  <si>
    <t xml:space="preserve"> 2020-03-15 14:08:02</t>
  </si>
  <si>
    <t>西班牙警方无人机劝民众回家</t>
  </si>
  <si>
    <t xml:space="preserve"> 2020-03-15 13:02:02</t>
  </si>
  <si>
    <t xml:space="preserve"> 2020-03-15 09:50:02</t>
  </si>
  <si>
    <t>江苏所有病例全部治愈</t>
  </si>
  <si>
    <t xml:space="preserve"> 2020-03-15 13:12:02</t>
  </si>
  <si>
    <t xml:space="preserve"> 2020-03-15 11:42:01</t>
  </si>
  <si>
    <t>仅三成受访者对维权结果满意</t>
  </si>
  <si>
    <t xml:space="preserve"> 2020-03-15 12:42:02</t>
  </si>
  <si>
    <t>央视播出重症病例救治纪实</t>
  </si>
  <si>
    <t xml:space="preserve"> 2020-03-15 12:46:01</t>
  </si>
  <si>
    <t xml:space="preserve"> 2020-03-15 07:46:01</t>
  </si>
  <si>
    <t>西班牙首相妻子已确诊新冠肺炎</t>
  </si>
  <si>
    <t xml:space="preserve"> 2020-03-15 08:46:02</t>
  </si>
  <si>
    <t>白宫查所有与特朗普接触者体温</t>
  </si>
  <si>
    <t>伊朗女副总统康复</t>
  </si>
  <si>
    <t>重庆确诊病例清零</t>
  </si>
  <si>
    <t xml:space="preserve"> 2020-03-15 13:34:01</t>
  </si>
  <si>
    <t xml:space="preserve"> 2020-03-15 09:14:02</t>
  </si>
  <si>
    <t>蝙蝠侠停拍</t>
  </si>
  <si>
    <t xml:space="preserve"> 2020-03-15 09:08:01</t>
  </si>
  <si>
    <t>车主报警称4块车玻璃被盗</t>
  </si>
  <si>
    <t xml:space="preserve"> 2020-03-15 13:10:02</t>
  </si>
  <si>
    <t xml:space="preserve"> 2020-03-15 11:36:02</t>
  </si>
  <si>
    <t>活塞不计划检测其他人员</t>
  </si>
  <si>
    <t>筛查新冠肺炎查出早期肺癌</t>
  </si>
  <si>
    <t xml:space="preserve"> 2020-03-15 12:44:02</t>
  </si>
  <si>
    <t xml:space="preserve"> 2020-03-15 08:40:02</t>
  </si>
  <si>
    <t>王以太不选派克特</t>
  </si>
  <si>
    <t xml:space="preserve"> 2020-03-15 12:26:02</t>
  </si>
  <si>
    <t>浙江新增4例境外输入病例</t>
  </si>
  <si>
    <t xml:space="preserve"> 2020-03-15 12:36:02</t>
  </si>
  <si>
    <t>隐瞒境外回国事实河南焦作4人被拘</t>
  </si>
  <si>
    <t xml:space="preserve"> 2020-03-15 17:00:02</t>
  </si>
  <si>
    <t xml:space="preserve"> 2020-03-15 11:52:02</t>
  </si>
  <si>
    <t>武大樱花直播日程</t>
  </si>
  <si>
    <t xml:space="preserve"> 2020-03-15 15:58:02</t>
  </si>
  <si>
    <t xml:space="preserve"> 2020-03-15 11:56:01</t>
  </si>
  <si>
    <t>重症患者心理问题复杂程度超乎想象</t>
  </si>
  <si>
    <t xml:space="preserve"> 2020-03-15 13:28:02</t>
  </si>
  <si>
    <t xml:space="preserve"> 2020-03-15 12:08:02</t>
  </si>
  <si>
    <t>林肯公园</t>
  </si>
  <si>
    <t xml:space="preserve"> 2020-03-15 13:58:01</t>
  </si>
  <si>
    <t xml:space="preserve"> 2020-03-15 10:48:02</t>
  </si>
  <si>
    <t>2020年世界体育大会取消</t>
  </si>
  <si>
    <t xml:space="preserve"> 2020-03-15 19:24:01</t>
  </si>
  <si>
    <t>安庆47万亩油菜花开了</t>
  </si>
  <si>
    <t xml:space="preserve"> 2020-03-15 12:24:01</t>
  </si>
  <si>
    <t xml:space="preserve"> 2020-03-15 08:34:01</t>
  </si>
  <si>
    <t>因为穷而受过哪些委屈</t>
  </si>
  <si>
    <t xml:space="preserve"> 2020-03-15 12:18:01</t>
  </si>
  <si>
    <t xml:space="preserve"> 2020-03-15 10:18:02</t>
  </si>
  <si>
    <t>黑山宣布关闭学校和边境点</t>
  </si>
  <si>
    <t xml:space="preserve"> 2020-03-16 10:44:02</t>
  </si>
  <si>
    <t xml:space="preserve"> 2020-03-15 21:18:02</t>
  </si>
  <si>
    <t>张文宏称疫情今夏结束基本已不可能</t>
  </si>
  <si>
    <t xml:space="preserve"> 2020-03-16 09:48:02</t>
  </si>
  <si>
    <t xml:space="preserve"> 2020-03-15 23:22:02</t>
  </si>
  <si>
    <t>德国将关闭与法国瑞士奥地利的边境</t>
  </si>
  <si>
    <t xml:space="preserve"> 2020-03-16 12:38:01</t>
  </si>
  <si>
    <t xml:space="preserve"> 2020-03-15 23:30:01</t>
  </si>
  <si>
    <t>张天爱的衣帽间</t>
  </si>
  <si>
    <t xml:space="preserve"> 2020-03-16 09:22:02</t>
  </si>
  <si>
    <t xml:space="preserve"> 2020-03-15 20:16:02</t>
  </si>
  <si>
    <t>小朋友你是否有很多问号的出处</t>
  </si>
  <si>
    <t xml:space="preserve"> 2020-03-16 09:38:01</t>
  </si>
  <si>
    <t xml:space="preserve"> 2020-03-15 22:18:02</t>
  </si>
  <si>
    <t>叶东烈找斯黛拉道歉</t>
  </si>
  <si>
    <t xml:space="preserve"> 2020-03-16 10:18:02</t>
  </si>
  <si>
    <t xml:space="preserve"> 2020-03-15 22:12:02</t>
  </si>
  <si>
    <t>宫蓓蓓和老公吵架</t>
  </si>
  <si>
    <t xml:space="preserve"> 2020-03-16 10:00:02</t>
  </si>
  <si>
    <t>北京昨新增泰国输入病例被立案调查</t>
  </si>
  <si>
    <t xml:space="preserve"> 2020-03-16 10:32:01</t>
  </si>
  <si>
    <t xml:space="preserve"> 2020-03-15 21:34:02</t>
  </si>
  <si>
    <t>怎样不提雪字描述雪很大</t>
  </si>
  <si>
    <t xml:space="preserve"> 2020-03-16 08:40:02</t>
  </si>
  <si>
    <t xml:space="preserve"> 2020-03-15 20:30:01</t>
  </si>
  <si>
    <t>小花生的盲僧</t>
  </si>
  <si>
    <t xml:space="preserve"> 2020-03-16 08:24:02</t>
  </si>
  <si>
    <t xml:space="preserve"> 2020-03-15 21:10:02</t>
  </si>
  <si>
    <t>房似锦断绝家庭关系</t>
  </si>
  <si>
    <t xml:space="preserve"> 2020-03-16 09:32:01</t>
  </si>
  <si>
    <t xml:space="preserve"> 2020-03-15 19:44:02</t>
  </si>
  <si>
    <t>充分体现到撤回的重要性</t>
  </si>
  <si>
    <t xml:space="preserve"> 2020-03-16 09:58:02</t>
  </si>
  <si>
    <t xml:space="preserve"> 2020-03-15 22:10:02</t>
  </si>
  <si>
    <t>邦尼人设</t>
  </si>
  <si>
    <t xml:space="preserve"> 2020-03-16 09:04:01</t>
  </si>
  <si>
    <t xml:space="preserve"> 2020-03-15 19:46:01</t>
  </si>
  <si>
    <t>北京小汤山医院所有医疗设备就位</t>
  </si>
  <si>
    <t xml:space="preserve"> 2020-03-16 08:56:01</t>
  </si>
  <si>
    <t>英国超10万人签字呼吁政府积极防控</t>
  </si>
  <si>
    <t xml:space="preserve"> 2020-03-16 09:18:01</t>
  </si>
  <si>
    <t>娃娃脸女生颜值大赛</t>
  </si>
  <si>
    <t xml:space="preserve"> 2020-03-15 22:16:01</t>
  </si>
  <si>
    <t>宿舍里发生的震惊事件</t>
  </si>
  <si>
    <t xml:space="preserve"> 2020-03-16 07:00:02</t>
  </si>
  <si>
    <t xml:space="preserve"> 2020-03-15 23:38:02</t>
  </si>
  <si>
    <t>国际奥委会员工将在家上班</t>
  </si>
  <si>
    <t xml:space="preserve"> 2020-03-16 07:54:02</t>
  </si>
  <si>
    <t xml:space="preserve"> 2020-03-15 23:18:02</t>
  </si>
  <si>
    <t>荷兰累计确诊新冠肺炎1135例</t>
  </si>
  <si>
    <t xml:space="preserve"> 2020-03-17 20:48:01</t>
  </si>
  <si>
    <t>邱晨</t>
  </si>
  <si>
    <t xml:space="preserve"> 2020-03-15 21:44:01</t>
  </si>
  <si>
    <t>西班牙一日增长2000例新冠肺炎</t>
  </si>
  <si>
    <t xml:space="preserve"> 2020-03-16 07:10:01</t>
  </si>
  <si>
    <t xml:space="preserve"> 2020-03-15 19:00:02</t>
  </si>
  <si>
    <t>被口罩封印住的颜值</t>
  </si>
  <si>
    <t xml:space="preserve"> 2020-03-16 09:14:02</t>
  </si>
  <si>
    <t xml:space="preserve"> 2020-03-15 20:54:02</t>
  </si>
  <si>
    <t>养宠物真的能缓解孤独吗</t>
  </si>
  <si>
    <t xml:space="preserve"> 2020-03-16 09:10:02</t>
  </si>
  <si>
    <t xml:space="preserve"> 2020-03-15 17:28:01</t>
  </si>
  <si>
    <t>买过最无语的假货</t>
  </si>
  <si>
    <t xml:space="preserve"> 2020-03-16 07:16:01</t>
  </si>
  <si>
    <t xml:space="preserve"> 2020-03-15 18:28:02</t>
  </si>
  <si>
    <t>宣美开微博</t>
  </si>
  <si>
    <t xml:space="preserve"> 2020-03-16 10:16:01</t>
  </si>
  <si>
    <t xml:space="preserve"> 2020-03-15 23:04:02</t>
  </si>
  <si>
    <t>孟鹤堂好可爱</t>
  </si>
  <si>
    <t xml:space="preserve"> 2020-03-16 09:24:02</t>
  </si>
  <si>
    <t xml:space="preserve"> 2020-03-15 21:42:01</t>
  </si>
  <si>
    <t>房似锦弟弟窝囊</t>
  </si>
  <si>
    <t xml:space="preserve"> 2020-03-16 09:20:01</t>
  </si>
  <si>
    <t xml:space="preserve"> 2020-03-15 16:24:01</t>
  </si>
  <si>
    <t>挪威将寻求从中国进口医疗物资</t>
  </si>
  <si>
    <t xml:space="preserve"> 2020-03-15 22:36:02</t>
  </si>
  <si>
    <t>徐姑姑保护房似锦</t>
  </si>
  <si>
    <t xml:space="preserve"> 2020-03-16 08:46:02</t>
  </si>
  <si>
    <t xml:space="preserve"> 2020-03-15 22:22:02</t>
  </si>
  <si>
    <t>俄军展示机械外骨骼战士</t>
  </si>
  <si>
    <t xml:space="preserve"> 2020-03-16 07:40:02</t>
  </si>
  <si>
    <t xml:space="preserve"> 2020-03-15 21:24:02</t>
  </si>
  <si>
    <t>潘贵雨气人</t>
  </si>
  <si>
    <t xml:space="preserve"> 2020-03-16 08:02:02</t>
  </si>
  <si>
    <t xml:space="preserve"> 2020-03-15 20:02:02</t>
  </si>
  <si>
    <t>儿子重返酒店坍塌现场祭奠父亲</t>
  </si>
  <si>
    <t xml:space="preserve"> 2020-03-16 09:16:01</t>
  </si>
  <si>
    <t>联合国秘书长呼吁全球共同向新冠宣战</t>
  </si>
  <si>
    <t xml:space="preserve"> 2020-03-16 07:28:02</t>
  </si>
  <si>
    <t xml:space="preserve"> 2020-03-15 18:16:02</t>
  </si>
  <si>
    <t>英国将自我隔离70岁以上老人</t>
  </si>
  <si>
    <t xml:space="preserve"> 2020-03-16 07:38:01</t>
  </si>
  <si>
    <t xml:space="preserve"> 2019-11-17 15:46:02</t>
  </si>
  <si>
    <t>杨奇函</t>
  </si>
  <si>
    <t xml:space="preserve"> 2020-03-16 08:58:02</t>
  </si>
  <si>
    <t>油菜花</t>
  </si>
  <si>
    <t xml:space="preserve"> 2020-03-15 21:28:01</t>
  </si>
  <si>
    <t>那些年在偶像剧里淋过的雨</t>
  </si>
  <si>
    <t>甘肃新增1例埃及输入病例</t>
  </si>
  <si>
    <t xml:space="preserve"> 2020-03-16 07:12:01</t>
  </si>
  <si>
    <t>当老师加了家长微信后</t>
  </si>
  <si>
    <t xml:space="preserve"> 2020-03-16 08:14:02</t>
  </si>
  <si>
    <t>假如明天可以出行</t>
  </si>
  <si>
    <t xml:space="preserve"> 2020-03-16 07:26:02</t>
  </si>
  <si>
    <t xml:space="preserve"> 2020-03-15 21:12:02</t>
  </si>
  <si>
    <t>多地查获不合格口罩一撕就烂</t>
  </si>
  <si>
    <t xml:space="preserve"> 2020-03-15 21:48:02</t>
  </si>
  <si>
    <t>清零后医护接力展示空病房</t>
  </si>
  <si>
    <t xml:space="preserve"> 2020-03-15 19:04:02</t>
  </si>
  <si>
    <t>你是江苏队小可爱</t>
  </si>
  <si>
    <t xml:space="preserve"> 2020-03-15 20:38:02</t>
  </si>
  <si>
    <t>广州报告首例境外输入病例</t>
  </si>
  <si>
    <t>盘点明星cos过的动漫形象</t>
  </si>
  <si>
    <t xml:space="preserve"> 2020-03-16 06:56:02</t>
  </si>
  <si>
    <t xml:space="preserve"> 2020-03-15 18:58:02</t>
  </si>
  <si>
    <t>火车学生票使用时间延长至5月31日</t>
  </si>
  <si>
    <t xml:space="preserve"> 2020-03-16 01:14:01</t>
  </si>
  <si>
    <t xml:space="preserve"> 2020-03-15 17:16:01</t>
  </si>
  <si>
    <t>Puff偷家</t>
  </si>
  <si>
    <t xml:space="preserve"> 2020-03-16 04:36:02</t>
  </si>
  <si>
    <t xml:space="preserve"> 2020-03-15 20:08:02</t>
  </si>
  <si>
    <t>境外入境安徽一律集中隔离14天</t>
  </si>
  <si>
    <t xml:space="preserve"> 2020-03-16 19:30:02</t>
  </si>
  <si>
    <t xml:space="preserve"> 2020-03-16 11:26:01</t>
  </si>
  <si>
    <t>唐艺昕肚子</t>
  </si>
  <si>
    <t xml:space="preserve"> 2020-03-16 15:50:02</t>
  </si>
  <si>
    <t>美国男子冲入美媒直播镜头怒斥</t>
  </si>
  <si>
    <t xml:space="preserve"> 2020-03-16 18:10:02</t>
  </si>
  <si>
    <t xml:space="preserve"> 2020-03-16 10:12:02</t>
  </si>
  <si>
    <t>黄书豪出家</t>
  </si>
  <si>
    <t xml:space="preserve"> 2020-03-16 18:06:02</t>
  </si>
  <si>
    <t xml:space="preserve"> 2020-03-16 11:00:02</t>
  </si>
  <si>
    <t>黑娃</t>
  </si>
  <si>
    <t xml:space="preserve"> 2020-03-16 16:44:02</t>
  </si>
  <si>
    <t xml:space="preserve"> 2020-03-16 08:04:01</t>
  </si>
  <si>
    <t>赵志伟 没恋爱没出轨</t>
  </si>
  <si>
    <t xml:space="preserve"> 2020-03-16 16:40:01</t>
  </si>
  <si>
    <t xml:space="preserve"> 2020-03-16 11:38:01</t>
  </si>
  <si>
    <t>武汉仍有社区散发病例</t>
  </si>
  <si>
    <t xml:space="preserve"> 2020-03-16 15:20:02</t>
  </si>
  <si>
    <t xml:space="preserve"> 2020-03-16 11:20:01</t>
  </si>
  <si>
    <t>新疆开学后将免费为学生发口罩</t>
  </si>
  <si>
    <t xml:space="preserve"> 2020-03-16 14:16:01</t>
  </si>
  <si>
    <t xml:space="preserve"> 2020-03-16 11:04:02</t>
  </si>
  <si>
    <t>德国网友效仿意大利阳台高歌</t>
  </si>
  <si>
    <t xml:space="preserve"> 2020-03-16 15:42:02</t>
  </si>
  <si>
    <t xml:space="preserve"> 2020-03-16 09:40:02</t>
  </si>
  <si>
    <t>特朗普称白宫防疫成效非凡</t>
  </si>
  <si>
    <t xml:space="preserve"> 2020-03-16 14:04:02</t>
  </si>
  <si>
    <t xml:space="preserve"> 2020-03-16 09:52:02</t>
  </si>
  <si>
    <t>韩国连续两天新增病例低于100例</t>
  </si>
  <si>
    <t xml:space="preserve"> 2020-03-16 07:30:02</t>
  </si>
  <si>
    <t>包贝尔质疑青你2剪辑</t>
  </si>
  <si>
    <t xml:space="preserve"> 2020-03-16 13:56:01</t>
  </si>
  <si>
    <t>90岁老人怕浪费资源拔针拒绝治疗</t>
  </si>
  <si>
    <t xml:space="preserve"> 2020-03-16 16:02:02</t>
  </si>
  <si>
    <t>中国以外确诊病例超过中国</t>
  </si>
  <si>
    <t xml:space="preserve"> 2020-03-16 13:00:02</t>
  </si>
  <si>
    <t xml:space="preserve"> 2020-03-16 10:24:01</t>
  </si>
  <si>
    <t>新疆初高中毕业年级开学</t>
  </si>
  <si>
    <t xml:space="preserve"> 2020-03-16 14:36:02</t>
  </si>
  <si>
    <t xml:space="preserve"> 2020-03-16 09:00:02</t>
  </si>
  <si>
    <t>美媒称或有100万美国人将感染新冠</t>
  </si>
  <si>
    <t xml:space="preserve"> 2020-03-16 19:14:02</t>
  </si>
  <si>
    <t xml:space="preserve"> 2020-03-16 11:40:02</t>
  </si>
  <si>
    <t>张雨剑说虞书欣疯疯癫癫</t>
  </si>
  <si>
    <t xml:space="preserve"> 2020-03-16 14:52:02</t>
  </si>
  <si>
    <t xml:space="preserve"> 2020-03-16 11:42:02</t>
  </si>
  <si>
    <t>新加坡批评英国瑞士抗疫政策</t>
  </si>
  <si>
    <t xml:space="preserve"> 2020-03-16 13:52:02</t>
  </si>
  <si>
    <t xml:space="preserve"> 2020-03-16 11:22:02</t>
  </si>
  <si>
    <t>新疆地震</t>
  </si>
  <si>
    <t xml:space="preserve"> 2020-03-16 14:46:01</t>
  </si>
  <si>
    <t xml:space="preserve"> 2020-03-16 10:22:02</t>
  </si>
  <si>
    <t>742爱酱</t>
  </si>
  <si>
    <t xml:space="preserve"> 2020-03-16 14:34:02</t>
  </si>
  <si>
    <t xml:space="preserve"> 2020-03-16 11:14:01</t>
  </si>
  <si>
    <t>无人机实拍美国民众超市排长队</t>
  </si>
  <si>
    <t xml:space="preserve"> 2020-03-16 17:02:02</t>
  </si>
  <si>
    <t>CardiB炫耀自己登上中国新闻</t>
  </si>
  <si>
    <t xml:space="preserve"> 2020-03-16 16:00:02</t>
  </si>
  <si>
    <t>上网课时的作业量</t>
  </si>
  <si>
    <t xml:space="preserve"> 2020-03-16 15:40:02</t>
  </si>
  <si>
    <t xml:space="preserve"> 2020-03-16 11:58:02</t>
  </si>
  <si>
    <t>巴西总统隔离期现身街头</t>
  </si>
  <si>
    <t xml:space="preserve"> 2020-03-16 13:26:02</t>
  </si>
  <si>
    <t xml:space="preserve"> 2020-03-16 09:46:02</t>
  </si>
  <si>
    <t>中兴通讯</t>
  </si>
  <si>
    <t>中方将采取措施协助西班牙抗击疫情</t>
  </si>
  <si>
    <t xml:space="preserve"> 2020-03-16 14:18:02</t>
  </si>
  <si>
    <t xml:space="preserve"> 2020-03-16 07:24:01</t>
  </si>
  <si>
    <t>古巨基当爸</t>
  </si>
  <si>
    <t xml:space="preserve"> 2020-03-16 15:54:02</t>
  </si>
  <si>
    <t>英国疫情</t>
  </si>
  <si>
    <t xml:space="preserve"> 2020-03-16 15:36:02</t>
  </si>
  <si>
    <t xml:space="preserve"> 2020-03-16 09:36:02</t>
  </si>
  <si>
    <t>房似锦徐姑姑屋顶吻</t>
  </si>
  <si>
    <t xml:space="preserve"> 2020-03-16 13:02:02</t>
  </si>
  <si>
    <t xml:space="preserve"> 2020-03-16 10:20:01</t>
  </si>
  <si>
    <t>4万多个家庭的牵肠挂肚</t>
  </si>
  <si>
    <t>环球音乐CEO确诊新冠</t>
  </si>
  <si>
    <t xml:space="preserve"> 2020-03-16 13:04:02</t>
  </si>
  <si>
    <t xml:space="preserve"> 2020-03-16 10:34:02</t>
  </si>
  <si>
    <t>武汉大学云赏樱</t>
  </si>
  <si>
    <t xml:space="preserve"> 2020-03-16 11:46:02</t>
  </si>
  <si>
    <t>境外入境内蒙古集中隔离医学观察14天</t>
  </si>
  <si>
    <t xml:space="preserve"> 2020-03-16 12:42:02</t>
  </si>
  <si>
    <t>意大利报纸讣告由1页半变10余页</t>
  </si>
  <si>
    <t xml:space="preserve"> 2020-03-16 12:48:02</t>
  </si>
  <si>
    <t xml:space="preserve"> 2020-03-16 11:48:02</t>
  </si>
  <si>
    <t>不如实填报健康申明卡将定罪处罚</t>
  </si>
  <si>
    <t xml:space="preserve"> 2020-03-16 13:34:01</t>
  </si>
  <si>
    <t>武汉民警李寅</t>
  </si>
  <si>
    <t xml:space="preserve"> 2020-03-16 12:44:02</t>
  </si>
  <si>
    <t xml:space="preserve"> 2020-03-16 07:02:01</t>
  </si>
  <si>
    <t>鸡蛋的神仙做法</t>
  </si>
  <si>
    <t>央行开展1000亿元1年期MLF操作</t>
  </si>
  <si>
    <t xml:space="preserve"> 2020-03-16 12:54:01</t>
  </si>
  <si>
    <t>小说中最扯淡的情节</t>
  </si>
  <si>
    <t>摩登家庭狗狗演员去世</t>
  </si>
  <si>
    <t xml:space="preserve"> 2020-03-16 13:18:02</t>
  </si>
  <si>
    <t xml:space="preserve"> 2020-03-16 11:52:02</t>
  </si>
  <si>
    <t>墨西哥音乐节人山人海</t>
  </si>
  <si>
    <t xml:space="preserve"> 2020-03-16 17:08:02</t>
  </si>
  <si>
    <t xml:space="preserve"> 2020-03-16 12:06:02</t>
  </si>
  <si>
    <t>79岁患者奶奶上演逃跑计划被盯防</t>
  </si>
  <si>
    <t xml:space="preserve"> 2020-03-16 12:34:01</t>
  </si>
  <si>
    <t>被妈妈支配的恐惧</t>
  </si>
  <si>
    <t xml:space="preserve"> 2020-03-16 12:26:02</t>
  </si>
  <si>
    <t>雪后的哈尔滨好美</t>
  </si>
  <si>
    <t xml:space="preserve"> 2020-03-16 12:20:02</t>
  </si>
  <si>
    <t xml:space="preserve"> 2020-03-16 11:50:01</t>
  </si>
  <si>
    <t>全英赛国羽0冠</t>
  </si>
  <si>
    <t xml:space="preserve"> 2020-03-16 17:14:01</t>
  </si>
  <si>
    <t xml:space="preserve"> 2020-03-16 12:08:01</t>
  </si>
  <si>
    <t>十大白手起家女富豪中国占九席</t>
  </si>
  <si>
    <t>5地新增境外输入病例12例</t>
  </si>
  <si>
    <t xml:space="preserve"> 2020-03-16 12:40:01</t>
  </si>
  <si>
    <t xml:space="preserve"> 2020-03-16 10:36:01</t>
  </si>
  <si>
    <t>邦女郎柯瑞兰寇确诊新冠肺炎</t>
  </si>
  <si>
    <t xml:space="preserve"> 2020-03-16 10:42:02</t>
  </si>
  <si>
    <t>载600人游轮在巴哈马海域搁浅</t>
  </si>
  <si>
    <t xml:space="preserve"> 2020-03-17 12:40:02</t>
  </si>
  <si>
    <t xml:space="preserve"> 2020-03-16 20:34:01</t>
  </si>
  <si>
    <t>人民日报评邱晨</t>
  </si>
  <si>
    <t xml:space="preserve"> 2020-03-17 11:10:02</t>
  </si>
  <si>
    <t xml:space="preserve"> 2020-03-16 22:22:02</t>
  </si>
  <si>
    <t>邱晨关闭社交媒体账号</t>
  </si>
  <si>
    <t xml:space="preserve"> 2020-03-17 09:28:02</t>
  </si>
  <si>
    <t xml:space="preserve"> 2020-03-16 21:28:02</t>
  </si>
  <si>
    <t>今明两年事业单位空缺岗主招高校毕业生</t>
  </si>
  <si>
    <t xml:space="preserve"> 2020-03-17 08:30:01</t>
  </si>
  <si>
    <t xml:space="preserve"> 2020-03-16 23:16:02</t>
  </si>
  <si>
    <t>马来西亚</t>
  </si>
  <si>
    <t xml:space="preserve"> 2020-03-17 08:58:02</t>
  </si>
  <si>
    <t xml:space="preserve"> 2020-03-16 21:18:02</t>
  </si>
  <si>
    <t>李兰娟谈群体免疫</t>
  </si>
  <si>
    <t xml:space="preserve"> 2020-03-16 19:24:02</t>
  </si>
  <si>
    <t>毛不易 什么是忙内</t>
  </si>
  <si>
    <t xml:space="preserve"> 2020-03-17 08:00:02</t>
  </si>
  <si>
    <t xml:space="preserve"> 2020-03-16 19:16:02</t>
  </si>
  <si>
    <t>苹果被罚款11亿欧元</t>
  </si>
  <si>
    <t xml:space="preserve"> 2020-03-17 08:38:02</t>
  </si>
  <si>
    <t xml:space="preserve"> 2020-03-16 21:58:02</t>
  </si>
  <si>
    <t>巴基斯坦总统阿尔维访华</t>
  </si>
  <si>
    <t xml:space="preserve"> 2020-03-17 08:36:01</t>
  </si>
  <si>
    <t xml:space="preserve"> 2020-03-16 21:40:02</t>
  </si>
  <si>
    <t>美股开盘熔断</t>
  </si>
  <si>
    <t xml:space="preserve"> 2020-03-17 08:42:02</t>
  </si>
  <si>
    <t>张伟丽回应对手将做整形手术</t>
  </si>
  <si>
    <t xml:space="preserve"> 2020-03-17 07:18:02</t>
  </si>
  <si>
    <t>塞尔维亚总统求助中国</t>
  </si>
  <si>
    <t xml:space="preserve"> 2020-03-16 22:38:01</t>
  </si>
  <si>
    <t>中医治疗经验是中国抗疫方案的亮点</t>
  </si>
  <si>
    <t xml:space="preserve"> 2020-03-17 07:14:02</t>
  </si>
  <si>
    <t xml:space="preserve"> 2020-03-16 20:44:01</t>
  </si>
  <si>
    <t>德国紧急下单1万台呼吸机</t>
  </si>
  <si>
    <t xml:space="preserve"> 2020-03-17 08:06:02</t>
  </si>
  <si>
    <t xml:space="preserve"> 2020-03-16 23:34:01</t>
  </si>
  <si>
    <t>英国确诊总数升至1543人</t>
  </si>
  <si>
    <t xml:space="preserve"> 2020-03-17 10:40:02</t>
  </si>
  <si>
    <t>女生洗澡到底有多麻烦</t>
  </si>
  <si>
    <t xml:space="preserve"> 2020-03-16 19:50:01</t>
  </si>
  <si>
    <t>豌豆公主病的日常</t>
  </si>
  <si>
    <t xml:space="preserve"> 2020-03-17 08:48:01</t>
  </si>
  <si>
    <t>首都机场</t>
  </si>
  <si>
    <t xml:space="preserve"> 2020-03-17 10:32:02</t>
  </si>
  <si>
    <t xml:space="preserve"> 2020-03-16 21:26:01</t>
  </si>
  <si>
    <t>AeiherumuhRoo</t>
  </si>
  <si>
    <t xml:space="preserve"> 2020-03-17 00:54:01</t>
  </si>
  <si>
    <t xml:space="preserve"> 2020-03-16 23:20:02</t>
  </si>
  <si>
    <t>特朗普发推求上帝保佑美国</t>
  </si>
  <si>
    <t xml:space="preserve"> 2020-03-17 10:14:02</t>
  </si>
  <si>
    <t xml:space="preserve"> 2020-03-16 23:08:02</t>
  </si>
  <si>
    <t>河南高校300张餐桌摆满广场</t>
  </si>
  <si>
    <t xml:space="preserve"> 2020-03-16 23:24:02</t>
  </si>
  <si>
    <t>韩国研发可水洗纳米口罩</t>
  </si>
  <si>
    <t xml:space="preserve"> 2020-03-17 08:50:02</t>
  </si>
  <si>
    <t xml:space="preserve"> 2020-03-16 19:32:02</t>
  </si>
  <si>
    <t>赵丽颖复工照</t>
  </si>
  <si>
    <t xml:space="preserve"> 2020-03-26 19:42:02</t>
  </si>
  <si>
    <t>A50</t>
  </si>
  <si>
    <t xml:space="preserve"> 2020-03-16 21:06:01</t>
  </si>
  <si>
    <t>中国留学生在英国的最大感受</t>
  </si>
  <si>
    <t xml:space="preserve"> 2020-03-17 08:44:01</t>
  </si>
  <si>
    <t xml:space="preserve"> 2020-03-16 23:58:02</t>
  </si>
  <si>
    <t>韩国又推出电话亭式检测采样</t>
  </si>
  <si>
    <t xml:space="preserve"> 2020-03-16 19:26:01</t>
  </si>
  <si>
    <t>宋家三胞胎8岁庆生照</t>
  </si>
  <si>
    <t xml:space="preserve"> 2020-03-17 09:36:02</t>
  </si>
  <si>
    <t xml:space="preserve"> 2020-03-16 21:56:02</t>
  </si>
  <si>
    <t>患者自述治疗新冠肺炎要花多少钱</t>
  </si>
  <si>
    <t xml:space="preserve"> 2020-03-17 08:10:01</t>
  </si>
  <si>
    <t xml:space="preserve"> 2020-03-16 23:18:02</t>
  </si>
  <si>
    <t>104岁新冠肺炎患者康复出院</t>
  </si>
  <si>
    <t xml:space="preserve"> 2020-03-16 22:00:02</t>
  </si>
  <si>
    <t>赵立坚</t>
  </si>
  <si>
    <t xml:space="preserve"> 2020-03-16 22:42:01</t>
  </si>
  <si>
    <t>日本多地学校恢复开学</t>
  </si>
  <si>
    <t xml:space="preserve"> 2020-03-17 12:14:02</t>
  </si>
  <si>
    <t>艾薇儿 Bright</t>
  </si>
  <si>
    <t xml:space="preserve"> 2020-03-17 08:04:01</t>
  </si>
  <si>
    <t>徐姑姑要求张乘乘还房子</t>
  </si>
  <si>
    <t xml:space="preserve"> 2020-03-17 08:34:02</t>
  </si>
  <si>
    <t xml:space="preserve"> 2020-03-16 23:14:02</t>
  </si>
  <si>
    <t>记者接触汤姆汉克斯妻子后确诊</t>
  </si>
  <si>
    <t xml:space="preserve"> 2020-03-17 08:26:02</t>
  </si>
  <si>
    <t xml:space="preserve"> 2020-03-16 23:04:01</t>
  </si>
  <si>
    <t>意大利首席小提琴家阳台演奏</t>
  </si>
  <si>
    <t xml:space="preserve"> 2020-03-17 08:08:02</t>
  </si>
  <si>
    <t xml:space="preserve"> 2020-03-16 21:42:02</t>
  </si>
  <si>
    <t>南斯拉夫</t>
  </si>
  <si>
    <t xml:space="preserve"> 2020-03-17 09:26:02</t>
  </si>
  <si>
    <t xml:space="preserve"> 2020-03-16 21:22:01</t>
  </si>
  <si>
    <t>安家 宁馨</t>
  </si>
  <si>
    <t xml:space="preserve"> 2020-03-16 19:04:02</t>
  </si>
  <si>
    <t>疫情期间中国居民平均睡眠超8小时</t>
  </si>
  <si>
    <t xml:space="preserve"> 2020-03-17 07:36:01</t>
  </si>
  <si>
    <t>王一博松紧带裤子</t>
  </si>
  <si>
    <t xml:space="preserve"> 2020-03-17 08:22:02</t>
  </si>
  <si>
    <t xml:space="preserve"> 2020-03-16 18:30:02</t>
  </si>
  <si>
    <t>在学校食堂收获的男朋友</t>
  </si>
  <si>
    <t>纽约州长呼吁联邦政府向中国学习</t>
  </si>
  <si>
    <t xml:space="preserve"> 2020-03-17 08:54:02</t>
  </si>
  <si>
    <t xml:space="preserve"> 2020-03-17 00:08:01</t>
  </si>
  <si>
    <t>数学老师喊麦三角函数</t>
  </si>
  <si>
    <t xml:space="preserve"> 2020-03-17 07:30:02</t>
  </si>
  <si>
    <t xml:space="preserve"> 2020-03-16 21:32:01</t>
  </si>
  <si>
    <t>汤姆汉克斯</t>
  </si>
  <si>
    <t xml:space="preserve"> 2020-03-17 11:06:02</t>
  </si>
  <si>
    <t>房似锦徐姑姑搬家</t>
  </si>
  <si>
    <t xml:space="preserve"> 2020-03-16 15:52:02</t>
  </si>
  <si>
    <t>创造营</t>
  </si>
  <si>
    <t xml:space="preserve"> 2020-03-17 03:38:02</t>
  </si>
  <si>
    <t xml:space="preserve"> 2020-03-16 23:40:02</t>
  </si>
  <si>
    <t>巴西股市两周内第五次熔断</t>
  </si>
  <si>
    <t xml:space="preserve"> 2020-03-17 03:10:02</t>
  </si>
  <si>
    <t>环球音乐CEO确诊新冠肺炎</t>
  </si>
  <si>
    <t xml:space="preserve"> 2020-03-17 18:22:02</t>
  </si>
  <si>
    <t xml:space="preserve"> 2020-03-17 10:46:02</t>
  </si>
  <si>
    <t>张伟丽无奈滞留美国</t>
  </si>
  <si>
    <t xml:space="preserve"> 2020-03-17 18:40:01</t>
  </si>
  <si>
    <t xml:space="preserve"> 2020-03-17 11:14:02</t>
  </si>
  <si>
    <t>黄智博获刑三年三个月</t>
  </si>
  <si>
    <t xml:space="preserve"> 2020-03-17 14:46:02</t>
  </si>
  <si>
    <t xml:space="preserve"> 2020-03-17 11:12:01</t>
  </si>
  <si>
    <t>韩国对进口口罩实施零关税</t>
  </si>
  <si>
    <t xml:space="preserve"> 2020-03-17 15:38:01</t>
  </si>
  <si>
    <t xml:space="preserve"> 2020-03-17 08:12:02</t>
  </si>
  <si>
    <t>鹿晗粉丝头像控评</t>
  </si>
  <si>
    <t xml:space="preserve"> 2020-03-17 20:10:01</t>
  </si>
  <si>
    <t xml:space="preserve"> 2020-03-17 11:50:02</t>
  </si>
  <si>
    <t>墨西哥总统与上千民众拥抱握手</t>
  </si>
  <si>
    <t xml:space="preserve"> 2020-03-17 16:52:01</t>
  </si>
  <si>
    <t xml:space="preserve"> 2020-03-17 08:40:02</t>
  </si>
  <si>
    <t>女孩子眼中的腿精</t>
  </si>
  <si>
    <t xml:space="preserve"> 2020-03-17 14:54:02</t>
  </si>
  <si>
    <t xml:space="preserve"> 2020-03-17 11:08:02</t>
  </si>
  <si>
    <t>安徽部分公共场合可摘口罩</t>
  </si>
  <si>
    <t xml:space="preserve"> 2020-03-17 16:18:02</t>
  </si>
  <si>
    <t xml:space="preserve"> 2020-03-17 10:34:02</t>
  </si>
  <si>
    <t>九寨沟下雪</t>
  </si>
  <si>
    <t xml:space="preserve"> 2020-03-17 15:06:02</t>
  </si>
  <si>
    <t xml:space="preserve"> 2020-03-17 08:32:02</t>
  </si>
  <si>
    <t>Sunnee裤子</t>
  </si>
  <si>
    <t xml:space="preserve"> 2020-03-17 13:56:02</t>
  </si>
  <si>
    <t xml:space="preserve"> 2020-03-17 10:20:02</t>
  </si>
  <si>
    <t>巴西超1350名囚犯越狱</t>
  </si>
  <si>
    <t xml:space="preserve"> 2020-03-17 19:58:02</t>
  </si>
  <si>
    <t xml:space="preserve"> 2020-03-17 07:20:02</t>
  </si>
  <si>
    <t>特朗普称美国经济可能走向衰退</t>
  </si>
  <si>
    <t xml:space="preserve"> 2020-03-17 13:58:02</t>
  </si>
  <si>
    <t xml:space="preserve"> 2020-03-17 07:38:02</t>
  </si>
  <si>
    <t>张文宏 疫情严重国家留学生慎重回国</t>
  </si>
  <si>
    <t xml:space="preserve"> 2020-03-17 13:48:01</t>
  </si>
  <si>
    <t xml:space="preserve"> 2020-03-17 09:38:02</t>
  </si>
  <si>
    <t>成都允许临时占道经营</t>
  </si>
  <si>
    <t xml:space="preserve"> 2020-03-17 10:42:02</t>
  </si>
  <si>
    <t>猫获金酸莓奖最差电影</t>
  </si>
  <si>
    <t xml:space="preserve"> 2020-03-17 13:34:01</t>
  </si>
  <si>
    <t xml:space="preserve"> 2020-03-17 09:08:02</t>
  </si>
  <si>
    <t>意大利新冠肺炎死亡病例超过2000例</t>
  </si>
  <si>
    <t xml:space="preserve"> 2020-03-17 15:52:01</t>
  </si>
  <si>
    <t xml:space="preserve"> 2020-03-17 11:54:02</t>
  </si>
  <si>
    <t>意大利两名男子探出窗户打网球</t>
  </si>
  <si>
    <t xml:space="preserve"> 2020-03-17 14:34:02</t>
  </si>
  <si>
    <t>费南多道歉</t>
  </si>
  <si>
    <t xml:space="preserve"> 2020-03-17 14:20:01</t>
  </si>
  <si>
    <t>等到了真正开学的时候</t>
  </si>
  <si>
    <t xml:space="preserve"> 2020-03-17 16:14:01</t>
  </si>
  <si>
    <t xml:space="preserve"> 2020-03-17 11:56:01</t>
  </si>
  <si>
    <t>无人机劝阻薅花小朋友</t>
  </si>
  <si>
    <t xml:space="preserve"> 2020-03-17 15:48:02</t>
  </si>
  <si>
    <t xml:space="preserve"> 2020-03-17 11:58:02</t>
  </si>
  <si>
    <t>北京海关辟谣11万人从欧洲到北京</t>
  </si>
  <si>
    <t xml:space="preserve"> 2020-03-17 12:56:01</t>
  </si>
  <si>
    <t xml:space="preserve"> 2020-03-17 11:42:01</t>
  </si>
  <si>
    <t>北京通州区与北三县协同发展规划</t>
  </si>
  <si>
    <t xml:space="preserve"> 2020-03-17 17:24:01</t>
  </si>
  <si>
    <t xml:space="preserve"> 2020-03-17 09:40:02</t>
  </si>
  <si>
    <t>支援湖北医疗队开始撤离</t>
  </si>
  <si>
    <t xml:space="preserve"> 2020-03-17 15:56:01</t>
  </si>
  <si>
    <t xml:space="preserve"> 2020-03-17 11:22:01</t>
  </si>
  <si>
    <t>赵丽颖名誉权案一审胜诉</t>
  </si>
  <si>
    <t xml:space="preserve"> 2020-03-17 13:54:02</t>
  </si>
  <si>
    <t>权游演员海维尤感染新冠</t>
  </si>
  <si>
    <t xml:space="preserve"> 2020-03-17 14:30:01</t>
  </si>
  <si>
    <t xml:space="preserve"> 2020-03-17 12:02:02</t>
  </si>
  <si>
    <t>医生郭宏卿</t>
  </si>
  <si>
    <t xml:space="preserve"> 2020-03-17 13:38:01</t>
  </si>
  <si>
    <t>旧金山宣布封城</t>
  </si>
  <si>
    <t xml:space="preserve"> 2020-03-17 12:48:01</t>
  </si>
  <si>
    <t xml:space="preserve"> 2020-03-17 11:02:02</t>
  </si>
  <si>
    <t>以色列启用反恐技术追踪新冠密切接触者</t>
  </si>
  <si>
    <t xml:space="preserve"> 2020-03-17 13:30:01</t>
  </si>
  <si>
    <t xml:space="preserve"> 2020-03-17 11:28:01</t>
  </si>
  <si>
    <t>西班牙限行首日遛狗成通行证</t>
  </si>
  <si>
    <t xml:space="preserve"> 2020-03-17 13:32:01</t>
  </si>
  <si>
    <t>假如重返大一</t>
  </si>
  <si>
    <t xml:space="preserve"> 2020-03-17 16:08:02</t>
  </si>
  <si>
    <t xml:space="preserve"> 2020-03-17 07:32:01</t>
  </si>
  <si>
    <t>首批中国援助物资运抵塞尔维亚</t>
  </si>
  <si>
    <t xml:space="preserve"> 2020-03-17 09:46:02</t>
  </si>
  <si>
    <t>南京郁金香花海</t>
  </si>
  <si>
    <t xml:space="preserve"> 2020-03-17 16:40:02</t>
  </si>
  <si>
    <t xml:space="preserve"> 2020-03-17 09:50:02</t>
  </si>
  <si>
    <t>东京奥组委多名理事同意奥运会推迟</t>
  </si>
  <si>
    <t>苹果市值蒸发掉1.5亿部iPhone</t>
  </si>
  <si>
    <t xml:space="preserve"> 2020-03-17 07:42:01</t>
  </si>
  <si>
    <t>泰剧假偶天成男主开微博</t>
  </si>
  <si>
    <t xml:space="preserve"> 2020-03-17 12:36:02</t>
  </si>
  <si>
    <t>武汉新增确诊连续6天个位数</t>
  </si>
  <si>
    <t xml:space="preserve"> 2020-03-17 12:42:02</t>
  </si>
  <si>
    <t>最好吃的必备瘦身餐</t>
  </si>
  <si>
    <t xml:space="preserve"> 2020-03-17 12:38:02</t>
  </si>
  <si>
    <t xml:space="preserve"> 2020-03-17 08:52:02</t>
  </si>
  <si>
    <t>山东新增1例美国输入病例</t>
  </si>
  <si>
    <t>英国官员为群体免疫辩护</t>
  </si>
  <si>
    <t xml:space="preserve"> 2020-03-17 12:04:01</t>
  </si>
  <si>
    <t>美国为防疫情传播将释放部分囚犯</t>
  </si>
  <si>
    <t xml:space="preserve"> 2020-03-17 17:32:02</t>
  </si>
  <si>
    <t xml:space="preserve"> 2020-03-17 12:12:02</t>
  </si>
  <si>
    <t>撞上故宫东华门肇事司机已被警方带走</t>
  </si>
  <si>
    <t xml:space="preserve"> 2020-03-17 12:34:02</t>
  </si>
  <si>
    <t>国足短期内不扩招入籍球员</t>
  </si>
  <si>
    <t xml:space="preserve"> 2020-03-17 12:44:02</t>
  </si>
  <si>
    <t xml:space="preserve"> 2020-03-17 12:08:02</t>
  </si>
  <si>
    <t>境外入境武汉集中14天隔离</t>
  </si>
  <si>
    <t xml:space="preserve"> 2020-03-17 12:10:01</t>
  </si>
  <si>
    <t>金酸莓奖获奖名单</t>
  </si>
  <si>
    <t>神秘海域电影推迟开拍</t>
  </si>
  <si>
    <t xml:space="preserve"> 2020-03-17 12:28:02</t>
  </si>
  <si>
    <t xml:space="preserve"> 2020-03-17 08:14:02</t>
  </si>
  <si>
    <t>西班牙成全球感染人数第四多国家</t>
  </si>
  <si>
    <t>西班牙21岁足球教练因新冠病毒去世</t>
  </si>
  <si>
    <t xml:space="preserve"> 2020-03-17 12:22:02</t>
  </si>
  <si>
    <t>五角大楼出现37个确诊病例</t>
  </si>
  <si>
    <t xml:space="preserve"> 2020-03-18 10:06:01</t>
  </si>
  <si>
    <t xml:space="preserve"> 2020-03-17 21:40:02</t>
  </si>
  <si>
    <t>老油条卖儿子婚房给小宝治病</t>
  </si>
  <si>
    <t xml:space="preserve"> 2020-03-18 10:02:02</t>
  </si>
  <si>
    <t xml:space="preserve"> 2020-03-17 20:08:02</t>
  </si>
  <si>
    <t>意大利教堂堆满棺材</t>
  </si>
  <si>
    <t xml:space="preserve"> 2020-03-18 11:18:02</t>
  </si>
  <si>
    <t xml:space="preserve"> 2020-03-17 21:16:02</t>
  </si>
  <si>
    <t>薛义有老婆孩子</t>
  </si>
  <si>
    <t xml:space="preserve"> 2020-03-18 11:36:02</t>
  </si>
  <si>
    <t xml:space="preserve"> 2020-03-17 22:08:02</t>
  </si>
  <si>
    <t>一元一次方程太贵了</t>
  </si>
  <si>
    <t xml:space="preserve"> 2020-03-18 10:18:01</t>
  </si>
  <si>
    <t xml:space="preserve"> 2020-03-17 21:56:01</t>
  </si>
  <si>
    <t>斯黛拉叶东烈分手</t>
  </si>
  <si>
    <t xml:space="preserve"> 2020-03-18 11:06:02</t>
  </si>
  <si>
    <t xml:space="preserve"> 2020-03-17 20:26:02</t>
  </si>
  <si>
    <t>军队成功研制重组新冠疫苗</t>
  </si>
  <si>
    <t xml:space="preserve"> 2020-03-18 08:42:02</t>
  </si>
  <si>
    <t xml:space="preserve"> 2020-03-17 18:16:02</t>
  </si>
  <si>
    <t>陈赫二胎得女</t>
  </si>
  <si>
    <t xml:space="preserve"> 2020-03-18 10:00:02</t>
  </si>
  <si>
    <t xml:space="preserve"> 2020-03-17 18:44:02</t>
  </si>
  <si>
    <t>吴尊老婆曾独自拍婚纱照</t>
  </si>
  <si>
    <t xml:space="preserve"> 2020-03-18 08:54:02</t>
  </si>
  <si>
    <t xml:space="preserve"> 2020-03-17 23:16:02</t>
  </si>
  <si>
    <t>东航取消多个欧美航班</t>
  </si>
  <si>
    <t xml:space="preserve"> 2020-03-18 10:10:02</t>
  </si>
  <si>
    <t xml:space="preserve"> 2020-03-17 19:24:02</t>
  </si>
  <si>
    <t>拜耳辞退拒绝隔离外出跑步女子</t>
  </si>
  <si>
    <t xml:space="preserve"> 2020-03-18 09:56:01</t>
  </si>
  <si>
    <t xml:space="preserve"> 2020-03-17 21:48:01</t>
  </si>
  <si>
    <t>美国新冠疫苗进入临床试验</t>
  </si>
  <si>
    <t xml:space="preserve"> 2020-03-18 09:04:01</t>
  </si>
  <si>
    <t xml:space="preserve"> 2020-03-17 18:48:02</t>
  </si>
  <si>
    <t>中国向世界公开新冠肺炎诊疗方案</t>
  </si>
  <si>
    <t xml:space="preserve"> 2020-03-18 09:00:02</t>
  </si>
  <si>
    <t xml:space="preserve"> 2020-03-17 21:10:02</t>
  </si>
  <si>
    <t>日本再称奥运会将如期举行</t>
  </si>
  <si>
    <t xml:space="preserve"> 2020-03-18 09:16:02</t>
  </si>
  <si>
    <t xml:space="preserve"> 2020-03-17 22:42:02</t>
  </si>
  <si>
    <t>美国迪士尼乐园关门前人挤人</t>
  </si>
  <si>
    <t xml:space="preserve"> 2020-03-18 09:12:02</t>
  </si>
  <si>
    <t xml:space="preserve"> 2020-03-17 23:24:01</t>
  </si>
  <si>
    <t>纽约州确诊数在全美首破1000</t>
  </si>
  <si>
    <t xml:space="preserve"> 2020-03-18 11:22:02</t>
  </si>
  <si>
    <t xml:space="preserve"> 2020-03-17 21:42:02</t>
  </si>
  <si>
    <t>张雨剑 好笑</t>
  </si>
  <si>
    <t xml:space="preserve"> 2020-03-18 09:26:01</t>
  </si>
  <si>
    <t xml:space="preserve"> 2020-03-17 22:26:01</t>
  </si>
  <si>
    <t>完美关系大结局预告</t>
  </si>
  <si>
    <t xml:space="preserve"> 2020-03-18 11:42:02</t>
  </si>
  <si>
    <t xml:space="preserve"> 2020-03-17 20:50:02</t>
  </si>
  <si>
    <t>孙佳雨</t>
  </si>
  <si>
    <t xml:space="preserve"> 2020-03-18 09:48:02</t>
  </si>
  <si>
    <t xml:space="preserve"> 2020-03-17 20:54:01</t>
  </si>
  <si>
    <t>用中式英语跨文化交流</t>
  </si>
  <si>
    <t xml:space="preserve"> 2020-03-18 08:10:01</t>
  </si>
  <si>
    <t xml:space="preserve"> 2020-03-17 23:10:02</t>
  </si>
  <si>
    <t>美股抗疫概念股大涨</t>
  </si>
  <si>
    <t xml:space="preserve"> 2020-03-18 07:06:02</t>
  </si>
  <si>
    <t xml:space="preserve"> 2020-03-17 22:28:01</t>
  </si>
  <si>
    <t>印度宣布关闭泰姬陵</t>
  </si>
  <si>
    <t xml:space="preserve"> 2020-03-18 09:20:02</t>
  </si>
  <si>
    <t>Doinb五杀</t>
  </si>
  <si>
    <t xml:space="preserve"> 2020-03-18 08:26:01</t>
  </si>
  <si>
    <t xml:space="preserve"> 2020-03-17 20:36:01</t>
  </si>
  <si>
    <t>爸妈朋友圈封面大赏</t>
  </si>
  <si>
    <t xml:space="preserve"> 2020-03-18 09:46:02</t>
  </si>
  <si>
    <t xml:space="preserve"> 2020-03-17 20:44:02</t>
  </si>
  <si>
    <t>外交部回应美称要转移医疗供应链</t>
  </si>
  <si>
    <t xml:space="preserve"> 2020-03-18 09:06:02</t>
  </si>
  <si>
    <t xml:space="preserve"> 2020-03-17 21:04:01</t>
  </si>
  <si>
    <t>武汉市民扮皮卡丘送援鄂医疗队撤离</t>
  </si>
  <si>
    <t xml:space="preserve"> 2020-03-18 08:14:01</t>
  </si>
  <si>
    <t xml:space="preserve"> 2020-03-17 17:04:01</t>
  </si>
  <si>
    <t>易烊千玺素颜</t>
  </si>
  <si>
    <t xml:space="preserve"> 2020-03-18 09:02:02</t>
  </si>
  <si>
    <t xml:space="preserve"> 2020-03-17 22:24:01</t>
  </si>
  <si>
    <t>聊天时打错字的尴尬经历</t>
  </si>
  <si>
    <t xml:space="preserve"> 2020-03-18 07:16:01</t>
  </si>
  <si>
    <t xml:space="preserve"> 2020-03-17 15:58:01</t>
  </si>
  <si>
    <t>飞轮海</t>
  </si>
  <si>
    <t xml:space="preserve"> 2020-03-17 20:22:01</t>
  </si>
  <si>
    <t>我可以不去幼儿园吗</t>
  </si>
  <si>
    <t xml:space="preserve"> 2020-03-18 07:32:02</t>
  </si>
  <si>
    <t xml:space="preserve"> 2019-11-25 09:24:01</t>
  </si>
  <si>
    <t>深圳地铁</t>
  </si>
  <si>
    <t xml:space="preserve"> 2020-03-18 08:32:01</t>
  </si>
  <si>
    <t xml:space="preserve"> 2020-03-17 19:38:01</t>
  </si>
  <si>
    <t>重组新冠疫苗获批启动临床试验</t>
  </si>
  <si>
    <t>五官好看但皮肤差是啥体验</t>
  </si>
  <si>
    <t xml:space="preserve"> 2020-03-18 09:34:02</t>
  </si>
  <si>
    <t xml:space="preserve"> 2020-03-17 20:58:02</t>
  </si>
  <si>
    <t>猫和老鼠芝士蛋糕</t>
  </si>
  <si>
    <t xml:space="preserve"> 2020-03-18 07:14:02</t>
  </si>
  <si>
    <t xml:space="preserve"> 2020-03-17 19:50:02</t>
  </si>
  <si>
    <t>阿云嘎留胡子</t>
  </si>
  <si>
    <t xml:space="preserve"> 2020-03-18 07:38:01</t>
  </si>
  <si>
    <t xml:space="preserve"> 2020-03-17 20:40:02</t>
  </si>
  <si>
    <t>巴菲特投资组合1个月蒸发800亿美元</t>
  </si>
  <si>
    <t xml:space="preserve"> 2020-03-18 09:08:02</t>
  </si>
  <si>
    <t>慰安妇制度受害者卓天妹去世</t>
  </si>
  <si>
    <t xml:space="preserve"> 2020-03-18 08:24:02</t>
  </si>
  <si>
    <t xml:space="preserve"> 2020-03-17 16:56:01</t>
  </si>
  <si>
    <t>意大利驻华使馆发微博请求支援</t>
  </si>
  <si>
    <t xml:space="preserve"> 2020-03-18 07:18:01</t>
  </si>
  <si>
    <t xml:space="preserve"> 2020-03-17 18:26:02</t>
  </si>
  <si>
    <t>越往下看越没脾气</t>
  </si>
  <si>
    <t xml:space="preserve"> 2020-03-18 08:50:02</t>
  </si>
  <si>
    <t xml:space="preserve"> 2020-03-17 21:50:02</t>
  </si>
  <si>
    <t>将恋爱进行到底结局</t>
  </si>
  <si>
    <t xml:space="preserve"> 2020-03-17 21:02:01</t>
  </si>
  <si>
    <t>我外语不好的原因</t>
  </si>
  <si>
    <t xml:space="preserve"> 2020-03-18 08:36:01</t>
  </si>
  <si>
    <t xml:space="preserve"> 2020-03-17 22:50:02</t>
  </si>
  <si>
    <t>任嘉伦COSMO电子刊封面预告</t>
  </si>
  <si>
    <t xml:space="preserve"> 2020-03-18 07:12:02</t>
  </si>
  <si>
    <t xml:space="preserve"> 2020-03-17 20:52:02</t>
  </si>
  <si>
    <t>奥地利大公确诊感染新冠病毒</t>
  </si>
  <si>
    <t xml:space="preserve"> 2020-03-17 18:02:02</t>
  </si>
  <si>
    <t>油价重回5元时代</t>
  </si>
  <si>
    <t xml:space="preserve"> 2020-03-18 08:06:02</t>
  </si>
  <si>
    <t xml:space="preserve"> 2020-03-17 17:54:02</t>
  </si>
  <si>
    <t>美国输入确诊病例黎某丈夫被确诊</t>
  </si>
  <si>
    <t xml:space="preserve"> 2020-03-18 07:20:02</t>
  </si>
  <si>
    <t xml:space="preserve"> 2020-03-17 18:46:02</t>
  </si>
  <si>
    <t>水族馆企鹅被放出来参观其它动物</t>
  </si>
  <si>
    <t xml:space="preserve"> 2020-03-18 00:30:02</t>
  </si>
  <si>
    <t>乌克兰总统称将学习中国措施</t>
  </si>
  <si>
    <t xml:space="preserve"> 2020-03-17 19:04:02</t>
  </si>
  <si>
    <t>美疾控中心第一例新冠病毒感染者</t>
  </si>
  <si>
    <t xml:space="preserve"> 2020-03-18 16:54:01</t>
  </si>
  <si>
    <t xml:space="preserve"> 2020-03-18 10:20:02</t>
  </si>
  <si>
    <t>NASA出现确诊病例</t>
  </si>
  <si>
    <t xml:space="preserve"> 2020-03-18 15:56:02</t>
  </si>
  <si>
    <t xml:space="preserve"> 2020-03-18 07:10:02</t>
  </si>
  <si>
    <t>张檬回应张萌</t>
  </si>
  <si>
    <t xml:space="preserve"> 2020-03-18 15:48:01</t>
  </si>
  <si>
    <t>日本男子确诊致千名同事隔离</t>
  </si>
  <si>
    <t xml:space="preserve"> 2020-03-18 15:42:02</t>
  </si>
  <si>
    <t>Facebook向每名员工发放1000美元</t>
  </si>
  <si>
    <t xml:space="preserve"> 2020-03-18 17:56:02</t>
  </si>
  <si>
    <t xml:space="preserve"> 2020-03-18 10:12:02</t>
  </si>
  <si>
    <t>戴口罩专用发型</t>
  </si>
  <si>
    <t xml:space="preserve"> 2020-03-18 15:52:02</t>
  </si>
  <si>
    <t xml:space="preserve"> 2020-03-18 10:24:02</t>
  </si>
  <si>
    <t>陕西开学时间</t>
  </si>
  <si>
    <t xml:space="preserve"> 2020-03-18 17:02:02</t>
  </si>
  <si>
    <t xml:space="preserve"> 2020-03-18 11:54:02</t>
  </si>
  <si>
    <t>官方回应大量回国人员从香港入深圳</t>
  </si>
  <si>
    <t xml:space="preserve"> 2020-03-18 14:16:01</t>
  </si>
  <si>
    <t xml:space="preserve"> 2020-03-18 08:08:02</t>
  </si>
  <si>
    <t>吴尊友 输入性病例不会造成大的流行</t>
  </si>
  <si>
    <t xml:space="preserve"> 2020-03-18 14:12:02</t>
  </si>
  <si>
    <t xml:space="preserve"> 2020-03-18 11:30:02</t>
  </si>
  <si>
    <t>全国首趟湖北就业专列发车</t>
  </si>
  <si>
    <t xml:space="preserve"> 2020-03-18 13:42:02</t>
  </si>
  <si>
    <t>韩国大邱一疗养医院60多人确诊</t>
  </si>
  <si>
    <t xml:space="preserve"> 2020-03-18 15:10:02</t>
  </si>
  <si>
    <t xml:space="preserve"> 2020-03-18 10:28:01</t>
  </si>
  <si>
    <t>留学生回国隔离期回应质疑</t>
  </si>
  <si>
    <t xml:space="preserve"> 2020-03-18 16:24:02</t>
  </si>
  <si>
    <t xml:space="preserve"> 2020-03-18 08:28:02</t>
  </si>
  <si>
    <t>疫情之下的美国</t>
  </si>
  <si>
    <t xml:space="preserve"> 2020-03-18 15:36:01</t>
  </si>
  <si>
    <t>深圳天气</t>
  </si>
  <si>
    <t xml:space="preserve"> 2020-03-18 15:18:01</t>
  </si>
  <si>
    <t xml:space="preserve"> 2020-03-18 07:22:02</t>
  </si>
  <si>
    <t>杜兰特新冠病毒检测呈阳性</t>
  </si>
  <si>
    <t xml:space="preserve"> 2020-03-18 15:34:01</t>
  </si>
  <si>
    <t>水果姐上诉成功</t>
  </si>
  <si>
    <t xml:space="preserve"> 2020-03-18 18:28:02</t>
  </si>
  <si>
    <t xml:space="preserve"> 2020-03-18 10:42:02</t>
  </si>
  <si>
    <t>金宇彬</t>
  </si>
  <si>
    <t xml:space="preserve"> 2020-03-18 18:18:01</t>
  </si>
  <si>
    <t>刘雨欣</t>
  </si>
  <si>
    <t xml:space="preserve"> 2020-03-18 17:20:01</t>
  </si>
  <si>
    <t xml:space="preserve"> 2020-03-18 11:32:01</t>
  </si>
  <si>
    <t>打耳洞有多疼</t>
  </si>
  <si>
    <t>意大利小区激光笔音乐会</t>
  </si>
  <si>
    <t xml:space="preserve"> 2020-03-18 13:28:02</t>
  </si>
  <si>
    <t xml:space="preserve"> 2020-03-18 11:14:02</t>
  </si>
  <si>
    <t>美国航司求援500亿美元</t>
  </si>
  <si>
    <t xml:space="preserve"> 2020-03-18 13:22:01</t>
  </si>
  <si>
    <t xml:space="preserve"> 2020-03-18 10:50:02</t>
  </si>
  <si>
    <t>2020年首对圈养大熊猫双胞胎诞生</t>
  </si>
  <si>
    <t xml:space="preserve"> 2020-03-18 11:20:02</t>
  </si>
  <si>
    <t>三千鸦杀主题曲</t>
  </si>
  <si>
    <t xml:space="preserve"> 2020-03-18 15:00:01</t>
  </si>
  <si>
    <t xml:space="preserve"> 2020-03-18 11:24:02</t>
  </si>
  <si>
    <t>陕西医疗队直接入住疗养院</t>
  </si>
  <si>
    <t xml:space="preserve"> 2020-03-18 16:44:01</t>
  </si>
  <si>
    <t xml:space="preserve"> 2020-03-18 11:28:02</t>
  </si>
  <si>
    <t>发饰最戳你的古装剧</t>
  </si>
  <si>
    <t xml:space="preserve"> 2020-03-18 13:02:01</t>
  </si>
  <si>
    <t xml:space="preserve"> 2020-03-18 11:08:02</t>
  </si>
  <si>
    <t>澳大利亚累计确诊新冠肺炎超500例</t>
  </si>
  <si>
    <t xml:space="preserve"> 2020-03-18 13:24:02</t>
  </si>
  <si>
    <t>马图伊迪感染新冠</t>
  </si>
  <si>
    <t xml:space="preserve"> 2020-03-18 14:00:02</t>
  </si>
  <si>
    <t xml:space="preserve"> 2020-03-18 11:44:01</t>
  </si>
  <si>
    <t>追星前后的你</t>
  </si>
  <si>
    <t xml:space="preserve"> 2020-03-18 13:14:02</t>
  </si>
  <si>
    <t>篮网四名球员新冠病毒检测呈阳性</t>
  </si>
  <si>
    <t xml:space="preserve"> 2020-03-18 13:32:02</t>
  </si>
  <si>
    <t xml:space="preserve"> 2020-03-18 10:38:02</t>
  </si>
  <si>
    <t>东京奥组委主席将取消希腊之行</t>
  </si>
  <si>
    <t xml:space="preserve"> 2020-03-18 13:16:01</t>
  </si>
  <si>
    <t xml:space="preserve"> 2020-03-18 08:30:02</t>
  </si>
  <si>
    <t>武汉天河机场准备5万张纪念登机牌</t>
  </si>
  <si>
    <t xml:space="preserve"> 2020-03-18 13:46:01</t>
  </si>
  <si>
    <t xml:space="preserve"> 2020-03-18 09:22:01</t>
  </si>
  <si>
    <t>武汉新增确诊病例1例</t>
  </si>
  <si>
    <t xml:space="preserve"> 2020-03-18 12:54:02</t>
  </si>
  <si>
    <t>机场用最高礼遇过水门迎接援鄂医护</t>
  </si>
  <si>
    <t xml:space="preserve"> 2020-03-18 12:48:01</t>
  </si>
  <si>
    <t xml:space="preserve"> 2019-12-13 08:44:01</t>
  </si>
  <si>
    <t>北京地铁10号线</t>
  </si>
  <si>
    <t xml:space="preserve"> 2020-03-18 12:50:02</t>
  </si>
  <si>
    <t xml:space="preserve"> 2020-03-18 09:38:02</t>
  </si>
  <si>
    <t>瑞典将临时关闭边境以防控疫情</t>
  </si>
  <si>
    <t xml:space="preserve"> 2020-03-18 12:46:02</t>
  </si>
  <si>
    <t>西安网警</t>
  </si>
  <si>
    <t xml:space="preserve"> 2020-03-18 16:08:01</t>
  </si>
  <si>
    <t xml:space="preserve"> 2020-03-18 09:58:01</t>
  </si>
  <si>
    <t>王俊凯 封面</t>
  </si>
  <si>
    <t xml:space="preserve"> 2020-03-18 11:38:02</t>
  </si>
  <si>
    <t>长江索道开放了</t>
  </si>
  <si>
    <t xml:space="preserve"> 2020-03-18 13:44:02</t>
  </si>
  <si>
    <t>为押韵而造出来的句子</t>
  </si>
  <si>
    <t xml:space="preserve"> 2020-03-18 12:40:02</t>
  </si>
  <si>
    <t xml:space="preserve"> 2020-03-18 09:10:01</t>
  </si>
  <si>
    <t>雷神山医院已累计收治病人1961人</t>
  </si>
  <si>
    <t xml:space="preserve"> 2020-03-18 12:42:01</t>
  </si>
  <si>
    <t>祁连山冰融雪化</t>
  </si>
  <si>
    <t xml:space="preserve"> 2020-03-18 12:44:01</t>
  </si>
  <si>
    <t>中国以外新冠肺炎确诊病例达97996例</t>
  </si>
  <si>
    <t xml:space="preserve"> 2020-03-18 18:02:02</t>
  </si>
  <si>
    <t xml:space="preserve"> 2020-03-18 12:12:02</t>
  </si>
  <si>
    <t>青春有你2主题曲</t>
  </si>
  <si>
    <t xml:space="preserve"> 2020-03-18 12:36:01</t>
  </si>
  <si>
    <t xml:space="preserve"> 2020-03-18 12:04:02</t>
  </si>
  <si>
    <t>汤姆汉克斯在家中隔离</t>
  </si>
  <si>
    <t>面条毛巾</t>
  </si>
  <si>
    <t xml:space="preserve"> 2020-03-18 13:58:02</t>
  </si>
  <si>
    <t xml:space="preserve"> 2020-03-18 12:14:02</t>
  </si>
  <si>
    <t>云顶之弈手游上线外服</t>
  </si>
  <si>
    <t>意大利新增3526例新冠肺炎</t>
  </si>
  <si>
    <t xml:space="preserve"> 2020-03-18 09:18:02</t>
  </si>
  <si>
    <t>武汉亮灯送别援鄂医疗队</t>
  </si>
  <si>
    <t xml:space="preserve"> 2020-03-18 12:28:02</t>
  </si>
  <si>
    <t xml:space="preserve"> 2020-03-18 08:52:02</t>
  </si>
  <si>
    <t>北京高校学生毕业可适当延期</t>
  </si>
  <si>
    <t xml:space="preserve"> 2020-03-18 12:16:01</t>
  </si>
  <si>
    <t>横琴口岸澳门口岸区交付澳门</t>
  </si>
  <si>
    <t>汤姆布雷迪加盟坦帕湾海盗</t>
  </si>
  <si>
    <t xml:space="preserve"> 2020-03-19 10:52:01</t>
  </si>
  <si>
    <t xml:space="preserve"> 2020-03-18 22:08:01</t>
  </si>
  <si>
    <t>耿爽告诉美方所有选项都在中方桌面上</t>
  </si>
  <si>
    <t xml:space="preserve"> 2020-03-19 09:30:02</t>
  </si>
  <si>
    <t xml:space="preserve"> 2020-03-18 22:44:02</t>
  </si>
  <si>
    <t>英国首相父亲不顾防疫禁令去酒吧</t>
  </si>
  <si>
    <t xml:space="preserve"> 2020-03-19 08:24:01</t>
  </si>
  <si>
    <t xml:space="preserve"> 2020-03-18 20:32:01</t>
  </si>
  <si>
    <t>宁馨跳单</t>
  </si>
  <si>
    <t xml:space="preserve"> 2020-03-19 09:52:02</t>
  </si>
  <si>
    <t xml:space="preserve"> 2020-03-18 20:56:01</t>
  </si>
  <si>
    <t>新版iPad Pro</t>
  </si>
  <si>
    <t xml:space="preserve"> 2020-03-19 09:40:01</t>
  </si>
  <si>
    <t xml:space="preserve"> 2020-03-18 21:04:02</t>
  </si>
  <si>
    <t>外出跑步澳籍女子小区保安回应</t>
  </si>
  <si>
    <t xml:space="preserve"> 2020-03-19 09:46:01</t>
  </si>
  <si>
    <t xml:space="preserve"> 2020-03-18 22:24:02</t>
  </si>
  <si>
    <t>特朗普宣称将关闭美加边境</t>
  </si>
  <si>
    <t xml:space="preserve"> 2020-03-19 09:02:02</t>
  </si>
  <si>
    <t>小楼被开除</t>
  </si>
  <si>
    <t xml:space="preserve"> 2020-03-19 09:44:02</t>
  </si>
  <si>
    <t xml:space="preserve"> 2020-03-18 21:26:02</t>
  </si>
  <si>
    <t>武大学生代码敲出樱花开放</t>
  </si>
  <si>
    <t xml:space="preserve"> 2020-03-19 09:36:02</t>
  </si>
  <si>
    <t>小鬼和never互动</t>
  </si>
  <si>
    <t xml:space="preserve"> 2020-03-19 08:54:02</t>
  </si>
  <si>
    <t xml:space="preserve"> 2020-03-18 18:36:02</t>
  </si>
  <si>
    <t>钟南山回应新冠肺炎源头</t>
  </si>
  <si>
    <t xml:space="preserve"> 2020-03-19 08:50:02</t>
  </si>
  <si>
    <t xml:space="preserve"> 2020-03-18 21:02:02</t>
  </si>
  <si>
    <t>天津着火</t>
  </si>
  <si>
    <t xml:space="preserve"> 2020-03-19 09:28:01</t>
  </si>
  <si>
    <t xml:space="preserve"> 2020-03-18 20:28:02</t>
  </si>
  <si>
    <t>朋友请听好 郭麒麟太一</t>
  </si>
  <si>
    <t xml:space="preserve"> 2020-03-29 07:18:02</t>
  </si>
  <si>
    <t xml:space="preserve"> 2020-03-11 14:32:01</t>
  </si>
  <si>
    <t>多地明确开学时间</t>
  </si>
  <si>
    <t xml:space="preserve"> 2020-03-19 08:56:02</t>
  </si>
  <si>
    <t>钟南山称中国防控方法可在其他国家应用</t>
  </si>
  <si>
    <t xml:space="preserve"> 2020-03-19 08:40:01</t>
  </si>
  <si>
    <t xml:space="preserve"> 2020-03-18 23:14:02</t>
  </si>
  <si>
    <t>安徽解除封闭式管理</t>
  </si>
  <si>
    <t xml:space="preserve"> 2020-03-19 10:34:02</t>
  </si>
  <si>
    <t xml:space="preserve"> 2020-03-18 21:50:02</t>
  </si>
  <si>
    <t>丹麦</t>
  </si>
  <si>
    <t xml:space="preserve"> 2020-03-19 11:10:01</t>
  </si>
  <si>
    <t xml:space="preserve"> 2020-03-18 23:04:02</t>
  </si>
  <si>
    <t>女子回国后抗拒隔离大闹医院</t>
  </si>
  <si>
    <t xml:space="preserve"> 2020-03-19 08:08:01</t>
  </si>
  <si>
    <t xml:space="preserve"> 2020-03-18 23:20:02</t>
  </si>
  <si>
    <t>辉瑞</t>
  </si>
  <si>
    <t xml:space="preserve"> 2020-03-19 08:06:02</t>
  </si>
  <si>
    <t xml:space="preserve"> 2020-03-18 21:40:02</t>
  </si>
  <si>
    <t>苹果</t>
  </si>
  <si>
    <t xml:space="preserve"> 2020-03-19 07:54:01</t>
  </si>
  <si>
    <t xml:space="preserve"> 2020-03-18 22:48:01</t>
  </si>
  <si>
    <t>中方会灵活处理美媒记者离境</t>
  </si>
  <si>
    <t xml:space="preserve"> 2020-03-19 07:40:02</t>
  </si>
  <si>
    <t xml:space="preserve"> 2020-03-18 20:50:02</t>
  </si>
  <si>
    <t>欧洲新冠肺炎死亡人数超过亚洲</t>
  </si>
  <si>
    <t>网线杆被撞断电竞选手险错过比赛</t>
  </si>
  <si>
    <t xml:space="preserve"> 2020-03-18 21:30:02</t>
  </si>
  <si>
    <t>从接水方式看代沟</t>
  </si>
  <si>
    <t xml:space="preserve"> 2020-03-19 08:00:02</t>
  </si>
  <si>
    <t xml:space="preserve"> 2020-03-18 22:10:01</t>
  </si>
  <si>
    <t>英国传染病学家出现咳嗽发烧症状</t>
  </si>
  <si>
    <t xml:space="preserve"> 2020-03-19 08:30:02</t>
  </si>
  <si>
    <t xml:space="preserve"> 2020-03-18 23:22:01</t>
  </si>
  <si>
    <t>北京延庆森林火灾火势得到控制</t>
  </si>
  <si>
    <t xml:space="preserve"> 2020-03-18 21:58:01</t>
  </si>
  <si>
    <t>多名运动员对国际奥委会不满</t>
  </si>
  <si>
    <t xml:space="preserve"> 2020-03-19 07:52:01</t>
  </si>
  <si>
    <t xml:space="preserve"> 2020-03-18 21:44:02</t>
  </si>
  <si>
    <t>易烊千玺说相声</t>
  </si>
  <si>
    <t xml:space="preserve"> 2020-03-19 07:46:02</t>
  </si>
  <si>
    <t>情侣性格要互补的原因</t>
  </si>
  <si>
    <t xml:space="preserve"> 2020-03-19 08:12:01</t>
  </si>
  <si>
    <t xml:space="preserve"> 2020-03-18 20:58:02</t>
  </si>
  <si>
    <t>完美关系大结局</t>
  </si>
  <si>
    <t xml:space="preserve"> 2020-03-19 07:32:02</t>
  </si>
  <si>
    <t xml:space="preserve"> 2020-03-18 20:38:02</t>
  </si>
  <si>
    <t>任嘉伦直播</t>
  </si>
  <si>
    <t xml:space="preserve"> 2020-03-19 08:58:01</t>
  </si>
  <si>
    <t xml:space="preserve"> 2020-03-18 23:10:02</t>
  </si>
  <si>
    <t>油菜花拍照</t>
  </si>
  <si>
    <t xml:space="preserve"> 2020-03-19 04:04:02</t>
  </si>
  <si>
    <t xml:space="preserve"> 2020-03-18 23:02:01</t>
  </si>
  <si>
    <t>江苏多地郁金香花海</t>
  </si>
  <si>
    <t xml:space="preserve"> 2020-03-18 22:12:01</t>
  </si>
  <si>
    <t>中国援助医疗物资运抵法国巴黎</t>
  </si>
  <si>
    <t xml:space="preserve"> 2020-03-19 07:30:02</t>
  </si>
  <si>
    <t xml:space="preserve"> 2020-03-18 19:46:02</t>
  </si>
  <si>
    <t>英国给医生发过期口罩</t>
  </si>
  <si>
    <t xml:space="preserve"> 2020-03-19 07:28:02</t>
  </si>
  <si>
    <t>北京建议留学生无十分必须应暂停回国</t>
  </si>
  <si>
    <t xml:space="preserve"> 2020-03-19 07:26:02</t>
  </si>
  <si>
    <t xml:space="preserve"> 2020-03-18 17:36:02</t>
  </si>
  <si>
    <t>美国疫苗</t>
  </si>
  <si>
    <t xml:space="preserve"> 2020-03-19 07:42:01</t>
  </si>
  <si>
    <t xml:space="preserve"> 2020-03-18 20:16:01</t>
  </si>
  <si>
    <t>北京小汤山医院接收第一批境外人员</t>
  </si>
  <si>
    <t xml:space="preserve"> 2020-03-19 08:04:02</t>
  </si>
  <si>
    <t xml:space="preserve"> 2020-03-18 18:40:01</t>
  </si>
  <si>
    <t>新冠肺炎治愈后是否有后遗症</t>
  </si>
  <si>
    <t xml:space="preserve"> 2020-03-19 02:50:01</t>
  </si>
  <si>
    <t xml:space="preserve"> 2020-03-18 22:20:01</t>
  </si>
  <si>
    <t>颐和园桃花</t>
  </si>
  <si>
    <t>西班牙一对新人隔着窗户举行婚礼</t>
  </si>
  <si>
    <t xml:space="preserve"> 2020-03-19 02:12:01</t>
  </si>
  <si>
    <t xml:space="preserve"> 2020-03-18 21:54:02</t>
  </si>
  <si>
    <t>济南大风</t>
  </si>
  <si>
    <t xml:space="preserve"> 2020-03-19 07:38:02</t>
  </si>
  <si>
    <t>沈英杰陪舒晴找真相</t>
  </si>
  <si>
    <t xml:space="preserve"> 2020-03-19 01:52:02</t>
  </si>
  <si>
    <t xml:space="preserve"> 2020-03-18 22:56:02</t>
  </si>
  <si>
    <t>平谷山火</t>
  </si>
  <si>
    <t xml:space="preserve"> 2020-03-19 03:06:02</t>
  </si>
  <si>
    <t xml:space="preserve"> 2020-03-18 20:02:01</t>
  </si>
  <si>
    <t>小朋友为钟南山送礼物</t>
  </si>
  <si>
    <t xml:space="preserve"> 2020-03-28 05:28:02</t>
  </si>
  <si>
    <t xml:space="preserve"> 2019-12-13 07:32:02</t>
  </si>
  <si>
    <t>英镑</t>
  </si>
  <si>
    <t xml:space="preserve"> 2020-03-19 04:14:01</t>
  </si>
  <si>
    <t xml:space="preserve"> 2020-03-18 22:58:01</t>
  </si>
  <si>
    <t>桥水基金回应爆仓</t>
  </si>
  <si>
    <t xml:space="preserve"> 2020-03-20 05:44:02</t>
  </si>
  <si>
    <t xml:space="preserve"> 2020-03-19 10:06:02</t>
  </si>
  <si>
    <t>张檬金恩圣公布恋情</t>
  </si>
  <si>
    <t xml:space="preserve"> 2020-03-19 17:18:02</t>
  </si>
  <si>
    <t xml:space="preserve"> 2020-03-19 11:40:02</t>
  </si>
  <si>
    <t>美国人免费检测新冠病毒</t>
  </si>
  <si>
    <t xml:space="preserve"> 2020-03-19 17:30:02</t>
  </si>
  <si>
    <t xml:space="preserve"> 2020-03-19 09:42:01</t>
  </si>
  <si>
    <t>高云翔涉嫌性侵案宣判</t>
  </si>
  <si>
    <t xml:space="preserve"> 2020-03-19 19:22:01</t>
  </si>
  <si>
    <t xml:space="preserve"> 2020-03-19 11:18:02</t>
  </si>
  <si>
    <t>于正 茉莉</t>
  </si>
  <si>
    <t xml:space="preserve"> 2020-03-19 17:14:02</t>
  </si>
  <si>
    <t xml:space="preserve"> 2020-03-19 10:26:02</t>
  </si>
  <si>
    <t>吴宥萱</t>
  </si>
  <si>
    <t>菜摊变成了森林</t>
  </si>
  <si>
    <t xml:space="preserve"> 2020-03-19 14:54:01</t>
  </si>
  <si>
    <t xml:space="preserve"> 2020-03-19 11:24:01</t>
  </si>
  <si>
    <t>湖北全省认可外省健康码</t>
  </si>
  <si>
    <t xml:space="preserve"> 2020-03-19 15:42:01</t>
  </si>
  <si>
    <t xml:space="preserve"> 2020-03-19 09:48:02</t>
  </si>
  <si>
    <t>北京不再受理入境人员居家隔离申请</t>
  </si>
  <si>
    <t xml:space="preserve"> 2020-03-19 15:00:02</t>
  </si>
  <si>
    <t>武大网红狐狸下山觅食</t>
  </si>
  <si>
    <t xml:space="preserve"> 2020-03-19 16:10:02</t>
  </si>
  <si>
    <t xml:space="preserve"> 2020-03-19 10:54:01</t>
  </si>
  <si>
    <t>甘肃5公职人员私接境外人员回国被行拘</t>
  </si>
  <si>
    <t xml:space="preserve"> 2020-03-19 15:02:02</t>
  </si>
  <si>
    <t>昨日新增34例确诊全部为境外输入</t>
  </si>
  <si>
    <t xml:space="preserve"> 2020-03-19 10:48:02</t>
  </si>
  <si>
    <t>第二批中国援意医疗专家组抵达米兰</t>
  </si>
  <si>
    <t xml:space="preserve"> 2020-03-19 13:58:02</t>
  </si>
  <si>
    <t xml:space="preserve"> 2020-03-19 07:34:02</t>
  </si>
  <si>
    <t>美股第五次熔断</t>
  </si>
  <si>
    <t xml:space="preserve"> 2020-03-19 12:54:02</t>
  </si>
  <si>
    <t xml:space="preserve"> 2020-03-19 07:44:01</t>
  </si>
  <si>
    <t>广西开学时间</t>
  </si>
  <si>
    <t xml:space="preserve"> 2020-03-19 15:08:02</t>
  </si>
  <si>
    <t xml:space="preserve"> 2020-03-19 10:18:02</t>
  </si>
  <si>
    <t>意大利又一名市长因新冠肺炎去世</t>
  </si>
  <si>
    <t xml:space="preserve"> 2020-03-19 19:48:02</t>
  </si>
  <si>
    <t xml:space="preserve"> 2020-03-19 11:00:02</t>
  </si>
  <si>
    <t>香奈儿宣布停产</t>
  </si>
  <si>
    <t xml:space="preserve"> 2020-03-19 17:36:01</t>
  </si>
  <si>
    <t xml:space="preserve"> 2020-03-19 11:32:01</t>
  </si>
  <si>
    <t>兔区崩了</t>
  </si>
  <si>
    <t xml:space="preserve"> 2020-03-19 15:32:02</t>
  </si>
  <si>
    <t xml:space="preserve"> 2020-03-19 09:16:02</t>
  </si>
  <si>
    <t>木村心美木村光希合照</t>
  </si>
  <si>
    <t>西班牙男子遛假狗被警方命令回家</t>
  </si>
  <si>
    <t xml:space="preserve"> 2020-03-19 13:54:01</t>
  </si>
  <si>
    <t xml:space="preserve"> 2020-03-19 11:58:01</t>
  </si>
  <si>
    <t>已有1亿农民工外出务工</t>
  </si>
  <si>
    <t xml:space="preserve"> 2020-03-19 13:52:01</t>
  </si>
  <si>
    <t>世卫回应特朗普称新冠病毒为中国病毒</t>
  </si>
  <si>
    <t xml:space="preserve"> 2020-03-19 14:10:02</t>
  </si>
  <si>
    <t xml:space="preserve"> 2020-03-19 08:26:01</t>
  </si>
  <si>
    <t>武汉某小区阻止一线护士回家</t>
  </si>
  <si>
    <t xml:space="preserve"> 2020-03-19 16:06:02</t>
  </si>
  <si>
    <t>挪威</t>
  </si>
  <si>
    <t xml:space="preserve"> 2020-03-19 16:16:02</t>
  </si>
  <si>
    <t xml:space="preserve"> 2020-03-19 11:02:02</t>
  </si>
  <si>
    <t>木村心美出道</t>
  </si>
  <si>
    <t xml:space="preserve"> 2020-03-19 14:50:01</t>
  </si>
  <si>
    <t>脸配不上身材是怎样的体验</t>
  </si>
  <si>
    <t xml:space="preserve"> 2020-03-19 15:20:02</t>
  </si>
  <si>
    <t xml:space="preserve"> 2020-03-19 11:12:02</t>
  </si>
  <si>
    <t>荷兰卫生部长作报告时晕倒</t>
  </si>
  <si>
    <t xml:space="preserve"> 2020-03-19 14:30:02</t>
  </si>
  <si>
    <t xml:space="preserve"> 2020-03-19 09:26:02</t>
  </si>
  <si>
    <t>哈利波特与魔法石内地重映</t>
  </si>
  <si>
    <t xml:space="preserve"> 2020-03-19 14:12:02</t>
  </si>
  <si>
    <t xml:space="preserve"> 2020-03-19 11:16:02</t>
  </si>
  <si>
    <t>美国新冠肺炎病例数破9000</t>
  </si>
  <si>
    <t xml:space="preserve"> 2020-03-19 13:12:02</t>
  </si>
  <si>
    <t xml:space="preserve"> 2020-03-19 10:36:01</t>
  </si>
  <si>
    <t>澳元</t>
  </si>
  <si>
    <t xml:space="preserve"> 2020-03-19 14:08:02</t>
  </si>
  <si>
    <t xml:space="preserve"> 2020-03-19 09:38:01</t>
  </si>
  <si>
    <t>日本副首相称奥运会被诅咒</t>
  </si>
  <si>
    <t xml:space="preserve"> 2020-03-19 19:04:02</t>
  </si>
  <si>
    <t xml:space="preserve"> 2020-03-19 12:02:01</t>
  </si>
  <si>
    <t>湖北清零数据上报员哭了</t>
  </si>
  <si>
    <t xml:space="preserve"> 2020-03-19 17:24:02</t>
  </si>
  <si>
    <t xml:space="preserve"> 2020-03-19 12:04:02</t>
  </si>
  <si>
    <t>耿爽引用投我以木桃报之以琼瑶</t>
  </si>
  <si>
    <t xml:space="preserve"> 2020-03-19 14:06:02</t>
  </si>
  <si>
    <t xml:space="preserve"> 2020-03-19 12:00:02</t>
  </si>
  <si>
    <t>北海道宣布19日结束紧急状态</t>
  </si>
  <si>
    <t xml:space="preserve"> 2020-03-19 13:38:02</t>
  </si>
  <si>
    <t>一副援鄂护士的眼镜</t>
  </si>
  <si>
    <t xml:space="preserve"> 2020-03-19 12:50:02</t>
  </si>
  <si>
    <t xml:space="preserve"> 2020-03-19 09:00:02</t>
  </si>
  <si>
    <t>新iPad Pro搭载浴霸摄像头</t>
  </si>
  <si>
    <t xml:space="preserve"> 2020-03-19 12:42:02</t>
  </si>
  <si>
    <t>故宫东华门受损部位已修复</t>
  </si>
  <si>
    <t xml:space="preserve"> 2020-03-19 12:44:02</t>
  </si>
  <si>
    <t>河北2人刻意隐瞒韩国旅居史被行拘</t>
  </si>
  <si>
    <t xml:space="preserve"> 2020-03-19 12:36:02</t>
  </si>
  <si>
    <t>我国渤海发现大型油田</t>
  </si>
  <si>
    <t xml:space="preserve"> 2020-03-19 11:04:02</t>
  </si>
  <si>
    <t>中国以外确诊新冠肺炎超13万例</t>
  </si>
  <si>
    <t xml:space="preserve"> 2020-03-19 12:20:02</t>
  </si>
  <si>
    <t xml:space="preserve"> 2020-03-19 11:50:02</t>
  </si>
  <si>
    <t>我和别人笑的区别</t>
  </si>
  <si>
    <t xml:space="preserve"> 2020-03-19 12:38:02</t>
  </si>
  <si>
    <t>交警摩托车队迎接医护小姐姐尖叫</t>
  </si>
  <si>
    <t xml:space="preserve"> 2020-03-19 16:12:02</t>
  </si>
  <si>
    <t xml:space="preserve"> 2020-03-19 12:12:02</t>
  </si>
  <si>
    <t>空姐流泪播报接医疗队回家</t>
  </si>
  <si>
    <t xml:space="preserve"> 2020-03-19 13:22:01</t>
  </si>
  <si>
    <t xml:space="preserve"> 2020-03-19 12:14:02</t>
  </si>
  <si>
    <t>欧文</t>
  </si>
  <si>
    <t xml:space="preserve"> 2020-03-19 12:32:01</t>
  </si>
  <si>
    <t xml:space="preserve"> 2020-03-19 08:48:01</t>
  </si>
  <si>
    <t>美国出现首位确诊感染国会议员</t>
  </si>
  <si>
    <t xml:space="preserve"> 2020-03-19 12:18:01</t>
  </si>
  <si>
    <t xml:space="preserve"> 2020-03-19 10:32:02</t>
  </si>
  <si>
    <t>西班牙所有私营医疗机构将被公有化</t>
  </si>
  <si>
    <t>武汉按4倍低保标准发放临时救助金</t>
  </si>
  <si>
    <t>长得显小是怎么样的体验</t>
  </si>
  <si>
    <t xml:space="preserve"> 2020-03-19 12:16:02</t>
  </si>
  <si>
    <t>巴西访美代表团已有16人确诊</t>
  </si>
  <si>
    <t xml:space="preserve"> 2020-03-20 10:12:01</t>
  </si>
  <si>
    <t xml:space="preserve"> 2020-03-19 22:22:02</t>
  </si>
  <si>
    <t>韩国罕见新冠病例</t>
  </si>
  <si>
    <t xml:space="preserve"> 2020-03-20 09:48:01</t>
  </si>
  <si>
    <t xml:space="preserve"> 2020-03-19 22:52:01</t>
  </si>
  <si>
    <t>白岩松说今年大家最喜欢的数字是0</t>
  </si>
  <si>
    <t xml:space="preserve"> 2020-03-20 10:20:01</t>
  </si>
  <si>
    <t xml:space="preserve"> 2020-03-19 23:30:02</t>
  </si>
  <si>
    <t>全国首例朱鹮接嘴手术</t>
  </si>
  <si>
    <t xml:space="preserve"> 2020-03-20 10:22:01</t>
  </si>
  <si>
    <t xml:space="preserve"> 2020-03-19 21:44:02</t>
  </si>
  <si>
    <t>秦牛正威诗朗诵</t>
  </si>
  <si>
    <t xml:space="preserve"> 2020-03-20 08:20:02</t>
  </si>
  <si>
    <t xml:space="preserve"> 2020-03-19 23:24:02</t>
  </si>
  <si>
    <t>美国新冠肺炎确诊人数超1万</t>
  </si>
  <si>
    <t xml:space="preserve"> 2020-03-20 09:10:01</t>
  </si>
  <si>
    <t xml:space="preserve"> 2020-03-19 20:46:01</t>
  </si>
  <si>
    <t>虞书欣初舞台</t>
  </si>
  <si>
    <t xml:space="preserve"> 2020-03-20 08:56:02</t>
  </si>
  <si>
    <t>段小薇拿A</t>
  </si>
  <si>
    <t xml:space="preserve"> 2020-03-20 07:46:01</t>
  </si>
  <si>
    <t xml:space="preserve"> 2020-03-19 21:24:02</t>
  </si>
  <si>
    <t>武汉公安局决定撤销李文亮训诫书</t>
  </si>
  <si>
    <t xml:space="preserve"> 2020-03-20 07:26:02</t>
  </si>
  <si>
    <t>巴基斯坦总统说帮中国时没想留后路</t>
  </si>
  <si>
    <t xml:space="preserve"> 2020-03-20 07:22:01</t>
  </si>
  <si>
    <t xml:space="preserve"> 2020-03-19 19:24:02</t>
  </si>
  <si>
    <t>李文亮医生有关情况调查通报</t>
  </si>
  <si>
    <t xml:space="preserve"> 2020-03-20 08:12:02</t>
  </si>
  <si>
    <t xml:space="preserve"> 2020-03-19 17:34:02</t>
  </si>
  <si>
    <t>班级群又翻车了</t>
  </si>
  <si>
    <t xml:space="preserve"> 2020-03-20 08:34:02</t>
  </si>
  <si>
    <t xml:space="preserve"> 2020-03-19 21:56:02</t>
  </si>
  <si>
    <t>张文宏谈普通人能为防输入做什么</t>
  </si>
  <si>
    <t xml:space="preserve"> 2020-03-20 08:02:02</t>
  </si>
  <si>
    <t xml:space="preserve"> 2020-03-19 21:36:02</t>
  </si>
  <si>
    <t>巴菲特8天损失超240亿美元</t>
  </si>
  <si>
    <t xml:space="preserve"> 2020-03-20 09:32:02</t>
  </si>
  <si>
    <t xml:space="preserve"> 2020-03-19 22:30:02</t>
  </si>
  <si>
    <t>福建平潭蓝眼泪奇观</t>
  </si>
  <si>
    <t xml:space="preserve"> 2020-03-20 08:36:02</t>
  </si>
  <si>
    <t xml:space="preserve"> 2020-03-19 21:32:02</t>
  </si>
  <si>
    <t>房似锦徐姑姑辞职</t>
  </si>
  <si>
    <t xml:space="preserve"> 2020-03-20 10:26:01</t>
  </si>
  <si>
    <t>吴倩好可爱</t>
  </si>
  <si>
    <t xml:space="preserve"> 2020-03-20 09:38:02</t>
  </si>
  <si>
    <t xml:space="preserve"> 2020-03-19 23:28:01</t>
  </si>
  <si>
    <t>摩纳哥亲王确诊新冠</t>
  </si>
  <si>
    <t xml:space="preserve"> 2020-03-19 21:26:01</t>
  </si>
  <si>
    <t>郑爽机场造型</t>
  </si>
  <si>
    <t xml:space="preserve"> 2020-03-20 09:46:01</t>
  </si>
  <si>
    <t xml:space="preserve"> 2020-03-19 22:20:01</t>
  </si>
  <si>
    <t>第一次坐飞机是种什么体验</t>
  </si>
  <si>
    <t xml:space="preserve"> 2020-03-20 09:40:02</t>
  </si>
  <si>
    <t xml:space="preserve"> 2020-03-19 21:12:02</t>
  </si>
  <si>
    <t>刘雨昕实力</t>
  </si>
  <si>
    <t xml:space="preserve"> 2020-03-20 10:14:01</t>
  </si>
  <si>
    <t xml:space="preserve"> 2020-03-19 23:00:02</t>
  </si>
  <si>
    <t>安家大结局预告</t>
  </si>
  <si>
    <t xml:space="preserve"> 2020-03-20 09:54:02</t>
  </si>
  <si>
    <t xml:space="preserve"> 2020-03-19 22:44:02</t>
  </si>
  <si>
    <t>李文亮被训诫案两责任人被处理</t>
  </si>
  <si>
    <t xml:space="preserve"> 2020-04-03 09:58:02</t>
  </si>
  <si>
    <t xml:space="preserve"> 2020-03-19 19:40:02</t>
  </si>
  <si>
    <t>三千鸦杀</t>
  </si>
  <si>
    <t xml:space="preserve"> 2020-03-20 07:28:02</t>
  </si>
  <si>
    <t>自尊心最强的一次经历</t>
  </si>
  <si>
    <t xml:space="preserve"> 2020-03-20 10:16:02</t>
  </si>
  <si>
    <t xml:space="preserve"> 2020-03-19 21:50:01</t>
  </si>
  <si>
    <t>大风下的吴磊</t>
  </si>
  <si>
    <t xml:space="preserve"> 2020-03-20 09:36:01</t>
  </si>
  <si>
    <t>王俊凯邓紫棋合唱</t>
  </si>
  <si>
    <t xml:space="preserve"> 2020-03-20 08:10:02</t>
  </si>
  <si>
    <t>朱闪闪季明亮分手</t>
  </si>
  <si>
    <t xml:space="preserve"> 2020-03-20 07:34:02</t>
  </si>
  <si>
    <t xml:space="preserve"> 2020-03-19 19:12:02</t>
  </si>
  <si>
    <t>龚正任上海市委副书记</t>
  </si>
  <si>
    <t xml:space="preserve"> 2020-03-19 22:58:02</t>
  </si>
  <si>
    <t>修图前后的我</t>
  </si>
  <si>
    <t xml:space="preserve"> 2020-03-20 08:52:02</t>
  </si>
  <si>
    <t xml:space="preserve"> 2020-03-19 20:30:02</t>
  </si>
  <si>
    <t>王力宏</t>
  </si>
  <si>
    <t xml:space="preserve"> 2020-03-20 08:24:02</t>
  </si>
  <si>
    <t xml:space="preserve"> 2020-03-19 19:02:02</t>
  </si>
  <si>
    <t>林书豪返回中国</t>
  </si>
  <si>
    <t>开学前的大学生状态</t>
  </si>
  <si>
    <t xml:space="preserve"> 2020-03-20 07:44:01</t>
  </si>
  <si>
    <t xml:space="preserve"> 2020-03-19 19:32:01</t>
  </si>
  <si>
    <t>墨西哥总统随身携带护身符</t>
  </si>
  <si>
    <t xml:space="preserve"> 2020-04-08 12:20:01</t>
  </si>
  <si>
    <t xml:space="preserve"> 2020-03-19 19:30:02</t>
  </si>
  <si>
    <t>冰糖炖雪梨</t>
  </si>
  <si>
    <t xml:space="preserve"> 2020-03-20 07:20:02</t>
  </si>
  <si>
    <t>易烊千玺声音</t>
  </si>
  <si>
    <t xml:space="preserve"> 2020-03-19 20:28:01</t>
  </si>
  <si>
    <t>平底锅草莓千层蛋糕</t>
  </si>
  <si>
    <t xml:space="preserve"> 2020-03-20 08:54:02</t>
  </si>
  <si>
    <t xml:space="preserve"> 2020-03-19 21:54:01</t>
  </si>
  <si>
    <t>厄瓜多尔一市长派车队上跑道拦飞机</t>
  </si>
  <si>
    <t xml:space="preserve"> 2020-03-20 08:30:02</t>
  </si>
  <si>
    <t xml:space="preserve"> 2020-03-19 16:54:01</t>
  </si>
  <si>
    <t>北京警方要求澳籍跑步女限期离境</t>
  </si>
  <si>
    <t xml:space="preserve"> 2020-03-20 07:42:02</t>
  </si>
  <si>
    <t xml:space="preserve"> 2020-03-19 19:34:02</t>
  </si>
  <si>
    <t>广州一大厦现连续高空砸物事件</t>
  </si>
  <si>
    <t xml:space="preserve"> 2020-03-19 15:58:02</t>
  </si>
  <si>
    <t>虞书欣妈妈给费沁源投票</t>
  </si>
  <si>
    <t xml:space="preserve"> 2020-03-19 18:04:02</t>
  </si>
  <si>
    <t>柳惠媛  胜利</t>
  </si>
  <si>
    <t xml:space="preserve"> 2020-03-19 21:42:02</t>
  </si>
  <si>
    <t>妈妈每次唱了都翻车的歌</t>
  </si>
  <si>
    <t xml:space="preserve"> 2020-03-20 03:18:01</t>
  </si>
  <si>
    <t xml:space="preserve"> 2020-03-19 18:12:02</t>
  </si>
  <si>
    <t>新桃花扇</t>
  </si>
  <si>
    <t xml:space="preserve"> 2020-03-19 20:32:02</t>
  </si>
  <si>
    <t>海外抵港人士需佩戴追踪手带</t>
  </si>
  <si>
    <t xml:space="preserve"> 2020-03-20 07:12:02</t>
  </si>
  <si>
    <t xml:space="preserve"> 2020-03-19 22:08:02</t>
  </si>
  <si>
    <t>湖北首个景区复工开园</t>
  </si>
  <si>
    <t xml:space="preserve"> 2020-03-20 02:34:02</t>
  </si>
  <si>
    <t>泰国新确诊60例新冠肺炎病例</t>
  </si>
  <si>
    <t xml:space="preserve"> 2020-03-20 18:42:02</t>
  </si>
  <si>
    <t xml:space="preserve"> 2020-03-20 11:04:02</t>
  </si>
  <si>
    <t>带全家来京确诊女子被美国公司解雇</t>
  </si>
  <si>
    <t xml:space="preserve"> 2020-03-20 16:30:02</t>
  </si>
  <si>
    <t xml:space="preserve"> 2020-03-20 07:24:02</t>
  </si>
  <si>
    <t>特朗普称早知道新冠肺炎是大流行病</t>
  </si>
  <si>
    <t xml:space="preserve"> 2020-03-20 14:56:02</t>
  </si>
  <si>
    <t xml:space="preserve"> 2020-03-20 09:52:02</t>
  </si>
  <si>
    <t>北京杜绝以短租方式躲避集中医学观察</t>
  </si>
  <si>
    <t xml:space="preserve"> 2020-03-20 18:10:02</t>
  </si>
  <si>
    <t xml:space="preserve"> 2019-11-15 07:42:02</t>
  </si>
  <si>
    <t>有翡</t>
  </si>
  <si>
    <t xml:space="preserve"> 2020-03-20 16:02:02</t>
  </si>
  <si>
    <t xml:space="preserve"> 2020-03-20 07:38:01</t>
  </si>
  <si>
    <t>菅田将晖小松菜奈恋情</t>
  </si>
  <si>
    <t xml:space="preserve"> 2020-03-20 09:12:01</t>
  </si>
  <si>
    <t>中国击剑3名队员确诊新冠肺炎</t>
  </si>
  <si>
    <t xml:space="preserve"> 2020-03-20 13:58:01</t>
  </si>
  <si>
    <t xml:space="preserve"> 2020-03-20 07:14:02</t>
  </si>
  <si>
    <t>世卫称中国新冠0新增是一项了不起的成就</t>
  </si>
  <si>
    <t>中国首次无新增病例是一个惊人的成就</t>
  </si>
  <si>
    <t xml:space="preserve"> 2020-03-20 15:10:01</t>
  </si>
  <si>
    <t xml:space="preserve"> 2020-03-20 11:08:02</t>
  </si>
  <si>
    <t>湖北除武汉外所有市县疫情均为低风险</t>
  </si>
  <si>
    <t xml:space="preserve"> 2020-03-20 07:36:02</t>
  </si>
  <si>
    <t>蔡徐坤被虞书欣说晕</t>
  </si>
  <si>
    <t xml:space="preserve"> 2020-03-20 14:08:01</t>
  </si>
  <si>
    <t xml:space="preserve"> 2020-03-20 11:42:02</t>
  </si>
  <si>
    <t>全球新冠肺炎确诊病例达209839例</t>
  </si>
  <si>
    <t xml:space="preserve"> 2020-03-20 15:32:01</t>
  </si>
  <si>
    <t xml:space="preserve"> 2020-03-20 10:24:02</t>
  </si>
  <si>
    <t>干部职工子女留学回京要带头集中观察</t>
  </si>
  <si>
    <t xml:space="preserve"> 2020-03-20 12:48:01</t>
  </si>
  <si>
    <t>全球已有6个国家累计确诊病例过万</t>
  </si>
  <si>
    <t xml:space="preserve"> 2020-03-20 12:40:02</t>
  </si>
  <si>
    <t xml:space="preserve"> 2020-03-20 07:48:01</t>
  </si>
  <si>
    <t>湖人两名球员确诊新冠肺炎</t>
  </si>
  <si>
    <t xml:space="preserve"> 2020-03-20 12:46:02</t>
  </si>
  <si>
    <t>伊朗150万人有发热症状</t>
  </si>
  <si>
    <t xml:space="preserve"> 2020-03-20 19:18:02</t>
  </si>
  <si>
    <t xml:space="preserve"> 2020-03-20 09:50:02</t>
  </si>
  <si>
    <t>N95口罩奶茶</t>
  </si>
  <si>
    <t xml:space="preserve"> 2020-03-20 17:50:02</t>
  </si>
  <si>
    <t>火箭少女 和平精英</t>
  </si>
  <si>
    <t xml:space="preserve"> 2020-03-20 14:46:02</t>
  </si>
  <si>
    <t xml:space="preserve"> 2020-03-20 11:18:02</t>
  </si>
  <si>
    <t>荷兰首相在超市遇市民囤厕纸</t>
  </si>
  <si>
    <t xml:space="preserve"> 2020-03-20 19:44:02</t>
  </si>
  <si>
    <t xml:space="preserve"> 2020-03-20 11:38:01</t>
  </si>
  <si>
    <t>金大贤感染新冠</t>
  </si>
  <si>
    <t xml:space="preserve"> 2020-03-20 15:38:02</t>
  </si>
  <si>
    <t xml:space="preserve"> 2020-03-20 09:44:02</t>
  </si>
  <si>
    <t>不及格的宫女</t>
  </si>
  <si>
    <t xml:space="preserve"> 2020-03-20 16:04:02</t>
  </si>
  <si>
    <t xml:space="preserve"> 2020-03-20 09:42:02</t>
  </si>
  <si>
    <t>苹果中国官网每人限购两部iPhone</t>
  </si>
  <si>
    <t xml:space="preserve"> 2020-03-20 16:14:02</t>
  </si>
  <si>
    <t>意大利市长怼市民一封闭就爱跑步了</t>
  </si>
  <si>
    <t xml:space="preserve"> 2020-03-20 15:18:02</t>
  </si>
  <si>
    <t xml:space="preserve"> 2020-03-20 10:30:02</t>
  </si>
  <si>
    <t>人民币对美元汇率中间价跌破7.1</t>
  </si>
  <si>
    <t xml:space="preserve"> 2020-03-20 15:26:01</t>
  </si>
  <si>
    <t xml:space="preserve"> 2020-03-20 11:00:02</t>
  </si>
  <si>
    <t>阿根廷女子遇见年少时的恋人</t>
  </si>
  <si>
    <t>古巨基儿子正面照</t>
  </si>
  <si>
    <t xml:space="preserve"> 2020-03-20 14:14:02</t>
  </si>
  <si>
    <t xml:space="preserve"> 2020-03-20 10:34:01</t>
  </si>
  <si>
    <t>特朗普称将用氯喹治疗新冠肺炎</t>
  </si>
  <si>
    <t xml:space="preserve"> 2020-03-20 15:14:02</t>
  </si>
  <si>
    <t xml:space="preserve"> 2020-03-20 10:10:01</t>
  </si>
  <si>
    <t>塞尔维亚村庄的天空</t>
  </si>
  <si>
    <t xml:space="preserve"> 2020-03-20 14:00:02</t>
  </si>
  <si>
    <t xml:space="preserve"> 2020-03-20 09:24:02</t>
  </si>
  <si>
    <t>为什么运动员易感染新冠病毒</t>
  </si>
  <si>
    <t xml:space="preserve"> 2020-03-20 15:12:01</t>
  </si>
  <si>
    <t xml:space="preserve"> 2020-03-20 11:44:02</t>
  </si>
  <si>
    <t>中国夜间灯光数据回升</t>
  </si>
  <si>
    <t xml:space="preserve"> 2020-03-20 14:20:02</t>
  </si>
  <si>
    <t xml:space="preserve"> 2020-03-20 11:10:02</t>
  </si>
  <si>
    <t>76人三名成员新冠检测呈阳性</t>
  </si>
  <si>
    <t xml:space="preserve"> 2020-03-20 10:40:02</t>
  </si>
  <si>
    <t>美度假游客不顾疫情坚持狂欢</t>
  </si>
  <si>
    <t>上海地铁投放战疫英雄照片</t>
  </si>
  <si>
    <t xml:space="preserve"> 2020-03-20 08:58:02</t>
  </si>
  <si>
    <t>议员讲完话清洁阿姨立刻擦桌</t>
  </si>
  <si>
    <t xml:space="preserve"> 2020-03-20 13:12:01</t>
  </si>
  <si>
    <t xml:space="preserve"> 2020-03-20 10:18:01</t>
  </si>
  <si>
    <t>詹姆斯支持洛杉矶封城</t>
  </si>
  <si>
    <t xml:space="preserve"> 2020-03-20 13:38:02</t>
  </si>
  <si>
    <t xml:space="preserve"> 2020-03-20 12:00:02</t>
  </si>
  <si>
    <t>广东通报新增境外输入14例</t>
  </si>
  <si>
    <t xml:space="preserve"> 2020-03-20 13:50:01</t>
  </si>
  <si>
    <t xml:space="preserve"> 2020-03-20 11:58:02</t>
  </si>
  <si>
    <t>视觉中国恢复运营</t>
  </si>
  <si>
    <t>北京要求掌握干部职工子女留学回国情况</t>
  </si>
  <si>
    <t>救援队队员王蕾</t>
  </si>
  <si>
    <t xml:space="preserve"> 2020-03-20 16:26:02</t>
  </si>
  <si>
    <t xml:space="preserve"> 2020-03-20 12:06:02</t>
  </si>
  <si>
    <t>小花仙</t>
  </si>
  <si>
    <t xml:space="preserve"> 2020-03-20 17:30:01</t>
  </si>
  <si>
    <t>英国首相称将在12周内扭转疫情</t>
  </si>
  <si>
    <t xml:space="preserve"> 2020-03-20 12:04:01</t>
  </si>
  <si>
    <t>蒙古发生5.9级地震</t>
  </si>
  <si>
    <t>东京奥运会圣火抵达日本</t>
  </si>
  <si>
    <t xml:space="preserve"> 2020-03-20 16:32:02</t>
  </si>
  <si>
    <t xml:space="preserve"> 2020-03-20 12:10:01</t>
  </si>
  <si>
    <t>墨魂</t>
  </si>
  <si>
    <t xml:space="preserve"> 2020-03-20 12:34:02</t>
  </si>
  <si>
    <t>夹克包包</t>
  </si>
  <si>
    <t xml:space="preserve"> 2020-03-20 12:16:02</t>
  </si>
  <si>
    <t xml:space="preserve"> 2020-03-20 11:46:01</t>
  </si>
  <si>
    <t>玉兔二号工作天数和行驶里程实现双四百</t>
  </si>
  <si>
    <t xml:space="preserve"> 2020-03-20 12:42:01</t>
  </si>
  <si>
    <t>武汉红十字会医院将暂时关停</t>
  </si>
  <si>
    <t xml:space="preserve"> 2020-03-20 12:36:01</t>
  </si>
  <si>
    <t xml:space="preserve"> 2020-03-20 08:38:02</t>
  </si>
  <si>
    <t>夏研唱功</t>
  </si>
  <si>
    <t xml:space="preserve"> 2020-03-20 12:44:02</t>
  </si>
  <si>
    <t>加州封城</t>
  </si>
  <si>
    <t xml:space="preserve"> 2020-03-21 11:10:02</t>
  </si>
  <si>
    <t xml:space="preserve"> 2020-03-20 22:52:01</t>
  </si>
  <si>
    <t>林允张新成喝奶茶</t>
  </si>
  <si>
    <t xml:space="preserve"> 2020-03-21 10:06:02</t>
  </si>
  <si>
    <t xml:space="preserve"> 2020-03-20 19:46:02</t>
  </si>
  <si>
    <t>意大利医院内部画面</t>
  </si>
  <si>
    <t xml:space="preserve"> 2020-03-21 09:52:02</t>
  </si>
  <si>
    <t xml:space="preserve"> 2020-03-20 20:54:02</t>
  </si>
  <si>
    <t>尹正演技</t>
  </si>
  <si>
    <t xml:space="preserve"> 2020-03-21 10:42:02</t>
  </si>
  <si>
    <t xml:space="preserve"> 2020-03-20 22:30:02</t>
  </si>
  <si>
    <t>特朗普疫情简报会上打瞌睡</t>
  </si>
  <si>
    <t xml:space="preserve"> 2020-03-21 09:42:02</t>
  </si>
  <si>
    <t>韩红感谢信</t>
  </si>
  <si>
    <t xml:space="preserve"> 2020-03-21 09:04:02</t>
  </si>
  <si>
    <t xml:space="preserve"> 2020-03-20 22:08:02</t>
  </si>
  <si>
    <t>隔玻璃亲吻的女护士与男友领证</t>
  </si>
  <si>
    <t xml:space="preserve"> 2020-03-21 09:46:02</t>
  </si>
  <si>
    <t xml:space="preserve"> 2020-03-20 21:42:02</t>
  </si>
  <si>
    <t>徐姑姑爸爸为儿子做佛跳墙</t>
  </si>
  <si>
    <t xml:space="preserve"> 2020-03-21 08:00:02</t>
  </si>
  <si>
    <t xml:space="preserve"> 2020-03-20 21:50:02</t>
  </si>
  <si>
    <t>德国一学校5名中国学生确诊</t>
  </si>
  <si>
    <t xml:space="preserve"> 2020-03-21 07:26:02</t>
  </si>
  <si>
    <t xml:space="preserve"> 2020-03-20 17:42:02</t>
  </si>
  <si>
    <t>斯坦科维奇去世</t>
  </si>
  <si>
    <t xml:space="preserve"> 2020-03-21 08:30:02</t>
  </si>
  <si>
    <t xml:space="preserve"> 2020-03-20 19:52:02</t>
  </si>
  <si>
    <t>身份证到期可在现居住地换领</t>
  </si>
  <si>
    <t xml:space="preserve"> 2020-03-20 23:28:02</t>
  </si>
  <si>
    <t>驻英国大使回应留学生回国</t>
  </si>
  <si>
    <t xml:space="preserve"> 2020-03-21 09:06:02</t>
  </si>
  <si>
    <t>薇娅应援宋威龙</t>
  </si>
  <si>
    <t xml:space="preserve"> 2020-03-21 08:44:02</t>
  </si>
  <si>
    <t xml:space="preserve"> 2020-03-20 21:18:02</t>
  </si>
  <si>
    <t>瓜哥985感情线</t>
  </si>
  <si>
    <t xml:space="preserve"> 2020-03-21 08:22:02</t>
  </si>
  <si>
    <t xml:space="preserve"> 2020-03-20 20:08:02</t>
  </si>
  <si>
    <t>意大利华人挨家挨户送口罩</t>
  </si>
  <si>
    <t xml:space="preserve"> 2020-03-21 11:20:02</t>
  </si>
  <si>
    <t xml:space="preserve"> 2020-03-20 21:10:02</t>
  </si>
  <si>
    <t>广州毒王</t>
  </si>
  <si>
    <t xml:space="preserve"> 2020-03-21 13:14:01</t>
  </si>
  <si>
    <t xml:space="preserve"> 2020-03-14 00:18:01</t>
  </si>
  <si>
    <t>梨泰院Class</t>
  </si>
  <si>
    <t xml:space="preserve"> 2020-03-21 08:38:02</t>
  </si>
  <si>
    <t xml:space="preserve"> 2020-03-20 22:56:01</t>
  </si>
  <si>
    <t>官方回应护士被社区居民驱赶</t>
  </si>
  <si>
    <t xml:space="preserve"> 2020-03-21 11:18:02</t>
  </si>
  <si>
    <t xml:space="preserve"> 2020-03-20 23:08:02</t>
  </si>
  <si>
    <t>关晓彤柳岩跳芒种</t>
  </si>
  <si>
    <t xml:space="preserve"> 2020-03-21 11:00:02</t>
  </si>
  <si>
    <t xml:space="preserve"> 2020-03-20 22:44:01</t>
  </si>
  <si>
    <t>黄晓明演的程凤台</t>
  </si>
  <si>
    <t xml:space="preserve"> 2020-03-21 08:06:02</t>
  </si>
  <si>
    <t xml:space="preserve"> 2020-03-20 18:48:02</t>
  </si>
  <si>
    <t>耿爽说没收到美国所谓1亿援助</t>
  </si>
  <si>
    <t xml:space="preserve"> 2020-03-21 08:18:02</t>
  </si>
  <si>
    <t xml:space="preserve"> 2020-03-20 20:22:01</t>
  </si>
  <si>
    <t>鬓边不是海棠红</t>
  </si>
  <si>
    <t xml:space="preserve"> 2020-03-21 08:46:02</t>
  </si>
  <si>
    <t xml:space="preserve"> 2020-03-20 22:06:02</t>
  </si>
  <si>
    <t>在国外确诊可向中国使领馆报告</t>
  </si>
  <si>
    <t xml:space="preserve"> 2020-03-21 08:14:02</t>
  </si>
  <si>
    <t xml:space="preserve"> 2020-03-20 21:04:01</t>
  </si>
  <si>
    <t>王子健向朱闪闪求婚</t>
  </si>
  <si>
    <t xml:space="preserve"> 2020-03-21 08:12:02</t>
  </si>
  <si>
    <t xml:space="preserve"> 2020-03-20 22:26:02</t>
  </si>
  <si>
    <t>易烊千玺好妹妹合唱</t>
  </si>
  <si>
    <t xml:space="preserve"> 2020-03-21 08:42:02</t>
  </si>
  <si>
    <t xml:space="preserve"> 2020-03-20 19:20:01</t>
  </si>
  <si>
    <t>黄蜂女演员拒绝自我隔离</t>
  </si>
  <si>
    <t xml:space="preserve"> 2020-03-20 17:32:02</t>
  </si>
  <si>
    <t>奥运圣火被大风吹灭</t>
  </si>
  <si>
    <t xml:space="preserve"> 2020-03-21 07:20:01</t>
  </si>
  <si>
    <t>美国暂停所有常规签证服务</t>
  </si>
  <si>
    <t xml:space="preserve"> 2020-03-20 21:34:02</t>
  </si>
  <si>
    <t>综艺节目里的气氛担当</t>
  </si>
  <si>
    <t xml:space="preserve"> 2020-03-21 08:56:02</t>
  </si>
  <si>
    <t xml:space="preserve"> 2020-03-20 20:28:01</t>
  </si>
  <si>
    <t>五台山森林大火</t>
  </si>
  <si>
    <t xml:space="preserve"> 2020-03-20 19:38:02</t>
  </si>
  <si>
    <t>开春适合糖果卫衣</t>
  </si>
  <si>
    <t xml:space="preserve"> 2020-03-21 07:24:02</t>
  </si>
  <si>
    <t xml:space="preserve"> 2020-03-20 22:32:02</t>
  </si>
  <si>
    <t>白岩松对话中国驻英国大使</t>
  </si>
  <si>
    <t xml:space="preserve"> 2020-03-21 08:26:01</t>
  </si>
  <si>
    <t xml:space="preserve"> 2020-03-20 18:02:03</t>
  </si>
  <si>
    <t>特朗普回应权贵优先接受核酸检测</t>
  </si>
  <si>
    <t xml:space="preserve"> 2020-03-21 08:16:02</t>
  </si>
  <si>
    <t xml:space="preserve"> 2020-03-20 18:58:02</t>
  </si>
  <si>
    <t>塞尔维亚到底有多美</t>
  </si>
  <si>
    <t xml:space="preserve"> 2020-03-20 18:44:01</t>
  </si>
  <si>
    <t>粉丝接机周震南张颜齐</t>
  </si>
  <si>
    <t xml:space="preserve"> 2020-03-20 19:06:01</t>
  </si>
  <si>
    <t>武汉中心医院又一员工感染新冠离世</t>
  </si>
  <si>
    <t xml:space="preserve"> 2020-03-21 03:04:02</t>
  </si>
  <si>
    <t xml:space="preserve"> 2020-03-20 22:22:02</t>
  </si>
  <si>
    <t>多国宣布禁止邮轮停靠</t>
  </si>
  <si>
    <t xml:space="preserve"> 2020-03-20 20:30:02</t>
  </si>
  <si>
    <t>香港新增48例新冠肺炎确诊病例</t>
  </si>
  <si>
    <t xml:space="preserve"> 2020-03-21 07:30:02</t>
  </si>
  <si>
    <t xml:space="preserve"> 2020-03-20 13:28:02</t>
  </si>
  <si>
    <t>李子柒</t>
  </si>
  <si>
    <t xml:space="preserve"> 2020-03-21 08:24:01</t>
  </si>
  <si>
    <t xml:space="preserve"> 2020-03-20 20:50:01</t>
  </si>
  <si>
    <t>RNG输了</t>
  </si>
  <si>
    <t xml:space="preserve"> 2020-03-20 23:20:01</t>
  </si>
  <si>
    <t>孟鹤堂直播</t>
  </si>
  <si>
    <t xml:space="preserve"> 2020-03-21 07:48:01</t>
  </si>
  <si>
    <t xml:space="preserve"> 2020-03-20 19:34:02</t>
  </si>
  <si>
    <t>申军良为儿子改名</t>
  </si>
  <si>
    <t xml:space="preserve"> 2020-03-21 07:28:02</t>
  </si>
  <si>
    <t xml:space="preserve"> 2020-03-20 21:52:02</t>
  </si>
  <si>
    <t>马来西亚累计确诊新冠肺炎超千例</t>
  </si>
  <si>
    <t xml:space="preserve"> 2020-03-21 02:10:02</t>
  </si>
  <si>
    <t xml:space="preserve"> 2020-03-20 17:40:01</t>
  </si>
  <si>
    <t>王一博古装新造型</t>
  </si>
  <si>
    <t xml:space="preserve"> 2020-03-21 07:22:01</t>
  </si>
  <si>
    <t xml:space="preserve"> 2020-03-20 20:36:02</t>
  </si>
  <si>
    <t>论文查重是什么体验</t>
  </si>
  <si>
    <t xml:space="preserve"> 2020-03-20 19:40:02</t>
  </si>
  <si>
    <t>新西兰总理</t>
  </si>
  <si>
    <t xml:space="preserve"> 2020-03-20 21:28:02</t>
  </si>
  <si>
    <t>纽约呼吸机缺口达2万余台</t>
  </si>
  <si>
    <t xml:space="preserve"> 2020-03-21 16:54:02</t>
  </si>
  <si>
    <t xml:space="preserve"> 2020-03-21 08:32:01</t>
  </si>
  <si>
    <t>羡慕黄雅莉的生活</t>
  </si>
  <si>
    <t xml:space="preserve"> 2020-03-21 17:20:02</t>
  </si>
  <si>
    <t xml:space="preserve"> 2020-03-21 11:42:01</t>
  </si>
  <si>
    <t>意大区主席为中国抗疫方法不停点头</t>
  </si>
  <si>
    <t xml:space="preserve"> 2020-03-21 17:22:02</t>
  </si>
  <si>
    <t>蒋依依长大了</t>
  </si>
  <si>
    <t xml:space="preserve"> 2020-03-21 14:54:02</t>
  </si>
  <si>
    <t xml:space="preserve"> 2020-03-21 10:44:02</t>
  </si>
  <si>
    <t>北京4月不再延长供暖</t>
  </si>
  <si>
    <t xml:space="preserve"> 2020-03-21 16:50:01</t>
  </si>
  <si>
    <t>中国向82个国家和国际组织提供援助</t>
  </si>
  <si>
    <t xml:space="preserve"> 2020-03-21 15:08:02</t>
  </si>
  <si>
    <t>上海虹桥机场闭环输送旅客</t>
  </si>
  <si>
    <t xml:space="preserve"> 2020-03-21 16:28:01</t>
  </si>
  <si>
    <t xml:space="preserve"> 2020-03-21 11:12:01</t>
  </si>
  <si>
    <t>美国未检测的病例可能是确诊的11倍</t>
  </si>
  <si>
    <t xml:space="preserve"> 2020-03-21 14:20:02</t>
  </si>
  <si>
    <t xml:space="preserve"> 2020-03-21 08:02:02</t>
  </si>
  <si>
    <t>易烊千玺曾要求去武汉当搬运工</t>
  </si>
  <si>
    <t xml:space="preserve"> 2020-03-21 14:48:02</t>
  </si>
  <si>
    <t>西媒称武磊确诊感染</t>
  </si>
  <si>
    <t xml:space="preserve"> 2020-03-21 16:10:01</t>
  </si>
  <si>
    <t xml:space="preserve"> 2020-03-21 10:46:02</t>
  </si>
  <si>
    <t>雷神山出院要过东北话八级</t>
  </si>
  <si>
    <t xml:space="preserve"> 2020-03-21 16:18:02</t>
  </si>
  <si>
    <t xml:space="preserve"> 2020-03-21 07:42:02</t>
  </si>
  <si>
    <t>张碧晨穿衣风格</t>
  </si>
  <si>
    <t xml:space="preserve"> 2020-03-21 14:36:01</t>
  </si>
  <si>
    <t xml:space="preserve"> 2020-03-21 10:04:02</t>
  </si>
  <si>
    <t>近视眼戴口罩有多痛苦</t>
  </si>
  <si>
    <t xml:space="preserve"> 2020-03-21 15:46:02</t>
  </si>
  <si>
    <t xml:space="preserve"> 2020-03-21 10:16:02</t>
  </si>
  <si>
    <t>特朗普宣布纽约州为疫情重大灾区</t>
  </si>
  <si>
    <t xml:space="preserve"> 2020-03-21 12:48:02</t>
  </si>
  <si>
    <t xml:space="preserve"> 2020-03-21 09:44:02</t>
  </si>
  <si>
    <t>队医称武磊恢复得不错</t>
  </si>
  <si>
    <t xml:space="preserve"> 2020-03-21 13:34:02</t>
  </si>
  <si>
    <t>改名也改不了美国防控不力的事实</t>
  </si>
  <si>
    <t xml:space="preserve"> 2020-03-21 16:32:02</t>
  </si>
  <si>
    <t>黑龙江被认定为烈士的医务子女高考加20分</t>
  </si>
  <si>
    <t xml:space="preserve"> 2020-03-21 17:16:02</t>
  </si>
  <si>
    <t xml:space="preserve"> 2020-03-21 11:44:01</t>
  </si>
  <si>
    <t>林芝有多美</t>
  </si>
  <si>
    <t xml:space="preserve"> 2020-03-21 14:22:02</t>
  </si>
  <si>
    <t xml:space="preserve"> 2020-03-21 11:36:01</t>
  </si>
  <si>
    <t>世界约三分之一的人饱受睡眠问题折磨</t>
  </si>
  <si>
    <t xml:space="preserve"> 2020-03-21 16:40:02</t>
  </si>
  <si>
    <t>假如你脸上有颗痣</t>
  </si>
  <si>
    <t xml:space="preserve"> 2020-03-21 16:08:01</t>
  </si>
  <si>
    <t xml:space="preserve"> 2020-03-21 10:10:02</t>
  </si>
  <si>
    <t>路边小狗的名字取决于朋友</t>
  </si>
  <si>
    <t xml:space="preserve"> 2020-03-21 15:28:02</t>
  </si>
  <si>
    <t xml:space="preserve"> 2020-03-21 11:32:01</t>
  </si>
  <si>
    <t>结石姐呼吁正确称呼新冠肺炎</t>
  </si>
  <si>
    <t xml:space="preserve"> 2020-03-21 13:46:02</t>
  </si>
  <si>
    <t xml:space="preserve"> 2020-03-21 11:52:02</t>
  </si>
  <si>
    <t>江西所有小区村组取消封闭式管控</t>
  </si>
  <si>
    <t xml:space="preserve"> 2020-03-21 13:42:02</t>
  </si>
  <si>
    <t xml:space="preserve"> 2020-03-21 10:38:02</t>
  </si>
  <si>
    <t>库克新冠病毒检测呈阴性</t>
  </si>
  <si>
    <t xml:space="preserve"> 2020-03-21 13:56:01</t>
  </si>
  <si>
    <t xml:space="preserve"> 2020-03-21 10:36:02</t>
  </si>
  <si>
    <t>100万只欧标医用口罩运往意大利</t>
  </si>
  <si>
    <t xml:space="preserve"> 2020-03-21 13:54:01</t>
  </si>
  <si>
    <t xml:space="preserve"> 2020-03-21 09:58:01</t>
  </si>
  <si>
    <t>疫情下的海洋馆是什么画风</t>
  </si>
  <si>
    <t xml:space="preserve"> 2020-03-21 14:04:02</t>
  </si>
  <si>
    <t>武汉的樱花都开好了</t>
  </si>
  <si>
    <t xml:space="preserve"> 2020-03-21 11:16:02</t>
  </si>
  <si>
    <t>世卫总干事谭德塞感谢马云</t>
  </si>
  <si>
    <t xml:space="preserve"> 2020-03-21 12:46:01</t>
  </si>
  <si>
    <t xml:space="preserve"> 2020-03-21 08:58:02</t>
  </si>
  <si>
    <t>特朗普宣布关闭美墨边境</t>
  </si>
  <si>
    <t xml:space="preserve"> 2020-03-21 10:02:02</t>
  </si>
  <si>
    <t>流浪猫每天陪武警站岗</t>
  </si>
  <si>
    <t xml:space="preserve"> 2020-03-21 13:08:02</t>
  </si>
  <si>
    <t>美国议员一边瞒报疫情一边抛售股票</t>
  </si>
  <si>
    <t xml:space="preserve"> 2020-03-21 13:44:02</t>
  </si>
  <si>
    <t xml:space="preserve"> 2020-03-21 10:54:02</t>
  </si>
  <si>
    <t>纽约市长称纽约已成为美国疫情震中</t>
  </si>
  <si>
    <t xml:space="preserve"> 2020-03-21 13:32:02</t>
  </si>
  <si>
    <t>美情报机构1月就对新冠疫情发出警告</t>
  </si>
  <si>
    <t xml:space="preserve"> 2020-03-28 12:24:02</t>
  </si>
  <si>
    <t xml:space="preserve"> 2020-03-21 08:50:02</t>
  </si>
  <si>
    <t>缘来誓你</t>
  </si>
  <si>
    <t xml:space="preserve"> 2020-03-21 17:46:02</t>
  </si>
  <si>
    <t>卫星遥感显示中国夜间重现光彩</t>
  </si>
  <si>
    <t xml:space="preserve"> 2020-03-21 12:52:02</t>
  </si>
  <si>
    <t>境外入广东人员一律自费隔离14天</t>
  </si>
  <si>
    <t xml:space="preserve"> 2020-03-21 13:28:02</t>
  </si>
  <si>
    <t>意大利医院护士讲述现状</t>
  </si>
  <si>
    <t xml:space="preserve"> 2020-03-21 11:26:02</t>
  </si>
  <si>
    <t>杭州调整疫情防控措施</t>
  </si>
  <si>
    <t xml:space="preserve"> 2020-03-21 08:04:02</t>
  </si>
  <si>
    <t>民警送狗子回家发现主人聚众赌博</t>
  </si>
  <si>
    <t xml:space="preserve"> 2020-03-21 12:44:02</t>
  </si>
  <si>
    <t xml:space="preserve"> 2020-03-21 09:50:02</t>
  </si>
  <si>
    <t>港大医学院院长警示香港疫情</t>
  </si>
  <si>
    <t xml:space="preserve"> 2020-03-21 15:36:02</t>
  </si>
  <si>
    <t xml:space="preserve"> 2020-03-21 12:06:02</t>
  </si>
  <si>
    <t>美国三大航空公司告急</t>
  </si>
  <si>
    <t xml:space="preserve"> 2020-03-21 12:20:02</t>
  </si>
  <si>
    <t xml:space="preserve"> 2020-03-21 11:50:02</t>
  </si>
  <si>
    <t>安检员戴智能头盔批量测温</t>
  </si>
  <si>
    <t xml:space="preserve"> 2020-03-21 18:04:02</t>
  </si>
  <si>
    <t xml:space="preserve"> 2020-03-21 12:10:02</t>
  </si>
  <si>
    <t>不倒翁女孩戴口罩演出</t>
  </si>
  <si>
    <t xml:space="preserve"> 2020-03-21 16:12:02</t>
  </si>
  <si>
    <t xml:space="preserve"> 2020-03-21 12:12:02</t>
  </si>
  <si>
    <t>反手涂口红挑战</t>
  </si>
  <si>
    <t xml:space="preserve"> 2020-03-21 12:56:02</t>
  </si>
  <si>
    <t xml:space="preserve"> 2020-03-21 12:14:01</t>
  </si>
  <si>
    <t>最具穿越感的城市</t>
  </si>
  <si>
    <t xml:space="preserve"> 2020-03-21 12:16:02</t>
  </si>
  <si>
    <t>山东要求境外人员抵达亲属提前三天申报</t>
  </si>
  <si>
    <t xml:space="preserve"> 2020-03-21 12:32:01</t>
  </si>
  <si>
    <t xml:space="preserve"> 2020-03-21 10:30:02</t>
  </si>
  <si>
    <t>孝感A级景区对援孝医疗队终身免票</t>
  </si>
  <si>
    <t xml:space="preserve"> 2020-03-21 12:50:02</t>
  </si>
  <si>
    <t>火神山滞汉参建工人将陆续返乡返岗</t>
  </si>
  <si>
    <t xml:space="preserve"> 2020-03-21 09:48:02</t>
  </si>
  <si>
    <t>美卫生部门回应黎某做检测遭拒</t>
  </si>
  <si>
    <t xml:space="preserve"> 2020-03-21 12:28:02</t>
  </si>
  <si>
    <t xml:space="preserve"> 2020-03-21 07:32:02</t>
  </si>
  <si>
    <t>意大利新增5986例确诊病例</t>
  </si>
  <si>
    <t xml:space="preserve"> 2020-03-22 09:24:02</t>
  </si>
  <si>
    <t xml:space="preserve"> 2020-03-21 21:10:02</t>
  </si>
  <si>
    <t>林小宅拿F</t>
  </si>
  <si>
    <t xml:space="preserve"> 2020-03-22 10:56:02</t>
  </si>
  <si>
    <t xml:space="preserve"> 2020-03-21 21:16:02</t>
  </si>
  <si>
    <t>当事孩子看到带黄冈密卷后</t>
  </si>
  <si>
    <t xml:space="preserve"> 2020-03-22 12:38:02</t>
  </si>
  <si>
    <t xml:space="preserve"> 2020-03-21 22:04:02</t>
  </si>
  <si>
    <t>冰清玉洁四胞胎抱团</t>
  </si>
  <si>
    <t xml:space="preserve"> 2020-03-22 09:30:02</t>
  </si>
  <si>
    <t xml:space="preserve"> 2020-03-21 18:46:02</t>
  </si>
  <si>
    <t>郑恺</t>
  </si>
  <si>
    <t xml:space="preserve"> 2020-03-22 09:20:02</t>
  </si>
  <si>
    <t xml:space="preserve"> 2020-03-21 19:38:01</t>
  </si>
  <si>
    <t>快乐星球多面体</t>
  </si>
  <si>
    <t xml:space="preserve"> 2020-04-06 14:14:02</t>
  </si>
  <si>
    <t xml:space="preserve"> 2020-03-21 22:06:02</t>
  </si>
  <si>
    <t>周游记</t>
  </si>
  <si>
    <t>韩国大邱再现集体感染</t>
  </si>
  <si>
    <t xml:space="preserve"> 2020-03-22 07:24:02</t>
  </si>
  <si>
    <t xml:space="preserve"> 2020-03-21 18:26:02</t>
  </si>
  <si>
    <t>中国以外新冠肺炎193327例</t>
  </si>
  <si>
    <t xml:space="preserve"> 2020-03-22 08:06:02</t>
  </si>
  <si>
    <t xml:space="preserve"> 2020-03-21 19:10:02</t>
  </si>
  <si>
    <t>意大利市长变身河南村长怒怼市民</t>
  </si>
  <si>
    <t xml:space="preserve"> 2020-03-22 09:18:01</t>
  </si>
  <si>
    <t xml:space="preserve"> 2020-03-21 20:46:01</t>
  </si>
  <si>
    <t>尹正咬手绢</t>
  </si>
  <si>
    <t xml:space="preserve"> 2020-03-22 08:00:02</t>
  </si>
  <si>
    <t xml:space="preserve"> 2020-03-21 23:22:02</t>
  </si>
  <si>
    <t>刺伤医生嫌犯已被采取强制措施</t>
  </si>
  <si>
    <t xml:space="preserve"> 2020-03-22 09:04:01</t>
  </si>
  <si>
    <t xml:space="preserve"> 2020-03-21 20:38:01</t>
  </si>
  <si>
    <t>武磊感染新冠肺炎后首发声</t>
  </si>
  <si>
    <t xml:space="preserve"> 2020-03-22 08:16:02</t>
  </si>
  <si>
    <t xml:space="preserve"> 2020-03-21 20:28:02</t>
  </si>
  <si>
    <t>塞尔维亚驻华大使馆发博求助</t>
  </si>
  <si>
    <t xml:space="preserve"> 2020-03-22 10:10:02</t>
  </si>
  <si>
    <t xml:space="preserve"> 2020-03-21 22:02:02</t>
  </si>
  <si>
    <t>莫寒想选C位</t>
  </si>
  <si>
    <t xml:space="preserve"> 2020-03-22 11:52:02</t>
  </si>
  <si>
    <t xml:space="preserve"> 2020-03-21 23:10:01</t>
  </si>
  <si>
    <t>最理想的开学时间</t>
  </si>
  <si>
    <t xml:space="preserve"> 2020-03-22 08:36:02</t>
  </si>
  <si>
    <t xml:space="preserve"> 2020-03-21 23:20:02</t>
  </si>
  <si>
    <t>意大利西班牙伊朗确诊总和超9万人</t>
  </si>
  <si>
    <t xml:space="preserve"> 2020-03-22 08:02:01</t>
  </si>
  <si>
    <t xml:space="preserve"> 2020-03-21 23:06:02</t>
  </si>
  <si>
    <t>鄂州一市民跪送贵州援鄂医疗队</t>
  </si>
  <si>
    <t xml:space="preserve"> 2020-03-22 11:44:02</t>
  </si>
  <si>
    <t xml:space="preserve"> 2020-03-21 21:36:02</t>
  </si>
  <si>
    <t>乐华全员C</t>
  </si>
  <si>
    <t xml:space="preserve"> 2020-03-22 07:50:02</t>
  </si>
  <si>
    <t>乃万评级C</t>
  </si>
  <si>
    <t xml:space="preserve"> 2020-03-22 08:32:02</t>
  </si>
  <si>
    <t xml:space="preserve"> 2020-03-21 20:34:02</t>
  </si>
  <si>
    <t>柯洁直播斗地主</t>
  </si>
  <si>
    <t xml:space="preserve"> 2020-03-22 09:28:01</t>
  </si>
  <si>
    <t xml:space="preserve"> 2020-03-21 20:44:01</t>
  </si>
  <si>
    <t>你心目中的韩剧TOP</t>
  </si>
  <si>
    <t xml:space="preserve"> 2020-03-22 11:22:02</t>
  </si>
  <si>
    <t xml:space="preserve"> 2020-03-21 23:12:02</t>
  </si>
  <si>
    <t>周杰伦林俊杰比眼睛大小</t>
  </si>
  <si>
    <t xml:space="preserve"> 2020-03-21 21:42:02</t>
  </si>
  <si>
    <t>杨洋好甜</t>
  </si>
  <si>
    <t xml:space="preserve"> 2020-03-22 08:52:01</t>
  </si>
  <si>
    <t xml:space="preserve"> 2020-03-21 18:48:02</t>
  </si>
  <si>
    <t>开学不买衣服不行了</t>
  </si>
  <si>
    <t xml:space="preserve"> 2020-03-22 02:24:02</t>
  </si>
  <si>
    <t xml:space="preserve"> 2020-03-21 15:38:02</t>
  </si>
  <si>
    <t>我国10天内境外输入病例增幅216%</t>
  </si>
  <si>
    <t xml:space="preserve"> 2020-03-22 08:22:02</t>
  </si>
  <si>
    <t xml:space="preserve"> 2020-03-21 19:48:02</t>
  </si>
  <si>
    <t>不让播名字的90后护士名叫骆燿</t>
  </si>
  <si>
    <t xml:space="preserve"> 2020-03-22 09:48:02</t>
  </si>
  <si>
    <t xml:space="preserve"> 2020-03-21 22:30:01</t>
  </si>
  <si>
    <t>张韶涵黄雅莉引路的风筝</t>
  </si>
  <si>
    <t xml:space="preserve"> 2020-03-21 22:22:02</t>
  </si>
  <si>
    <t>CardiB称赞中国防疫措施</t>
  </si>
  <si>
    <t xml:space="preserve"> 2020-03-22 07:48:02</t>
  </si>
  <si>
    <t xml:space="preserve"> 2020-03-21 20:56:01</t>
  </si>
  <si>
    <t>洛杉矶县建议放弃部分患者病毒检测</t>
  </si>
  <si>
    <t xml:space="preserve"> 2020-03-22 07:14:02</t>
  </si>
  <si>
    <t xml:space="preserve"> 2020-03-21 14:58:02</t>
  </si>
  <si>
    <t>特朗普称发布全美居家令没必要</t>
  </si>
  <si>
    <t xml:space="preserve"> 2020-03-22 07:40:02</t>
  </si>
  <si>
    <t>日本大风导致奥运五环表演失败</t>
  </si>
  <si>
    <t>终于吃上火锅的我</t>
  </si>
  <si>
    <t xml:space="preserve"> 2020-03-22 07:16:02</t>
  </si>
  <si>
    <t xml:space="preserve"> 2020-03-21 15:26:01</t>
  </si>
  <si>
    <t>虞书欣工作室道歉</t>
  </si>
  <si>
    <t xml:space="preserve"> 2020-03-22 10:06:02</t>
  </si>
  <si>
    <t xml:space="preserve"> 2020-03-21 22:08:02</t>
  </si>
  <si>
    <t>爆浆蜂蜜凹蛋糕</t>
  </si>
  <si>
    <t xml:space="preserve"> 2020-03-22 07:54:02</t>
  </si>
  <si>
    <t>日本大分一医院发生集体感染事件</t>
  </si>
  <si>
    <t xml:space="preserve"> 2020-03-22 07:42:01</t>
  </si>
  <si>
    <t xml:space="preserve"> 2020-03-21 16:42:02</t>
  </si>
  <si>
    <t>高云翔回国</t>
  </si>
  <si>
    <t xml:space="preserve"> 2020-03-21 19:54:02</t>
  </si>
  <si>
    <t>内蒙古一医生被病人持刀捅伤</t>
  </si>
  <si>
    <t xml:space="preserve"> 2020-03-22 07:28:02</t>
  </si>
  <si>
    <t xml:space="preserve"> 2020-03-21 22:24:02</t>
  </si>
  <si>
    <t>澳大利亚邦迪海滩被关闭</t>
  </si>
  <si>
    <t xml:space="preserve"> 2020-03-22 08:14:02</t>
  </si>
  <si>
    <t xml:space="preserve"> 2020-03-21 17:24:01</t>
  </si>
  <si>
    <t>阿根廷已婚女子</t>
  </si>
  <si>
    <t xml:space="preserve"> 2020-03-22 07:00:02</t>
  </si>
  <si>
    <t>写毕业论文的你</t>
  </si>
  <si>
    <t xml:space="preserve"> 2020-03-22 00:26:02</t>
  </si>
  <si>
    <t>央视网</t>
  </si>
  <si>
    <t xml:space="preserve"> 2020-03-21 21:40:02</t>
  </si>
  <si>
    <t>张蔷盘尼西林柠檬树</t>
  </si>
  <si>
    <t xml:space="preserve"> 2020-03-26 07:16:02</t>
  </si>
  <si>
    <t>FoFo</t>
  </si>
  <si>
    <t xml:space="preserve"> 2020-03-21 19:08:02</t>
  </si>
  <si>
    <t>山东医疗队员给孩子带回黄冈密卷</t>
  </si>
  <si>
    <t xml:space="preserve"> 2020-03-22 01:42:02</t>
  </si>
  <si>
    <t xml:space="preserve"> 2020-03-21 18:36:02</t>
  </si>
  <si>
    <t>珍珠奶茶是一种疙瘩汤</t>
  </si>
  <si>
    <t xml:space="preserve"> 2020-03-22 21:16:01</t>
  </si>
  <si>
    <t xml:space="preserve"> 2020-03-22 11:10:02</t>
  </si>
  <si>
    <t>微信正式支持深色模式</t>
  </si>
  <si>
    <t xml:space="preserve"> 2020-03-22 18:54:02</t>
  </si>
  <si>
    <t xml:space="preserve"> 2020-03-22 11:36:02</t>
  </si>
  <si>
    <t>专家称疫情去年11月或已在意大利流行</t>
  </si>
  <si>
    <t xml:space="preserve"> 2020-03-23 06:58:02</t>
  </si>
  <si>
    <t>意大利</t>
  </si>
  <si>
    <t xml:space="preserve"> 2020-03-22 16:22:02</t>
  </si>
  <si>
    <t>特朗普建议口罩消毒重复使用</t>
  </si>
  <si>
    <t xml:space="preserve"> 2020-03-22 16:38:02</t>
  </si>
  <si>
    <t>澳总理称美国是澳感染病例最大来源</t>
  </si>
  <si>
    <t xml:space="preserve"> 2020-03-22 15:20:02</t>
  </si>
  <si>
    <t xml:space="preserve"> 2020-03-22 09:58:02</t>
  </si>
  <si>
    <t>英国3位老奶奶闺蜜抱团隔离</t>
  </si>
  <si>
    <t xml:space="preserve"> 2020-03-22 14:26:02</t>
  </si>
  <si>
    <t xml:space="preserve"> 2020-03-22 08:12:02</t>
  </si>
  <si>
    <t>武汉有新增确诊病例的情况不实</t>
  </si>
  <si>
    <t xml:space="preserve"> 2020-03-22 15:48:02</t>
  </si>
  <si>
    <t>塞尔维亚总统亲吻五星红旗</t>
  </si>
  <si>
    <t xml:space="preserve"> 2020-03-22 15:34:02</t>
  </si>
  <si>
    <t xml:space="preserve"> 2020-03-22 07:58:01</t>
  </si>
  <si>
    <t>迪巴拉确诊感染新冠病毒</t>
  </si>
  <si>
    <t xml:space="preserve"> 2020-03-22 14:58:01</t>
  </si>
  <si>
    <t xml:space="preserve"> 2020-03-22 10:34:02</t>
  </si>
  <si>
    <t>爸爸我想抱你</t>
  </si>
  <si>
    <t xml:space="preserve"> 2020-03-22 14:18:02</t>
  </si>
  <si>
    <t xml:space="preserve"> 2020-03-22 10:20:02</t>
  </si>
  <si>
    <t>新冠疫苗首批志愿者</t>
  </si>
  <si>
    <t xml:space="preserve"> 2020-03-22 15:26:02</t>
  </si>
  <si>
    <t xml:space="preserve"> 2020-03-22 09:36:01</t>
  </si>
  <si>
    <t>广东首例境外输入关联本地病例</t>
  </si>
  <si>
    <t xml:space="preserve"> 2020-03-22 14:12:02</t>
  </si>
  <si>
    <t xml:space="preserve"> 2020-03-22 11:24:01</t>
  </si>
  <si>
    <t>美国联邦监狱发现首例新冠肺炎病例</t>
  </si>
  <si>
    <t xml:space="preserve"> 2020-03-22 07:34:02</t>
  </si>
  <si>
    <t>威尼斯河道变清出现海豚</t>
  </si>
  <si>
    <t xml:space="preserve"> 2020-03-22 14:04:02</t>
  </si>
  <si>
    <t>朴宝剑客串梨泰院Class</t>
  </si>
  <si>
    <t xml:space="preserve"> 2020-03-22 17:14:02</t>
  </si>
  <si>
    <t xml:space="preserve"> 2020-03-22 08:04:01</t>
  </si>
  <si>
    <t>林小宅 抄袭</t>
  </si>
  <si>
    <t xml:space="preserve"> 2020-03-22 18:30:02</t>
  </si>
  <si>
    <t xml:space="preserve"> 2020-03-22 10:54:02</t>
  </si>
  <si>
    <t>特朗普抱怨疫情影响自家生意</t>
  </si>
  <si>
    <t xml:space="preserve"> 2020-03-22 21:08:02</t>
  </si>
  <si>
    <t>苹果将向美国欧洲医院捐赠口罩</t>
  </si>
  <si>
    <t xml:space="preserve"> 2020-03-22 17:12:02</t>
  </si>
  <si>
    <t xml:space="preserve"> 2020-03-22 11:30:01</t>
  </si>
  <si>
    <t>闺蜜日</t>
  </si>
  <si>
    <t>央行称现在断定全球进入经济危机还尚早</t>
  </si>
  <si>
    <t xml:space="preserve"> 2020-03-22 14:56:02</t>
  </si>
  <si>
    <t xml:space="preserve"> 2020-03-22 12:02:02</t>
  </si>
  <si>
    <t>英国女婿</t>
  </si>
  <si>
    <t xml:space="preserve"> 2020-03-22 10:52:01</t>
  </si>
  <si>
    <t>金融系统1137人感染42人去世</t>
  </si>
  <si>
    <t xml:space="preserve"> 2020-03-22 08:54:01</t>
  </si>
  <si>
    <t>梨泰院</t>
  </si>
  <si>
    <t xml:space="preserve"> 2020-03-22 18:58:01</t>
  </si>
  <si>
    <t>我是唱作人2阵容</t>
  </si>
  <si>
    <t xml:space="preserve"> 2020-03-22 13:38:02</t>
  </si>
  <si>
    <t xml:space="preserve"> 2020-03-22 11:42:01</t>
  </si>
  <si>
    <t>沙井</t>
  </si>
  <si>
    <t xml:space="preserve"> 2020-03-22 19:38:02</t>
  </si>
  <si>
    <t xml:space="preserve"> 2020-03-22 11:54:02</t>
  </si>
  <si>
    <t>长城宽带断网</t>
  </si>
  <si>
    <t>在美华人囤积20把枪自卫</t>
  </si>
  <si>
    <t xml:space="preserve"> 2020-03-22 13:34:02</t>
  </si>
  <si>
    <t>意大利总理称面临二战后最严重危机</t>
  </si>
  <si>
    <t xml:space="preserve"> 2020-03-22 13:54:02</t>
  </si>
  <si>
    <t>意大利贝加莫火葬场全天24小时运作</t>
  </si>
  <si>
    <t xml:space="preserve"> 2020-03-22 09:26:02</t>
  </si>
  <si>
    <t>C罗关注武磊</t>
  </si>
  <si>
    <t xml:space="preserve"> 2020-03-22 16:28:02</t>
  </si>
  <si>
    <t>武汉抗疫00后说穿上战衣就不是孩子了</t>
  </si>
  <si>
    <t xml:space="preserve"> 2020-03-22 13:24:02</t>
  </si>
  <si>
    <t xml:space="preserve"> 2020-03-22 08:20:01</t>
  </si>
  <si>
    <t>上海新增14例境外输入病例</t>
  </si>
  <si>
    <t xml:space="preserve"> 2020-03-22 13:46:02</t>
  </si>
  <si>
    <t xml:space="preserve"> 2020-03-22 09:22:02</t>
  </si>
  <si>
    <t>用emoji来描述微博ID</t>
  </si>
  <si>
    <t xml:space="preserve"> 2020-03-22 10:58:01</t>
  </si>
  <si>
    <t>费莱尼确诊新冠肺炎</t>
  </si>
  <si>
    <t xml:space="preserve"> 2020-03-22 14:20:01</t>
  </si>
  <si>
    <t>电饭煲做岀的神仙美食</t>
  </si>
  <si>
    <t xml:space="preserve"> 2020-03-22 12:54:02</t>
  </si>
  <si>
    <t>江苏新增2例境外输入病例</t>
  </si>
  <si>
    <t xml:space="preserve"> 2020-03-22 10:12:02</t>
  </si>
  <si>
    <t>意大利留学生在家上网课</t>
  </si>
  <si>
    <t xml:space="preserve"> 2020-03-22 14:14:02</t>
  </si>
  <si>
    <t xml:space="preserve"> 2020-03-22 07:18:02</t>
  </si>
  <si>
    <t>中国援塞尔维亚医疗队受最高礼遇迎接</t>
  </si>
  <si>
    <t xml:space="preserve"> 2020-03-22 19:06:02</t>
  </si>
  <si>
    <t xml:space="preserve"> 2020-03-22 12:00:02</t>
  </si>
  <si>
    <t>养猫之后才知道的事</t>
  </si>
  <si>
    <t xml:space="preserve"> 2020-03-22 17:00:02</t>
  </si>
  <si>
    <t xml:space="preserve"> 2020-03-22 12:06:02</t>
  </si>
  <si>
    <t>白岩松对疫情下隐瞒行程的人发出提醒</t>
  </si>
  <si>
    <t xml:space="preserve"> 2020-03-22 12:34:01</t>
  </si>
  <si>
    <t xml:space="preserve"> 2020-03-22 11:58:02</t>
  </si>
  <si>
    <t>疫情对通胀影响还将短期持续</t>
  </si>
  <si>
    <t xml:space="preserve"> 2020-03-22 12:40:02</t>
  </si>
  <si>
    <t xml:space="preserve"> 2020-03-22 10:28:02</t>
  </si>
  <si>
    <t>密切接触者曾坐西安地铁出租车公交</t>
  </si>
  <si>
    <t xml:space="preserve"> 2020-03-22 12:16:02</t>
  </si>
  <si>
    <t xml:space="preserve"> 2020-03-22 11:46:01</t>
  </si>
  <si>
    <t>法国新增新冠肺炎确诊1847例</t>
  </si>
  <si>
    <t xml:space="preserve"> 2020-03-22 17:30:02</t>
  </si>
  <si>
    <t>卡迪碧</t>
  </si>
  <si>
    <t xml:space="preserve"> 2020-03-22 07:30:01</t>
  </si>
  <si>
    <t>杭州取消公共场所和交通工具测温亮码</t>
  </si>
  <si>
    <t xml:space="preserve"> 2020-03-23 11:30:02</t>
  </si>
  <si>
    <t xml:space="preserve"> 2020-03-22 21:04:01</t>
  </si>
  <si>
    <t>李佳琦眼眶红了</t>
  </si>
  <si>
    <t xml:space="preserve"> 2020-03-23 10:16:02</t>
  </si>
  <si>
    <t xml:space="preserve"> 2020-03-22 23:22:02</t>
  </si>
  <si>
    <t>波兰扣押意大利2.3万只口罩</t>
  </si>
  <si>
    <t xml:space="preserve"> 2020-03-23 10:10:02</t>
  </si>
  <si>
    <t xml:space="preserve"> 2020-03-22 21:32:02</t>
  </si>
  <si>
    <t>张文宏称疫情可能持续一到两年</t>
  </si>
  <si>
    <t xml:space="preserve"> 2020-03-23 10:20:02</t>
  </si>
  <si>
    <t xml:space="preserve"> 2020-03-22 22:04:02</t>
  </si>
  <si>
    <t>塞尔维亚多地亮起中国红</t>
  </si>
  <si>
    <t xml:space="preserve"> 2020-03-23 08:54:02</t>
  </si>
  <si>
    <t xml:space="preserve"> 2020-03-22 19:00:02</t>
  </si>
  <si>
    <t>意大利对中国建议几乎照单全收</t>
  </si>
  <si>
    <t xml:space="preserve"> 2020-03-23 08:42:02</t>
  </si>
  <si>
    <t xml:space="preserve"> 2020-03-22 18:34:01</t>
  </si>
  <si>
    <t>王太利女儿</t>
  </si>
  <si>
    <t xml:space="preserve"> 2020-03-23 09:24:02</t>
  </si>
  <si>
    <t xml:space="preserve"> 2020-03-22 20:40:02</t>
  </si>
  <si>
    <t>武汉街道出现百米长堵车现象</t>
  </si>
  <si>
    <t xml:space="preserve"> 2020-03-23 09:22:01</t>
  </si>
  <si>
    <t xml:space="preserve"> 2020-03-22 17:48:01</t>
  </si>
  <si>
    <t>N号房间</t>
  </si>
  <si>
    <t xml:space="preserve"> 2020-03-23 09:36:02</t>
  </si>
  <si>
    <t xml:space="preserve"> 2020-03-22 22:08:02</t>
  </si>
  <si>
    <t>小德感谢中国援助塞尔维亚</t>
  </si>
  <si>
    <t xml:space="preserve"> 2020-03-23 09:14:01</t>
  </si>
  <si>
    <t xml:space="preserve"> 2020-03-22 22:46:02</t>
  </si>
  <si>
    <t>俄罗斯将限制与所有国家空中交通</t>
  </si>
  <si>
    <t xml:space="preserve"> 2020-03-23 10:18:02</t>
  </si>
  <si>
    <t xml:space="preserve"> 2020-03-22 21:26:01</t>
  </si>
  <si>
    <t>荷兰弟买不到鸡蛋买母鸡</t>
  </si>
  <si>
    <t xml:space="preserve"> 2020-03-23 08:46:01</t>
  </si>
  <si>
    <t xml:space="preserve"> 2020-03-22 23:06:01</t>
  </si>
  <si>
    <t>西班牙超大方舱医院开建</t>
  </si>
  <si>
    <t xml:space="preserve"> 2020-03-22 19:42:01</t>
  </si>
  <si>
    <t>全国的水龙头都流什么</t>
  </si>
  <si>
    <t xml:space="preserve"> 2020-03-23 07:38:01</t>
  </si>
  <si>
    <t xml:space="preserve"> 2020-03-22 17:44:02</t>
  </si>
  <si>
    <t>戴口罩后才认清的现实</t>
  </si>
  <si>
    <t xml:space="preserve"> 2020-03-23 07:28:02</t>
  </si>
  <si>
    <t>雷神山医院首例孕妇患者康复出院</t>
  </si>
  <si>
    <t xml:space="preserve"> 2020-03-23 11:44:02</t>
  </si>
  <si>
    <t xml:space="preserve"> 2020-03-22 22:58:02</t>
  </si>
  <si>
    <t>火龙果遇害现场</t>
  </si>
  <si>
    <t xml:space="preserve"> 2020-03-23 10:02:02</t>
  </si>
  <si>
    <t xml:space="preserve"> 2020-03-22 22:02:02</t>
  </si>
  <si>
    <t>留学生决定回国希望得到理解</t>
  </si>
  <si>
    <t xml:space="preserve"> 2020-03-23 08:48:01</t>
  </si>
  <si>
    <t xml:space="preserve"> 2020-03-22 23:24:01</t>
  </si>
  <si>
    <t>在寝室经常被早起的感觉</t>
  </si>
  <si>
    <t xml:space="preserve"> 2020-03-23 08:32:02</t>
  </si>
  <si>
    <t>马来西亚新冠肺炎病例增至1306例</t>
  </si>
  <si>
    <t xml:space="preserve"> 2020-03-23 11:46:02</t>
  </si>
  <si>
    <t xml:space="preserve"> 2020-03-22 23:00:03</t>
  </si>
  <si>
    <t>章龄之教育方式</t>
  </si>
  <si>
    <t xml:space="preserve"> 2020-03-23 08:28:02</t>
  </si>
  <si>
    <t xml:space="preserve"> 2020-03-22 21:20:01</t>
  </si>
  <si>
    <t>长得微胖是什么样的体验</t>
  </si>
  <si>
    <t xml:space="preserve"> 2020-03-22 22:56:02</t>
  </si>
  <si>
    <t>南京部分商场公园不再测体温</t>
  </si>
  <si>
    <t xml:space="preserve"> 2020-03-22 22:12:02</t>
  </si>
  <si>
    <t>俄罗斯派运输机支援意大利</t>
  </si>
  <si>
    <t xml:space="preserve"> 2020-03-23 09:08:02</t>
  </si>
  <si>
    <t xml:space="preserve"> 2020-03-22 21:12:02</t>
  </si>
  <si>
    <t>易烊千玺搭档李俊濠</t>
  </si>
  <si>
    <t>训练完了谁还不是个孩子呢</t>
  </si>
  <si>
    <t xml:space="preserve"> 2020-03-23 09:38:01</t>
  </si>
  <si>
    <t xml:space="preserve"> 2020-03-22 22:06:02</t>
  </si>
  <si>
    <t>兰州居民楼地面下陷30公分</t>
  </si>
  <si>
    <t xml:space="preserve"> 2020-03-22 21:42:02</t>
  </si>
  <si>
    <t>两世欢大结局</t>
  </si>
  <si>
    <t xml:space="preserve"> 2020-03-23 07:20:01</t>
  </si>
  <si>
    <t>回形针</t>
  </si>
  <si>
    <t xml:space="preserve"> 2020-03-23 08:20:02</t>
  </si>
  <si>
    <t xml:space="preserve"> 2020-03-22 21:24:01</t>
  </si>
  <si>
    <t>木村心美和服造型</t>
  </si>
  <si>
    <t xml:space="preserve"> 2020-03-23 08:18:01</t>
  </si>
  <si>
    <t>湖北确诊贫困人口每人获补助1万元</t>
  </si>
  <si>
    <t xml:space="preserve"> 2020-03-23 08:16:01</t>
  </si>
  <si>
    <t xml:space="preserve"> 2020-03-22 20:00:02</t>
  </si>
  <si>
    <t>开学见到同学后的你</t>
  </si>
  <si>
    <t xml:space="preserve"> 2020-03-23 07:14:02</t>
  </si>
  <si>
    <t xml:space="preserve"> 2020-03-22 20:32:01</t>
  </si>
  <si>
    <t>张颜齐声音</t>
  </si>
  <si>
    <t xml:space="preserve"> 2020-03-23 07:36:02</t>
  </si>
  <si>
    <t>湖北省内人员离汉政策来了</t>
  </si>
  <si>
    <t xml:space="preserve"> 2020-03-23 09:50:02</t>
  </si>
  <si>
    <t xml:space="preserve"> 2020-03-22 23:32:02</t>
  </si>
  <si>
    <t>黄觉麦子教育方式</t>
  </si>
  <si>
    <t xml:space="preserve"> 2020-03-23 08:04:01</t>
  </si>
  <si>
    <t xml:space="preserve"> 2020-03-22 23:36:02</t>
  </si>
  <si>
    <t>海军研制战疫无线听诊器</t>
  </si>
  <si>
    <t xml:space="preserve"> 2020-03-23 07:16:02</t>
  </si>
  <si>
    <t xml:space="preserve"> 2020-03-22 16:54:02</t>
  </si>
  <si>
    <t>塞尔维亚将国旗与五星红旗系在一起</t>
  </si>
  <si>
    <t xml:space="preserve"> 2020-03-23 09:10:02</t>
  </si>
  <si>
    <t>婺源万亩油菜花梯田</t>
  </si>
  <si>
    <t xml:space="preserve"> 2020-03-22 19:36:02</t>
  </si>
  <si>
    <t>29岁医生抗疫前线突发疾病离世</t>
  </si>
  <si>
    <t>印度7成旅游从业者面临失业</t>
  </si>
  <si>
    <t xml:space="preserve"> 2020-03-23 01:06:01</t>
  </si>
  <si>
    <t xml:space="preserve"> 2020-03-22 22:22:02</t>
  </si>
  <si>
    <t>石家庄不再限制人员进出小区</t>
  </si>
  <si>
    <t xml:space="preserve"> 2020-03-23 08:08:02</t>
  </si>
  <si>
    <t xml:space="preserve"> 2020-03-22 16:56:02</t>
  </si>
  <si>
    <t>一家6口从英国抵京确诊4人</t>
  </si>
  <si>
    <t xml:space="preserve"> 2020-03-22 14:38:02</t>
  </si>
  <si>
    <t>庆庆</t>
  </si>
  <si>
    <t xml:space="preserve"> 2020-03-23 01:54:02</t>
  </si>
  <si>
    <t xml:space="preserve"> 2020-03-22 21:38:01</t>
  </si>
  <si>
    <t>桃子味的晚霞</t>
  </si>
  <si>
    <t xml:space="preserve"> 2020-03-23 08:02:02</t>
  </si>
  <si>
    <t xml:space="preserve"> 2020-03-22 21:28:02</t>
  </si>
  <si>
    <t>孟鹤堂周九良直播</t>
  </si>
  <si>
    <t xml:space="preserve"> 2020-03-23 04:52:02</t>
  </si>
  <si>
    <t xml:space="preserve"> 2020-03-22 15:38:02</t>
  </si>
  <si>
    <t>林小宅编舞老师道歉</t>
  </si>
  <si>
    <t xml:space="preserve"> 2020-03-23 08:22:02</t>
  </si>
  <si>
    <t xml:space="preserve"> 2020-03-22 20:56:02</t>
  </si>
  <si>
    <t>玉渊潭樱花</t>
  </si>
  <si>
    <t>警察丈夫迎接援鄂妻子隔空拥抱</t>
  </si>
  <si>
    <t>张伯礼院士回忆出征武汉落泪</t>
  </si>
  <si>
    <t xml:space="preserve"> 2020-03-23 16:58:02</t>
  </si>
  <si>
    <t xml:space="preserve"> 2020-03-23 10:44:01</t>
  </si>
  <si>
    <t>刘真去世</t>
  </si>
  <si>
    <t xml:space="preserve"> 2020-03-23 16:28:01</t>
  </si>
  <si>
    <t xml:space="preserve"> 2020-03-23 11:16:02</t>
  </si>
  <si>
    <t>澳大利亚退出今夏东京奥运会</t>
  </si>
  <si>
    <t xml:space="preserve"> 2020-03-23 10:50:02</t>
  </si>
  <si>
    <t>加拿大退出东京奥运会</t>
  </si>
  <si>
    <t xml:space="preserve"> 2020-03-23 17:20:02</t>
  </si>
  <si>
    <t>郭老师直播和老公打起来了</t>
  </si>
  <si>
    <t xml:space="preserve"> 2020-03-23 13:54:02</t>
  </si>
  <si>
    <t xml:space="preserve"> 2020-03-23 11:24:02</t>
  </si>
  <si>
    <t>再也看不到刘真和小S斗嘴了</t>
  </si>
  <si>
    <t xml:space="preserve"> 2020-03-23 14:18:01</t>
  </si>
  <si>
    <t>多国组织逼宫奥运延期</t>
  </si>
  <si>
    <t xml:space="preserve"> 2020-03-23 14:36:01</t>
  </si>
  <si>
    <t xml:space="preserve"> 2020-03-23 09:18:02</t>
  </si>
  <si>
    <t>安倍表示若不能完整举办奥运将考虑延期</t>
  </si>
  <si>
    <t xml:space="preserve"> 2020-03-23 14:10:02</t>
  </si>
  <si>
    <t xml:space="preserve"> 2020-03-23 08:44:01</t>
  </si>
  <si>
    <t>意大利又一市长狂怼市民</t>
  </si>
  <si>
    <t xml:space="preserve"> 2020-03-23 16:22:02</t>
  </si>
  <si>
    <t xml:space="preserve"> 2020-03-23 11:48:02</t>
  </si>
  <si>
    <t>龚正任上海市代市长</t>
  </si>
  <si>
    <t xml:space="preserve"> 2020-03-23 15:36:02</t>
  </si>
  <si>
    <t xml:space="preserve"> 2020-03-23 08:56:02</t>
  </si>
  <si>
    <t>纽约市长称特朗普再不行动更多人将丧命</t>
  </si>
  <si>
    <t xml:space="preserve"> 2020-03-23 15:50:02</t>
  </si>
  <si>
    <t>意大利人回答为何不带口罩</t>
  </si>
  <si>
    <t xml:space="preserve"> 2020-03-23 13:34:01</t>
  </si>
  <si>
    <t xml:space="preserve"> 2020-03-23 11:00:02</t>
  </si>
  <si>
    <t>上海应急响应级别调整为二级</t>
  </si>
  <si>
    <t xml:space="preserve"> 2020-03-23 13:36:01</t>
  </si>
  <si>
    <t xml:space="preserve"> 2020-03-23 10:08:02</t>
  </si>
  <si>
    <t>麦当劳关闭英国所有门店</t>
  </si>
  <si>
    <t xml:space="preserve"> 2020-03-23 14:00:02</t>
  </si>
  <si>
    <t>海南省发布第一批禁塑名录</t>
  </si>
  <si>
    <t xml:space="preserve"> 2020-03-23 13:26:02</t>
  </si>
  <si>
    <t xml:space="preserve"> 2020-03-23 10:46:02</t>
  </si>
  <si>
    <t>哥伦比亚监狱暴动致23死90伤</t>
  </si>
  <si>
    <t xml:space="preserve"> 2020-03-23 20:04:01</t>
  </si>
  <si>
    <t xml:space="preserve"> 2020-03-23 11:22:02</t>
  </si>
  <si>
    <t>重庆机场</t>
  </si>
  <si>
    <t xml:space="preserve"> 2020-03-23 13:04:02</t>
  </si>
  <si>
    <t xml:space="preserve"> 2020-01-28 19:10:01</t>
  </si>
  <si>
    <t>小S</t>
  </si>
  <si>
    <t xml:space="preserve"> 2020-03-23 10:58:02</t>
  </si>
  <si>
    <t>戈贝尔失去味觉和嗅觉</t>
  </si>
  <si>
    <t xml:space="preserve"> 2020-03-23 14:48:02</t>
  </si>
  <si>
    <t xml:space="preserve"> 2020-03-23 10:22:02</t>
  </si>
  <si>
    <t>企业复工后发现20多名空气员工</t>
  </si>
  <si>
    <t xml:space="preserve"> 2020-03-23 16:26:02</t>
  </si>
  <si>
    <t xml:space="preserve"> 2020-03-23 11:50:02</t>
  </si>
  <si>
    <t>海豚向海鸥炫耀嘴里的小鱼</t>
  </si>
  <si>
    <t xml:space="preserve"> 2020-03-23 14:26:02</t>
  </si>
  <si>
    <t xml:space="preserve"> 2020-03-23 11:36:01</t>
  </si>
  <si>
    <t>北京向献血者赠500元体检卡和口罩</t>
  </si>
  <si>
    <t xml:space="preserve"> 2020-03-23 13:56:02</t>
  </si>
  <si>
    <t xml:space="preserve"> 2020-03-23 08:34:02</t>
  </si>
  <si>
    <t>让你屏蔽朋友圈好友的原因</t>
  </si>
  <si>
    <t xml:space="preserve"> 2020-03-23 16:36:01</t>
  </si>
  <si>
    <t xml:space="preserve"> 2020-03-23 12:04:02</t>
  </si>
  <si>
    <t>张文宏说正常生活可以逐步恢复了</t>
  </si>
  <si>
    <t xml:space="preserve"> 2020-03-23 16:06:02</t>
  </si>
  <si>
    <t xml:space="preserve"> 2020-03-23 12:00:02</t>
  </si>
  <si>
    <t>澳总理称今年是澳大利亚最难一年</t>
  </si>
  <si>
    <t xml:space="preserve"> 2020-03-23 15:58:02</t>
  </si>
  <si>
    <t xml:space="preserve"> 2020-03-23 11:42:01</t>
  </si>
  <si>
    <t>周一早高峰北京已严重拥堵</t>
  </si>
  <si>
    <t xml:space="preserve"> 2020-03-23 15:54:02</t>
  </si>
  <si>
    <t>今年前两个月实物商品网上零售额增长</t>
  </si>
  <si>
    <t xml:space="preserve"> 2020-03-23 14:32:02</t>
  </si>
  <si>
    <t>人不胖脸胖是什么体验</t>
  </si>
  <si>
    <t xml:space="preserve"> 2020-03-23 13:42:02</t>
  </si>
  <si>
    <t xml:space="preserve"> 2020-03-23 11:08:02</t>
  </si>
  <si>
    <t>洛阳樱花道一侧樱花一侧垂柳</t>
  </si>
  <si>
    <t>伊朗最高领袖拒绝美国支援抗疫</t>
  </si>
  <si>
    <t xml:space="preserve"> 2020-03-23 09:12:02</t>
  </si>
  <si>
    <t>德国将禁止两人以上聚集</t>
  </si>
  <si>
    <t xml:space="preserve"> 2020-03-23 12:46:01</t>
  </si>
  <si>
    <t xml:space="preserve"> 2020-03-23 08:10:02</t>
  </si>
  <si>
    <t>中国机组嘱咐意大利照顾好我们的医生</t>
  </si>
  <si>
    <t>9地新增39例境外输入病例</t>
  </si>
  <si>
    <t xml:space="preserve"> 2020-03-23 07:40:02</t>
  </si>
  <si>
    <t>爸妈是怎么发现你谈恋爱的</t>
  </si>
  <si>
    <t xml:space="preserve"> 2020-03-23 12:28:02</t>
  </si>
  <si>
    <t xml:space="preserve"> 2020-03-23 10:12:02</t>
  </si>
  <si>
    <t>黄冈女孩举画2公里送别医疗队</t>
  </si>
  <si>
    <t>特朗普否认抛售股票</t>
  </si>
  <si>
    <t xml:space="preserve"> 2020-03-23 12:34:01</t>
  </si>
  <si>
    <t>回形针制作人回应</t>
  </si>
  <si>
    <t xml:space="preserve"> 2020-03-23 11:34:01</t>
  </si>
  <si>
    <t>写字不好看是什么体验</t>
  </si>
  <si>
    <t xml:space="preserve"> 2020-03-23 12:24:02</t>
  </si>
  <si>
    <t xml:space="preserve"> 2020-03-23 07:22:01</t>
  </si>
  <si>
    <t>王一博给眼保健操配音</t>
  </si>
  <si>
    <t xml:space="preserve"> 2020-03-23 12:30:01</t>
  </si>
  <si>
    <t>国足启程回国</t>
  </si>
  <si>
    <t xml:space="preserve"> 2020-03-23 14:52:02</t>
  </si>
  <si>
    <t xml:space="preserve"> 2020-03-23 12:10:01</t>
  </si>
  <si>
    <t>ECMO施治有多难</t>
  </si>
  <si>
    <t xml:space="preserve"> 2020-03-23 12:40:02</t>
  </si>
  <si>
    <t>对中小微企业招用毕业生予以补贴</t>
  </si>
  <si>
    <t>共享员工模式解决400万餐饮人员就业</t>
  </si>
  <si>
    <t xml:space="preserve"> 2020-03-23 12:14:01</t>
  </si>
  <si>
    <t>爱在系列或拍第四部</t>
  </si>
  <si>
    <t xml:space="preserve"> 2020-03-23 12:38:02</t>
  </si>
  <si>
    <t>养狗之后才知道的事</t>
  </si>
  <si>
    <t xml:space="preserve"> 2020-03-23 07:24:02</t>
  </si>
  <si>
    <t>CNN主播批评特朗普</t>
  </si>
  <si>
    <t xml:space="preserve"> 2020-03-23 12:22:01</t>
  </si>
  <si>
    <t xml:space="preserve"> 2020-03-23 09:16:01</t>
  </si>
  <si>
    <t>河南新增境外输入病例1例</t>
  </si>
  <si>
    <t xml:space="preserve"> 2020-03-24 11:32:01</t>
  </si>
  <si>
    <t xml:space="preserve"> 2020-03-23 22:54:02</t>
  </si>
  <si>
    <t>金恩圣工作室声明</t>
  </si>
  <si>
    <t xml:space="preserve"> 2020-03-24 10:42:02</t>
  </si>
  <si>
    <t xml:space="preserve"> 2020-03-23 20:08:02</t>
  </si>
  <si>
    <t>N号房赵博士身份公开</t>
  </si>
  <si>
    <t xml:space="preserve"> 2020-03-24 09:36:02</t>
  </si>
  <si>
    <t xml:space="preserve"> 2020-03-23 21:34:02</t>
  </si>
  <si>
    <t>毕业生举报导师剽窃其论文发表</t>
  </si>
  <si>
    <t xml:space="preserve"> 2020-03-24 08:54:02</t>
  </si>
  <si>
    <t xml:space="preserve"> 2020-03-23 21:32:02</t>
  </si>
  <si>
    <t>全球两天取消4万个航班</t>
  </si>
  <si>
    <t xml:space="preserve"> 2020-03-24 08:32:02</t>
  </si>
  <si>
    <t xml:space="preserve"> 2020-03-23 18:30:01</t>
  </si>
  <si>
    <t>湖南16岁少女被囚禁地洞案宣判</t>
  </si>
  <si>
    <t xml:space="preserve"> 2020-03-24 08:30:02</t>
  </si>
  <si>
    <t xml:space="preserve"> 2020-03-23 21:24:01</t>
  </si>
  <si>
    <t>美国确诊新冠肺炎超3.5万例</t>
  </si>
  <si>
    <t xml:space="preserve"> 2020-03-24 08:12:02</t>
  </si>
  <si>
    <t xml:space="preserve"> 2020-03-23 21:52:02</t>
  </si>
  <si>
    <t>武大明年将举办医护人员赏樱专场</t>
  </si>
  <si>
    <t xml:space="preserve"> 2020-03-24 10:02:01</t>
  </si>
  <si>
    <t xml:space="preserve"> 2020-03-23 18:04:02</t>
  </si>
  <si>
    <t>耿爽说美国贼喊捉贼把戏太拙劣</t>
  </si>
  <si>
    <t xml:space="preserve"> 2020-03-24 08:22:01</t>
  </si>
  <si>
    <t xml:space="preserve"> 2020-03-23 18:48:02</t>
  </si>
  <si>
    <t>釜山行2剧照</t>
  </si>
  <si>
    <t xml:space="preserve"> 2020-03-24 08:00:02</t>
  </si>
  <si>
    <t xml:space="preserve"> 2020-03-23 22:18:02</t>
  </si>
  <si>
    <t>苹果总市值跌破1万亿美元</t>
  </si>
  <si>
    <t xml:space="preserve"> 2020-03-24 08:20:02</t>
  </si>
  <si>
    <t xml:space="preserve"> 2020-03-23 19:36:02</t>
  </si>
  <si>
    <t>留学生辗转回国入境那一刻哭了</t>
  </si>
  <si>
    <t>江苏对所有入境人员集中医学观察14天</t>
  </si>
  <si>
    <t xml:space="preserve"> 2020-03-24 07:46:02</t>
  </si>
  <si>
    <t xml:space="preserve"> 2020-03-23 22:26:02</t>
  </si>
  <si>
    <t>湖北荆州火车站即将恢复使用</t>
  </si>
  <si>
    <t xml:space="preserve"> 2020-03-24 10:38:02</t>
  </si>
  <si>
    <t xml:space="preserve"> 2020-03-23 23:14:02</t>
  </si>
  <si>
    <t>意大利病亡率为什么这么高</t>
  </si>
  <si>
    <t xml:space="preserve"> 2020-03-24 10:00:03</t>
  </si>
  <si>
    <t xml:space="preserve"> 2020-03-23 22:38:02</t>
  </si>
  <si>
    <t>韩国公司500人坐私家车里开会</t>
  </si>
  <si>
    <t xml:space="preserve"> 2020-03-24 09:22:02</t>
  </si>
  <si>
    <t xml:space="preserve"> 2020-03-23 23:32:03</t>
  </si>
  <si>
    <t>泰国确诊数一周内增5倍</t>
  </si>
  <si>
    <t xml:space="preserve"> 2019-12-05 19:24:02</t>
  </si>
  <si>
    <t>狼殿下</t>
  </si>
  <si>
    <t>可乐的隐藏喝法</t>
  </si>
  <si>
    <t xml:space="preserve"> 2020-03-24 09:16:02</t>
  </si>
  <si>
    <t xml:space="preserve"> 2020-03-23 19:44:02</t>
  </si>
  <si>
    <t>你认识的富二代都啥样</t>
  </si>
  <si>
    <t xml:space="preserve"> 2020-03-24 10:20:02</t>
  </si>
  <si>
    <t xml:space="preserve"> 2020-03-23 23:02:01</t>
  </si>
  <si>
    <t>北方人到南方上大学</t>
  </si>
  <si>
    <t xml:space="preserve"> 2020-03-24 08:40:02</t>
  </si>
  <si>
    <t xml:space="preserve"> 2020-03-23 19:42:02</t>
  </si>
  <si>
    <t>人类幼崽迷惑行为</t>
  </si>
  <si>
    <t xml:space="preserve"> 2020-03-24 07:36:02</t>
  </si>
  <si>
    <t xml:space="preserve"> 2020-03-23 22:32:02</t>
  </si>
  <si>
    <t>医护对着手机照片隔空喊话最想念的人</t>
  </si>
  <si>
    <t xml:space="preserve"> 2020-03-24 07:34:02</t>
  </si>
  <si>
    <t xml:space="preserve"> 2020-03-23 13:32:02</t>
  </si>
  <si>
    <t>刘真的最后一条微博</t>
  </si>
  <si>
    <t xml:space="preserve"> 2020-03-23 18:36:02</t>
  </si>
  <si>
    <t>春天最适合穿的风衣</t>
  </si>
  <si>
    <t xml:space="preserve"> 2020-03-24 08:28:02</t>
  </si>
  <si>
    <t>我的学习现状</t>
  </si>
  <si>
    <t xml:space="preserve"> 2020-03-24 08:26:02</t>
  </si>
  <si>
    <t xml:space="preserve"> 2020-03-23 22:06:01</t>
  </si>
  <si>
    <t>有虎牙是怎样的体验</t>
  </si>
  <si>
    <t xml:space="preserve"> 2020-03-24 08:10:01</t>
  </si>
  <si>
    <t xml:space="preserve"> 2020-03-23 19:22:02</t>
  </si>
  <si>
    <t>女生买东西时的逻辑</t>
  </si>
  <si>
    <t xml:space="preserve"> 2020-03-24 08:42:02</t>
  </si>
  <si>
    <t xml:space="preserve"> 2020-03-23 16:30:02</t>
  </si>
  <si>
    <t>塞尔维亚总统3年前赞中国是好朋友</t>
  </si>
  <si>
    <t xml:space="preserve"> 2020-03-24 07:58:02</t>
  </si>
  <si>
    <t xml:space="preserve"> 2020-03-13 07:54:02</t>
  </si>
  <si>
    <t>美联储</t>
  </si>
  <si>
    <t xml:space="preserve"> 2020-03-24 08:04:02</t>
  </si>
  <si>
    <t xml:space="preserve"> 2020-03-23 17:36:02</t>
  </si>
  <si>
    <t>三大运营商宣布整改</t>
  </si>
  <si>
    <t xml:space="preserve"> 2020-03-24 07:32:01</t>
  </si>
  <si>
    <t xml:space="preserve"> 2020-03-23 20:58:02</t>
  </si>
  <si>
    <t>上海首例哄抬口罩价格案宣判</t>
  </si>
  <si>
    <t xml:space="preserve"> 2020-03-24 08:14:02</t>
  </si>
  <si>
    <t xml:space="preserve"> 2020-03-23 21:02:02</t>
  </si>
  <si>
    <t>襄阳发现1例输入无症状感染者</t>
  </si>
  <si>
    <t>英国诊所向富人出售试剂盒</t>
  </si>
  <si>
    <t xml:space="preserve"> 2020-03-23 17:08:02</t>
  </si>
  <si>
    <t>外国人在家办公的画风</t>
  </si>
  <si>
    <t xml:space="preserve"> 2019-11-02 22:42:02</t>
  </si>
  <si>
    <t>iG输了</t>
  </si>
  <si>
    <t xml:space="preserve"> 2020-03-24 03:40:02</t>
  </si>
  <si>
    <t xml:space="preserve"> 2020-03-23 18:16:02</t>
  </si>
  <si>
    <t>牙齿塞东西舌头和手的反应</t>
  </si>
  <si>
    <t xml:space="preserve"> 2020-03-24 08:16:02</t>
  </si>
  <si>
    <t xml:space="preserve"> 2020-03-23 17:56:02</t>
  </si>
  <si>
    <t>留学生外出逛街未戴口罩抵京后确诊</t>
  </si>
  <si>
    <t xml:space="preserve"> 2020-03-24 07:26:01</t>
  </si>
  <si>
    <t xml:space="preserve"> 2020-03-23 22:12:02</t>
  </si>
  <si>
    <t>白岩松连线中国赴国外抗疫专家</t>
  </si>
  <si>
    <t xml:space="preserve"> 2020-03-24 07:24:02</t>
  </si>
  <si>
    <t xml:space="preserve"> 2020-03-23 19:24:02</t>
  </si>
  <si>
    <t>中国愿向有需要国家地区提供中医药援助</t>
  </si>
  <si>
    <t xml:space="preserve"> 2020-03-24 07:10:02</t>
  </si>
  <si>
    <t>武汉大学生愈后献血浆救人</t>
  </si>
  <si>
    <t xml:space="preserve"> 2020-03-24 07:20:02</t>
  </si>
  <si>
    <t xml:space="preserve"> 2020-03-23 15:22:01</t>
  </si>
  <si>
    <t>边伯贤为N号房事件发声</t>
  </si>
  <si>
    <t xml:space="preserve"> 2020-03-24 02:50:02</t>
  </si>
  <si>
    <t xml:space="preserve"> 2020-03-23 18:26:01</t>
  </si>
  <si>
    <t>集中隔离普遍服中药阻止了疫情蔓延</t>
  </si>
  <si>
    <t xml:space="preserve"> 2020-03-24 07:28:02</t>
  </si>
  <si>
    <t xml:space="preserve"> 2020-03-23 20:02:02</t>
  </si>
  <si>
    <t>当前全国本土疫情传播基本阻断</t>
  </si>
  <si>
    <t xml:space="preserve"> 2020-03-24 16:10:02</t>
  </si>
  <si>
    <t xml:space="preserve"> 2020-03-24 09:52:02</t>
  </si>
  <si>
    <t>当初批评中国的防疫措施西方都用了</t>
  </si>
  <si>
    <t xml:space="preserve"> 2020-03-24 17:26:02</t>
  </si>
  <si>
    <t xml:space="preserve"> 2020-03-24 11:20:02</t>
  </si>
  <si>
    <t>特朗普要在3至4个月内重启美国</t>
  </si>
  <si>
    <t xml:space="preserve"> 2020-03-24 15:34:02</t>
  </si>
  <si>
    <t xml:space="preserve"> 2020-03-24 11:38:02</t>
  </si>
  <si>
    <t>禁止14天内曾到外国的非澳门居民入境</t>
  </si>
  <si>
    <t>露西娅波塞去世</t>
  </si>
  <si>
    <t xml:space="preserve"> 2020-03-24 17:54:02</t>
  </si>
  <si>
    <t xml:space="preserve"> 2020-03-24 10:40:01</t>
  </si>
  <si>
    <t>内蒙人家里的水龙头流牛奶</t>
  </si>
  <si>
    <t xml:space="preserve"> 2020-03-24 15:42:02</t>
  </si>
  <si>
    <t>特朗普对中国的指责不符合事实</t>
  </si>
  <si>
    <t xml:space="preserve"> 2020-03-24 16:18:02</t>
  </si>
  <si>
    <t xml:space="preserve"> 2020-03-24 11:58:02</t>
  </si>
  <si>
    <t>南京67万人次摇中消费券</t>
  </si>
  <si>
    <t xml:space="preserve"> 2020-03-24 14:38:02</t>
  </si>
  <si>
    <t xml:space="preserve"> 2020-03-24 10:26:02</t>
  </si>
  <si>
    <t>特朗普发推呼吁保护亚裔群体</t>
  </si>
  <si>
    <t>湖北新增1例确诊病例</t>
  </si>
  <si>
    <t xml:space="preserve"> 2020-03-24 14:40:02</t>
  </si>
  <si>
    <t xml:space="preserve"> 2020-03-24 11:34:02</t>
  </si>
  <si>
    <t>美政客提供杀灭新冠病毒妙计</t>
  </si>
  <si>
    <t xml:space="preserve"> 2020-03-24 14:22:02</t>
  </si>
  <si>
    <t xml:space="preserve"> 2020-03-24 10:30:02</t>
  </si>
  <si>
    <t>武汉新增确诊病例系医生</t>
  </si>
  <si>
    <t xml:space="preserve"> 2020-03-24 14:20:02</t>
  </si>
  <si>
    <t xml:space="preserve"> 2020-03-24 08:02:02</t>
  </si>
  <si>
    <t>澳籍跑步女所住房屋已退租</t>
  </si>
  <si>
    <t xml:space="preserve"> 2020-03-24 13:48:01</t>
  </si>
  <si>
    <t xml:space="preserve"> 2020-03-24 11:02:02</t>
  </si>
  <si>
    <t>意大利24名医生感染新冠殉职</t>
  </si>
  <si>
    <t xml:space="preserve"> 2020-03-24 13:32:02</t>
  </si>
  <si>
    <t>4地新增本土病例4例</t>
  </si>
  <si>
    <t xml:space="preserve"> 2020-03-24 16:38:02</t>
  </si>
  <si>
    <t xml:space="preserve"> 2020-03-24 11:14:02</t>
  </si>
  <si>
    <t>西安HPV九价</t>
  </si>
  <si>
    <t xml:space="preserve"> 2020-03-24 19:12:02</t>
  </si>
  <si>
    <t xml:space="preserve"> 2020-03-24 11:50:01</t>
  </si>
  <si>
    <t>iPhone12或按原计划推出</t>
  </si>
  <si>
    <t xml:space="preserve"> 2020-03-26 09:56:02</t>
  </si>
  <si>
    <t>申冰</t>
  </si>
  <si>
    <t xml:space="preserve"> 2020-03-24 18:02:02</t>
  </si>
  <si>
    <t xml:space="preserve"> 2020-03-24 10:48:01</t>
  </si>
  <si>
    <t>林宥嘉任青你X导师</t>
  </si>
  <si>
    <t xml:space="preserve"> 2020-03-24 15:22:02</t>
  </si>
  <si>
    <t xml:space="preserve"> 2020-03-24 10:58:02</t>
  </si>
  <si>
    <t>粥店店长挂涉疫情不当横幅被解雇</t>
  </si>
  <si>
    <t xml:space="preserve"> 2020-03-24 15:00:02</t>
  </si>
  <si>
    <t xml:space="preserve"> 2020-03-24 11:16:02</t>
  </si>
  <si>
    <t>新冠疫苗志愿者朱傲冰</t>
  </si>
  <si>
    <t xml:space="preserve"> 2020-03-24 14:32:02</t>
  </si>
  <si>
    <t xml:space="preserve"> 2020-03-24 11:48:02</t>
  </si>
  <si>
    <t>四川绵阳千名学生居家月考</t>
  </si>
  <si>
    <t xml:space="preserve"> 2020-03-24 13:26:01</t>
  </si>
  <si>
    <t xml:space="preserve"> 2020-03-24 10:36:02</t>
  </si>
  <si>
    <t>艾伦特维特感染新冠</t>
  </si>
  <si>
    <t xml:space="preserve"> 2020-03-24 14:58:02</t>
  </si>
  <si>
    <t>睡到一半突然想到某样东西</t>
  </si>
  <si>
    <t xml:space="preserve"> 2020-03-24 20:10:02</t>
  </si>
  <si>
    <t xml:space="preserve"> 2020-03-24 09:04:02</t>
  </si>
  <si>
    <t>今年来已有近百家房企破产</t>
  </si>
  <si>
    <t xml:space="preserve"> 2020-03-25 03:50:01</t>
  </si>
  <si>
    <t xml:space="preserve"> 2020-03-24 07:12:02</t>
  </si>
  <si>
    <t>东京奥运会推迟</t>
  </si>
  <si>
    <t xml:space="preserve"> 2020-03-24 14:50:02</t>
  </si>
  <si>
    <t>出血热</t>
  </si>
  <si>
    <t xml:space="preserve"> 2020-03-24 16:26:02</t>
  </si>
  <si>
    <t xml:space="preserve"> 2020-03-24 11:52:02</t>
  </si>
  <si>
    <t>联合国呼吁全球停火</t>
  </si>
  <si>
    <t xml:space="preserve"> 2020-03-24 13:50:02</t>
  </si>
  <si>
    <t xml:space="preserve"> 2020-03-20 14:10:02</t>
  </si>
  <si>
    <t>不知火舞新皮肤</t>
  </si>
  <si>
    <t xml:space="preserve"> 2020-03-24 13:00:02</t>
  </si>
  <si>
    <t xml:space="preserve"> 2020-03-24 09:42:02</t>
  </si>
  <si>
    <t>意大利医生称限制超60岁患者插管</t>
  </si>
  <si>
    <t xml:space="preserve"> 2020-03-24 14:36:02</t>
  </si>
  <si>
    <t>逃避型刷微博</t>
  </si>
  <si>
    <t xml:space="preserve"> 2020-03-24 13:44:02</t>
  </si>
  <si>
    <t xml:space="preserve"> 2020-03-24 12:06:02</t>
  </si>
  <si>
    <t>海南新冠肺炎住院病患清零</t>
  </si>
  <si>
    <t>埃航机长与中国塔台的对话很催泪</t>
  </si>
  <si>
    <t xml:space="preserve"> 2020-03-24 13:24:02</t>
  </si>
  <si>
    <t>谭德塞说病毒蔓延速度让人悲痛</t>
  </si>
  <si>
    <t xml:space="preserve"> 2020-03-24 12:30:02</t>
  </si>
  <si>
    <t xml:space="preserve"> 2020-03-24 07:48:02</t>
  </si>
  <si>
    <t>陈沐沐</t>
  </si>
  <si>
    <t xml:space="preserve"> 2020-03-24 14:12:02</t>
  </si>
  <si>
    <t xml:space="preserve"> 2020-03-24 10:28:02</t>
  </si>
  <si>
    <t>N号房赵博士曾做志愿活动</t>
  </si>
  <si>
    <t xml:space="preserve"> 2020-03-24 12:38:01</t>
  </si>
  <si>
    <t>洋女婿</t>
  </si>
  <si>
    <t xml:space="preserve"> 2020-03-24 13:38:02</t>
  </si>
  <si>
    <t xml:space="preserve"> 2020-03-24 11:24:02</t>
  </si>
  <si>
    <t>狙击手用脸测风速</t>
  </si>
  <si>
    <t xml:space="preserve"> 2020-03-24 12:50:02</t>
  </si>
  <si>
    <t xml:space="preserve"> 2020-03-24 09:18:02</t>
  </si>
  <si>
    <t>北京中考毕业会考两考合一</t>
  </si>
  <si>
    <t xml:space="preserve"> 2020-03-24 12:56:02</t>
  </si>
  <si>
    <t>呼和浩特关闭食堂鼓励职工下馆子</t>
  </si>
  <si>
    <t xml:space="preserve"> 2020-03-24 15:38:02</t>
  </si>
  <si>
    <t>大学生的作业数量</t>
  </si>
  <si>
    <t xml:space="preserve"> 2020-03-24 18:28:02</t>
  </si>
  <si>
    <t xml:space="preserve"> 2020-03-24 12:10:02</t>
  </si>
  <si>
    <t>霉霉回应与侃爷通话录音曝光</t>
  </si>
  <si>
    <t xml:space="preserve"> 2020-03-24 20:00:02</t>
  </si>
  <si>
    <t xml:space="preserve"> 2020-03-24 12:12:02</t>
  </si>
  <si>
    <t>徐娇否认使用特权居家隔离</t>
  </si>
  <si>
    <t xml:space="preserve"> 2020-03-24 18:22:01</t>
  </si>
  <si>
    <t xml:space="preserve"> 2020-03-24 12:16:02</t>
  </si>
  <si>
    <t>中国在援助物资上写了什么</t>
  </si>
  <si>
    <t xml:space="preserve"> 2020-03-24 12:52:02</t>
  </si>
  <si>
    <t xml:space="preserve"> 2020-03-24 12:22:02</t>
  </si>
  <si>
    <t>妨害国境卫生检疫罪无国籍之分</t>
  </si>
  <si>
    <t>奥运会推迟将致日本损失超3.2万亿</t>
  </si>
  <si>
    <t xml:space="preserve"> 2020-03-24 12:58:02</t>
  </si>
  <si>
    <t xml:space="preserve"> 2020-03-24 09:38:02</t>
  </si>
  <si>
    <t>侧脸比正脸好看是啥体验</t>
  </si>
  <si>
    <t>意大利1号病人治愈</t>
  </si>
  <si>
    <t xml:space="preserve"> 2020-03-24 12:32:02</t>
  </si>
  <si>
    <t>塞尔维亚将迅速推广中国经验</t>
  </si>
  <si>
    <t xml:space="preserve"> 2020-03-25 09:06:02</t>
  </si>
  <si>
    <t xml:space="preserve"> 2020-03-24 20:12:02</t>
  </si>
  <si>
    <t>陈道明 抗疫剧</t>
  </si>
  <si>
    <t xml:space="preserve"> 2020-03-25 09:58:01</t>
  </si>
  <si>
    <t xml:space="preserve"> 2020-03-24 23:10:01</t>
  </si>
  <si>
    <t>国际舆论批评美政客污名化中国</t>
  </si>
  <si>
    <t xml:space="preserve"> 2020-03-25 10:34:02</t>
  </si>
  <si>
    <t xml:space="preserve"> 2020-03-24 23:14:03</t>
  </si>
  <si>
    <t>普京穿防护服看望新冠肺炎患者</t>
  </si>
  <si>
    <t xml:space="preserve"> 2020-03-25 08:50:02</t>
  </si>
  <si>
    <t xml:space="preserve"> 2020-03-24 22:40:02</t>
  </si>
  <si>
    <t>82岁芬兰前总统确诊新冠肺炎</t>
  </si>
  <si>
    <t xml:space="preserve"> 2020-04-02 22:04:02</t>
  </si>
  <si>
    <t xml:space="preserve"> 2020-03-24 18:50:02</t>
  </si>
  <si>
    <t>虞书欣直拍</t>
  </si>
  <si>
    <t xml:space="preserve"> 2020-03-25 09:10:02</t>
  </si>
  <si>
    <t xml:space="preserve"> 2020-03-24 23:44:02</t>
  </si>
  <si>
    <t>耀客传媒否认网传抗疫剧演员名单</t>
  </si>
  <si>
    <t xml:space="preserve"> 2020-03-24 21:12:01</t>
  </si>
  <si>
    <t>武大靖演技</t>
  </si>
  <si>
    <t xml:space="preserve"> 2020-03-25 08:22:02</t>
  </si>
  <si>
    <t>美专家无法认同特朗普甩锅中国</t>
  </si>
  <si>
    <t xml:space="preserve"> 2020-03-24 20:04:02</t>
  </si>
  <si>
    <t>世卫组织称美国可能成全球疫情震中</t>
  </si>
  <si>
    <t xml:space="preserve"> 2020-03-25 07:12:02</t>
  </si>
  <si>
    <t xml:space="preserve"> 2020-03-24 17:56:02</t>
  </si>
  <si>
    <t>青你2主题曲直拍</t>
  </si>
  <si>
    <t xml:space="preserve"> 2020-03-25 08:12:01</t>
  </si>
  <si>
    <t xml:space="preserve"> 2020-03-24 21:46:02</t>
  </si>
  <si>
    <t>盖茨称新冠疫情提醒我们人人平等</t>
  </si>
  <si>
    <t xml:space="preserve"> 2020-03-25 08:28:02</t>
  </si>
  <si>
    <t xml:space="preserve"> 2020-03-24 23:54:02</t>
  </si>
  <si>
    <t>湖北铁路除武汉外恢复办理到达出发业务</t>
  </si>
  <si>
    <t xml:space="preserve"> 2020-04-08 20:06:02</t>
  </si>
  <si>
    <t>方方</t>
  </si>
  <si>
    <t xml:space="preserve"> 2020-03-25 11:20:01</t>
  </si>
  <si>
    <t xml:space="preserve"> 2020-03-24 22:02:02</t>
  </si>
  <si>
    <t>意大利挂起中国和俄罗斯国旗</t>
  </si>
  <si>
    <t xml:space="preserve"> 2020-03-25 11:16:02</t>
  </si>
  <si>
    <t xml:space="preserve"> 2020-03-24 23:20:01</t>
  </si>
  <si>
    <t>重庆冰雹</t>
  </si>
  <si>
    <t xml:space="preserve"> 2020-03-25 11:02:02</t>
  </si>
  <si>
    <t xml:space="preserve"> 2020-03-24 22:26:02</t>
  </si>
  <si>
    <t>刘雨昕直拍</t>
  </si>
  <si>
    <t xml:space="preserve"> 2020-03-24 20:58:01</t>
  </si>
  <si>
    <t>早上醒来被100个人么么哒</t>
  </si>
  <si>
    <t xml:space="preserve"> 2020-03-25 10:42:02</t>
  </si>
  <si>
    <t xml:space="preserve"> 2020-03-24 20:52:02</t>
  </si>
  <si>
    <t>意大利疫情重灾区整整一代老年人病逝</t>
  </si>
  <si>
    <t xml:space="preserve"> 2020-03-25 10:52:02</t>
  </si>
  <si>
    <t>具荷拉母亲曾现身灵堂争遗产</t>
  </si>
  <si>
    <t xml:space="preserve"> 2020-03-25 07:50:02</t>
  </si>
  <si>
    <t xml:space="preserve"> 2020-03-24 21:34:02</t>
  </si>
  <si>
    <t>延期后奥运名称保留东京2020奥运会</t>
  </si>
  <si>
    <t xml:space="preserve"> 2020-03-25 08:54:01</t>
  </si>
  <si>
    <t xml:space="preserve"> 2020-03-24 20:22:02</t>
  </si>
  <si>
    <t>孔雪儿直拍</t>
  </si>
  <si>
    <t xml:space="preserve"> 2020-03-25 09:36:01</t>
  </si>
  <si>
    <t xml:space="preserve"> 2020-03-24 21:28:01</t>
  </si>
  <si>
    <t>N号房赵主彬涉嫌谋划杀害女童</t>
  </si>
  <si>
    <t xml:space="preserve"> 2020-03-24 23:42:02</t>
  </si>
  <si>
    <t>北京关联病例楼栋居民接受核酸检测</t>
  </si>
  <si>
    <t xml:space="preserve"> 2020-03-25 10:56:02</t>
  </si>
  <si>
    <t xml:space="preserve"> 2020-03-24 21:14:02</t>
  </si>
  <si>
    <t>韩东君直男式追妻</t>
  </si>
  <si>
    <t xml:space="preserve"> 2020-03-24 21:30:02</t>
  </si>
  <si>
    <t>韩国N号房嫌犯的两面</t>
  </si>
  <si>
    <t xml:space="preserve"> 2020-03-24 21:18:01</t>
  </si>
  <si>
    <t>东京奥运会推迟至2021年</t>
  </si>
  <si>
    <t xml:space="preserve"> 2020-03-25 08:24:01</t>
  </si>
  <si>
    <t xml:space="preserve"> 2020-03-24 22:36:01</t>
  </si>
  <si>
    <t>西班牙约5400名医护感染新冠病毒</t>
  </si>
  <si>
    <t xml:space="preserve"> 2020-03-25 09:20:02</t>
  </si>
  <si>
    <t xml:space="preserve"> 2020-03-24 21:50:02</t>
  </si>
  <si>
    <t>火神山超萌消杀小坦克</t>
  </si>
  <si>
    <t xml:space="preserve"> 2020-03-25 09:16:01</t>
  </si>
  <si>
    <t xml:space="preserve"> 2020-03-24 23:38:02</t>
  </si>
  <si>
    <t>民国奇探</t>
  </si>
  <si>
    <t xml:space="preserve"> 2020-03-25 08:36:02</t>
  </si>
  <si>
    <t xml:space="preserve"> 2020-03-24 22:06:01</t>
  </si>
  <si>
    <t>江苏新增一英国籍输入病例</t>
  </si>
  <si>
    <t xml:space="preserve"> 2020-03-25 07:26:02</t>
  </si>
  <si>
    <t xml:space="preserve"> 2020-03-24 19:14:02</t>
  </si>
  <si>
    <t>周杰伦回复歌迷有新歌</t>
  </si>
  <si>
    <t xml:space="preserve"> 2020-03-25 07:36:02</t>
  </si>
  <si>
    <t xml:space="preserve"> 2020-03-24 21:02:02</t>
  </si>
  <si>
    <t>匈牙利总理接机中国防疫物资</t>
  </si>
  <si>
    <t xml:space="preserve"> 2020-03-25 07:54:02</t>
  </si>
  <si>
    <t xml:space="preserve"> 2020-03-24 22:08:01</t>
  </si>
  <si>
    <t>新疆突降暴雪气温骤降20度</t>
  </si>
  <si>
    <t xml:space="preserve"> 2020-03-25 07:04:01</t>
  </si>
  <si>
    <t xml:space="preserve"> 2020-03-24 20:02:01</t>
  </si>
  <si>
    <t>边伯贤</t>
  </si>
  <si>
    <t xml:space="preserve"> 2020-03-24 20:06:02</t>
  </si>
  <si>
    <t>因飞机邻座是湖北籍被隔离</t>
  </si>
  <si>
    <t xml:space="preserve"> 2020-03-24 18:06:02</t>
  </si>
  <si>
    <t>杭州疾控回应徐娇居家隔离</t>
  </si>
  <si>
    <t xml:space="preserve"> 2020-03-25 07:14:02</t>
  </si>
  <si>
    <t>原定于26日开始的圣火传递将取消</t>
  </si>
  <si>
    <t xml:space="preserve"> 2020-03-25 07:48:02</t>
  </si>
  <si>
    <t>劳斯莱斯宾利临时停产</t>
  </si>
  <si>
    <t xml:space="preserve"> 2020-03-25 07:18:01</t>
  </si>
  <si>
    <t xml:space="preserve"> 2020-03-24 17:34:02</t>
  </si>
  <si>
    <t>巴西黑帮</t>
  </si>
  <si>
    <t xml:space="preserve"> 2020-03-25 08:06:02</t>
  </si>
  <si>
    <t xml:space="preserve"> 2020-03-24 19:10:02</t>
  </si>
  <si>
    <t>美国州长申请120万个口罩收到12万</t>
  </si>
  <si>
    <t xml:space="preserve"> 2020-03-25 07:30:02</t>
  </si>
  <si>
    <t>留学生买巧克力和扒鸡送防疫人员</t>
  </si>
  <si>
    <t xml:space="preserve"> 2020-03-24 23:28:02</t>
  </si>
  <si>
    <t>菲律宾航空公司暂停所有国际航班</t>
  </si>
  <si>
    <t xml:space="preserve"> 2020-03-25 07:24:02</t>
  </si>
  <si>
    <t xml:space="preserve"> 2020-03-24 23:36:01</t>
  </si>
  <si>
    <t>自制巧克力脆皮雪糕</t>
  </si>
  <si>
    <t xml:space="preserve"> 2020-03-24 18:36:02</t>
  </si>
  <si>
    <t>教室无法保证间隔1米以上怎么办</t>
  </si>
  <si>
    <t xml:space="preserve"> 2020-03-25 07:22:02</t>
  </si>
  <si>
    <t xml:space="preserve"> 2020-03-24 15:50:02</t>
  </si>
  <si>
    <t>意大利伦巴第地区希望中国接管ICU</t>
  </si>
  <si>
    <t xml:space="preserve"> 2020-03-25 15:46:02</t>
  </si>
  <si>
    <t>特朗普向韩国寻求医疗设备支援</t>
  </si>
  <si>
    <t xml:space="preserve"> 2020-03-25 18:54:02</t>
  </si>
  <si>
    <t xml:space="preserve"> 2020-03-25 10:46:02</t>
  </si>
  <si>
    <t>热干面醒了</t>
  </si>
  <si>
    <t xml:space="preserve"> 2020-03-25 17:42:02</t>
  </si>
  <si>
    <t xml:space="preserve"> 2020-03-25 09:12:02</t>
  </si>
  <si>
    <t>特朗普决定不再使用中国病毒说法</t>
  </si>
  <si>
    <t xml:space="preserve"> 2020-03-25 17:16:02</t>
  </si>
  <si>
    <t xml:space="preserve"> 2020-03-25 09:22:02</t>
  </si>
  <si>
    <t>姜思达 刘维</t>
  </si>
  <si>
    <t xml:space="preserve"> 2020-03-25 17:24:01</t>
  </si>
  <si>
    <t xml:space="preserve"> 2020-03-25 10:44:02</t>
  </si>
  <si>
    <t>当关东煮加入了千页豆腐</t>
  </si>
  <si>
    <t xml:space="preserve"> 2020-03-25 16:48:02</t>
  </si>
  <si>
    <t>美国病毒猎手确诊新冠肺炎</t>
  </si>
  <si>
    <t xml:space="preserve"> 2020-03-25 15:58:02</t>
  </si>
  <si>
    <t xml:space="preserve"> 2020-03-25 08:52:01</t>
  </si>
  <si>
    <t>任嘉伦文案</t>
  </si>
  <si>
    <t>德国订购600万口罩在肯尼亚丢失</t>
  </si>
  <si>
    <t xml:space="preserve"> 2020-03-25 14:28:01</t>
  </si>
  <si>
    <t xml:space="preserve"> 2020-03-25 11:54:02</t>
  </si>
  <si>
    <t>志村健确诊新冠</t>
  </si>
  <si>
    <t xml:space="preserve"> 2020-03-25 15:52:02</t>
  </si>
  <si>
    <t xml:space="preserve"> 2020-03-25 11:44:01</t>
  </si>
  <si>
    <t>淘宝回应内测版将无法使用</t>
  </si>
  <si>
    <t xml:space="preserve"> 2020-03-25 14:34:02</t>
  </si>
  <si>
    <t xml:space="preserve"> 2020-03-25 10:04:02</t>
  </si>
  <si>
    <t>四川终止麻将馆营业禁令</t>
  </si>
  <si>
    <t xml:space="preserve"> 2020-03-25 10:58:02</t>
  </si>
  <si>
    <t>离鄂通道打开的瞬间</t>
  </si>
  <si>
    <t xml:space="preserve"> 2020-03-25 14:54:01</t>
  </si>
  <si>
    <t>苹果捐赠900万个N95口罩</t>
  </si>
  <si>
    <t xml:space="preserve"> 2020-03-25 13:58:02</t>
  </si>
  <si>
    <t>考研国家线4月中旬公布</t>
  </si>
  <si>
    <t xml:space="preserve"> 2020-03-25 16:14:02</t>
  </si>
  <si>
    <t xml:space="preserve"> 2020-03-25 08:56:02</t>
  </si>
  <si>
    <t>意大利疫情</t>
  </si>
  <si>
    <t xml:space="preserve"> 2020-03-25 16:52:02</t>
  </si>
  <si>
    <t xml:space="preserve"> 2020-03-25 11:04:01</t>
  </si>
  <si>
    <t>中国留英学生戴口罩遭殴打</t>
  </si>
  <si>
    <t xml:space="preserve"> 2020-03-25 15:48:02</t>
  </si>
  <si>
    <t xml:space="preserve"> 2020-03-25 11:18:02</t>
  </si>
  <si>
    <t>一年级小同学找不到座位直挠头</t>
  </si>
  <si>
    <t xml:space="preserve"> 2020-03-25 16:50:02</t>
  </si>
  <si>
    <t xml:space="preserve"> 2020-03-25 11:24:02</t>
  </si>
  <si>
    <t>在家呆了两个月的你</t>
  </si>
  <si>
    <t xml:space="preserve"> 2020-03-25 19:16:01</t>
  </si>
  <si>
    <t>原来红绿灯有这么大</t>
  </si>
  <si>
    <t xml:space="preserve"> 2020-03-25 14:30:02</t>
  </si>
  <si>
    <t xml:space="preserve"> 2020-03-25 12:02:02</t>
  </si>
  <si>
    <t>意大利爷爷为隔离老伴唱情歌</t>
  </si>
  <si>
    <t xml:space="preserve"> 2020-03-25 15:14:02</t>
  </si>
  <si>
    <t xml:space="preserve"> 2020-03-25 11:22:02</t>
  </si>
  <si>
    <t>爱奇艺闪退</t>
  </si>
  <si>
    <t xml:space="preserve"> 2020-03-25 13:56:01</t>
  </si>
  <si>
    <t xml:space="preserve"> 2020-03-25 08:40:02</t>
  </si>
  <si>
    <t>新疆师范大学</t>
  </si>
  <si>
    <t xml:space="preserve"> 2020-03-25 14:20:02</t>
  </si>
  <si>
    <t>特朗普想在复活节前开放美国</t>
  </si>
  <si>
    <t xml:space="preserve"> 2020-03-25 17:28:02</t>
  </si>
  <si>
    <t xml:space="preserve"> 2020-03-25 12:10:02</t>
  </si>
  <si>
    <t>塞尔维亚在中国专家建议下建方舱医院</t>
  </si>
  <si>
    <t xml:space="preserve"> 2020-03-25 11:56:01</t>
  </si>
  <si>
    <t>春日宴将拍剧</t>
  </si>
  <si>
    <t xml:space="preserve"> 2020-03-25 13:34:02</t>
  </si>
  <si>
    <t>西班牙医生大哭劝民众不要外出</t>
  </si>
  <si>
    <t xml:space="preserve"> 2020-03-25 13:44:02</t>
  </si>
  <si>
    <t xml:space="preserve"> 2020-03-25 08:08:02</t>
  </si>
  <si>
    <t>英国民众疯狂抢购母鸡热</t>
  </si>
  <si>
    <t xml:space="preserve"> 2020-03-25 13:28:01</t>
  </si>
  <si>
    <t xml:space="preserve"> 2020-03-25 09:32:01</t>
  </si>
  <si>
    <t>在公共场所洗手的我本人</t>
  </si>
  <si>
    <t xml:space="preserve"> 2020-03-25 13:08:02</t>
  </si>
  <si>
    <t>韩国N号房赵博士被公开示众</t>
  </si>
  <si>
    <t xml:space="preserve"> 2020-03-25 14:08:02</t>
  </si>
  <si>
    <t xml:space="preserve"> 2020-03-25 10:50:01</t>
  </si>
  <si>
    <t>当你收到开学通知时</t>
  </si>
  <si>
    <t xml:space="preserve"> 2020-03-25 08:18:02</t>
  </si>
  <si>
    <t>iOS13.4</t>
  </si>
  <si>
    <t xml:space="preserve"> 2020-03-25 14:04:02</t>
  </si>
  <si>
    <t>千岛群岛7.5级地震</t>
  </si>
  <si>
    <t xml:space="preserve"> 2020-03-25 13:12:02</t>
  </si>
  <si>
    <t xml:space="preserve"> 2020-03-25 09:18:02</t>
  </si>
  <si>
    <t>无锡回赠日本丰川5万只口罩</t>
  </si>
  <si>
    <t xml:space="preserve"> 2020-03-25 14:52:02</t>
  </si>
  <si>
    <t>撒野出品方辟谣主演人选</t>
  </si>
  <si>
    <t xml:space="preserve"> 2020-03-25 11:38:02</t>
  </si>
  <si>
    <t>泰国坠崖案孕妇回应丈夫上诉</t>
  </si>
  <si>
    <t xml:space="preserve"> 2020-03-25 07:08:02</t>
  </si>
  <si>
    <t>周艺轩为陈梦瑶庆生</t>
  </si>
  <si>
    <t xml:space="preserve"> 2020-03-25 08:46:02</t>
  </si>
  <si>
    <t>日本高中生图鉴</t>
  </si>
  <si>
    <t xml:space="preserve"> 2020-03-25 14:12:02</t>
  </si>
  <si>
    <t>晒出你抓过最丑的娃娃</t>
  </si>
  <si>
    <t xml:space="preserve"> 2020-03-25 11:46:02</t>
  </si>
  <si>
    <t>我可能是个馒头</t>
  </si>
  <si>
    <t xml:space="preserve"> 2020-03-25 15:28:02</t>
  </si>
  <si>
    <t xml:space="preserve"> 2020-03-25 12:12:02</t>
  </si>
  <si>
    <t>中国第三批赴意大利抗疫专家组启程</t>
  </si>
  <si>
    <t xml:space="preserve"> 2020-03-25 12:56:02</t>
  </si>
  <si>
    <t xml:space="preserve"> 2020-03-25 12:04:01</t>
  </si>
  <si>
    <t>纽约州长批联邦政府抗疫不力</t>
  </si>
  <si>
    <t xml:space="preserve"> 2020-03-25 12:38:02</t>
  </si>
  <si>
    <t>上一次去电影院是什么时候</t>
  </si>
  <si>
    <t>三地推行周末2.5天假</t>
  </si>
  <si>
    <t xml:space="preserve"> 2020-03-25 12:30:02</t>
  </si>
  <si>
    <t xml:space="preserve"> 2020-03-25 12:00:02</t>
  </si>
  <si>
    <t>最容易坑队友的游戏英雄</t>
  </si>
  <si>
    <t xml:space="preserve"> 2020-03-25 18:28:02</t>
  </si>
  <si>
    <t xml:space="preserve"> 2020-03-25 12:16:02</t>
  </si>
  <si>
    <t>意大利扣押1840套呼吸器具</t>
  </si>
  <si>
    <t xml:space="preserve"> 2020-03-25 13:00:02</t>
  </si>
  <si>
    <t xml:space="preserve"> 2020-03-25 11:30:02</t>
  </si>
  <si>
    <t>武汉大学战疫宣传片</t>
  </si>
  <si>
    <t xml:space="preserve"> 2020-03-25 13:10:01</t>
  </si>
  <si>
    <t xml:space="preserve"> 2020-03-25 07:38:02</t>
  </si>
  <si>
    <t>哈佛大学校长夫妇确诊新冠肺炎</t>
  </si>
  <si>
    <t xml:space="preserve"> 2020-03-25 12:48:02</t>
  </si>
  <si>
    <t xml:space="preserve"> 2020-03-25 10:40:02</t>
  </si>
  <si>
    <t>快船4亿美元收购新球馆</t>
  </si>
  <si>
    <t xml:space="preserve"> 2020-03-26 12:44:02</t>
  </si>
  <si>
    <t xml:space="preserve"> 2020-03-25 22:48:02</t>
  </si>
  <si>
    <t>赵奕欢恋情</t>
  </si>
  <si>
    <t xml:space="preserve"> 2020-03-26 09:26:02</t>
  </si>
  <si>
    <t xml:space="preserve"> 2020-03-25 22:36:02</t>
  </si>
  <si>
    <t>普京宣布俄罗斯放假一周</t>
  </si>
  <si>
    <t xml:space="preserve"> 2020-03-26 12:26:02</t>
  </si>
  <si>
    <t xml:space="preserve"> 2020-03-25 22:02:02</t>
  </si>
  <si>
    <t>申冰退赛</t>
  </si>
  <si>
    <t xml:space="preserve"> 2020-03-26 11:42:02</t>
  </si>
  <si>
    <t xml:space="preserve"> 2020-03-25 23:22:02</t>
  </si>
  <si>
    <t>黄子韬晒和易烊千玺合照</t>
  </si>
  <si>
    <t xml:space="preserve"> 2020-03-26 10:32:02</t>
  </si>
  <si>
    <t xml:space="preserve"> 2020-03-25 22:40:02</t>
  </si>
  <si>
    <t>四川开学时间</t>
  </si>
  <si>
    <t xml:space="preserve"> 2020-03-26 09:04:02</t>
  </si>
  <si>
    <t xml:space="preserve"> 2020-03-25 19:58:02</t>
  </si>
  <si>
    <t>中国留学生吴芃</t>
  </si>
  <si>
    <t xml:space="preserve"> 2020-03-25 18:56:02</t>
  </si>
  <si>
    <t>上午刺伤妻子下午车祸身亡</t>
  </si>
  <si>
    <t xml:space="preserve"> 2020-03-26 08:50:02</t>
  </si>
  <si>
    <t xml:space="preserve"> 2020-03-25 20:18:02</t>
  </si>
  <si>
    <t>钟南山建议保持防控措施防第二波</t>
  </si>
  <si>
    <t xml:space="preserve"> 2020-03-26 08:22:02</t>
  </si>
  <si>
    <t xml:space="preserve"> 2020-03-25 18:52:02</t>
  </si>
  <si>
    <t>查尔斯王子核酸检测呈阳性</t>
  </si>
  <si>
    <t xml:space="preserve"> 2020-03-26 08:02:02</t>
  </si>
  <si>
    <t xml:space="preserve"> 2020-03-25 16:30:02</t>
  </si>
  <si>
    <t>N号房付费会员中有人气艺人</t>
  </si>
  <si>
    <t xml:space="preserve"> 2020-03-26 08:00:02</t>
  </si>
  <si>
    <t xml:space="preserve"> 2020-03-25 18:10:02</t>
  </si>
  <si>
    <t>央视评回国女子大闹机场</t>
  </si>
  <si>
    <t xml:space="preserve"> 2020-03-26 07:38:02</t>
  </si>
  <si>
    <t>周洁琼回应被起诉</t>
  </si>
  <si>
    <t xml:space="preserve"> 2020-03-26 07:22:02</t>
  </si>
  <si>
    <t xml:space="preserve"> 2020-03-25 23:12:02</t>
  </si>
  <si>
    <t>普京称将推迟俄宪法修正案全民公投</t>
  </si>
  <si>
    <t xml:space="preserve"> 2020-03-26 07:48:02</t>
  </si>
  <si>
    <t xml:space="preserve"> 2020-03-25 21:12:02</t>
  </si>
  <si>
    <t>英国女王3月12日见过查尔斯王子</t>
  </si>
  <si>
    <t xml:space="preserve"> 2020-03-26 07:24:02</t>
  </si>
  <si>
    <t xml:space="preserve"> 2020-03-25 21:54:02</t>
  </si>
  <si>
    <t>巴赫称东京奥运没限定在夏季</t>
  </si>
  <si>
    <t xml:space="preserve"> 2020-03-26 09:14:01</t>
  </si>
  <si>
    <t xml:space="preserve"> 2020-03-25 20:06:02</t>
  </si>
  <si>
    <t>易烊千玺 周冬雨</t>
  </si>
  <si>
    <t xml:space="preserve"> 2020-03-26 08:36:02</t>
  </si>
  <si>
    <t xml:space="preserve"> 2020-03-25 22:28:01</t>
  </si>
  <si>
    <t>美国多名医生警告情况正在恶化</t>
  </si>
  <si>
    <t xml:space="preserve"> 2020-03-26 10:50:02</t>
  </si>
  <si>
    <t xml:space="preserve"> 2020-03-25 22:12:02</t>
  </si>
  <si>
    <t>口罩出口订单大增</t>
  </si>
  <si>
    <t xml:space="preserve"> 2020-03-26 08:46:02</t>
  </si>
  <si>
    <t>印度医生因抗疫遭歧视</t>
  </si>
  <si>
    <t xml:space="preserve"> 2020-03-26 08:52:02</t>
  </si>
  <si>
    <t xml:space="preserve"> 2020-03-25 21:24:01</t>
  </si>
  <si>
    <t>纽约市1天近3000名警察请病假</t>
  </si>
  <si>
    <t xml:space="preserve"> 2020-03-26 01:06:02</t>
  </si>
  <si>
    <t xml:space="preserve"> 2020-03-25 20:30:02</t>
  </si>
  <si>
    <t>武磊核酸检测呈阴性</t>
  </si>
  <si>
    <t xml:space="preserve"> 2020-03-25 22:20:01</t>
  </si>
  <si>
    <t>让人开口跪的神仙翻唱</t>
  </si>
  <si>
    <t xml:space="preserve"> 2020-03-26 08:06:02</t>
  </si>
  <si>
    <t xml:space="preserve"> 2020-03-25 21:20:02</t>
  </si>
  <si>
    <t>瑞典环保少女自称极可能感染新冠</t>
  </si>
  <si>
    <t xml:space="preserve"> 2020-03-26 08:12:02</t>
  </si>
  <si>
    <t xml:space="preserve"> 2020-03-25 22:32:02</t>
  </si>
  <si>
    <t>援鄂护士如愿坐上铁骑摩托车</t>
  </si>
  <si>
    <t xml:space="preserve"> 2020-03-26 11:00:02</t>
  </si>
  <si>
    <t>杨幂手绘封面</t>
  </si>
  <si>
    <t xml:space="preserve"> 2020-03-26 08:56:01</t>
  </si>
  <si>
    <t xml:space="preserve"> 2020-03-25 17:58:01</t>
  </si>
  <si>
    <t>刘昊然妖猫传定妆照</t>
  </si>
  <si>
    <t xml:space="preserve"> 2020-03-26 09:30:02</t>
  </si>
  <si>
    <t>中国画版钟南山</t>
  </si>
  <si>
    <t xml:space="preserve"> 2020-03-25 19:40:01</t>
  </si>
  <si>
    <t>马德里冰宫改作停尸间</t>
  </si>
  <si>
    <t xml:space="preserve"> 2020-03-26 07:56:02</t>
  </si>
  <si>
    <t xml:space="preserve"> 2020-03-25 22:06:02</t>
  </si>
  <si>
    <t>那些你从小吃到大的零食</t>
  </si>
  <si>
    <t xml:space="preserve"> 2020-03-26 10:48:02</t>
  </si>
  <si>
    <t xml:space="preserve"> 2020-03-25 19:32:02</t>
  </si>
  <si>
    <t>N号房受害者里有艺人</t>
  </si>
  <si>
    <t xml:space="preserve"> 2020-03-26 09:06:02</t>
  </si>
  <si>
    <t xml:space="preserve"> 2020-03-25 21:18:02</t>
  </si>
  <si>
    <t>李敏镐海军制服</t>
  </si>
  <si>
    <t xml:space="preserve"> 2020-03-26 10:34:02</t>
  </si>
  <si>
    <t>加拿大西捷航空将裁员6900人</t>
  </si>
  <si>
    <t xml:space="preserve"> 2020-03-26 10:12:02</t>
  </si>
  <si>
    <t xml:space="preserve"> 2020-03-25 20:50:02</t>
  </si>
  <si>
    <t>麻生太郎吐槽欧洲</t>
  </si>
  <si>
    <t xml:space="preserve"> 2020-03-25 22:18:02</t>
  </si>
  <si>
    <t>英国警察用大喇叭劝晒太阳市民回家</t>
  </si>
  <si>
    <t>10多辆小车上演教科书式让行</t>
  </si>
  <si>
    <t xml:space="preserve"> 2020-03-26 07:50:02</t>
  </si>
  <si>
    <t xml:space="preserve"> 2020-03-25 21:00:03</t>
  </si>
  <si>
    <t>戴口罩的社交安全感</t>
  </si>
  <si>
    <t xml:space="preserve"> 2020-03-26 04:30:02</t>
  </si>
  <si>
    <t xml:space="preserve"> 2020-03-25 19:02:02</t>
  </si>
  <si>
    <t>兔子眼影盘</t>
  </si>
  <si>
    <t xml:space="preserve"> 2020-03-26 08:08:02</t>
  </si>
  <si>
    <t xml:space="preserve"> 2020-03-25 17:38:02</t>
  </si>
  <si>
    <t>塞尔维亚奶奶阳台遛狗</t>
  </si>
  <si>
    <t xml:space="preserve"> 2020-03-25 17:30:02</t>
  </si>
  <si>
    <t>蔡徐坤戴眼镜素颜自拍</t>
  </si>
  <si>
    <t xml:space="preserve"> 2020-03-26 07:30:02</t>
  </si>
  <si>
    <t xml:space="preserve"> 2020-03-25 15:32:02</t>
  </si>
  <si>
    <t>尹正一口春饼嚼121下</t>
  </si>
  <si>
    <t xml:space="preserve"> 2020-03-26 07:32:02</t>
  </si>
  <si>
    <t xml:space="preserve"> 2020-03-25 18:14:02</t>
  </si>
  <si>
    <t>长得可爱也没什么用</t>
  </si>
  <si>
    <t>没有豆皮的三鲜豆皮</t>
  </si>
  <si>
    <t xml:space="preserve"> 2020-03-26 07:28:02</t>
  </si>
  <si>
    <t xml:space="preserve"> 2020-03-25 19:54:02</t>
  </si>
  <si>
    <t>无法确认查尔斯王子在哪感染病毒</t>
  </si>
  <si>
    <t xml:space="preserve"> 2020-03-25 14:56:02</t>
  </si>
  <si>
    <t>少年的你确定重映</t>
  </si>
  <si>
    <t xml:space="preserve"> 2020-03-28 13:24:02</t>
  </si>
  <si>
    <t xml:space="preserve"> 2020-03-25 19:18:01</t>
  </si>
  <si>
    <t>英国女王</t>
  </si>
  <si>
    <t>Pledis起诉周洁琼</t>
  </si>
  <si>
    <t xml:space="preserve"> 2020-03-26 01:40:02</t>
  </si>
  <si>
    <t>钟南山团队入围国家科学技术奖提名</t>
  </si>
  <si>
    <t xml:space="preserve"> 2020-03-26 00:30:02</t>
  </si>
  <si>
    <t>盖茨称宁愿牺牲经济也要守护生命</t>
  </si>
  <si>
    <t xml:space="preserve"> 2020-03-26 17:00:02</t>
  </si>
  <si>
    <t xml:space="preserve"> 2020-03-26 10:22:02</t>
  </si>
  <si>
    <t>N号房受害人发声</t>
  </si>
  <si>
    <t xml:space="preserve"> 2020-03-26 16:42:02</t>
  </si>
  <si>
    <t xml:space="preserve"> 2020-03-26 10:44:02</t>
  </si>
  <si>
    <t>中国已宣布向83个国家提供援助</t>
  </si>
  <si>
    <t xml:space="preserve"> 2020-03-26 15:50:02</t>
  </si>
  <si>
    <t>意大利外长说加入一带一路能救命</t>
  </si>
  <si>
    <t xml:space="preserve"> 2020-03-26 15:32:02</t>
  </si>
  <si>
    <t xml:space="preserve"> 2020-03-26 11:30:02</t>
  </si>
  <si>
    <t>北京将流感须戴口罩写进法条</t>
  </si>
  <si>
    <t xml:space="preserve"> 2020-03-26 14:46:02</t>
  </si>
  <si>
    <t>重庆回赠韩国釜山6万只口罩</t>
  </si>
  <si>
    <t xml:space="preserve"> 2020-03-26 15:44:01</t>
  </si>
  <si>
    <t>近十年来最晚的寒潮预警</t>
  </si>
  <si>
    <t xml:space="preserve"> 2020-03-26 14:20:01</t>
  </si>
  <si>
    <t>意大利又一护士因感染自杀</t>
  </si>
  <si>
    <t xml:space="preserve"> 2020-03-26 13:20:02</t>
  </si>
  <si>
    <t xml:space="preserve"> 2020-03-26 11:10:02</t>
  </si>
  <si>
    <t>中国已向5国派出7批专家组</t>
  </si>
  <si>
    <t xml:space="preserve"> 2020-03-26 07:52:02</t>
  </si>
  <si>
    <t>三月三</t>
  </si>
  <si>
    <t xml:space="preserve"> 2020-03-26 14:44:02</t>
  </si>
  <si>
    <t>多国各种形式感谢中国雪中送炭</t>
  </si>
  <si>
    <t xml:space="preserve"> 2020-03-26 17:12:02</t>
  </si>
  <si>
    <t xml:space="preserve"> 2020-03-26 11:26:01</t>
  </si>
  <si>
    <t>中国将及时与全球共享数据成果</t>
  </si>
  <si>
    <t xml:space="preserve"> 2020-03-26 13:56:02</t>
  </si>
  <si>
    <t>福建开学时间</t>
  </si>
  <si>
    <t xml:space="preserve"> 2020-03-26 14:10:02</t>
  </si>
  <si>
    <t xml:space="preserve"> 2020-03-26 09:34:01</t>
  </si>
  <si>
    <t>泰国坠崖孕妇讲述事发细节</t>
  </si>
  <si>
    <t xml:space="preserve"> 2020-03-26 13:10:02</t>
  </si>
  <si>
    <t xml:space="preserve"> 2020-03-26 09:24:02</t>
  </si>
  <si>
    <t>靠声音眼神认出彼此的夫妻再次相拥</t>
  </si>
  <si>
    <t xml:space="preserve"> 2020-03-26 07:26:01</t>
  </si>
  <si>
    <t>美国新冠肺炎确诊病例已达62086例</t>
  </si>
  <si>
    <t xml:space="preserve"> 2020-03-26 19:28:02</t>
  </si>
  <si>
    <t xml:space="preserve"> 2020-03-26 09:10:02</t>
  </si>
  <si>
    <t>周冬雨</t>
  </si>
  <si>
    <t>马云称不应对求救呼声冷嘲热讽</t>
  </si>
  <si>
    <t xml:space="preserve"> 2020-03-26 15:36:02</t>
  </si>
  <si>
    <t xml:space="preserve"> 2020-03-26 11:34:02</t>
  </si>
  <si>
    <t>减肥始终不成功的原因</t>
  </si>
  <si>
    <t xml:space="preserve"> 2020-03-26 15:30:02</t>
  </si>
  <si>
    <t xml:space="preserve"> 2020-03-26 11:54:02</t>
  </si>
  <si>
    <t>新中国婚姻法学奠基人巫昌祯逝世</t>
  </si>
  <si>
    <t xml:space="preserve"> 2020-03-26 10:10:02</t>
  </si>
  <si>
    <t>广东工地</t>
  </si>
  <si>
    <t xml:space="preserve"> 2020-03-26 14:14:01</t>
  </si>
  <si>
    <t xml:space="preserve"> 2020-03-26 11:28:02</t>
  </si>
  <si>
    <t>纽约市长称或有一半市民感染新冠病毒</t>
  </si>
  <si>
    <t xml:space="preserve"> 2020-03-26 16:06:01</t>
  </si>
  <si>
    <t xml:space="preserve"> 2020-03-26 11:44:02</t>
  </si>
  <si>
    <t>钻石头纱</t>
  </si>
  <si>
    <t xml:space="preserve"> 2020-03-26 16:36:02</t>
  </si>
  <si>
    <t xml:space="preserve"> 2020-03-26 11:50:02</t>
  </si>
  <si>
    <t>境外输入确诊病例90%持中国护照</t>
  </si>
  <si>
    <t xml:space="preserve"> 2020-03-26 15:00:02</t>
  </si>
  <si>
    <t xml:space="preserve"> 2020-03-26 09:18:02</t>
  </si>
  <si>
    <t>好听但被改了的地名</t>
  </si>
  <si>
    <t xml:space="preserve"> 2020-03-26 19:20:01</t>
  </si>
  <si>
    <t>N号房</t>
  </si>
  <si>
    <t xml:space="preserve"> 2020-03-26 13:04:02</t>
  </si>
  <si>
    <t xml:space="preserve"> 2020-03-26 12:00:02</t>
  </si>
  <si>
    <t>钟南山战疫60天全记录</t>
  </si>
  <si>
    <t xml:space="preserve"> 2020-03-26 13:26:02</t>
  </si>
  <si>
    <t>蔡徐坤3D大片</t>
  </si>
  <si>
    <t xml:space="preserve"> 2020-03-26 17:28:02</t>
  </si>
  <si>
    <t xml:space="preserve"> 2020-03-26 11:56:02</t>
  </si>
  <si>
    <t>高校银龄教师支援西部计划</t>
  </si>
  <si>
    <t xml:space="preserve"> 2020-03-26 15:18:02</t>
  </si>
  <si>
    <t>猫上树顶下不来</t>
  </si>
  <si>
    <t xml:space="preserve"> 2020-03-26 13:46:02</t>
  </si>
  <si>
    <t>蓬佩奥G7外长会再提武汉病毒</t>
  </si>
  <si>
    <t xml:space="preserve"> 2020-03-26 14:24:02</t>
  </si>
  <si>
    <t xml:space="preserve"> 2020-03-26 12:06:01</t>
  </si>
  <si>
    <t>巴西总统要求地方政府停止封锁</t>
  </si>
  <si>
    <t xml:space="preserve"> 2020-03-26 13:52:02</t>
  </si>
  <si>
    <t>纽约男子无人机给女子传电话号码</t>
  </si>
  <si>
    <t xml:space="preserve"> 2020-03-26 08:18:01</t>
  </si>
  <si>
    <t>31省区市新增67例均为境外输入</t>
  </si>
  <si>
    <t xml:space="preserve"> 2020-03-26 14:00:02</t>
  </si>
  <si>
    <t xml:space="preserve"> 2020-03-26 10:14:02</t>
  </si>
  <si>
    <t>你想要双休原因是什么</t>
  </si>
  <si>
    <t xml:space="preserve"> 2020-03-26 13:34:02</t>
  </si>
  <si>
    <t xml:space="preserve"> 2020-03-26 11:46:01</t>
  </si>
  <si>
    <t>当你的对象儿化音说不明白</t>
  </si>
  <si>
    <t xml:space="preserve"> 2020-03-26 12:52:01</t>
  </si>
  <si>
    <t xml:space="preserve"> 2020-03-26 11:52:02</t>
  </si>
  <si>
    <t>中方对G20特别峰会的3个期待</t>
  </si>
  <si>
    <t xml:space="preserve"> 2020-03-26 12:58:02</t>
  </si>
  <si>
    <t>疫情报道翻车现场</t>
  </si>
  <si>
    <t xml:space="preserve"> 2020-03-26 13:06:02</t>
  </si>
  <si>
    <t xml:space="preserve"> 2020-03-26 09:54:02</t>
  </si>
  <si>
    <t>入室盗窃躲床底下结果睡着了</t>
  </si>
  <si>
    <t xml:space="preserve"> 2020-03-26 12:12:02</t>
  </si>
  <si>
    <t>中国将帮助巴基斯坦建隔离医院</t>
  </si>
  <si>
    <t xml:space="preserve"> 2020-03-26 12:14:02</t>
  </si>
  <si>
    <t>美国新冠肺炎死亡超千人</t>
  </si>
  <si>
    <t xml:space="preserve"> 2020-03-26 12:24:02</t>
  </si>
  <si>
    <t>志村健装人工心肺治疗</t>
  </si>
  <si>
    <t>九寨沟3月31日恢复开放</t>
  </si>
  <si>
    <t xml:space="preserve"> 2020-03-26 12:46:02</t>
  </si>
  <si>
    <t xml:space="preserve"> 2020-03-26 12:18:02</t>
  </si>
  <si>
    <t>美参议院通过2万亿美元经济救助计划</t>
  </si>
  <si>
    <t xml:space="preserve"> 2020-03-26 12:38:02</t>
  </si>
  <si>
    <t xml:space="preserve"> 2020-03-26 10:54:02</t>
  </si>
  <si>
    <t>意大利违反规定出行最高可罚3000欧元</t>
  </si>
  <si>
    <t xml:space="preserve"> 2020-03-26 12:32:01</t>
  </si>
  <si>
    <t xml:space="preserve"> 2020-03-26 07:46:02</t>
  </si>
  <si>
    <t>安徽开学时间</t>
  </si>
  <si>
    <t xml:space="preserve"> 2020-03-26 12:28:02</t>
  </si>
  <si>
    <t xml:space="preserve"> 2020-03-26 11:18:02</t>
  </si>
  <si>
    <t>ESL</t>
  </si>
  <si>
    <t xml:space="preserve"> 2020-03-27 14:14:01</t>
  </si>
  <si>
    <t xml:space="preserve"> 2020-03-26 23:44:02</t>
  </si>
  <si>
    <t>暂停持有效中国签证的外国人入境</t>
  </si>
  <si>
    <t xml:space="preserve"> 2020-03-27 13:36:01</t>
  </si>
  <si>
    <t xml:space="preserve"> 2020-03-26 21:24:02</t>
  </si>
  <si>
    <t>JonyJ教秦牛正威rap</t>
  </si>
  <si>
    <t xml:space="preserve"> 2020-03-27 10:28:01</t>
  </si>
  <si>
    <t xml:space="preserve"> 2020-03-26 21:08:01</t>
  </si>
  <si>
    <t>夏研只有9票</t>
  </si>
  <si>
    <t xml:space="preserve"> 2020-03-27 13:00:02</t>
  </si>
  <si>
    <t xml:space="preserve"> 2020-03-26 22:38:02</t>
  </si>
  <si>
    <t>华为P40价格</t>
  </si>
  <si>
    <t xml:space="preserve"> 2020-03-27 10:26:02</t>
  </si>
  <si>
    <t xml:space="preserve"> 2020-03-26 20:42:01</t>
  </si>
  <si>
    <t>汪小菲酒店成为防疫旅馆</t>
  </si>
  <si>
    <t xml:space="preserve"> 2020-03-27 11:22:02</t>
  </si>
  <si>
    <t xml:space="preserve"> 2020-03-26 22:54:02</t>
  </si>
  <si>
    <t>美国年轻人瞎混就是最大感染风险</t>
  </si>
  <si>
    <t xml:space="preserve"> 2020-03-27 12:26:02</t>
  </si>
  <si>
    <t xml:space="preserve"> 2020-03-26 21:38:01</t>
  </si>
  <si>
    <t>谢可寅绝了</t>
  </si>
  <si>
    <t xml:space="preserve"> 2020-03-27 00:34:01</t>
  </si>
  <si>
    <t xml:space="preserve"> 2020-03-26 21:40:02</t>
  </si>
  <si>
    <t>中国将为世界经济稳定作出贡献</t>
  </si>
  <si>
    <t xml:space="preserve"> 2020-03-27 11:28:02</t>
  </si>
  <si>
    <t xml:space="preserve"> 2020-03-26 21:30:02</t>
  </si>
  <si>
    <t>乃万实力</t>
  </si>
  <si>
    <t xml:space="preserve"> 2020-03-27 09:20:02</t>
  </si>
  <si>
    <t xml:space="preserve"> 2020-03-26 22:14:02</t>
  </si>
  <si>
    <t>广东明确境外入粤政策包含港澳台</t>
  </si>
  <si>
    <t xml:space="preserve"> 2020-03-27 09:10:02</t>
  </si>
  <si>
    <t xml:space="preserve"> 2020-03-26 20:26:02</t>
  </si>
  <si>
    <t>不倒翁小姐姐反串小哥哥</t>
  </si>
  <si>
    <t xml:space="preserve"> 2020-03-27 09:00:02</t>
  </si>
  <si>
    <t xml:space="preserve"> 2020-03-26 18:52:02</t>
  </si>
  <si>
    <t>这届毕业生实在太难了</t>
  </si>
  <si>
    <t xml:space="preserve"> 2020-03-27 08:18:02</t>
  </si>
  <si>
    <t xml:space="preserve"> 2020-03-26 18:58:02</t>
  </si>
  <si>
    <t>乘客打喷嚏飞行员翻窗逃走</t>
  </si>
  <si>
    <t xml:space="preserve"> 2020-03-27 07:36:02</t>
  </si>
  <si>
    <t xml:space="preserve"> 2020-03-26 22:18:01</t>
  </si>
  <si>
    <t>意大利已有37名医生死于新冠肺炎</t>
  </si>
  <si>
    <t xml:space="preserve"> 2020-03-27 09:14:01</t>
  </si>
  <si>
    <t xml:space="preserve"> 2020-03-26 22:24:02</t>
  </si>
  <si>
    <t>P40Pro</t>
  </si>
  <si>
    <t xml:space="preserve"> 2020-03-29 19:56:02</t>
  </si>
  <si>
    <t xml:space="preserve"> 2020-03-26 23:28:02</t>
  </si>
  <si>
    <t>长歌行</t>
  </si>
  <si>
    <t xml:space="preserve"> 2020-03-27 09:26:02</t>
  </si>
  <si>
    <t xml:space="preserve"> 2020-03-26 23:06:02</t>
  </si>
  <si>
    <t>林凡rap</t>
  </si>
  <si>
    <t xml:space="preserve"> 2020-03-27 11:50:01</t>
  </si>
  <si>
    <t xml:space="preserve"> 2020-03-26 21:48:02</t>
  </si>
  <si>
    <t>精神出轨该不该离婚</t>
  </si>
  <si>
    <t xml:space="preserve"> 2020-03-27 10:00:03</t>
  </si>
  <si>
    <t xml:space="preserve"> 2020-03-26 20:50:02</t>
  </si>
  <si>
    <t>威廉有很多女友的原因</t>
  </si>
  <si>
    <t xml:space="preserve"> 2020-03-27 10:56:02</t>
  </si>
  <si>
    <t xml:space="preserve"> 2020-03-26 20:14:01</t>
  </si>
  <si>
    <t>于正要给黄晓明喷去油剂</t>
  </si>
  <si>
    <t xml:space="preserve"> 2020-03-27 09:22:01</t>
  </si>
  <si>
    <t xml:space="preserve"> 2020-03-26 22:40:02</t>
  </si>
  <si>
    <t>你会因为穷而感到自卑吗</t>
  </si>
  <si>
    <t xml:space="preserve"> 2020-03-27 08:36:02</t>
  </si>
  <si>
    <t xml:space="preserve"> 2020-03-26 23:20:02</t>
  </si>
  <si>
    <t>医院ICU恢复探视第一天</t>
  </si>
  <si>
    <t xml:space="preserve"> 2020-03-27 09:18:02</t>
  </si>
  <si>
    <t xml:space="preserve"> 2020-03-26 19:26:02</t>
  </si>
  <si>
    <t>张新成配错庆生表情</t>
  </si>
  <si>
    <t xml:space="preserve"> 2020-03-27 08:30:02</t>
  </si>
  <si>
    <t xml:space="preserve"> 2020-03-26 19:12:02</t>
  </si>
  <si>
    <t>王鸥谈偶像和粉丝关系</t>
  </si>
  <si>
    <t>安倍称疫情为国难</t>
  </si>
  <si>
    <t xml:space="preserve"> 2020-03-27 08:12:02</t>
  </si>
  <si>
    <t xml:space="preserve"> 2020-03-26 17:38:02</t>
  </si>
  <si>
    <t>张伟丽滞留美国哭诉想家</t>
  </si>
  <si>
    <t xml:space="preserve"> 2020-03-26 21:16:02</t>
  </si>
  <si>
    <t>意大利当周或将迎来疫情拐点</t>
  </si>
  <si>
    <t xml:space="preserve"> 2020-03-26 20:40:02</t>
  </si>
  <si>
    <t>G20特别峰会</t>
  </si>
  <si>
    <t xml:space="preserve"> 2020-03-27 08:06:02</t>
  </si>
  <si>
    <t xml:space="preserve"> 2020-03-26 17:06:01</t>
  </si>
  <si>
    <t>演员苏朵儿疑似感染新冠</t>
  </si>
  <si>
    <t xml:space="preserve"> 2020-03-27 07:08:01</t>
  </si>
  <si>
    <t>破风舞台</t>
  </si>
  <si>
    <t xml:space="preserve"> 2020-03-27 08:40:02</t>
  </si>
  <si>
    <t>冰糖啤酒鸡爪</t>
  </si>
  <si>
    <t xml:space="preserve"> 2020-03-27 07:38:02</t>
  </si>
  <si>
    <t xml:space="preserve"> 2020-03-26 23:00:02</t>
  </si>
  <si>
    <t>湖北随州实现新冠肺炎患者清零</t>
  </si>
  <si>
    <t xml:space="preserve"> 2020-03-27 07:50:01</t>
  </si>
  <si>
    <t xml:space="preserve"> 2020-03-26 17:10:02</t>
  </si>
  <si>
    <t>杨幂向海外捐赠物资</t>
  </si>
  <si>
    <t xml:space="preserve"> 2020-03-27 08:16:02</t>
  </si>
  <si>
    <t xml:space="preserve"> 2020-03-26 23:10:02</t>
  </si>
  <si>
    <t>工程师日行3万步调试327台呼吸机</t>
  </si>
  <si>
    <t xml:space="preserve"> 2020-03-27 09:04:02</t>
  </si>
  <si>
    <t xml:space="preserve"> 2020-03-26 22:22:01</t>
  </si>
  <si>
    <t>纽约医护人员用垃圾袋当防护服</t>
  </si>
  <si>
    <t xml:space="preserve"> 2020-03-27 07:16:02</t>
  </si>
  <si>
    <t xml:space="preserve"> 2020-03-26 21:18:02</t>
  </si>
  <si>
    <t>美国累计确诊近7万例</t>
  </si>
  <si>
    <t xml:space="preserve"> 2020-03-26 19:22:01</t>
  </si>
  <si>
    <t>张国荣两片在港修复重映</t>
  </si>
  <si>
    <t xml:space="preserve"> 2020-03-27 12:34:02</t>
  </si>
  <si>
    <t xml:space="preserve"> 2020-03-26 17:24:02</t>
  </si>
  <si>
    <t>特朗普斥记者存心不让他当选</t>
  </si>
  <si>
    <t xml:space="preserve"> 2020-03-27 07:48:02</t>
  </si>
  <si>
    <t xml:space="preserve"> 2020-03-26 18:08:02</t>
  </si>
  <si>
    <t>韩国短道脱裤事件当事人被判刑1年</t>
  </si>
  <si>
    <t xml:space="preserve"> 2020-03-27 08:02:02</t>
  </si>
  <si>
    <t xml:space="preserve"> 2020-03-26 16:02:02</t>
  </si>
  <si>
    <t>N号房接班人年仅16岁</t>
  </si>
  <si>
    <t>张文宏答留学生华侨华人抗疫问题</t>
  </si>
  <si>
    <t xml:space="preserve"> 2020-03-27 04:40:02</t>
  </si>
  <si>
    <t>少年之名选手定妆照</t>
  </si>
  <si>
    <t xml:space="preserve"> 2020-03-26 19:52:01</t>
  </si>
  <si>
    <t>全球网络带宽告急</t>
  </si>
  <si>
    <t xml:space="preserve"> 2020-04-08 20:48:02</t>
  </si>
  <si>
    <t xml:space="preserve"> 2020-04-03 10:58:02</t>
  </si>
  <si>
    <t>杭州消费券</t>
  </si>
  <si>
    <t xml:space="preserve"> 2020-03-27 02:54:01</t>
  </si>
  <si>
    <t xml:space="preserve"> 2020-03-26 16:08:02</t>
  </si>
  <si>
    <t>赵丽颖路透</t>
  </si>
  <si>
    <t xml:space="preserve"> 2020-03-27 09:16:02</t>
  </si>
  <si>
    <t xml:space="preserve"> 2020-03-26 22:02:02</t>
  </si>
  <si>
    <t>美国首次申领失业救济人数创新高</t>
  </si>
  <si>
    <t xml:space="preserve"> 2020-03-27 08:28:02</t>
  </si>
  <si>
    <t xml:space="preserve"> 2020-03-26 20:44:02</t>
  </si>
  <si>
    <t>抵离中国航班客座率不高于75%</t>
  </si>
  <si>
    <t xml:space="preserve"> 2020-03-27 17:52:01</t>
  </si>
  <si>
    <t xml:space="preserve"> 2020-03-27 10:04:02</t>
  </si>
  <si>
    <t>陈学冬转错秦牛正威rap</t>
  </si>
  <si>
    <t xml:space="preserve"> 2020-03-27 18:46:02</t>
  </si>
  <si>
    <t xml:space="preserve"> 2020-03-27 07:52:02</t>
  </si>
  <si>
    <t>淡黄的长裙 蓬松的头发</t>
  </si>
  <si>
    <t xml:space="preserve"> 2020-03-27 18:34:02</t>
  </si>
  <si>
    <t xml:space="preserve"> 2020-03-27 10:40:02</t>
  </si>
  <si>
    <t>GAI 心疼我方豆芽</t>
  </si>
  <si>
    <t xml:space="preserve"> 2020-03-27 17:34:02</t>
  </si>
  <si>
    <t xml:space="preserve"> 2020-03-27 10:30:02</t>
  </si>
  <si>
    <t>N号房赵主彬承认曝光朱镇模聊天记录</t>
  </si>
  <si>
    <t xml:space="preserve"> 2020-03-27 18:22:02</t>
  </si>
  <si>
    <t xml:space="preserve"> 2020-03-27 11:46:02</t>
  </si>
  <si>
    <t>马克布鲁姆感染新冠去世</t>
  </si>
  <si>
    <t xml:space="preserve"> 2020-03-27 16:16:02</t>
  </si>
  <si>
    <t>特朗普回应美国失业人数猛增328万</t>
  </si>
  <si>
    <t xml:space="preserve"> 2020-03-27 15:40:02</t>
  </si>
  <si>
    <t>浙江新增1例本土病例</t>
  </si>
  <si>
    <t xml:space="preserve"> 2020-03-27 14:54:01</t>
  </si>
  <si>
    <t xml:space="preserve"> 2020-03-27 11:40:02</t>
  </si>
  <si>
    <t>东京奥运会纪念品大面积断货</t>
  </si>
  <si>
    <t xml:space="preserve"> 2020-03-27 14:58:02</t>
  </si>
  <si>
    <t xml:space="preserve"> 2020-03-27 11:30:02</t>
  </si>
  <si>
    <t>意大利超5000名医护感染原因</t>
  </si>
  <si>
    <t xml:space="preserve"> 2020-03-27 17:42:01</t>
  </si>
  <si>
    <t>李易峰 jinjinwawa</t>
  </si>
  <si>
    <t>离汉回京瞒报感染母亲男子被批捕</t>
  </si>
  <si>
    <t>泰国父亲为儿子剪防疫发型</t>
  </si>
  <si>
    <t xml:space="preserve"> 2020-03-27 14:50:02</t>
  </si>
  <si>
    <t>美股暴涨</t>
  </si>
  <si>
    <t xml:space="preserve"> 2020-03-27 15:04:02</t>
  </si>
  <si>
    <t>没有律师愿为N号房事件嫌犯辩护</t>
  </si>
  <si>
    <t xml:space="preserve"> 2020-03-27 16:14:02</t>
  </si>
  <si>
    <t>韩国大邱市长晕倒</t>
  </si>
  <si>
    <t xml:space="preserve"> 2020-03-27 15:54:02</t>
  </si>
  <si>
    <t>全国女朋友统一说的话</t>
  </si>
  <si>
    <t xml:space="preserve"> 2020-03-27 16:32:02</t>
  </si>
  <si>
    <t xml:space="preserve"> 2020-03-27 10:10:02</t>
  </si>
  <si>
    <t>刘雨昕陆柯燃补妆</t>
  </si>
  <si>
    <t xml:space="preserve"> 2020-03-27 15:08:02</t>
  </si>
  <si>
    <t>UFC总裁批评美国人躲避病毒</t>
  </si>
  <si>
    <t xml:space="preserve"> 2020-03-27 16:30:02</t>
  </si>
  <si>
    <t>安慰朋友安慰到自闭</t>
  </si>
  <si>
    <t xml:space="preserve"> 2020-03-27 16:18:01</t>
  </si>
  <si>
    <t xml:space="preserve"> 2020-03-27 11:54:02</t>
  </si>
  <si>
    <t>被迫旷课的学生</t>
  </si>
  <si>
    <t xml:space="preserve"> 2020-03-27 17:32:02</t>
  </si>
  <si>
    <t xml:space="preserve"> 2020-03-27 11:58:02</t>
  </si>
  <si>
    <t>刘诗诗手绘封面</t>
  </si>
  <si>
    <t xml:space="preserve"> 2020-03-27 13:28:02</t>
  </si>
  <si>
    <t xml:space="preserve"> 2020-03-27 09:24:02</t>
  </si>
  <si>
    <t>南京日报</t>
  </si>
  <si>
    <t xml:space="preserve"> 2020-03-27 13:34:02</t>
  </si>
  <si>
    <t xml:space="preserve"> 2020-03-27 11:20:02</t>
  </si>
  <si>
    <t>爆浆香蕉披萨</t>
  </si>
  <si>
    <t xml:space="preserve"> 2020-03-27 13:18:02</t>
  </si>
  <si>
    <t xml:space="preserve"> 2020-03-27 09:28:02</t>
  </si>
  <si>
    <t>武汉1万多家餐饮店恢复外卖</t>
  </si>
  <si>
    <t xml:space="preserve"> 2020-03-27 13:42:01</t>
  </si>
  <si>
    <t>到底为什么会有无症状感染者</t>
  </si>
  <si>
    <t xml:space="preserve"> 2020-03-27 13:20:02</t>
  </si>
  <si>
    <t>钟南山连线美国专家团队</t>
  </si>
  <si>
    <t xml:space="preserve"> 2020-03-27 13:48:02</t>
  </si>
  <si>
    <t xml:space="preserve"> 2020-03-27 08:42:02</t>
  </si>
  <si>
    <t>穿成独角兽逛超市</t>
  </si>
  <si>
    <t xml:space="preserve"> 2020-03-27 15:18:02</t>
  </si>
  <si>
    <t>全国乱穿衣预警地图</t>
  </si>
  <si>
    <t xml:space="preserve"> 2020-03-27 15:22:02</t>
  </si>
  <si>
    <t>有什么自带语音的文字</t>
  </si>
  <si>
    <t>苏醒中的武汉什么样</t>
  </si>
  <si>
    <t xml:space="preserve"> 2020-03-27 14:28:02</t>
  </si>
  <si>
    <t xml:space="preserve"> 2020-03-27 07:10:01</t>
  </si>
  <si>
    <t>美国新冠肺炎确诊病例超8万</t>
  </si>
  <si>
    <t xml:space="preserve"> 2020-03-27 12:56:01</t>
  </si>
  <si>
    <t xml:space="preserve"> 2020-03-27 10:54:02</t>
  </si>
  <si>
    <t>开学后你上课的状态</t>
  </si>
  <si>
    <t xml:space="preserve"> 2020-03-27 10:20:01</t>
  </si>
  <si>
    <t>巴勒斯坦艺术家N95口罩作画</t>
  </si>
  <si>
    <t>张文宏说不外出闲逛比囤药强</t>
  </si>
  <si>
    <t xml:space="preserve"> 2020-03-27 12:40:01</t>
  </si>
  <si>
    <t xml:space="preserve"> 2020-03-27 07:06:02</t>
  </si>
  <si>
    <t>重庆天气</t>
  </si>
  <si>
    <t xml:space="preserve"> 2020-03-27 12:30:02</t>
  </si>
  <si>
    <t xml:space="preserve"> 2020-03-27 09:02:02</t>
  </si>
  <si>
    <t>上海昨日新增境外输入17例</t>
  </si>
  <si>
    <t xml:space="preserve"> 2020-03-27 13:44:02</t>
  </si>
  <si>
    <t xml:space="preserve"> 2020-03-27 11:52:02</t>
  </si>
  <si>
    <t>美国多地急建方舱医院</t>
  </si>
  <si>
    <t>新冠特效药还有多远</t>
  </si>
  <si>
    <t xml:space="preserve"> 2020-03-27 12:20:02</t>
  </si>
  <si>
    <t>最有穿越感的古镇</t>
  </si>
  <si>
    <t xml:space="preserve"> 2020-03-27 11:36:02</t>
  </si>
  <si>
    <t>英国将向个体经营者补助八成盈利</t>
  </si>
  <si>
    <t>武汉60家医院恢复医疗资源</t>
  </si>
  <si>
    <t xml:space="preserve"> 2020-03-27 12:22:01</t>
  </si>
  <si>
    <t xml:space="preserve"> 2020-03-27 10:16:01</t>
  </si>
  <si>
    <t>美国罗斯福号航母上25人确诊</t>
  </si>
  <si>
    <t>意大利新冠肺炎确诊病例超8万</t>
  </si>
  <si>
    <t xml:space="preserve"> 2020-03-28 11:42:02</t>
  </si>
  <si>
    <t xml:space="preserve"> 2020-03-27 23:00:02</t>
  </si>
  <si>
    <t>阚清子谈婚姻</t>
  </si>
  <si>
    <t xml:space="preserve"> 2020-03-28 09:46:02</t>
  </si>
  <si>
    <t xml:space="preserve"> 2020-03-27 23:10:02</t>
  </si>
  <si>
    <t>中央政治局会议对疫情最新判断</t>
  </si>
  <si>
    <t xml:space="preserve"> 2020-03-28 10:42:02</t>
  </si>
  <si>
    <t xml:space="preserve"> 2020-03-27 22:44:02</t>
  </si>
  <si>
    <t>武磊面临暂时失业</t>
  </si>
  <si>
    <t xml:space="preserve"> 2020-03-28 11:00:02</t>
  </si>
  <si>
    <t xml:space="preserve"> 2020-03-27 21:46:02</t>
  </si>
  <si>
    <t>郑爽状态</t>
  </si>
  <si>
    <t xml:space="preserve"> 2020-03-28 09:30:02</t>
  </si>
  <si>
    <t>武磊妻子新冠肺炎检测呈阳性</t>
  </si>
  <si>
    <t xml:space="preserve"> 2020-03-28 09:24:02</t>
  </si>
  <si>
    <t xml:space="preserve"> 2020-03-27 21:14:02</t>
  </si>
  <si>
    <t>谢依霖生二胎</t>
  </si>
  <si>
    <t xml:space="preserve"> 2020-03-28 09:12:02</t>
  </si>
  <si>
    <t xml:space="preserve"> 2020-03-27 23:12:02</t>
  </si>
  <si>
    <t>西班牙4名中国留学生确诊</t>
  </si>
  <si>
    <t xml:space="preserve"> 2020-03-28 07:38:02</t>
  </si>
  <si>
    <t xml:space="preserve"> 2020-03-27 21:26:02</t>
  </si>
  <si>
    <t>浙江对抢注李文亮商标申请人开罚单</t>
  </si>
  <si>
    <t xml:space="preserve"> 2020-03-28 09:10:01</t>
  </si>
  <si>
    <t xml:space="preserve"> 2020-03-27 21:02:02</t>
  </si>
  <si>
    <t>林宥嘉二胎得女</t>
  </si>
  <si>
    <t xml:space="preserve"> 2020-03-28 08:26:02</t>
  </si>
  <si>
    <t xml:space="preserve"> 2020-03-27 19:26:02</t>
  </si>
  <si>
    <t>英国首相新冠肺炎检测呈阳性</t>
  </si>
  <si>
    <t xml:space="preserve"> 2020-03-28 08:40:02</t>
  </si>
  <si>
    <t xml:space="preserve"> 2020-03-27 22:30:02</t>
  </si>
  <si>
    <t>西班牙皇室成员因新冠肺炎逝世</t>
  </si>
  <si>
    <t xml:space="preserve"> 2020-03-28 09:08:02</t>
  </si>
  <si>
    <t xml:space="preserve"> 2020-03-27 20:46:02</t>
  </si>
  <si>
    <t>美国发文鼓励各国医生赴美抗疫</t>
  </si>
  <si>
    <t xml:space="preserve"> 2020-03-27 19:30:02</t>
  </si>
  <si>
    <t>VAVA版淡黄的长裙蓬松的头发</t>
  </si>
  <si>
    <t xml:space="preserve"> 2020-03-28 10:16:01</t>
  </si>
  <si>
    <t xml:space="preserve"> 2020-03-27 23:22:01</t>
  </si>
  <si>
    <t>圆通回应快递员给客户磕头道歉</t>
  </si>
  <si>
    <t xml:space="preserve"> 2020-03-28 12:16:02</t>
  </si>
  <si>
    <t xml:space="preserve"> 2020-03-27 23:16:01</t>
  </si>
  <si>
    <t>国内版N号房存大量儿童不雅影像</t>
  </si>
  <si>
    <t>西安地铁口洒满百元大钞无人敢捡</t>
  </si>
  <si>
    <t xml:space="preserve"> 2020-03-28 09:20:02</t>
  </si>
  <si>
    <t xml:space="preserve"> 2020-03-27 22:04:02</t>
  </si>
  <si>
    <t>黎语冰小号</t>
  </si>
  <si>
    <t xml:space="preserve"> 2020-03-27 20:34:02</t>
  </si>
  <si>
    <t>福克斯</t>
  </si>
  <si>
    <t>纽约医生曝光医院真实现状</t>
  </si>
  <si>
    <t xml:space="preserve"> 2020-03-28 09:26:02</t>
  </si>
  <si>
    <t>法证先锋小丑案</t>
  </si>
  <si>
    <t xml:space="preserve"> 2020-03-28 07:30:02</t>
  </si>
  <si>
    <t xml:space="preserve"> 2020-03-27 17:46:01</t>
  </si>
  <si>
    <t>钟南山回应国内是否会二次暴发疫情</t>
  </si>
  <si>
    <t xml:space="preserve"> 2020-03-28 07:54:01</t>
  </si>
  <si>
    <t xml:space="preserve"> 2020-03-27 23:02:02</t>
  </si>
  <si>
    <t>疫情已影响全球200个国家和地区</t>
  </si>
  <si>
    <t xml:space="preserve"> 2020-03-30 07:18:02</t>
  </si>
  <si>
    <t xml:space="preserve"> 2020-03-27 20:18:01</t>
  </si>
  <si>
    <t>不完美的她</t>
  </si>
  <si>
    <t xml:space="preserve"> 2020-03-28 07:10:02</t>
  </si>
  <si>
    <t xml:space="preserve"> 2020-03-27 19:18:02</t>
  </si>
  <si>
    <t>鹿晗黄子韬同框搞怪</t>
  </si>
  <si>
    <t xml:space="preserve"> 2020-03-28 08:34:02</t>
  </si>
  <si>
    <t>脆皮拉丝冰糕</t>
  </si>
  <si>
    <t xml:space="preserve"> 2020-03-28 07:52:02</t>
  </si>
  <si>
    <t xml:space="preserve"> 2020-03-27 16:50:02</t>
  </si>
  <si>
    <t>美国司法部起诉委内瑞拉总统</t>
  </si>
  <si>
    <t xml:space="preserve"> 2020-03-28 08:06:02</t>
  </si>
  <si>
    <t xml:space="preserve"> 2020-03-27 20:32:02</t>
  </si>
  <si>
    <t>新闻联播时长</t>
  </si>
  <si>
    <t xml:space="preserve"> 2020-03-28 10:22:02</t>
  </si>
  <si>
    <t xml:space="preserve"> 2020-02-21 22:48:02</t>
  </si>
  <si>
    <t>歌手排名</t>
  </si>
  <si>
    <t>声入人心奇袭成功</t>
  </si>
  <si>
    <t xml:space="preserve"> 2020-03-28 07:32:02</t>
  </si>
  <si>
    <t xml:space="preserve"> 2020-03-27 15:34:02</t>
  </si>
  <si>
    <t>尚在医学观察的密切接触者增幅78%</t>
  </si>
  <si>
    <t xml:space="preserve"> 2020-03-28 08:12:02</t>
  </si>
  <si>
    <t>疫情期英国长篇小说销量猛涨</t>
  </si>
  <si>
    <t xml:space="preserve"> 2020-03-28 10:26:02</t>
  </si>
  <si>
    <t xml:space="preserve"> 2020-03-27 23:18:01</t>
  </si>
  <si>
    <t>西班牙呼吸机</t>
  </si>
  <si>
    <t xml:space="preserve"> 2020-03-28 07:40:02</t>
  </si>
  <si>
    <t xml:space="preserve"> 2020-03-27 17:40:01</t>
  </si>
  <si>
    <t>N号房一名会员跳江自杀</t>
  </si>
  <si>
    <t xml:space="preserve"> 2020-03-28 07:46:02</t>
  </si>
  <si>
    <t xml:space="preserve"> 2020-03-14 12:42:01</t>
  </si>
  <si>
    <t>群体免疫</t>
  </si>
  <si>
    <t xml:space="preserve"> 2020-03-28 05:04:02</t>
  </si>
  <si>
    <t xml:space="preserve"> 2020-03-27 23:50:02</t>
  </si>
  <si>
    <t>全国人大外事委员会声明</t>
  </si>
  <si>
    <t>翻唱秦牛正威的rap</t>
  </si>
  <si>
    <t xml:space="preserve"> 2020-03-28 02:48:02</t>
  </si>
  <si>
    <t xml:space="preserve"> 2020-03-27 16:22:02</t>
  </si>
  <si>
    <t>听完淡黄的长裙以后</t>
  </si>
  <si>
    <t xml:space="preserve"> 2020-03-28 07:24:02</t>
  </si>
  <si>
    <t xml:space="preserve"> 2020-03-27 18:50:02</t>
  </si>
  <si>
    <t>李兰娟首次披露武汉封城细节</t>
  </si>
  <si>
    <t>黑蒜</t>
  </si>
  <si>
    <t xml:space="preserve"> 2020-03-27 21:24:01</t>
  </si>
  <si>
    <t>西班牙已有9444名医护人员感染</t>
  </si>
  <si>
    <t xml:space="preserve"> 2020-03-28 01:58:02</t>
  </si>
  <si>
    <t xml:space="preserve"> 2020-03-27 20:00:02</t>
  </si>
  <si>
    <t>减脂巫婆汤</t>
  </si>
  <si>
    <t xml:space="preserve"> 2020-03-28 07:42:02</t>
  </si>
  <si>
    <t xml:space="preserve"> 2020-03-27 22:24:01</t>
  </si>
  <si>
    <t>援塞医疗组到驻南联盟被炸使馆旧址凭吊</t>
  </si>
  <si>
    <t xml:space="preserve"> 2020-03-27 18:42:02</t>
  </si>
  <si>
    <t>特朗普称中国对抗击新冠病毒理解深刻</t>
  </si>
  <si>
    <t xml:space="preserve"> 2020-03-27 22:22:01</t>
  </si>
  <si>
    <t>白岩松连线武磊</t>
  </si>
  <si>
    <t xml:space="preserve"> 2020-03-28 07:04:01</t>
  </si>
  <si>
    <t xml:space="preserve"> 2020-03-27 21:20:02</t>
  </si>
  <si>
    <t>英国卫生大臣新冠病毒检测呈阳性</t>
  </si>
  <si>
    <t xml:space="preserve"> 2020-03-28 18:08:01</t>
  </si>
  <si>
    <t xml:space="preserve"> 2020-03-28 08:36:02</t>
  </si>
  <si>
    <t>柳岩爸爸</t>
  </si>
  <si>
    <t xml:space="preserve"> 2020-03-28 16:36:01</t>
  </si>
  <si>
    <t xml:space="preserve"> 2020-03-28 11:54:02</t>
  </si>
  <si>
    <t>电影传染病主演宣传防疫</t>
  </si>
  <si>
    <t xml:space="preserve"> 2020-03-28 16:32:02</t>
  </si>
  <si>
    <t xml:space="preserve"> 2020-03-28 10:32:02</t>
  </si>
  <si>
    <t>主播翠西被解约</t>
  </si>
  <si>
    <t xml:space="preserve"> 2020-03-28 17:24:02</t>
  </si>
  <si>
    <t xml:space="preserve"> 2020-03-28 11:36:02</t>
  </si>
  <si>
    <t>法国16岁少女疑感染去世</t>
  </si>
  <si>
    <t xml:space="preserve"> 2020-03-28 18:52:02</t>
  </si>
  <si>
    <t xml:space="preserve"> 2020-03-28 11:02:01</t>
  </si>
  <si>
    <t>春日宴官博</t>
  </si>
  <si>
    <t xml:space="preserve"> 2020-03-28 17:14:02</t>
  </si>
  <si>
    <t xml:space="preserve"> 2020-03-28 10:00:02</t>
  </si>
  <si>
    <t>阿姨1分钟剥100个鸡蛋</t>
  </si>
  <si>
    <t xml:space="preserve"> 2020-03-28 15:16:02</t>
  </si>
  <si>
    <t xml:space="preserve"> 2020-03-28 10:24:01</t>
  </si>
  <si>
    <t>美国小哥实拍疫情严重的纽约</t>
  </si>
  <si>
    <t xml:space="preserve"> 2020-03-28 15:46:02</t>
  </si>
  <si>
    <t>周俊院士逝世</t>
  </si>
  <si>
    <t xml:space="preserve"> 2020-03-28 18:46:02</t>
  </si>
  <si>
    <t xml:space="preserve"> 2020-03-28 09:40:02</t>
  </si>
  <si>
    <t>英国首相确诊后顾问从后门溜走</t>
  </si>
  <si>
    <t xml:space="preserve"> 2020-03-28 17:08:02</t>
  </si>
  <si>
    <t xml:space="preserve"> 2020-03-28 09:00:02</t>
  </si>
  <si>
    <t>杨天真的rap</t>
  </si>
  <si>
    <t xml:space="preserve"> 2020-03-28 15:44:02</t>
  </si>
  <si>
    <t xml:space="preserve"> 2020-03-28 11:28:02</t>
  </si>
  <si>
    <t>WeiYan全球禁赛24个月</t>
  </si>
  <si>
    <t xml:space="preserve"> 2020-03-28 15:34:01</t>
  </si>
  <si>
    <t>扫黄打非办回应国内版N号房</t>
  </si>
  <si>
    <t xml:space="preserve"> 2020-03-28 14:22:02</t>
  </si>
  <si>
    <t xml:space="preserve"> 2020-03-28 08:14:01</t>
  </si>
  <si>
    <t>孩子被撞瞬间父亲一把拽回</t>
  </si>
  <si>
    <t>云南除高三初三外其他年级暂不开学</t>
  </si>
  <si>
    <t xml:space="preserve"> 2020-03-28 15:26:02</t>
  </si>
  <si>
    <t xml:space="preserve"> 2020-03-28 10:30:01</t>
  </si>
  <si>
    <t>谢谢你为湖北拼过单</t>
  </si>
  <si>
    <t xml:space="preserve"> 2020-03-28 18:56:02</t>
  </si>
  <si>
    <t xml:space="preserve"> 2020-03-28 12:02:01</t>
  </si>
  <si>
    <t>武汉奶茶外卖订单3天增8倍</t>
  </si>
  <si>
    <t xml:space="preserve"> 2020-03-28 15:04:02</t>
  </si>
  <si>
    <t xml:space="preserve"> 2020-03-28 07:26:02</t>
  </si>
  <si>
    <t>美国新冠病毒感染病例超过10万</t>
  </si>
  <si>
    <t>国内版N号房调查</t>
  </si>
  <si>
    <t xml:space="preserve"> 2020-03-28 13:32:02</t>
  </si>
  <si>
    <t xml:space="preserve"> 2020-03-28 09:22:01</t>
  </si>
  <si>
    <t>意大利总统说没出去理发</t>
  </si>
  <si>
    <t xml:space="preserve"> 2020-03-28 14:02:02</t>
  </si>
  <si>
    <t xml:space="preserve"> 2020-03-28 08:24:02</t>
  </si>
  <si>
    <t>比尔盖茨警告全美必须停摆</t>
  </si>
  <si>
    <t xml:space="preserve"> 2020-03-28 14:32:02</t>
  </si>
  <si>
    <t>重启后的武汉公交什么样</t>
  </si>
  <si>
    <t xml:space="preserve"> 2020-03-28 07:58:02</t>
  </si>
  <si>
    <t>林允张新成滑雪</t>
  </si>
  <si>
    <t xml:space="preserve"> 2020-03-28 13:22:02</t>
  </si>
  <si>
    <t xml:space="preserve"> 2020-03-28 11:06:02</t>
  </si>
  <si>
    <t>海南5人隐瞒境外旅居史被拘留</t>
  </si>
  <si>
    <t xml:space="preserve"> 2020-03-28 14:30:02</t>
  </si>
  <si>
    <t xml:space="preserve"> 2020-03-28 10:44:02</t>
  </si>
  <si>
    <t>丈夫扮熊本熊迎接援鄂妻子</t>
  </si>
  <si>
    <t xml:space="preserve"> 2020-03-28 14:38:01</t>
  </si>
  <si>
    <t>河南首例境外输入病例郭某某被刑拘</t>
  </si>
  <si>
    <t xml:space="preserve"> 2020-03-28 07:48:02</t>
  </si>
  <si>
    <t>沈腾把尖叫鸡塞进鞋里</t>
  </si>
  <si>
    <t>国际货币基金组织说中国正在恢复</t>
  </si>
  <si>
    <t xml:space="preserve"> 2020-03-28 19:44:02</t>
  </si>
  <si>
    <t xml:space="preserve"> 2020-03-28 10:18:01</t>
  </si>
  <si>
    <t>外交部敦促美方不得实施所谓台北法案</t>
  </si>
  <si>
    <t xml:space="preserve"> 2020-03-28 13:48:02</t>
  </si>
  <si>
    <t xml:space="preserve"> 2020-03-28 09:28:02</t>
  </si>
  <si>
    <t>浓眉新冠检测呈阴性</t>
  </si>
  <si>
    <t xml:space="preserve"> 2020-03-28 11:14:02</t>
  </si>
  <si>
    <t>辽宁沈阳新增1例境外输入病例</t>
  </si>
  <si>
    <t xml:space="preserve"> 2020-03-28 13:34:01</t>
  </si>
  <si>
    <t>新冠肺炎疫苗研制仍需12至18个月</t>
  </si>
  <si>
    <t xml:space="preserve"> 2020-03-28 13:12:02</t>
  </si>
  <si>
    <t>特朗普签署2万亿美元经济刺激法案</t>
  </si>
  <si>
    <t>荷兰理发师穿自制雨伞理发</t>
  </si>
  <si>
    <t xml:space="preserve"> 2020-03-28 13:30:02</t>
  </si>
  <si>
    <t>深圳口岸</t>
  </si>
  <si>
    <t xml:space="preserve"> 2020-03-28 13:58:02</t>
  </si>
  <si>
    <t>不完美的她台词</t>
  </si>
  <si>
    <t xml:space="preserve"> 2020-03-28 12:36:02</t>
  </si>
  <si>
    <t xml:space="preserve"> 2020-03-28 09:14:01</t>
  </si>
  <si>
    <t>西安一小区居民自发悬挂国旗</t>
  </si>
  <si>
    <t xml:space="preserve"> 2020-03-28 18:34:02</t>
  </si>
  <si>
    <t xml:space="preserve"> 2020-03-28 12:12:02</t>
  </si>
  <si>
    <t>被隔离留学生向社区人员泼开水</t>
  </si>
  <si>
    <t xml:space="preserve"> 2020-03-28 12:32:01</t>
  </si>
  <si>
    <t>贵阳混凝土公司发生滑坡仍有7人失联</t>
  </si>
  <si>
    <t xml:space="preserve"> 2020-03-28 15:36:02</t>
  </si>
  <si>
    <t xml:space="preserve"> 2020-03-28 12:14:02</t>
  </si>
  <si>
    <t>英国首相向美国寻求呼吸机援助</t>
  </si>
  <si>
    <t xml:space="preserve"> 2020-03-28 16:26:02</t>
  </si>
  <si>
    <t xml:space="preserve"> 2020-03-28 12:18:02</t>
  </si>
  <si>
    <t>中国网友暖心回应意大利主持人求援</t>
  </si>
  <si>
    <t xml:space="preserve"> 2020-03-28 13:26:02</t>
  </si>
  <si>
    <t xml:space="preserve"> 2020-03-28 11:40:02</t>
  </si>
  <si>
    <t>淡黄球衣穿搭大赛</t>
  </si>
  <si>
    <t xml:space="preserve"> 2020-03-28 13:56:02</t>
  </si>
  <si>
    <t>纽约警察局552名雇员确诊新冠肺炎</t>
  </si>
  <si>
    <t xml:space="preserve"> 2020-03-28 12:48:02</t>
  </si>
  <si>
    <t>援鄂医生视频见证孩子出生</t>
  </si>
  <si>
    <t xml:space="preserve"> 2020-03-28 15:28:02</t>
  </si>
  <si>
    <t xml:space="preserve"> 2020-03-28 12:20:02</t>
  </si>
  <si>
    <t>大妈戴口罩间隔5米跳广场舞</t>
  </si>
  <si>
    <t xml:space="preserve"> 2020-03-28 12:26:02</t>
  </si>
  <si>
    <t>北京要求市民非必要不旅行</t>
  </si>
  <si>
    <t xml:space="preserve"> 2020-03-29 11:34:02</t>
  </si>
  <si>
    <t xml:space="preserve"> 2020-03-28 21:26:02</t>
  </si>
  <si>
    <t>蔡徐坤Lisa质疑申洁中心位</t>
  </si>
  <si>
    <t xml:space="preserve"> 2020-03-29 10:20:02</t>
  </si>
  <si>
    <t xml:space="preserve"> 2020-03-28 21:44:02</t>
  </si>
  <si>
    <t>冰岛发现全球首例双重感染者</t>
  </si>
  <si>
    <t xml:space="preserve"> 2020-03-29 11:14:01</t>
  </si>
  <si>
    <t xml:space="preserve"> 2020-03-28 21:52:02</t>
  </si>
  <si>
    <t>肖战工作室辟谣</t>
  </si>
  <si>
    <t xml:space="preserve"> 2020-03-28 20:42:02</t>
  </si>
  <si>
    <t>郭晓婷因N号房事件发长文</t>
  </si>
  <si>
    <t xml:space="preserve"> 2020-03-29 09:26:01</t>
  </si>
  <si>
    <t xml:space="preserve"> 2020-03-28 21:04:02</t>
  </si>
  <si>
    <t>全球最大安全套制造商因疫情停产</t>
  </si>
  <si>
    <t xml:space="preserve"> 2020-03-29 09:56:02</t>
  </si>
  <si>
    <t xml:space="preserve"> 2020-03-28 21:36:02</t>
  </si>
  <si>
    <t>法国向中国订购10亿只口罩</t>
  </si>
  <si>
    <t xml:space="preserve"> 2020-03-29 15:20:01</t>
  </si>
  <si>
    <t xml:space="preserve"> 2020-03-28 23:20:02</t>
  </si>
  <si>
    <t>俄罗斯自3月30日起限制出入境</t>
  </si>
  <si>
    <t xml:space="preserve"> 2020-03-29 07:28:02</t>
  </si>
  <si>
    <t xml:space="preserve"> 2020-03-28 21:30:01</t>
  </si>
  <si>
    <t>安崎slay</t>
  </si>
  <si>
    <t>鞠婧祎差点摔倒</t>
  </si>
  <si>
    <t xml:space="preserve"> 2020-03-29 08:40:01</t>
  </si>
  <si>
    <t xml:space="preserve"> 2020-03-28 21:48:01</t>
  </si>
  <si>
    <t>刘令姿气质</t>
  </si>
  <si>
    <t xml:space="preserve"> 2020-03-29 10:18:02</t>
  </si>
  <si>
    <t xml:space="preserve"> 2020-03-28 22:34:02</t>
  </si>
  <si>
    <t>八达岭长城恢复开放首日被刻字</t>
  </si>
  <si>
    <t xml:space="preserve"> 2020-03-29 08:30:02</t>
  </si>
  <si>
    <t>安倍称日本疫情短时间内有可能扩大</t>
  </si>
  <si>
    <t xml:space="preserve"> 2020-03-29 08:32:02</t>
  </si>
  <si>
    <t xml:space="preserve"> 2020-03-28 22:42:02</t>
  </si>
  <si>
    <t>恢复到站首日6万多人返回武汉</t>
  </si>
  <si>
    <t xml:space="preserve"> 2020-03-29 10:42:02</t>
  </si>
  <si>
    <t xml:space="preserve"> 2020-03-28 21:46:02</t>
  </si>
  <si>
    <t>林小宅进步好大</t>
  </si>
  <si>
    <t xml:space="preserve"> 2020-03-29 09:18:02</t>
  </si>
  <si>
    <t xml:space="preserve"> 2020-03-28 22:24:02</t>
  </si>
  <si>
    <t>FBI警告美国针对亚裔仇恨犯罪或激增</t>
  </si>
  <si>
    <t xml:space="preserve"> 2020-03-29 07:34:01</t>
  </si>
  <si>
    <t xml:space="preserve"> 2020-03-28 22:52:02</t>
  </si>
  <si>
    <t>我本人的英语词汇量</t>
  </si>
  <si>
    <t xml:space="preserve"> 2020-03-28 22:54:02</t>
  </si>
  <si>
    <t>武汉eStar赢了</t>
  </si>
  <si>
    <t xml:space="preserve"> 2020-03-28 22:06:02</t>
  </si>
  <si>
    <t>云南15岁失联少女酒店坠楼重伤</t>
  </si>
  <si>
    <t xml:space="preserve"> 2020-03-29 10:54:02</t>
  </si>
  <si>
    <t xml:space="preserve"> 2020-03-28 21:22:01</t>
  </si>
  <si>
    <t>易燃易爆炸</t>
  </si>
  <si>
    <t xml:space="preserve"> 2020-03-29 08:42:02</t>
  </si>
  <si>
    <t xml:space="preserve"> 2020-03-28 18:58:02</t>
  </si>
  <si>
    <t>当Siri遇上淡黄的长裙</t>
  </si>
  <si>
    <t xml:space="preserve"> 2020-03-29 07:56:02</t>
  </si>
  <si>
    <t xml:space="preserve"> 2020-03-28 22:18:02</t>
  </si>
  <si>
    <t>原来不喜欢现在却喜欢的事</t>
  </si>
  <si>
    <t xml:space="preserve"> 2020-03-29 08:46:02</t>
  </si>
  <si>
    <t xml:space="preserve"> 2020-03-28 22:48:01</t>
  </si>
  <si>
    <t>渔民捕获2.35米鳇鲟</t>
  </si>
  <si>
    <t xml:space="preserve"> 2020-03-29 07:16:01</t>
  </si>
  <si>
    <t xml:space="preserve"> 2020-03-28 22:56:02</t>
  </si>
  <si>
    <t>唱歌五音不全是什么体验</t>
  </si>
  <si>
    <t xml:space="preserve"> 2020-03-29 09:00:02</t>
  </si>
  <si>
    <t>张雨剑造句</t>
  </si>
  <si>
    <t xml:space="preserve"> 2020-03-29 08:14:02</t>
  </si>
  <si>
    <t>喻言实力</t>
  </si>
  <si>
    <t xml:space="preserve"> 2020-03-28 18:44:01</t>
  </si>
  <si>
    <t>棺材包包</t>
  </si>
  <si>
    <t xml:space="preserve"> 2020-03-29 07:32:02</t>
  </si>
  <si>
    <t>8个新冠肺炎病区关闭</t>
  </si>
  <si>
    <t xml:space="preserve"> 2020-03-29 07:38:02</t>
  </si>
  <si>
    <t xml:space="preserve"> 2020-03-28 18:54:02</t>
  </si>
  <si>
    <t>意大利夫妇把公寓楼当幕布投放电影</t>
  </si>
  <si>
    <t xml:space="preserve"> 2020-03-29 07:46:02</t>
  </si>
  <si>
    <t xml:space="preserve"> 2020-03-28 22:22:02</t>
  </si>
  <si>
    <t>易烊千玺太空人造型</t>
  </si>
  <si>
    <t xml:space="preserve"> 2020-03-29 01:28:01</t>
  </si>
  <si>
    <t xml:space="preserve"> 2020-03-28 16:24:02</t>
  </si>
  <si>
    <t>黄一鸣</t>
  </si>
  <si>
    <t xml:space="preserve"> 2020-03-29 08:16:02</t>
  </si>
  <si>
    <t xml:space="preserve"> 2020-03-28 22:30:02</t>
  </si>
  <si>
    <t>北京投放共享单车90万辆</t>
  </si>
  <si>
    <t xml:space="preserve"> 2020-03-29 07:08:02</t>
  </si>
  <si>
    <t xml:space="preserve"> 2020-03-28 18:40:02</t>
  </si>
  <si>
    <t>特朗普祝英国首相早日康复</t>
  </si>
  <si>
    <t xml:space="preserve"> 2020-03-29 07:50:02</t>
  </si>
  <si>
    <t xml:space="preserve"> 2020-03-28 20:50:02</t>
  </si>
  <si>
    <t>抹茶牛乳脏脏茶</t>
  </si>
  <si>
    <t xml:space="preserve"> 2020-03-29 07:14:02</t>
  </si>
  <si>
    <t xml:space="preserve"> 2020-03-28 20:20:02</t>
  </si>
  <si>
    <t>王嘉尔直播</t>
  </si>
  <si>
    <t xml:space="preserve"> 2020-03-29 07:20:02</t>
  </si>
  <si>
    <t xml:space="preserve"> 2020-03-28 19:50:02</t>
  </si>
  <si>
    <t>男生敷衍起来什么样</t>
  </si>
  <si>
    <t xml:space="preserve"> 2020-03-28 22:40:02</t>
  </si>
  <si>
    <t>湖北邮政快递业已实现超五成服务能力</t>
  </si>
  <si>
    <t xml:space="preserve"> 2020-03-29 08:06:02</t>
  </si>
  <si>
    <t>数学考试和语文考试的区别</t>
  </si>
  <si>
    <t xml:space="preserve"> 2020-03-28 23:00:02</t>
  </si>
  <si>
    <t>王阳配音</t>
  </si>
  <si>
    <t xml:space="preserve"> 2020-03-29 07:42:02</t>
  </si>
  <si>
    <t xml:space="preserve"> 2020-03-28 21:08:02</t>
  </si>
  <si>
    <t>如来老汉</t>
  </si>
  <si>
    <t xml:space="preserve"> 2020-03-29 08:12:01</t>
  </si>
  <si>
    <t>意大利财政部设考试式会场</t>
  </si>
  <si>
    <t xml:space="preserve"> 2020-03-29 07:30:01</t>
  </si>
  <si>
    <t xml:space="preserve"> 2020-03-28 23:02:01</t>
  </si>
  <si>
    <t>英国新增2546例新冠肺炎确诊病例</t>
  </si>
  <si>
    <t xml:space="preserve"> 2020-03-29 04:00:02</t>
  </si>
  <si>
    <t xml:space="preserve"> 2020-03-28 19:46:02</t>
  </si>
  <si>
    <t>7901万多名党员自愿捐款82.6亿元</t>
  </si>
  <si>
    <t xml:space="preserve"> 2020-03-28 20:48:01</t>
  </si>
  <si>
    <t>官方辟谣网传深圳口岸被挤爆</t>
  </si>
  <si>
    <t xml:space="preserve"> 2020-03-28 20:02:01</t>
  </si>
  <si>
    <t>90后三年来立遗嘱人数翻近3倍</t>
  </si>
  <si>
    <t xml:space="preserve"> 2020-03-29 07:40:02</t>
  </si>
  <si>
    <t>TheShy奥恩伤害</t>
  </si>
  <si>
    <t xml:space="preserve"> 2020-03-28 21:24:02</t>
  </si>
  <si>
    <t>Play组好炸</t>
  </si>
  <si>
    <t xml:space="preserve"> 2020-03-29 00:28:01</t>
  </si>
  <si>
    <t>教皇方济各面对空旷广场发表演讲</t>
  </si>
  <si>
    <t xml:space="preserve"> 2020-03-29 19:14:02</t>
  </si>
  <si>
    <t xml:space="preserve"> 2020-03-29 11:26:01</t>
  </si>
  <si>
    <t>美科学家称武汉绝不是新冠病毒源头</t>
  </si>
  <si>
    <t xml:space="preserve"> 2020-03-29 17:50:02</t>
  </si>
  <si>
    <t xml:space="preserve"> 2020-03-29 10:28:02</t>
  </si>
  <si>
    <t>美国一名婴儿感染新冠病毒后死亡</t>
  </si>
  <si>
    <t xml:space="preserve"> 2020-03-29 16:24:02</t>
  </si>
  <si>
    <t xml:space="preserve"> 2020-03-29 11:16:02</t>
  </si>
  <si>
    <t>钟南山回应无症状感染者情况</t>
  </si>
  <si>
    <t xml:space="preserve"> 2020-03-29 18:46:02</t>
  </si>
  <si>
    <t xml:space="preserve"> 2020-03-29 11:38:02</t>
  </si>
  <si>
    <t>我国已进入汛期</t>
  </si>
  <si>
    <t xml:space="preserve"> 2020-03-29 17:46:02</t>
  </si>
  <si>
    <t xml:space="preserve"> 2020-03-29 07:36:02</t>
  </si>
  <si>
    <t>极限挑战</t>
  </si>
  <si>
    <t xml:space="preserve"> 2020-03-29 18:58:02</t>
  </si>
  <si>
    <t xml:space="preserve"> 2020-03-29 11:00:02</t>
  </si>
  <si>
    <t>Amber为雪莉庆生</t>
  </si>
  <si>
    <t xml:space="preserve"> 2020-03-29 13:00:02</t>
  </si>
  <si>
    <t xml:space="preserve"> 2020-03-29 11:44:02</t>
  </si>
  <si>
    <t>新冠疫苗志愿者的隔离生活</t>
  </si>
  <si>
    <t xml:space="preserve"> 2020-03-29 17:32:02</t>
  </si>
  <si>
    <t xml:space="preserve"> 2020-03-29 08:56:02</t>
  </si>
  <si>
    <t>漯河</t>
  </si>
  <si>
    <t xml:space="preserve"> 2020-03-29 13:42:01</t>
  </si>
  <si>
    <t>日本将推出迄今最大规模经济刺激计划</t>
  </si>
  <si>
    <t xml:space="preserve"> 2020-03-29 16:34:02</t>
  </si>
  <si>
    <t xml:space="preserve"> 2020-03-29 10:50:01</t>
  </si>
  <si>
    <t>治疗新冠肺炎患者平均费用是多少</t>
  </si>
  <si>
    <t xml:space="preserve"> 2020-03-29 15:54:02</t>
  </si>
  <si>
    <t xml:space="preserve"> 2020-03-29 10:02:02</t>
  </si>
  <si>
    <t>流浪狗掉沥青池清洗三天救回</t>
  </si>
  <si>
    <t xml:space="preserve"> 2020-03-29 15:46:02</t>
  </si>
  <si>
    <t xml:space="preserve"> 2020-03-29 08:10:02</t>
  </si>
  <si>
    <t>河南新增1例本地确诊病例</t>
  </si>
  <si>
    <t xml:space="preserve"> 2020-03-29 14:24:02</t>
  </si>
  <si>
    <t xml:space="preserve"> 2020-03-29 12:00:02</t>
  </si>
  <si>
    <t>川渝两地公积金将互认互贷</t>
  </si>
  <si>
    <t xml:space="preserve"> 2020-03-29 14:42:02</t>
  </si>
  <si>
    <t>特朗普称美国能从中国的经历中学到很多</t>
  </si>
  <si>
    <t xml:space="preserve"> 2020-03-29 20:40:02</t>
  </si>
  <si>
    <t xml:space="preserve"> 2020-03-29 08:18:01</t>
  </si>
  <si>
    <t>申清</t>
  </si>
  <si>
    <t xml:space="preserve"> 2020-03-29 17:48:02</t>
  </si>
  <si>
    <t xml:space="preserve"> 2020-03-29 10:34:02</t>
  </si>
  <si>
    <t>广东徐闻有片菠萝的海</t>
  </si>
  <si>
    <t xml:space="preserve"> 2020-03-29 14:04:02</t>
  </si>
  <si>
    <t>王栎鑫模仿reader式说唱</t>
  </si>
  <si>
    <t xml:space="preserve"> 2020-03-29 18:04:02</t>
  </si>
  <si>
    <t xml:space="preserve"> 2020-03-29 10:38:02</t>
  </si>
  <si>
    <t>减肥面包有多难吃</t>
  </si>
  <si>
    <t xml:space="preserve"> 2020-03-29 13:56:02</t>
  </si>
  <si>
    <t xml:space="preserve"> 2020-03-29 09:50:02</t>
  </si>
  <si>
    <t>英国新冠肺炎已致死逾千人</t>
  </si>
  <si>
    <t xml:space="preserve"> 2020-03-29 16:20:02</t>
  </si>
  <si>
    <t xml:space="preserve"> 2020-03-29 10:22:02</t>
  </si>
  <si>
    <t>JR史密斯怒斥特朗普</t>
  </si>
  <si>
    <t xml:space="preserve"> 2020-03-29 11:30:02</t>
  </si>
  <si>
    <t>联合国向美国捐赠25万只口罩</t>
  </si>
  <si>
    <t xml:space="preserve"> 2020-03-29 15:52:02</t>
  </si>
  <si>
    <t>云南警方通报15岁少女酒店坠楼</t>
  </si>
  <si>
    <t xml:space="preserve"> 2020-03-29 17:02:02</t>
  </si>
  <si>
    <t>31省区市新增45例确诊病例</t>
  </si>
  <si>
    <t xml:space="preserve"> 2020-03-29 13:20:02</t>
  </si>
  <si>
    <t xml:space="preserve"> 2020-03-29 09:20:02</t>
  </si>
  <si>
    <t>加拿大总理夫人宣布痊愈</t>
  </si>
  <si>
    <t xml:space="preserve"> 2020-03-29 08:34:02</t>
  </si>
  <si>
    <t>那些中途退学的人怎么样了</t>
  </si>
  <si>
    <t xml:space="preserve"> 2020-03-29 13:12:02</t>
  </si>
  <si>
    <t>张文宏新书向多国提供免费版权</t>
  </si>
  <si>
    <t xml:space="preserve"> 2020-03-29 17:00:02</t>
  </si>
  <si>
    <t xml:space="preserve"> 2020-03-29 08:20:02</t>
  </si>
  <si>
    <t>全球新冠肺炎确诊病例突破66万例</t>
  </si>
  <si>
    <t>郏县</t>
  </si>
  <si>
    <t xml:space="preserve"> 2020-03-29 13:54:01</t>
  </si>
  <si>
    <t xml:space="preserve"> 2020-03-29 10:08:02</t>
  </si>
  <si>
    <t>尤文全队放弃4个月薪水</t>
  </si>
  <si>
    <t xml:space="preserve"> 2020-03-29 15:58:01</t>
  </si>
  <si>
    <t>用说唱的方式打开青你2</t>
  </si>
  <si>
    <t xml:space="preserve"> 2020-03-29 14:08:02</t>
  </si>
  <si>
    <t>美国新冠肺炎确诊超12万例</t>
  </si>
  <si>
    <t xml:space="preserve"> 2020-03-29 13:02:02</t>
  </si>
  <si>
    <t xml:space="preserve"> 2020-03-29 07:52:01</t>
  </si>
  <si>
    <t>小虎登顶韩服</t>
  </si>
  <si>
    <t xml:space="preserve"> 2020-03-29 14:34:02</t>
  </si>
  <si>
    <t xml:space="preserve"> 2020-03-29 10:44:02</t>
  </si>
  <si>
    <t>秘鲁建筑工人心酸抹眼泪</t>
  </si>
  <si>
    <t xml:space="preserve"> 2020-03-29 12:54:02</t>
  </si>
  <si>
    <t>纽约州长宣布推迟总统大选初选进程</t>
  </si>
  <si>
    <t xml:space="preserve"> 2020-03-29 12:48:02</t>
  </si>
  <si>
    <t xml:space="preserve"> 2020-03-29 09:52:02</t>
  </si>
  <si>
    <t>沙特首都上空传数声爆炸巨响</t>
  </si>
  <si>
    <t xml:space="preserve"> 2020-04-05 15:56:01</t>
  </si>
  <si>
    <t>大头菜</t>
  </si>
  <si>
    <t xml:space="preserve"> 2020-03-29 07:22:02</t>
  </si>
  <si>
    <t>当好朋友不吃你的安利</t>
  </si>
  <si>
    <t xml:space="preserve"> 2020-03-29 12:52:01</t>
  </si>
  <si>
    <t>纽约州长称强制隔离相当于宣战</t>
  </si>
  <si>
    <t xml:space="preserve"> 2020-03-29 15:48:01</t>
  </si>
  <si>
    <t xml:space="preserve"> 2020-03-29 12:12:02</t>
  </si>
  <si>
    <t>马云公益基金会回应抗疫资金来源</t>
  </si>
  <si>
    <t xml:space="preserve"> 2020-03-29 12:40:01</t>
  </si>
  <si>
    <t xml:space="preserve"> 2020-03-29 11:06:02</t>
  </si>
  <si>
    <t>尼克斯老板多兰确诊新冠肺炎</t>
  </si>
  <si>
    <t xml:space="preserve"> 2020-03-29 16:18:02</t>
  </si>
  <si>
    <t xml:space="preserve"> 2020-03-29 12:16:02</t>
  </si>
  <si>
    <t>对华关税正拖累美国抗疫</t>
  </si>
  <si>
    <t>王者荣耀新赛季时间</t>
  </si>
  <si>
    <t xml:space="preserve"> 2020-03-29 13:38:02</t>
  </si>
  <si>
    <t xml:space="preserve"> 2020-03-29 11:50:02</t>
  </si>
  <si>
    <t>3D视频展示新冠患者肺部受损过程</t>
  </si>
  <si>
    <t xml:space="preserve"> 2020-03-29 08:08:01</t>
  </si>
  <si>
    <t>中国山东省工作组抵达英国支援</t>
  </si>
  <si>
    <t xml:space="preserve"> 2020-03-29 12:34:02</t>
  </si>
  <si>
    <t>朝鲜向东海岸方向发射不明飞行物</t>
  </si>
  <si>
    <t xml:space="preserve"> 2020-03-29 12:30:01</t>
  </si>
  <si>
    <t>贾乃亮配音李雪健</t>
  </si>
  <si>
    <t xml:space="preserve"> 2020-03-29 12:24:02</t>
  </si>
  <si>
    <t xml:space="preserve"> 2020-03-29 11:42:02</t>
  </si>
  <si>
    <t>王俊凯开年刊纪录片预告</t>
  </si>
  <si>
    <t xml:space="preserve"> 2020-03-30 10:20:02</t>
  </si>
  <si>
    <t xml:space="preserve"> 2020-03-29 21:18:02</t>
  </si>
  <si>
    <t>孟美岐酒后表白吴宣仪</t>
  </si>
  <si>
    <t xml:space="preserve"> 2020-03-30 09:10:02</t>
  </si>
  <si>
    <t xml:space="preserve"> 2020-03-29 21:10:02</t>
  </si>
  <si>
    <t>全球抢购中国呼吸机</t>
  </si>
  <si>
    <t xml:space="preserve"> 2020-03-30 10:08:02</t>
  </si>
  <si>
    <t xml:space="preserve"> 2020-03-29 22:46:02</t>
  </si>
  <si>
    <t>特朗普要求波音福特造呼吸机</t>
  </si>
  <si>
    <t xml:space="preserve"> 2020-03-30 09:04:02</t>
  </si>
  <si>
    <t xml:space="preserve"> 2020-03-29 19:16:01</t>
  </si>
  <si>
    <t>钟南山说推断中国没有大量无症状感染者</t>
  </si>
  <si>
    <t xml:space="preserve"> 2020-03-30 09:26:02</t>
  </si>
  <si>
    <t xml:space="preserve"> 2020-03-29 20:06:02</t>
  </si>
  <si>
    <t>张文宏预测10月后或有疫情高峰</t>
  </si>
  <si>
    <t xml:space="preserve"> 2020-03-30 11:46:02</t>
  </si>
  <si>
    <t xml:space="preserve"> 2020-03-29 17:10:02</t>
  </si>
  <si>
    <t>你生日那天的宇宙</t>
  </si>
  <si>
    <t xml:space="preserve"> 2020-03-30 11:12:02</t>
  </si>
  <si>
    <t xml:space="preserve"> 2020-03-29 23:38:02</t>
  </si>
  <si>
    <t>外籍男子拒戴口罩不服从管理限期出境</t>
  </si>
  <si>
    <t xml:space="preserve"> 2020-03-30 08:16:01</t>
  </si>
  <si>
    <t xml:space="preserve"> 2020-03-29 20:32:01</t>
  </si>
  <si>
    <t>日本或将美国列为拒绝入境对象</t>
  </si>
  <si>
    <t xml:space="preserve"> 2020-03-30 08:32:02</t>
  </si>
  <si>
    <t xml:space="preserve"> 2020-03-29 22:14:02</t>
  </si>
  <si>
    <t>菲律宾一架飞机坠毁</t>
  </si>
  <si>
    <t xml:space="preserve"> 2020-03-30 07:26:02</t>
  </si>
  <si>
    <t xml:space="preserve"> 2020-03-29 22:12:02</t>
  </si>
  <si>
    <t>甘肃新增1例湖北输入病例</t>
  </si>
  <si>
    <t xml:space="preserve"> 2020-03-30 08:20:02</t>
  </si>
  <si>
    <t xml:space="preserve"> 2020-03-29 21:00:02</t>
  </si>
  <si>
    <t>意大利市长重操旧业当护士</t>
  </si>
  <si>
    <t xml:space="preserve"> 2020-03-30 07:22:01</t>
  </si>
  <si>
    <t>13名外籍人员沿山脉入境广西被遣返</t>
  </si>
  <si>
    <t xml:space="preserve"> 2020-03-30 11:02:02</t>
  </si>
  <si>
    <t xml:space="preserve"> 2020-03-29 23:28:02</t>
  </si>
  <si>
    <t>格力将招5000名大学生作研发队伍</t>
  </si>
  <si>
    <t xml:space="preserve"> 2020-03-30 13:28:02</t>
  </si>
  <si>
    <t xml:space="preserve"> 2020-03-29 22:44:02</t>
  </si>
  <si>
    <t>康辉给老婆打电话</t>
  </si>
  <si>
    <t xml:space="preserve"> 2020-03-30 10:22:02</t>
  </si>
  <si>
    <t xml:space="preserve"> 2020-03-29 23:58:02</t>
  </si>
  <si>
    <t>3个儿子帮老爸向女友求婚</t>
  </si>
  <si>
    <t xml:space="preserve"> 2020-03-30 11:40:02</t>
  </si>
  <si>
    <t xml:space="preserve"> 2020-03-29 23:02:02</t>
  </si>
  <si>
    <t>福克斯道歉</t>
  </si>
  <si>
    <t xml:space="preserve"> 2020-04-01 11:30:02</t>
  </si>
  <si>
    <t xml:space="preserve"> 2020-03-29 20:12:02</t>
  </si>
  <si>
    <t>许可馨</t>
  </si>
  <si>
    <t xml:space="preserve"> 2020-03-30 08:08:02</t>
  </si>
  <si>
    <t>外籍男子拒戴口罩辱骂攻击防疫人员</t>
  </si>
  <si>
    <t xml:space="preserve"> 2020-03-30 07:38:02</t>
  </si>
  <si>
    <t xml:space="preserve"> 2020-03-29 22:50:02</t>
  </si>
  <si>
    <t>咸宁</t>
  </si>
  <si>
    <t xml:space="preserve"> 2020-03-29 21:36:02</t>
  </si>
  <si>
    <t>4小时目睹4名患者离世</t>
  </si>
  <si>
    <t xml:space="preserve"> 2020-03-30 09:46:02</t>
  </si>
  <si>
    <t xml:space="preserve"> 2020-03-29 21:48:02</t>
  </si>
  <si>
    <t>Uzi急了</t>
  </si>
  <si>
    <t xml:space="preserve"> 2020-03-30 08:58:01</t>
  </si>
  <si>
    <t xml:space="preserve"> 2020-03-29 23:14:01</t>
  </si>
  <si>
    <t>特朗普向退役棒球名将咨询疫情对策</t>
  </si>
  <si>
    <t xml:space="preserve"> 2020-03-30 08:06:02</t>
  </si>
  <si>
    <t xml:space="preserve"> 2020-03-29 23:06:02</t>
  </si>
  <si>
    <t>女生遮脸自拍照大赛</t>
  </si>
  <si>
    <t xml:space="preserve"> 2020-03-30 11:56:02</t>
  </si>
  <si>
    <t xml:space="preserve"> 2020-03-29 23:24:02</t>
  </si>
  <si>
    <t>杨超越海笑</t>
  </si>
  <si>
    <t xml:space="preserve"> 2020-03-29 18:38:02</t>
  </si>
  <si>
    <t>杨幂马甲线</t>
  </si>
  <si>
    <t xml:space="preserve"> 2020-03-30 08:02:01</t>
  </si>
  <si>
    <t xml:space="preserve"> 2020-03-29 19:08:02</t>
  </si>
  <si>
    <t>塞尔维亚总理打算为两国友谊竖纪念碑</t>
  </si>
  <si>
    <t xml:space="preserve"> 2020-03-30 10:04:02</t>
  </si>
  <si>
    <t xml:space="preserve"> 2020-03-29 22:00:02</t>
  </si>
  <si>
    <t>太阳马戏团考虑申请破产</t>
  </si>
  <si>
    <t xml:space="preserve"> 2020-03-30 08:00:02</t>
  </si>
  <si>
    <t>冰雨火</t>
  </si>
  <si>
    <t xml:space="preserve"> 2020-03-29 18:00:02</t>
  </si>
  <si>
    <t>鹿晗颠卫生纸</t>
  </si>
  <si>
    <t xml:space="preserve"> 2020-03-30 07:34:02</t>
  </si>
  <si>
    <t xml:space="preserve"> 2020-03-29 20:26:02</t>
  </si>
  <si>
    <t>中国援助蒙古国第一批抗疫物资交接</t>
  </si>
  <si>
    <t xml:space="preserve"> 2020-03-30 07:30:02</t>
  </si>
  <si>
    <t>黄冈各单位食堂不得提供酒水</t>
  </si>
  <si>
    <t xml:space="preserve"> 2020-03-29 21:08:02</t>
  </si>
  <si>
    <t>云南森林火灾</t>
  </si>
  <si>
    <t xml:space="preserve"> 2020-03-30 08:12:01</t>
  </si>
  <si>
    <t>西班牙街头的鸽子没人喂了</t>
  </si>
  <si>
    <t xml:space="preserve"> 2020-03-29 19:52:02</t>
  </si>
  <si>
    <t>权游冰原狼演员去世</t>
  </si>
  <si>
    <t xml:space="preserve"> 2020-03-30 08:04:01</t>
  </si>
  <si>
    <t xml:space="preserve"> 2020-03-29 21:38:02</t>
  </si>
  <si>
    <t>长江宜昌段再现成群江豚</t>
  </si>
  <si>
    <t xml:space="preserve"> 2020-03-30 07:16:02</t>
  </si>
  <si>
    <t xml:space="preserve"> 2020-03-29 18:48:02</t>
  </si>
  <si>
    <t>李心艾</t>
  </si>
  <si>
    <t xml:space="preserve"> 2020-03-30 07:14:01</t>
  </si>
  <si>
    <t xml:space="preserve"> 2020-03-29 23:30:02</t>
  </si>
  <si>
    <t>学生时代一定干过的事情</t>
  </si>
  <si>
    <t xml:space="preserve"> 2020-03-30 08:14:02</t>
  </si>
  <si>
    <t xml:space="preserve"> 2020-03-29 22:54:02</t>
  </si>
  <si>
    <t>LGD冠军</t>
  </si>
  <si>
    <t xml:space="preserve"> 2020-03-30 10:52:01</t>
  </si>
  <si>
    <t>甘肃新增输入确诊病例持有绿码</t>
  </si>
  <si>
    <t xml:space="preserve"> 2020-03-29 20:00:02</t>
  </si>
  <si>
    <t>化妆后的迷之自信</t>
  </si>
  <si>
    <t xml:space="preserve"> 2020-03-30 07:20:01</t>
  </si>
  <si>
    <t xml:space="preserve"> 2020-03-29 20:44:02</t>
  </si>
  <si>
    <t>中国女孩给巴基斯坦警察送口罩</t>
  </si>
  <si>
    <t xml:space="preserve"> 2020-03-30 02:58:01</t>
  </si>
  <si>
    <t xml:space="preserve"> 2020-03-29 21:40:01</t>
  </si>
  <si>
    <t>武汉协和医院连线纽约90余位医生</t>
  </si>
  <si>
    <t xml:space="preserve"> 2020-03-30 07:10:02</t>
  </si>
  <si>
    <t xml:space="preserve"> 2020-03-29 17:34:02</t>
  </si>
  <si>
    <t>办公室小野方回应追加为被告</t>
  </si>
  <si>
    <t xml:space="preserve"> 2020-03-30 07:04:02</t>
  </si>
  <si>
    <t xml:space="preserve"> 2020-03-29 22:18:02</t>
  </si>
  <si>
    <t>德国华人每天拍视频记录疫情</t>
  </si>
  <si>
    <t xml:space="preserve"> 2020-03-29 22:32:02</t>
  </si>
  <si>
    <t>你好生活</t>
  </si>
  <si>
    <t xml:space="preserve"> 2020-03-30 00:58:01</t>
  </si>
  <si>
    <t>父母有多爱看热闹</t>
  </si>
  <si>
    <t xml:space="preserve"> 2020-03-30 18:16:02</t>
  </si>
  <si>
    <t>误入武汉的保洁小伙要回家了</t>
  </si>
  <si>
    <t xml:space="preserve"> 2020-03-30 15:44:02</t>
  </si>
  <si>
    <t xml:space="preserve"> 2020-03-30 07:32:01</t>
  </si>
  <si>
    <t>疫情可能导致20万美国人死亡</t>
  </si>
  <si>
    <t xml:space="preserve"> 2020-03-30 15:42:02</t>
  </si>
  <si>
    <t xml:space="preserve"> 2020-03-30 11:00:02</t>
  </si>
  <si>
    <t>我国紧急向国外提供1700多台呼吸机</t>
  </si>
  <si>
    <t xml:space="preserve"> 2020-03-30 17:18:02</t>
  </si>
  <si>
    <t xml:space="preserve"> 2020-03-02 17:08:01</t>
  </si>
  <si>
    <t>埃塞俄比亚</t>
  </si>
  <si>
    <t xml:space="preserve"> 2020-03-30 16:40:02</t>
  </si>
  <si>
    <t xml:space="preserve"> 2020-03-30 11:14:01</t>
  </si>
  <si>
    <t>泰国一监狱发生暴乱</t>
  </si>
  <si>
    <t xml:space="preserve"> 2020-03-30 16:48:02</t>
  </si>
  <si>
    <t>志村健因感染新冠去世</t>
  </si>
  <si>
    <t xml:space="preserve"> 2020-03-30 16:58:02</t>
  </si>
  <si>
    <t>李佳琦表情</t>
  </si>
  <si>
    <t xml:space="preserve"> 2020-03-30 15:34:02</t>
  </si>
  <si>
    <t>德国黑森州财政部长自杀</t>
  </si>
  <si>
    <t xml:space="preserve"> 2020-03-30 13:36:01</t>
  </si>
  <si>
    <t xml:space="preserve"> 2020-03-30 10:46:02</t>
  </si>
  <si>
    <t>马布里帮纽约采购口罩</t>
  </si>
  <si>
    <t xml:space="preserve"> 2020-03-30 15:16:02</t>
  </si>
  <si>
    <t xml:space="preserve"> 2020-03-30 11:42:02</t>
  </si>
  <si>
    <t>N号房成员最高或无期徒刑</t>
  </si>
  <si>
    <t xml:space="preserve"> 2020-03-30 18:02:02</t>
  </si>
  <si>
    <t xml:space="preserve"> 2020-03-30 10:54:02</t>
  </si>
  <si>
    <t>刘真遗体火化</t>
  </si>
  <si>
    <t xml:space="preserve"> 2020-03-30 16:26:02</t>
  </si>
  <si>
    <t>你有超过七年的友谊吗</t>
  </si>
  <si>
    <t xml:space="preserve"> 2020-03-30 14:28:02</t>
  </si>
  <si>
    <t>网课考试和线下考试的区别</t>
  </si>
  <si>
    <t xml:space="preserve"> 2020-03-30 12:48:02</t>
  </si>
  <si>
    <t xml:space="preserve"> 2020-03-30 09:02:02</t>
  </si>
  <si>
    <t>呼和浩特高三学生戴口罩报到</t>
  </si>
  <si>
    <t>宿舍里最让你牵挂的东西</t>
  </si>
  <si>
    <t xml:space="preserve"> 2020-03-30 11:58:02</t>
  </si>
  <si>
    <t>我国又发现一颗近地小行星</t>
  </si>
  <si>
    <t xml:space="preserve"> 2020-03-30 15:50:02</t>
  </si>
  <si>
    <t xml:space="preserve"> 2020-03-30 11:36:02</t>
  </si>
  <si>
    <t>科比退役战毛巾拍出33000美元</t>
  </si>
  <si>
    <t xml:space="preserve"> 2020-03-30 15:38:02</t>
  </si>
  <si>
    <t>在美留学生4星期没出门</t>
  </si>
  <si>
    <t xml:space="preserve"> 2020-03-30 17:48:02</t>
  </si>
  <si>
    <t xml:space="preserve"> 2020-03-30 09:00:02</t>
  </si>
  <si>
    <t>原来蜗牛是这么下蛋的</t>
  </si>
  <si>
    <t xml:space="preserve"> 2020-03-30 16:12:01</t>
  </si>
  <si>
    <t>戴口罩只罩住了嘴巴</t>
  </si>
  <si>
    <t xml:space="preserve"> 2020-03-30 11:16:02</t>
  </si>
  <si>
    <t>意大利各大区主席吐槽民防部口罩</t>
  </si>
  <si>
    <t xml:space="preserve"> 2020-03-30 14:06:02</t>
  </si>
  <si>
    <t>碰不到喜欢的就是没人追</t>
  </si>
  <si>
    <t xml:space="preserve"> 2020-03-30 14:46:01</t>
  </si>
  <si>
    <t xml:space="preserve"> 2020-03-30 07:40:01</t>
  </si>
  <si>
    <t>女生的聊天逻辑</t>
  </si>
  <si>
    <t xml:space="preserve"> 2020-03-30 13:30:02</t>
  </si>
  <si>
    <t xml:space="preserve"> 2020-03-30 09:54:02</t>
  </si>
  <si>
    <t>湖北现有确诊病例降至两千以下</t>
  </si>
  <si>
    <t xml:space="preserve"> 2020-03-30 14:20:02</t>
  </si>
  <si>
    <t xml:space="preserve"> 2020-03-30 11:48:02</t>
  </si>
  <si>
    <t>英国伯明翰机场设临时停尸房</t>
  </si>
  <si>
    <t xml:space="preserve"> 2020-03-30 13:12:02</t>
  </si>
  <si>
    <t>大一和大四的区别</t>
  </si>
  <si>
    <t xml:space="preserve"> 2020-03-30 14:44:02</t>
  </si>
  <si>
    <t xml:space="preserve"> 2020-03-30 08:10:02</t>
  </si>
  <si>
    <t>特朗普宣布新冠疫情指南延长至4月底</t>
  </si>
  <si>
    <t xml:space="preserve"> 2020-03-30 14:08:02</t>
  </si>
  <si>
    <t>小汤山医院首位治愈患者出院</t>
  </si>
  <si>
    <t xml:space="preserve"> 2020-03-30 15:54:02</t>
  </si>
  <si>
    <t xml:space="preserve"> 2020-03-30 11:32:01</t>
  </si>
  <si>
    <t>蕾哈娜调侃杜兰特</t>
  </si>
  <si>
    <t xml:space="preserve"> 2020-03-30 10:24:02</t>
  </si>
  <si>
    <t>石家庄</t>
  </si>
  <si>
    <t xml:space="preserve"> 2020-03-30 13:20:02</t>
  </si>
  <si>
    <t xml:space="preserve"> 2020-03-30 10:06:01</t>
  </si>
  <si>
    <t>武汉多家商场购物中心恢复营业</t>
  </si>
  <si>
    <t xml:space="preserve"> 2020-03-30 08:38:02</t>
  </si>
  <si>
    <t>脏脏拉丝糯米糕</t>
  </si>
  <si>
    <t xml:space="preserve"> 2020-03-30 13:32:02</t>
  </si>
  <si>
    <t xml:space="preserve"> 2020-03-30 09:16:02</t>
  </si>
  <si>
    <t>特朗普回应复活节前能否结束疫情</t>
  </si>
  <si>
    <t>柯有伦当爸</t>
  </si>
  <si>
    <t xml:space="preserve"> 2020-03-30 13:18:02</t>
  </si>
  <si>
    <t>菲律宾坠毁医疗救援飞机无人生还</t>
  </si>
  <si>
    <t xml:space="preserve"> 2020-03-30 13:24:01</t>
  </si>
  <si>
    <t xml:space="preserve"> 2020-03-30 11:20:01</t>
  </si>
  <si>
    <t>疫情对我国工业经济影响是阶段性的</t>
  </si>
  <si>
    <t xml:space="preserve"> 2020-03-30 12:52:02</t>
  </si>
  <si>
    <t>第一批550万个中国口罩运抵巴黎</t>
  </si>
  <si>
    <t xml:space="preserve"> 2020-03-30 13:22:02</t>
  </si>
  <si>
    <t>又一艘载有近2000人邮轮无处靠岸</t>
  </si>
  <si>
    <t xml:space="preserve"> 2020-03-30 12:54:01</t>
  </si>
  <si>
    <t>蜂蜜麻花</t>
  </si>
  <si>
    <t xml:space="preserve"> 2020-03-30 13:14:01</t>
  </si>
  <si>
    <t xml:space="preserve"> 2020-03-30 07:12:01</t>
  </si>
  <si>
    <t>美国新冠病毒感染病例近14万</t>
  </si>
  <si>
    <t xml:space="preserve"> 2020-03-30 14:54:02</t>
  </si>
  <si>
    <t xml:space="preserve"> 2020-03-30 12:18:02</t>
  </si>
  <si>
    <t>音乐家在意大利一阳台上弹梁祝</t>
  </si>
  <si>
    <t xml:space="preserve"> 2020-03-30 12:22:02</t>
  </si>
  <si>
    <t>四川木里救火勇士牺牲一周年</t>
  </si>
  <si>
    <t xml:space="preserve"> 2020-03-30 12:46:01</t>
  </si>
  <si>
    <t>作曲家潘德列茨基去世</t>
  </si>
  <si>
    <t xml:space="preserve"> 2020-03-30 12:44:02</t>
  </si>
  <si>
    <t>前两个月出口下降15.9%</t>
  </si>
  <si>
    <t>湖北公务员招录计划增长20%</t>
  </si>
  <si>
    <t xml:space="preserve"> 2020-03-30 12:34:02</t>
  </si>
  <si>
    <t>武汉市医疗废物已实现日产日清</t>
  </si>
  <si>
    <t xml:space="preserve"> 2020-03-31 09:58:02</t>
  </si>
  <si>
    <t xml:space="preserve"> 2020-03-30 20:50:02</t>
  </si>
  <si>
    <t>特朗普称死亡人数降到10万算不错了</t>
  </si>
  <si>
    <t xml:space="preserve"> 2020-03-31 10:16:02</t>
  </si>
  <si>
    <t xml:space="preserve"> 2020-03-30 21:38:02</t>
  </si>
  <si>
    <t>意大利市长谈真实死亡人数</t>
  </si>
  <si>
    <t xml:space="preserve"> 2020-03-31 09:06:01</t>
  </si>
  <si>
    <t xml:space="preserve"> 2020-03-30 22:52:02</t>
  </si>
  <si>
    <t>李兰娟提醒重视无症状感染者</t>
  </si>
  <si>
    <t xml:space="preserve"> 2020-03-31 12:44:02</t>
  </si>
  <si>
    <t xml:space="preserve"> 2020-03-30 21:18:02</t>
  </si>
  <si>
    <t>陈伟霆 刘雯</t>
  </si>
  <si>
    <t xml:space="preserve"> 2020-03-31 08:46:02</t>
  </si>
  <si>
    <t xml:space="preserve"> 2020-03-30 21:00:02</t>
  </si>
  <si>
    <t>不允许为了追求病例零报告而瞒报漏报</t>
  </si>
  <si>
    <t>荷兰博物馆一幅梵高的画作被偷</t>
  </si>
  <si>
    <t xml:space="preserve"> 2020-03-31 07:56:02</t>
  </si>
  <si>
    <t>厦门航空取消所有两岸航班</t>
  </si>
  <si>
    <t xml:space="preserve"> 2020-03-31 08:04:02</t>
  </si>
  <si>
    <t xml:space="preserve"> 2020-03-30 20:18:02</t>
  </si>
  <si>
    <t>查尔斯王子结束自我隔离</t>
  </si>
  <si>
    <t xml:space="preserve"> 2020-03-31 15:18:02</t>
  </si>
  <si>
    <t xml:space="preserve"> 2020-03-30 19:48:02</t>
  </si>
  <si>
    <t>特朗普与州政府防疫分歧严重</t>
  </si>
  <si>
    <t xml:space="preserve"> 2020-03-31 07:46:01</t>
  </si>
  <si>
    <t xml:space="preserve"> 2020-03-30 19:04:01</t>
  </si>
  <si>
    <t>SHE为Hebe庆生</t>
  </si>
  <si>
    <t xml:space="preserve"> 2020-03-31 08:00:03</t>
  </si>
  <si>
    <t xml:space="preserve"> 2020-03-30 20:32:02</t>
  </si>
  <si>
    <t>黎语冰告白成功</t>
  </si>
  <si>
    <t xml:space="preserve"> 2020-03-31 07:54:02</t>
  </si>
  <si>
    <t xml:space="preserve"> 2020-03-30 18:58:02</t>
  </si>
  <si>
    <t>韩40万人请愿更换N号房法官</t>
  </si>
  <si>
    <t xml:space="preserve"> 2020-03-31 08:18:02</t>
  </si>
  <si>
    <t xml:space="preserve"> 2020-03-30 23:00:02</t>
  </si>
  <si>
    <t>联合国称疫情可能引发粮食危机</t>
  </si>
  <si>
    <t xml:space="preserve"> 2020-03-31 09:30:02</t>
  </si>
  <si>
    <t>自制多肉葡萄脆冰球</t>
  </si>
  <si>
    <t xml:space="preserve"> 2020-03-31 11:32:02</t>
  </si>
  <si>
    <t xml:space="preserve"> 2020-03-30 18:46:02</t>
  </si>
  <si>
    <t>西昌火灾</t>
  </si>
  <si>
    <t xml:space="preserve"> 2020-03-31 13:28:02</t>
  </si>
  <si>
    <t xml:space="preserve"> 2020-03-30 21:48:02</t>
  </si>
  <si>
    <t>张歆艺娄艺潇金晨艾特李静</t>
  </si>
  <si>
    <t xml:space="preserve"> 2020-03-31 10:50:02</t>
  </si>
  <si>
    <t xml:space="preserve"> 2020-03-30 22:18:01</t>
  </si>
  <si>
    <t>男生睡前一般在想什么</t>
  </si>
  <si>
    <t xml:space="preserve"> 2020-03-31 12:52:02</t>
  </si>
  <si>
    <t xml:space="preserve"> 2020-03-30 20:52:02</t>
  </si>
  <si>
    <t>段小薇 星野</t>
  </si>
  <si>
    <t xml:space="preserve"> 2020-03-31 09:36:02</t>
  </si>
  <si>
    <t xml:space="preserve"> 2020-03-30 20:42:02</t>
  </si>
  <si>
    <t>李佳琦跳舞应援王嘉尔</t>
  </si>
  <si>
    <t xml:space="preserve"> 2020-03-31 10:22:01</t>
  </si>
  <si>
    <t xml:space="preserve"> 2020-03-30 22:24:01</t>
  </si>
  <si>
    <t>江苏高三初三年级陆续返校开学</t>
  </si>
  <si>
    <t xml:space="preserve"> 2020-03-31 09:10:02</t>
  </si>
  <si>
    <t xml:space="preserve"> 2020-03-30 18:24:02</t>
  </si>
  <si>
    <t>中国的第一只口罩</t>
  </si>
  <si>
    <t xml:space="preserve"> 2020-03-31 08:12:01</t>
  </si>
  <si>
    <t xml:space="preserve"> 2020-03-30 22:54:01</t>
  </si>
  <si>
    <t>美国借疫情向叙武装运物资</t>
  </si>
  <si>
    <t xml:space="preserve"> 2020-03-31 09:18:02</t>
  </si>
  <si>
    <t xml:space="preserve"> 2020-03-30 21:12:02</t>
  </si>
  <si>
    <t>挑战金钟国的下场</t>
  </si>
  <si>
    <t xml:space="preserve"> 2020-03-31 08:32:02</t>
  </si>
  <si>
    <t xml:space="preserve"> 2020-03-30 20:20:02</t>
  </si>
  <si>
    <t>2名新冠肺炎康复者殴打医院CT技师</t>
  </si>
  <si>
    <t xml:space="preserve"> 2020-03-31 08:16:02</t>
  </si>
  <si>
    <t xml:space="preserve"> 2020-03-30 22:38:02</t>
  </si>
  <si>
    <t>印度菜市场依旧人山人海</t>
  </si>
  <si>
    <t xml:space="preserve"> 2020-03-31 09:32:01</t>
  </si>
  <si>
    <t xml:space="preserve"> 2020-03-30 19:54:02</t>
  </si>
  <si>
    <t>最显手黑的指甲颜色</t>
  </si>
  <si>
    <t xml:space="preserve"> 2020-03-31 07:34:02</t>
  </si>
  <si>
    <t xml:space="preserve"> 2020-03-30 18:28:02</t>
  </si>
  <si>
    <t>突然就不想开学了</t>
  </si>
  <si>
    <t xml:space="preserve"> 2020-03-31 08:34:02</t>
  </si>
  <si>
    <t xml:space="preserve"> 2020-03-30 18:10:02</t>
  </si>
  <si>
    <t>英国大臣暗示检测数量低是因为中国</t>
  </si>
  <si>
    <t xml:space="preserve"> 2020-03-31 08:24:01</t>
  </si>
  <si>
    <t xml:space="preserve"> 2020-03-30 16:28:01</t>
  </si>
  <si>
    <t>郝柏村去世</t>
  </si>
  <si>
    <t xml:space="preserve"> 2020-03-31 07:12:02</t>
  </si>
  <si>
    <t xml:space="preserve"> 2020-03-30 22:04:02</t>
  </si>
  <si>
    <t>8名台胞滞留武汉做志愿者</t>
  </si>
  <si>
    <t>纽约中央公园建野战医院</t>
  </si>
  <si>
    <t xml:space="preserve"> 2020-03-31 07:28:02</t>
  </si>
  <si>
    <t>广西援鄂护士梁小霞回南宁救治</t>
  </si>
  <si>
    <t xml:space="preserve"> 2020-03-31 07:40:02</t>
  </si>
  <si>
    <t xml:space="preserve"> 2020-03-30 14:30:02</t>
  </si>
  <si>
    <t>特朗普描述纽约医院惨状</t>
  </si>
  <si>
    <t xml:space="preserve"> 2020-03-31 07:24:01</t>
  </si>
  <si>
    <t>东京奥运会日程确定</t>
  </si>
  <si>
    <t xml:space="preserve"> 2020-03-31 07:16:02</t>
  </si>
  <si>
    <t xml:space="preserve"> 2020-03-30 17:22:02</t>
  </si>
  <si>
    <t>华春莹发问阴阳怪气说风凉话者</t>
  </si>
  <si>
    <t xml:space="preserve"> 2020-03-31 07:42:02</t>
  </si>
  <si>
    <t xml:space="preserve"> 2020-03-30 23:18:01</t>
  </si>
  <si>
    <t>伊朗国防工业已生产6万件防护服</t>
  </si>
  <si>
    <t xml:space="preserve"> 2020-03-31 07:20:02</t>
  </si>
  <si>
    <t xml:space="preserve"> 2020-03-30 22:42:02</t>
  </si>
  <si>
    <t>英国最年长新冠肺炎患者病逝</t>
  </si>
  <si>
    <t xml:space="preserve"> 2020-03-31 07:18:02</t>
  </si>
  <si>
    <t xml:space="preserve"> 2020-03-30 20:56:02</t>
  </si>
  <si>
    <t>还没见过老师就结课了</t>
  </si>
  <si>
    <t xml:space="preserve"> 2020-03-31 07:50:02</t>
  </si>
  <si>
    <t>纽约ICU护士的一天</t>
  </si>
  <si>
    <t xml:space="preserve"> 2020-03-31 07:10:01</t>
  </si>
  <si>
    <t xml:space="preserve"> 2020-03-30 22:16:02</t>
  </si>
  <si>
    <t>意大利已有超8000名医护人员感染</t>
  </si>
  <si>
    <t xml:space="preserve"> 2020-03-31 07:22:01</t>
  </si>
  <si>
    <t xml:space="preserve"> 2020-03-30 18:26:02</t>
  </si>
  <si>
    <t>青岛一入境留学生拒隔离跳窗逃跑</t>
  </si>
  <si>
    <t xml:space="preserve"> 2020-03-31 06:58:02</t>
  </si>
  <si>
    <t xml:space="preserve"> 2020-03-30 16:50:02</t>
  </si>
  <si>
    <t>王一博单人三封</t>
  </si>
  <si>
    <t xml:space="preserve"> 2020-03-30 21:44:01</t>
  </si>
  <si>
    <t>500名武警雪中齐练刺杀</t>
  </si>
  <si>
    <t xml:space="preserve"> 2020-03-31 07:08:02</t>
  </si>
  <si>
    <t>从郑州口岸入境人员集中隔离费用自理</t>
  </si>
  <si>
    <t xml:space="preserve"> 2020-03-30 20:00:02</t>
  </si>
  <si>
    <t>中央要求突出做好无症状感染者防控</t>
  </si>
  <si>
    <t xml:space="preserve"> 2020-03-31 07:36:02</t>
  </si>
  <si>
    <t xml:space="preserve"> 2020-03-30 21:16:02</t>
  </si>
  <si>
    <t>美国消毒再利用口罩大扩产</t>
  </si>
  <si>
    <t xml:space="preserve"> 2020-03-30 21:52:02</t>
  </si>
  <si>
    <t>美国新冠肺炎死亡病例超2500例</t>
  </si>
  <si>
    <t xml:space="preserve"> 2020-03-30 22:32:01</t>
  </si>
  <si>
    <t>爱豆清唱有多苏</t>
  </si>
  <si>
    <t xml:space="preserve"> 2020-04-01 05:20:02</t>
  </si>
  <si>
    <t xml:space="preserve"> 2020-03-31 11:44:01</t>
  </si>
  <si>
    <t>高考确认延期一个月</t>
  </si>
  <si>
    <t xml:space="preserve"> 2020-03-31 15:50:02</t>
  </si>
  <si>
    <t xml:space="preserve"> 2020-03-31 07:48:02</t>
  </si>
  <si>
    <t>刘雯方否认与陈伟霆恋情</t>
  </si>
  <si>
    <t xml:space="preserve"> 2020-03-31 13:02:01</t>
  </si>
  <si>
    <t xml:space="preserve"> 2020-03-31 07:58:02</t>
  </si>
  <si>
    <t>4月新规</t>
  </si>
  <si>
    <t xml:space="preserve"> 2020-03-31 15:00:02</t>
  </si>
  <si>
    <t>高考</t>
  </si>
  <si>
    <t xml:space="preserve"> 2020-03-31 14:12:02</t>
  </si>
  <si>
    <t xml:space="preserve"> 2020-03-31 08:20:02</t>
  </si>
  <si>
    <t>那些复读的人后来怎么样了</t>
  </si>
  <si>
    <t xml:space="preserve"> 2020-03-31 17:42:02</t>
  </si>
  <si>
    <t xml:space="preserve"> 2020-03-31 10:58:02</t>
  </si>
  <si>
    <t>西昌山火致19名地方扑火人员牺牲</t>
  </si>
  <si>
    <t xml:space="preserve"> 2020-03-31 14:02:02</t>
  </si>
  <si>
    <t xml:space="preserve"> 2020-03-31 09:08:02</t>
  </si>
  <si>
    <t>美军出现首个新冠肺炎死亡病例</t>
  </si>
  <si>
    <t xml:space="preserve"> 2020-03-31 14:00:02</t>
  </si>
  <si>
    <t>留学生被诊断疑似感染放弃回国</t>
  </si>
  <si>
    <t xml:space="preserve"> 2020-03-31 15:46:02</t>
  </si>
  <si>
    <t>鲍里斯支持率创新高</t>
  </si>
  <si>
    <t xml:space="preserve"> 2020-03-31 14:46:01</t>
  </si>
  <si>
    <t>网上逃犯请求回国投案</t>
  </si>
  <si>
    <t xml:space="preserve"> 2020-03-31 15:34:01</t>
  </si>
  <si>
    <t xml:space="preserve"> 2020-03-31 11:58:02</t>
  </si>
  <si>
    <t>我国首次测得可可西里水下地形数据</t>
  </si>
  <si>
    <t xml:space="preserve"> 2020-03-31 13:56:01</t>
  </si>
  <si>
    <t xml:space="preserve"> 2020-03-31 08:06:02</t>
  </si>
  <si>
    <t>西班牙许多动物淡定上街散步</t>
  </si>
  <si>
    <t xml:space="preserve"> 2020-03-31 13:30:02</t>
  </si>
  <si>
    <t xml:space="preserve"> 2020-03-31 08:38:01</t>
  </si>
  <si>
    <t>敦煌大沙地现淡水湖泊</t>
  </si>
  <si>
    <t xml:space="preserve"> 2020-03-31 13:42:02</t>
  </si>
  <si>
    <t xml:space="preserve"> 2020-03-31 10:30:02</t>
  </si>
  <si>
    <t>高分卫星紧急驰援四川凉山森林火灾</t>
  </si>
  <si>
    <t>武汉市民70天第一次出门</t>
  </si>
  <si>
    <t xml:space="preserve"> 2020-03-31 17:04:02</t>
  </si>
  <si>
    <t xml:space="preserve"> 2020-03-31 10:42:02</t>
  </si>
  <si>
    <t>女生睡觉的标配</t>
  </si>
  <si>
    <t xml:space="preserve"> 2020-03-31 16:40:02</t>
  </si>
  <si>
    <t xml:space="preserve"> 2020-03-31 11:12:02</t>
  </si>
  <si>
    <t>十分想开学的四种人</t>
  </si>
  <si>
    <t xml:space="preserve"> 2020-03-31 16:06:02</t>
  </si>
  <si>
    <t xml:space="preserve"> 2020-03-31 11:08:02</t>
  </si>
  <si>
    <t>法吉特清空微博</t>
  </si>
  <si>
    <t xml:space="preserve"> 2020-03-31 11:18:02</t>
  </si>
  <si>
    <t>速度与激情外传开发续集</t>
  </si>
  <si>
    <t xml:space="preserve"> 2020-03-31 16:02:02</t>
  </si>
  <si>
    <t xml:space="preserve"> 2020-03-31 09:02:01</t>
  </si>
  <si>
    <t>特朗普被美媒记者灵魂质问</t>
  </si>
  <si>
    <t xml:space="preserve"> 2020-03-31 16:10:01</t>
  </si>
  <si>
    <t xml:space="preserve"> 2020-03-31 10:12:02</t>
  </si>
  <si>
    <t>嗑cp式恋爱</t>
  </si>
  <si>
    <t xml:space="preserve"> 2020-03-31 14:10:02</t>
  </si>
  <si>
    <t xml:space="preserve"> 2020-03-31 11:10:02</t>
  </si>
  <si>
    <t>你用过的旧手机都去哪儿了</t>
  </si>
  <si>
    <t xml:space="preserve"> 2020-03-31 13:22:01</t>
  </si>
  <si>
    <t>王者荣耀新赛季</t>
  </si>
  <si>
    <t xml:space="preserve"> 2020-03-31 13:24:01</t>
  </si>
  <si>
    <t xml:space="preserve"> 2020-03-31 11:38:02</t>
  </si>
  <si>
    <t>前2月全国减税降费4027亿元</t>
  </si>
  <si>
    <t xml:space="preserve"> 2020-03-31 15:22:02</t>
  </si>
  <si>
    <t xml:space="preserve"> 2020-03-31 10:28:02</t>
  </si>
  <si>
    <t>开学后的食堂座位</t>
  </si>
  <si>
    <t xml:space="preserve"> 2020-03-31 14:44:02</t>
  </si>
  <si>
    <t>美国新冠肺炎患者超16万</t>
  </si>
  <si>
    <t xml:space="preserve"> 2020-03-31 14:34:02</t>
  </si>
  <si>
    <t xml:space="preserve"> 2020-03-31 11:16:02</t>
  </si>
  <si>
    <t>广州东晓南路地陷</t>
  </si>
  <si>
    <t xml:space="preserve"> 2020-03-31 15:20:02</t>
  </si>
  <si>
    <t xml:space="preserve"> 2020-03-31 07:30:02</t>
  </si>
  <si>
    <t>3月最后一天</t>
  </si>
  <si>
    <t xml:space="preserve"> 2020-03-31 14:04:02</t>
  </si>
  <si>
    <t>钞票礼裙</t>
  </si>
  <si>
    <t xml:space="preserve"> 2020-03-31 13:40:02</t>
  </si>
  <si>
    <t>一直记得你生日的朋友</t>
  </si>
  <si>
    <t xml:space="preserve"> 2020-03-31 14:26:02</t>
  </si>
  <si>
    <t>200斤鸵鸟昆明市区狂奔</t>
  </si>
  <si>
    <t xml:space="preserve"> 2020-03-31 10:00:03</t>
  </si>
  <si>
    <t>李兰娟院士医疗队凯旋</t>
  </si>
  <si>
    <t xml:space="preserve"> 2020-03-31 07:52:02</t>
  </si>
  <si>
    <t>马布里评美国人不戴口罩出门</t>
  </si>
  <si>
    <t xml:space="preserve"> 2020-03-31 13:38:02</t>
  </si>
  <si>
    <t>经纪人发长文悼念刘真</t>
  </si>
  <si>
    <t xml:space="preserve"> 2020-03-31 13:06:02</t>
  </si>
  <si>
    <t>第六感极准的一次经历</t>
  </si>
  <si>
    <t xml:space="preserve"> 2020-03-31 13:18:02</t>
  </si>
  <si>
    <t>新增48例境外输入病例</t>
  </si>
  <si>
    <t xml:space="preserve"> 2020-03-31 09:46:02</t>
  </si>
  <si>
    <t>南京同曦篮球俱乐部外援道歉</t>
  </si>
  <si>
    <t xml:space="preserve"> 2020-03-31 12:28:02</t>
  </si>
  <si>
    <t>西昌大营农场西线林火扑灭</t>
  </si>
  <si>
    <t xml:space="preserve"> 2020-03-31 15:14:01</t>
  </si>
  <si>
    <t xml:space="preserve"> 2020-03-31 12:14:02</t>
  </si>
  <si>
    <t>杯子蛋糕唇膏</t>
  </si>
  <si>
    <t xml:space="preserve"> 2020-03-31 15:16:01</t>
  </si>
  <si>
    <t xml:space="preserve"> 2020-03-31 12:16:02</t>
  </si>
  <si>
    <t>西昌山火牺牲队员最后出征画面</t>
  </si>
  <si>
    <t xml:space="preserve"> 2020-03-31 16:04:02</t>
  </si>
  <si>
    <t xml:space="preserve"> 2019-12-20 19:10:01</t>
  </si>
  <si>
    <t>王者荣耀新英雄镜</t>
  </si>
  <si>
    <t xml:space="preserve"> 2020-03-31 16:34:02</t>
  </si>
  <si>
    <t xml:space="preserve"> 2020-03-31 12:20:02</t>
  </si>
  <si>
    <t>医疗队小哥哥穿裙子</t>
  </si>
  <si>
    <t xml:space="preserve"> 2020-03-31 12:50:02</t>
  </si>
  <si>
    <t xml:space="preserve"> 2020-03-31 12:22:02</t>
  </si>
  <si>
    <t>火神山心灵医疗队</t>
  </si>
  <si>
    <t xml:space="preserve"> 2020-03-31 12:46:01</t>
  </si>
  <si>
    <t xml:space="preserve"> 2020-03-31 07:44:02</t>
  </si>
  <si>
    <t>湖北2名新冠康复者殴打医生被拘10日</t>
  </si>
  <si>
    <t>肯尼亚硬核抗疫</t>
  </si>
  <si>
    <t xml:space="preserve"> 2020-04-01 10:48:01</t>
  </si>
  <si>
    <t xml:space="preserve"> 2020-03-31 19:38:02</t>
  </si>
  <si>
    <t>苗苗肚子</t>
  </si>
  <si>
    <t xml:space="preserve"> 2020-04-01 09:52:02</t>
  </si>
  <si>
    <t xml:space="preserve"> 2020-03-31 21:50:02</t>
  </si>
  <si>
    <t>意大利全境降半旗</t>
  </si>
  <si>
    <t xml:space="preserve"> 2020-04-01 09:12:02</t>
  </si>
  <si>
    <t xml:space="preserve"> 2020-03-31 22:10:01</t>
  </si>
  <si>
    <t>导演佐佐部清去世</t>
  </si>
  <si>
    <t xml:space="preserve"> 2020-04-01 09:02:01</t>
  </si>
  <si>
    <t xml:space="preserve"> 2020-03-31 20:08:01</t>
  </si>
  <si>
    <t>何雯娜家办婚礼分歧</t>
  </si>
  <si>
    <t xml:space="preserve"> 2020-04-01 13:56:02</t>
  </si>
  <si>
    <t xml:space="preserve"> 2020-03-31 20:58:02</t>
  </si>
  <si>
    <t>外交部回应中国留学生希望回国</t>
  </si>
  <si>
    <t xml:space="preserve"> 2020-04-01 15:28:02</t>
  </si>
  <si>
    <t xml:space="preserve"> 2020-04-01 00:08:02</t>
  </si>
  <si>
    <t>张国荣</t>
  </si>
  <si>
    <t xml:space="preserve"> 2020-04-01 11:08:01</t>
  </si>
  <si>
    <t xml:space="preserve"> 2020-03-31 22:36:02</t>
  </si>
  <si>
    <t>李兰娟院士返杭丈夫郑树森院士接机</t>
  </si>
  <si>
    <t xml:space="preserve"> 2020-04-01 09:46:01</t>
  </si>
  <si>
    <t xml:space="preserve"> 2020-03-31 23:04:02</t>
  </si>
  <si>
    <t>市长称纽约实际感染数远高于确诊数</t>
  </si>
  <si>
    <t xml:space="preserve"> 2020-04-01 10:00:02</t>
  </si>
  <si>
    <t xml:space="preserve"> 2020-03-31 22:34:01</t>
  </si>
  <si>
    <t>邢台通报批评5名教师擅自出国</t>
  </si>
  <si>
    <t xml:space="preserve"> 2020-04-01 07:50:02</t>
  </si>
  <si>
    <t xml:space="preserve"> 2020-03-31 18:10:02</t>
  </si>
  <si>
    <t>安妮玫瑰</t>
  </si>
  <si>
    <t xml:space="preserve"> 2020-04-01 08:48:02</t>
  </si>
  <si>
    <t xml:space="preserve"> 2020-03-31 21:00:03</t>
  </si>
  <si>
    <t>韩国女留学生回国拒隔离被索赔</t>
  </si>
  <si>
    <t xml:space="preserve"> 2020-03-31 19:58:01</t>
  </si>
  <si>
    <t>个人所得税</t>
  </si>
  <si>
    <t xml:space="preserve"> 2020-03-31 18:48:01</t>
  </si>
  <si>
    <t>这行为怎么做到全国统一的</t>
  </si>
  <si>
    <t xml:space="preserve"> 2020-04-01 10:32:02</t>
  </si>
  <si>
    <t>北京市教委回应高考延期</t>
  </si>
  <si>
    <t xml:space="preserve"> 2020-04-01 11:40:02</t>
  </si>
  <si>
    <t xml:space="preserve"> 2020-03-31 22:58:02</t>
  </si>
  <si>
    <t>三生三世无忧糕</t>
  </si>
  <si>
    <t xml:space="preserve"> 2020-04-01 11:14:02</t>
  </si>
  <si>
    <t xml:space="preserve"> 2020-03-31 21:30:02</t>
  </si>
  <si>
    <t>黎语冰手滑</t>
  </si>
  <si>
    <t>已发生森林火灾绝大多数是人为引发</t>
  </si>
  <si>
    <t xml:space="preserve"> 2020-04-01 11:00:02</t>
  </si>
  <si>
    <t xml:space="preserve"> 2020-03-31 19:04:02</t>
  </si>
  <si>
    <t>萧敬腾经纪人</t>
  </si>
  <si>
    <t xml:space="preserve"> 2020-04-01 09:04:02</t>
  </si>
  <si>
    <t xml:space="preserve"> 2020-03-31 22:28:02</t>
  </si>
  <si>
    <t>美国连锁巨头将临时解雇13万员工</t>
  </si>
  <si>
    <t xml:space="preserve"> 2020-04-01 09:08:02</t>
  </si>
  <si>
    <t xml:space="preserve"> 2020-03-31 21:48:02</t>
  </si>
  <si>
    <t>宿管阿姨帮学生晒被100多床</t>
  </si>
  <si>
    <t xml:space="preserve"> 2020-04-01 08:24:02</t>
  </si>
  <si>
    <t xml:space="preserve"> 2020-03-31 17:30:02</t>
  </si>
  <si>
    <t>陈飞宇</t>
  </si>
  <si>
    <t xml:space="preserve"> 2020-04-01 10:24:02</t>
  </si>
  <si>
    <t xml:space="preserve"> 2020-03-31 22:40:02</t>
  </si>
  <si>
    <t>援鄂广东医疗队遇上福建队</t>
  </si>
  <si>
    <t xml:space="preserve"> 2020-04-01 10:04:02</t>
  </si>
  <si>
    <t>以前的人胆子都好大</t>
  </si>
  <si>
    <t xml:space="preserve"> 2020-04-01 09:00:02</t>
  </si>
  <si>
    <t xml:space="preserve"> 2020-03-31 20:16:02</t>
  </si>
  <si>
    <t>无症状感染者的4个发现途径</t>
  </si>
  <si>
    <t xml:space="preserve"> 2020-04-06 17:02:01</t>
  </si>
  <si>
    <t xml:space="preserve"> 2020-03-31 21:56:01</t>
  </si>
  <si>
    <t>梁超</t>
  </si>
  <si>
    <t xml:space="preserve"> 2020-04-01 08:00:02</t>
  </si>
  <si>
    <t xml:space="preserve"> 2020-03-31 19:40:02</t>
  </si>
  <si>
    <t>西昌泸山着火点复燃</t>
  </si>
  <si>
    <t xml:space="preserve"> 2020-04-01 07:28:02</t>
  </si>
  <si>
    <t xml:space="preserve"> 2020-03-31 22:08:01</t>
  </si>
  <si>
    <t>高考结束的那天做了什么</t>
  </si>
  <si>
    <t xml:space="preserve"> 2020-04-01 07:46:01</t>
  </si>
  <si>
    <t xml:space="preserve"> 2020-03-31 23:08:02</t>
  </si>
  <si>
    <t>记住了奇迹别忘了创造奇迹的他们</t>
  </si>
  <si>
    <t xml:space="preserve"> 2020-04-01 08:02:02</t>
  </si>
  <si>
    <t xml:space="preserve"> 2020-03-31 22:06:01</t>
  </si>
  <si>
    <t>陪同普京视察的医师确诊新冠肺炎</t>
  </si>
  <si>
    <t xml:space="preserve"> 2020-04-01 07:26:02</t>
  </si>
  <si>
    <t xml:space="preserve"> 2020-03-31 20:38:02</t>
  </si>
  <si>
    <t>Rookie五杀</t>
  </si>
  <si>
    <t xml:space="preserve"> 2020-03-31 20:32:02</t>
  </si>
  <si>
    <t>西昌森林火灾牺牲人员名单</t>
  </si>
  <si>
    <t xml:space="preserve"> 2020-03-31 18:44:02</t>
  </si>
  <si>
    <t>高考版淡黄的长裙</t>
  </si>
  <si>
    <t xml:space="preserve"> 2020-04-01 07:30:01</t>
  </si>
  <si>
    <t xml:space="preserve"> 2020-03-31 17:58:02</t>
  </si>
  <si>
    <t>苏州黄埭车祸</t>
  </si>
  <si>
    <t xml:space="preserve"> 2020-04-01 08:42:02</t>
  </si>
  <si>
    <t xml:space="preserve"> 2020-03-31 21:58:01</t>
  </si>
  <si>
    <t>再也不怕秃头了</t>
  </si>
  <si>
    <t xml:space="preserve"> 2020-03-31 20:40:01</t>
  </si>
  <si>
    <t>印度返乡人员被用水枪消杀</t>
  </si>
  <si>
    <t xml:space="preserve"> 2020-03-31 16:44:02</t>
  </si>
  <si>
    <t>女童高空扔苹果砸瘫女婴被判赔185万</t>
  </si>
  <si>
    <t xml:space="preserve"> 2020-04-01 08:50:02</t>
  </si>
  <si>
    <t>这条走廊安静了武汉就开始热闹了</t>
  </si>
  <si>
    <t xml:space="preserve"> 2020-04-01 07:14:02</t>
  </si>
  <si>
    <t xml:space="preserve"> 2020-03-31 17:50:02</t>
  </si>
  <si>
    <t>华春莹回应所谓中国囤积医疗物资论</t>
  </si>
  <si>
    <t xml:space="preserve"> 2020-04-01 07:20:02</t>
  </si>
  <si>
    <t xml:space="preserve"> 2020-03-31 16:48:02</t>
  </si>
  <si>
    <t>能不能退下住宿费</t>
  </si>
  <si>
    <t xml:space="preserve"> 2020-03-31 18:56:02</t>
  </si>
  <si>
    <t>吃瓜吃到自己的嫌疑人</t>
  </si>
  <si>
    <t xml:space="preserve"> 2020-04-01 02:36:02</t>
  </si>
  <si>
    <t xml:space="preserve"> 2020-03-31 18:38:01</t>
  </si>
  <si>
    <t>倪妮芭莎封面</t>
  </si>
  <si>
    <t xml:space="preserve"> 2020-04-01 07:10:01</t>
  </si>
  <si>
    <t xml:space="preserve"> 2020-03-31 15:52:02</t>
  </si>
  <si>
    <t>宋茜发带</t>
  </si>
  <si>
    <t xml:space="preserve"> 2020-04-01 03:56:01</t>
  </si>
  <si>
    <t>什么叫一物降一物</t>
  </si>
  <si>
    <t xml:space="preserve"> 2020-04-01 08:18:01</t>
  </si>
  <si>
    <t>黄埭车祸司机系逃逸途中再肇事</t>
  </si>
  <si>
    <t xml:space="preserve"> 2020-04-01 03:14:02</t>
  </si>
  <si>
    <t xml:space="preserve"> 2020-03-31 19:56:02</t>
  </si>
  <si>
    <t>云南抓获91名偷越国境边境人员</t>
  </si>
  <si>
    <t xml:space="preserve"> 2020-04-01 01:42:02</t>
  </si>
  <si>
    <t xml:space="preserve"> 2020-03-31 15:44:02</t>
  </si>
  <si>
    <t>三个条件不满足不开学</t>
  </si>
  <si>
    <t xml:space="preserve"> 2020-04-01 00:42:02</t>
  </si>
  <si>
    <t xml:space="preserve"> 2020-03-31 21:40:02</t>
  </si>
  <si>
    <t>浙江省1千余名医疗队员归乡</t>
  </si>
  <si>
    <t xml:space="preserve"> 2020-04-05 05:24:02</t>
  </si>
  <si>
    <t xml:space="preserve"> 2020-04-01 07:16:02</t>
  </si>
  <si>
    <t xml:space="preserve"> 2020-04-01 17:18:01</t>
  </si>
  <si>
    <t xml:space="preserve"> 2020-04-01 11:16:02</t>
  </si>
  <si>
    <t>广东禁食所有人工饲养陆生野生动物</t>
  </si>
  <si>
    <t xml:space="preserve"> 2020-04-01 15:36:02</t>
  </si>
  <si>
    <t xml:space="preserve"> 2020-04-01 10:06:01</t>
  </si>
  <si>
    <t>河南16年前投毒杀人案再审改判无罪</t>
  </si>
  <si>
    <t xml:space="preserve"> 2020-04-01 15:32:02</t>
  </si>
  <si>
    <t>宋祖儿</t>
  </si>
  <si>
    <t xml:space="preserve"> 2020-04-01 18:42:02</t>
  </si>
  <si>
    <t xml:space="preserve"> 2020-04-01 09:38:02</t>
  </si>
  <si>
    <t>马伯骞的家</t>
  </si>
  <si>
    <t xml:space="preserve"> 2020-04-01 17:36:01</t>
  </si>
  <si>
    <t>全国统一的愚人节玩笑</t>
  </si>
  <si>
    <t xml:space="preserve"> 2020-04-01 16:32:02</t>
  </si>
  <si>
    <t xml:space="preserve"> 2020-04-01 07:24:02</t>
  </si>
  <si>
    <t>科比ins更新</t>
  </si>
  <si>
    <t xml:space="preserve"> 2020-04-01 17:24:01</t>
  </si>
  <si>
    <t>唐鹤德缅怀张国荣</t>
  </si>
  <si>
    <t xml:space="preserve"> 2020-04-01 16:28:01</t>
  </si>
  <si>
    <t xml:space="preserve"> 2020-04-01 10:26:02</t>
  </si>
  <si>
    <t>新冠疫情是联合国成立以来最大考验</t>
  </si>
  <si>
    <t xml:space="preserve"> 2020-04-01 14:58:02</t>
  </si>
  <si>
    <t xml:space="preserve"> 2020-04-01 11:02:01</t>
  </si>
  <si>
    <t>上海樱花车站</t>
  </si>
  <si>
    <t xml:space="preserve"> 2020-04-01 14:56:01</t>
  </si>
  <si>
    <t xml:space="preserve"> 2020-04-01 09:48:02</t>
  </si>
  <si>
    <t>杏决定与东出昌大离婚</t>
  </si>
  <si>
    <t xml:space="preserve"> 2020-04-01 14:34:02</t>
  </si>
  <si>
    <t>留学生回国隔离完又遇山火</t>
  </si>
  <si>
    <t xml:space="preserve"> 2020-04-01 14:18:01</t>
  </si>
  <si>
    <t xml:space="preserve"> 2020-04-01 11:36:02</t>
  </si>
  <si>
    <t>海南开学时间</t>
  </si>
  <si>
    <t xml:space="preserve"> 2020-04-01 13:50:01</t>
  </si>
  <si>
    <t xml:space="preserve"> 2020-04-01 08:40:02</t>
  </si>
  <si>
    <t>阿水关注TES经理</t>
  </si>
  <si>
    <t xml:space="preserve"> 2020-04-01 13:36:02</t>
  </si>
  <si>
    <t xml:space="preserve"> 2020-04-01 11:20:02</t>
  </si>
  <si>
    <t>日本奥运银牌选手感染新冠</t>
  </si>
  <si>
    <t xml:space="preserve"> 2020-04-01 12:00:02</t>
  </si>
  <si>
    <t>上坟抽烟致百亩山林火灾</t>
  </si>
  <si>
    <t xml:space="preserve"> 2020-04-01 17:20:02</t>
  </si>
  <si>
    <t xml:space="preserve"> 2020-04-01 11:44:02</t>
  </si>
  <si>
    <t>王伟生前夙愿终于实现</t>
  </si>
  <si>
    <t xml:space="preserve"> 2020-04-01 16:48:02</t>
  </si>
  <si>
    <t xml:space="preserve"> 2020-04-01 09:56:02</t>
  </si>
  <si>
    <t>愚人节真正可怕的事</t>
  </si>
  <si>
    <t xml:space="preserve"> 2020-04-01 17:40:02</t>
  </si>
  <si>
    <t>安德鲁杰克感染新冠去世</t>
  </si>
  <si>
    <t xml:space="preserve"> 2020-04-01 14:40:01</t>
  </si>
  <si>
    <t>从小就拿捏着非凡气质</t>
  </si>
  <si>
    <t xml:space="preserve"> 2020-04-01 21:02:02</t>
  </si>
  <si>
    <t xml:space="preserve"> 2020-04-01 12:12:02</t>
  </si>
  <si>
    <t>鹿晗吴亦凡新歌</t>
  </si>
  <si>
    <t xml:space="preserve"> 2020-04-01 13:30:02</t>
  </si>
  <si>
    <t xml:space="preserve"> 2020-04-01 09:20:02</t>
  </si>
  <si>
    <t>像极了你不合群的样子</t>
  </si>
  <si>
    <t xml:space="preserve"> 2020-04-01 13:32:02</t>
  </si>
  <si>
    <t>武汉汉口江滩晚樱盛开</t>
  </si>
  <si>
    <t xml:space="preserve"> 2020-04-01 13:44:02</t>
  </si>
  <si>
    <t xml:space="preserve"> 2020-04-01 11:58:02</t>
  </si>
  <si>
    <t>我和朋友唯一的默契</t>
  </si>
  <si>
    <t xml:space="preserve"> 2020-04-01 15:42:02</t>
  </si>
  <si>
    <t xml:space="preserve"> 2020-04-01 07:54:02</t>
  </si>
  <si>
    <t>综艺里的S级翻唱</t>
  </si>
  <si>
    <t xml:space="preserve"> 2020-04-01 14:50:02</t>
  </si>
  <si>
    <t xml:space="preserve"> 2020-04-01 11:48:02</t>
  </si>
  <si>
    <t>愚人节开玩笑翻车现场</t>
  </si>
  <si>
    <t xml:space="preserve"> 2020-04-01 13:16:02</t>
  </si>
  <si>
    <t xml:space="preserve"> 2020-04-01 11:32:02</t>
  </si>
  <si>
    <t>世界羽联冻结世界排名</t>
  </si>
  <si>
    <t>纽约州从中国订购1.7万台呼吸机</t>
  </si>
  <si>
    <t xml:space="preserve"> 2020-04-01 13:06:02</t>
  </si>
  <si>
    <t>又有14个省市开通个税年度汇算</t>
  </si>
  <si>
    <t xml:space="preserve"> 2020-04-01 14:08:02</t>
  </si>
  <si>
    <t xml:space="preserve"> 2020-04-01 08:04:02</t>
  </si>
  <si>
    <t>美国新冠肺炎确诊病例超过18万</t>
  </si>
  <si>
    <t xml:space="preserve"> 2020-04-02 04:44:02</t>
  </si>
  <si>
    <t xml:space="preserve"> 2020-04-01 00:58:02</t>
  </si>
  <si>
    <t>愚人节</t>
  </si>
  <si>
    <t xml:space="preserve"> 2020-04-01 15:56:02</t>
  </si>
  <si>
    <t>英国企业将量产呼吸机</t>
  </si>
  <si>
    <t xml:space="preserve"> 2020-04-01 11:42:02</t>
  </si>
  <si>
    <t>粤语版范闲朝堂斗诗</t>
  </si>
  <si>
    <t xml:space="preserve"> 2020-04-01 14:36:01</t>
  </si>
  <si>
    <t xml:space="preserve"> 2020-04-01 07:12:01</t>
  </si>
  <si>
    <t>四月你好</t>
  </si>
  <si>
    <t xml:space="preserve"> 2020-04-01 13:12:02</t>
  </si>
  <si>
    <t>意大利新冠肺炎疫情正进入平台期</t>
  </si>
  <si>
    <t xml:space="preserve"> 2020-04-01 12:48:02</t>
  </si>
  <si>
    <t xml:space="preserve"> 2020-04-01 10:50:02</t>
  </si>
  <si>
    <t>看日落老人拉琴送别上海医疗队</t>
  </si>
  <si>
    <t xml:space="preserve"> 2020-04-01 12:28:02</t>
  </si>
  <si>
    <t>韩国累计确诊9887例</t>
  </si>
  <si>
    <t xml:space="preserve"> 2020-04-01 09:54:02</t>
  </si>
  <si>
    <t>李兰娟称返浙后将继续关注武汉</t>
  </si>
  <si>
    <t xml:space="preserve"> 2020-04-01 13:10:02</t>
  </si>
  <si>
    <t xml:space="preserve"> 2020-04-01 07:22:02</t>
  </si>
  <si>
    <t>CNN主播确诊感染新冠肺炎</t>
  </si>
  <si>
    <t xml:space="preserve"> 2020-04-01 14:46:02</t>
  </si>
  <si>
    <t xml:space="preserve"> 2020-04-01 12:22:02</t>
  </si>
  <si>
    <t>武汉重启的声音</t>
  </si>
  <si>
    <t xml:space="preserve"> 2020-04-01 12:44:02</t>
  </si>
  <si>
    <t xml:space="preserve"> 2020-04-01 09:14:01</t>
  </si>
  <si>
    <t>美国航空母舰超百人感染新冠肺炎</t>
  </si>
  <si>
    <t xml:space="preserve"> 2020-04-01 13:00:03</t>
  </si>
  <si>
    <t xml:space="preserve"> 2020-04-01 08:08:02</t>
  </si>
  <si>
    <t>咸蛋黄流沙虾滑</t>
  </si>
  <si>
    <t xml:space="preserve"> 2020-04-01 12:56:02</t>
  </si>
  <si>
    <t>水下世界里的樱花</t>
  </si>
  <si>
    <t xml:space="preserve"> 2020-04-01 12:38:02</t>
  </si>
  <si>
    <t xml:space="preserve"> 2020-04-01 08:46:02</t>
  </si>
  <si>
    <t>和平精英更新</t>
  </si>
  <si>
    <t xml:space="preserve"> 2020-04-01 12:34:01</t>
  </si>
  <si>
    <t>美国举办无接触格斗赛</t>
  </si>
  <si>
    <t>愚人节文案大赛</t>
  </si>
  <si>
    <t xml:space="preserve"> 2020-04-01 10:02:02</t>
  </si>
  <si>
    <t>上海新增7例境外输入病例</t>
  </si>
  <si>
    <t xml:space="preserve"> 2020-04-02 09:06:02</t>
  </si>
  <si>
    <t xml:space="preserve"> 2020-04-01 20:16:01</t>
  </si>
  <si>
    <t>鬼吹灯</t>
  </si>
  <si>
    <t xml:space="preserve"> 2020-04-02 10:50:01</t>
  </si>
  <si>
    <t xml:space="preserve"> 2020-04-01 21:50:02</t>
  </si>
  <si>
    <t>华春莹回应台湾捐1000万口罩给欧美</t>
  </si>
  <si>
    <t xml:space="preserve"> 2020-04-02 11:46:02</t>
  </si>
  <si>
    <t xml:space="preserve"> 2020-04-01 22:58:02</t>
  </si>
  <si>
    <t>河南郏县全面封村封小区</t>
  </si>
  <si>
    <t xml:space="preserve"> 2020-04-02 12:02:02</t>
  </si>
  <si>
    <t xml:space="preserve"> 2020-04-01 21:16:02</t>
  </si>
  <si>
    <t>薇娅卖火箭</t>
  </si>
  <si>
    <t xml:space="preserve"> 2020-04-02 11:38:02</t>
  </si>
  <si>
    <t xml:space="preserve"> 2020-04-01 22:04:02</t>
  </si>
  <si>
    <t>李子柒春日鲜花宴</t>
  </si>
  <si>
    <t xml:space="preserve"> 2020-04-02 10:24:02</t>
  </si>
  <si>
    <t xml:space="preserve"> 2020-04-01 21:04:02</t>
  </si>
  <si>
    <t>金在中道歉</t>
  </si>
  <si>
    <t xml:space="preserve"> 2020-04-02 09:48:02</t>
  </si>
  <si>
    <t>参半</t>
  </si>
  <si>
    <t xml:space="preserve"> 2020-04-02 08:10:01</t>
  </si>
  <si>
    <t xml:space="preserve"> 2020-04-01 19:04:02</t>
  </si>
  <si>
    <t>钟南山表示无症状感染者不会引起大暴发</t>
  </si>
  <si>
    <t xml:space="preserve"> 2020-04-02 11:12:01</t>
  </si>
  <si>
    <t xml:space="preserve"> 2020-04-01 22:10:01</t>
  </si>
  <si>
    <t>崂山卫生局回应核酸检测外国人插队</t>
  </si>
  <si>
    <t xml:space="preserve"> 2020-04-01 23:18:02</t>
  </si>
  <si>
    <t>四川云南森林火险红色预警</t>
  </si>
  <si>
    <t xml:space="preserve"> 2020-04-02 09:16:02</t>
  </si>
  <si>
    <t xml:space="preserve"> 2020-04-01 19:28:02</t>
  </si>
  <si>
    <t>拉贝后代向中国求援</t>
  </si>
  <si>
    <t xml:space="preserve"> 2020-04-02 08:46:02</t>
  </si>
  <si>
    <t>美国拒绝进口中国KN95口罩</t>
  </si>
  <si>
    <t xml:space="preserve"> 2020-04-02 08:48:02</t>
  </si>
  <si>
    <t xml:space="preserve"> 2020-04-01 21:40:02</t>
  </si>
  <si>
    <t>张文宏说无症状感染者没那么可怕</t>
  </si>
  <si>
    <t xml:space="preserve"> 2020-04-02 11:20:02</t>
  </si>
  <si>
    <t xml:space="preserve"> 2020-04-01 15:54:02</t>
  </si>
  <si>
    <t>中国抗疫物资出口收紧</t>
  </si>
  <si>
    <t xml:space="preserve"> 2020-04-02 08:04:02</t>
  </si>
  <si>
    <t xml:space="preserve"> 2020-04-01 20:30:01</t>
  </si>
  <si>
    <t>东京歌舞伎町出现大量感染者</t>
  </si>
  <si>
    <t xml:space="preserve"> 2020-04-02 08:54:02</t>
  </si>
  <si>
    <t xml:space="preserve"> 2020-03-11 17:40:02</t>
  </si>
  <si>
    <t>青岛</t>
  </si>
  <si>
    <t xml:space="preserve"> 2020-04-02 09:24:02</t>
  </si>
  <si>
    <t xml:space="preserve"> 2020-04-01 22:36:01</t>
  </si>
  <si>
    <t>15秒震不完的最长减速带开拆</t>
  </si>
  <si>
    <t xml:space="preserve"> 2020-04-02 11:28:02</t>
  </si>
  <si>
    <t>罗永浩口误</t>
  </si>
  <si>
    <t xml:space="preserve"> 2020-04-02 09:10:02</t>
  </si>
  <si>
    <t xml:space="preserve"> 2020-04-01 22:34:01</t>
  </si>
  <si>
    <t>意大利人从阳台吊下食物帮流浪汉</t>
  </si>
  <si>
    <t xml:space="preserve"> 2020-04-02 10:46:02</t>
  </si>
  <si>
    <t xml:space="preserve"> 2020-04-01 20:02:02</t>
  </si>
  <si>
    <t>宋茜创3舞台造型</t>
  </si>
  <si>
    <t xml:space="preserve"> 2020-04-02 09:56:02</t>
  </si>
  <si>
    <t xml:space="preserve"> 2020-04-01 22:38:02</t>
  </si>
  <si>
    <t>江苏护士援鄂1月瘦12斤</t>
  </si>
  <si>
    <t xml:space="preserve"> 2020-04-02 11:08:02</t>
  </si>
  <si>
    <t xml:space="preserve"> 2020-04-01 22:48:02</t>
  </si>
  <si>
    <t>假偶天成男主Win道歉</t>
  </si>
  <si>
    <t xml:space="preserve"> 2020-04-02 09:50:02</t>
  </si>
  <si>
    <t xml:space="preserve"> 2020-04-01 20:28:02</t>
  </si>
  <si>
    <t>官方通报男幼师性侵女童</t>
  </si>
  <si>
    <t xml:space="preserve"> 2020-04-02 09:28:02</t>
  </si>
  <si>
    <t xml:space="preserve"> 2020-04-01 21:34:02</t>
  </si>
  <si>
    <t>张新成直播</t>
  </si>
  <si>
    <t xml:space="preserve"> 2020-04-01 22:52:02</t>
  </si>
  <si>
    <t>昆仑山脉首次拍到野生动物</t>
  </si>
  <si>
    <t xml:space="preserve"> 2020-04-02 03:28:01</t>
  </si>
  <si>
    <t xml:space="preserve"> 2020-04-01 22:30:01</t>
  </si>
  <si>
    <t>坦桑尼亚籍男子返京拒集中隔离</t>
  </si>
  <si>
    <t xml:space="preserve"> 2020-04-02 08:30:02</t>
  </si>
  <si>
    <t xml:space="preserve"> 2020-04-01 21:28:02</t>
  </si>
  <si>
    <t>黎语冰棠雪胜利之吻</t>
  </si>
  <si>
    <t xml:space="preserve"> 2020-04-02 08:00:02</t>
  </si>
  <si>
    <t xml:space="preserve"> 2020-04-01 22:42:02</t>
  </si>
  <si>
    <t>医院回应领导冒领抗疫补助</t>
  </si>
  <si>
    <t xml:space="preserve"> 2020-04-02 08:36:02</t>
  </si>
  <si>
    <t xml:space="preserve"> 2020-04-01 13:52:02</t>
  </si>
  <si>
    <t>美国又两州进入重大灾难状态</t>
  </si>
  <si>
    <t xml:space="preserve"> 2020-04-02 09:00:02</t>
  </si>
  <si>
    <t xml:space="preserve"> 2020-04-01 22:26:02</t>
  </si>
  <si>
    <t>衣服和景点很搭有多美</t>
  </si>
  <si>
    <t xml:space="preserve"> 2020-04-02 07:46:02</t>
  </si>
  <si>
    <t xml:space="preserve"> 2020-04-01 20:54:02</t>
  </si>
  <si>
    <t>四川甘孜5.6级地震</t>
  </si>
  <si>
    <t xml:space="preserve"> 2020-04-03 07:50:02</t>
  </si>
  <si>
    <t>成化十四年</t>
  </si>
  <si>
    <t xml:space="preserve"> 2020-04-02 07:28:02</t>
  </si>
  <si>
    <t xml:space="preserve"> 2020-04-01 19:02:01</t>
  </si>
  <si>
    <t>愚人节的朋友圈</t>
  </si>
  <si>
    <t xml:space="preserve"> 2020-04-02 10:32:02</t>
  </si>
  <si>
    <t xml:space="preserve"> 2020-04-01 15:58:02</t>
  </si>
  <si>
    <t>外交部为有困难留学生协调赴英航班</t>
  </si>
  <si>
    <t xml:space="preserve"> 2020-04-02 08:16:02</t>
  </si>
  <si>
    <t xml:space="preserve"> 2020-04-01 21:00:02</t>
  </si>
  <si>
    <t>Q2</t>
  </si>
  <si>
    <t xml:space="preserve"> 2020-04-01 19:26:02</t>
  </si>
  <si>
    <t>聊天时最反感的开场白</t>
  </si>
  <si>
    <t xml:space="preserve"> 2020-04-01 20:32:02</t>
  </si>
  <si>
    <t>当代女生的佛系社交</t>
  </si>
  <si>
    <t xml:space="preserve"> 2020-04-02 07:24:02</t>
  </si>
  <si>
    <t xml:space="preserve"> 2020-04-01 19:10:02</t>
  </si>
  <si>
    <t>北京非毕业年级不会占周末和暑期</t>
  </si>
  <si>
    <t xml:space="preserve"> 2020-04-02 08:24:02</t>
  </si>
  <si>
    <t xml:space="preserve"> 2020-04-01 22:02:01</t>
  </si>
  <si>
    <t>加拿大总理致谢中国企业</t>
  </si>
  <si>
    <t xml:space="preserve"> 2020-04-02 07:20:02</t>
  </si>
  <si>
    <t>12岁男孩路边蹭网学习</t>
  </si>
  <si>
    <t>纽约州检测1.8万人半数阳性</t>
  </si>
  <si>
    <t xml:space="preserve"> 2020-04-02 08:28:02</t>
  </si>
  <si>
    <t xml:space="preserve"> 2020-04-01 18:44:02</t>
  </si>
  <si>
    <t>死的让你猝不及防的角色</t>
  </si>
  <si>
    <t>今年第一顿小龙虾</t>
  </si>
  <si>
    <t>惊艳四座的女装大佬</t>
  </si>
  <si>
    <t xml:space="preserve"> 2020-04-02 07:52:02</t>
  </si>
  <si>
    <t>荷包蛋泡沫咖啡</t>
  </si>
  <si>
    <t xml:space="preserve"> 2020-04-02 07:16:01</t>
  </si>
  <si>
    <t xml:space="preserve"> 2020-04-01 16:56:01</t>
  </si>
  <si>
    <t>韩国网友请愿处罚金在中</t>
  </si>
  <si>
    <t xml:space="preserve"> 2020-04-02 07:26:02</t>
  </si>
  <si>
    <t xml:space="preserve"> 2020-04-01 18:46:02</t>
  </si>
  <si>
    <t>黄子韬马卡龙流苏毛衣</t>
  </si>
  <si>
    <t xml:space="preserve"> 2020-04-01 20:48:02</t>
  </si>
  <si>
    <t>日本政府将为全国住户发口罩</t>
  </si>
  <si>
    <t xml:space="preserve"> 2020-04-02 01:24:02</t>
  </si>
  <si>
    <t xml:space="preserve"> 2020-04-01 18:34:01</t>
  </si>
  <si>
    <t>西昌森林火灾牺牲扑火队员照片</t>
  </si>
  <si>
    <t xml:space="preserve"> 2020-04-02 18:24:02</t>
  </si>
  <si>
    <t xml:space="preserve"> 2020-04-02 10:26:02</t>
  </si>
  <si>
    <t>乱港分子向中国大使馆求助</t>
  </si>
  <si>
    <t xml:space="preserve"> 2020-04-02 16:38:02</t>
  </si>
  <si>
    <t>吴春红要求道歉恢复名誉</t>
  </si>
  <si>
    <t xml:space="preserve"> 2020-04-02 15:52:02</t>
  </si>
  <si>
    <t xml:space="preserve"> 2020-04-02 09:12:02</t>
  </si>
  <si>
    <t>爸爸用女儿纸尿裤当口罩</t>
  </si>
  <si>
    <t xml:space="preserve"> 2020-04-02 18:36:02</t>
  </si>
  <si>
    <t xml:space="preserve"> 2020-04-02 10:48:02</t>
  </si>
  <si>
    <t>刘诗诗黑长直</t>
  </si>
  <si>
    <t xml:space="preserve"> 2020-04-02 17:38:01</t>
  </si>
  <si>
    <t xml:space="preserve"> 2020-04-02 09:44:02</t>
  </si>
  <si>
    <t>邓主任</t>
  </si>
  <si>
    <t xml:space="preserve"> 2020-04-02 16:50:02</t>
  </si>
  <si>
    <t xml:space="preserve"> 2020-04-02 11:40:02</t>
  </si>
  <si>
    <t>印度最大贫民窟首次报告新冠确诊病例</t>
  </si>
  <si>
    <t xml:space="preserve"> 2020-04-02 15:58:02</t>
  </si>
  <si>
    <t xml:space="preserve"> 2020-04-02 09:02:02</t>
  </si>
  <si>
    <t>五角大楼寻求10万个收尸袋</t>
  </si>
  <si>
    <t xml:space="preserve"> 2020-04-02 15:38:02</t>
  </si>
  <si>
    <t xml:space="preserve"> 2020-04-02 11:24:01</t>
  </si>
  <si>
    <t>目前已有36名中国留学生确诊</t>
  </si>
  <si>
    <t xml:space="preserve"> 2020-04-02 17:10:02</t>
  </si>
  <si>
    <t xml:space="preserve"> 2020-04-02 08:34:01</t>
  </si>
  <si>
    <t>美国暂停向国外援助医疗物资用品</t>
  </si>
  <si>
    <t xml:space="preserve"> 2020-04-02 15:00:02</t>
  </si>
  <si>
    <t xml:space="preserve"> 2020-04-02 10:00:02</t>
  </si>
  <si>
    <t>特朗普称不会发布全国居家隔离令</t>
  </si>
  <si>
    <t xml:space="preserve"> 2020-04-02 16:08:02</t>
  </si>
  <si>
    <t xml:space="preserve"> 2020-04-02 08:38:02</t>
  </si>
  <si>
    <t>崂山再次回应核酸检测外国人插队</t>
  </si>
  <si>
    <t xml:space="preserve"> 2020-04-02 14:28:01</t>
  </si>
  <si>
    <t>9架次包机接回中国公民1457人</t>
  </si>
  <si>
    <t xml:space="preserve"> 2020-04-02 14:20:02</t>
  </si>
  <si>
    <t xml:space="preserve"> 2020-04-02 09:26:02</t>
  </si>
  <si>
    <t>浙江嘉兴发放2亿消费券</t>
  </si>
  <si>
    <t xml:space="preserve"> 2020-04-02 17:28:01</t>
  </si>
  <si>
    <t xml:space="preserve"> 2020-04-02 10:34:01</t>
  </si>
  <si>
    <t>外交部将向留学生派发1100多万份口罩</t>
  </si>
  <si>
    <t xml:space="preserve"> 2020-04-02 14:22:02</t>
  </si>
  <si>
    <t>借给患者的外公和妈妈还回来了</t>
  </si>
  <si>
    <t xml:space="preserve"> 2020-04-02 18:28:02</t>
  </si>
  <si>
    <t xml:space="preserve"> 2020-04-02 11:48:01</t>
  </si>
  <si>
    <t>愚人节后零点一分的表白</t>
  </si>
  <si>
    <t xml:space="preserve"> 2020-04-02 15:14:01</t>
  </si>
  <si>
    <t xml:space="preserve"> 2020-04-02 10:52:02</t>
  </si>
  <si>
    <t>男子开火车撞美国海军医疗船</t>
  </si>
  <si>
    <t xml:space="preserve"> 2020-04-02 16:10:02</t>
  </si>
  <si>
    <t xml:space="preserve"> 2020-04-02 09:30:02</t>
  </si>
  <si>
    <t>张根硕母亲涉嫌逃税被起诉</t>
  </si>
  <si>
    <t xml:space="preserve"> 2020-04-02 14:34:02</t>
  </si>
  <si>
    <t xml:space="preserve"> 2020-04-02 11:30:02</t>
  </si>
  <si>
    <t>全美大面积拆除篮球筐</t>
  </si>
  <si>
    <t xml:space="preserve"> 2020-04-02 15:48:02</t>
  </si>
  <si>
    <t>不是饭也舍不得删的照片</t>
  </si>
  <si>
    <t xml:space="preserve"> 2020-04-02 16:02:02</t>
  </si>
  <si>
    <t>加州所有学校今年整个学年将不再开学</t>
  </si>
  <si>
    <t xml:space="preserve"> 2020-04-02 14:30:02</t>
  </si>
  <si>
    <t>接英国留学生飞机已在9点半起飞</t>
  </si>
  <si>
    <t xml:space="preserve"> 2020-04-02 15:16:02</t>
  </si>
  <si>
    <t xml:space="preserve"> 2019-11-22 08:32:02</t>
  </si>
  <si>
    <t>食物语</t>
  </si>
  <si>
    <t xml:space="preserve"> 2020-04-02 14:56:02</t>
  </si>
  <si>
    <t xml:space="preserve"> 2020-04-02 07:18:01</t>
  </si>
  <si>
    <t>广州通报外籍新冠肺炎患者打伤护士</t>
  </si>
  <si>
    <t xml:space="preserve"> 2020-04-02 13:40:02</t>
  </si>
  <si>
    <t>最长寿爷爷112岁生日会因疫情取消</t>
  </si>
  <si>
    <t xml:space="preserve"> 2020-04-02 13:34:02</t>
  </si>
  <si>
    <t xml:space="preserve"> 2020-04-02 11:10:02</t>
  </si>
  <si>
    <t>湖南新增1例境外输入确诊病例</t>
  </si>
  <si>
    <t xml:space="preserve"> 2020-04-02 14:02:01</t>
  </si>
  <si>
    <t xml:space="preserve"> 2020-04-02 11:22:02</t>
  </si>
  <si>
    <t>目前142万留学生尚在国外</t>
  </si>
  <si>
    <t xml:space="preserve"> 2020-04-02 11:52:02</t>
  </si>
  <si>
    <t>篮网四位感染新冠病毒球员已无症状</t>
  </si>
  <si>
    <t xml:space="preserve"> 2020-04-02 13:52:01</t>
  </si>
  <si>
    <t xml:space="preserve"> 2020-04-02 10:36:02</t>
  </si>
  <si>
    <t>世卫组织称未来几天全球病例将超100万</t>
  </si>
  <si>
    <t xml:space="preserve"> 2020-04-02 13:48:02</t>
  </si>
  <si>
    <t xml:space="preserve"> 2020-04-02 10:20:02</t>
  </si>
  <si>
    <t>土耳其人用香水当消毒剂</t>
  </si>
  <si>
    <t xml:space="preserve"> 2020-04-02 13:54:02</t>
  </si>
  <si>
    <t>世卫组织代表回应外媒对中国指责</t>
  </si>
  <si>
    <t xml:space="preserve"> 2020-04-02 07:14:02</t>
  </si>
  <si>
    <t>美国新冠肺炎确诊超20万例</t>
  </si>
  <si>
    <t xml:space="preserve"> 2020-04-02 13:38:02</t>
  </si>
  <si>
    <t xml:space="preserve"> 2020-04-02 11:36:02</t>
  </si>
  <si>
    <t>武汉无疫情小区达99%</t>
  </si>
  <si>
    <t xml:space="preserve"> 2020-04-02 13:50:01</t>
  </si>
  <si>
    <t>网络上看不懂的字母缩写</t>
  </si>
  <si>
    <t xml:space="preserve"> 2020-04-02 14:10:02</t>
  </si>
  <si>
    <t>中关村研发出新型石墨烯口罩</t>
  </si>
  <si>
    <t xml:space="preserve"> 2020-04-02 19:14:02</t>
  </si>
  <si>
    <t xml:space="preserve"> 2020-04-02 12:14:02</t>
  </si>
  <si>
    <t>上网课听说清明节要放假时</t>
  </si>
  <si>
    <t xml:space="preserve"> 2020-04-02 14:40:02</t>
  </si>
  <si>
    <t xml:space="preserve"> 2020-04-02 12:10:02</t>
  </si>
  <si>
    <t>王石率万科员工捐2亿股股票</t>
  </si>
  <si>
    <t xml:space="preserve"> 2020-04-02 12:36:02</t>
  </si>
  <si>
    <t>高中生直播分享上网课经验</t>
  </si>
  <si>
    <t xml:space="preserve"> 2020-04-02 14:52:02</t>
  </si>
  <si>
    <t>小时候追剧的样子</t>
  </si>
  <si>
    <t xml:space="preserve"> 2020-04-02 12:56:01</t>
  </si>
  <si>
    <t>洛杉矶市长建议全体市民戴口罩</t>
  </si>
  <si>
    <t xml:space="preserve"> 2020-04-02 09:54:02</t>
  </si>
  <si>
    <t>世界自闭症日</t>
  </si>
  <si>
    <t xml:space="preserve"> 2020-04-02 12:26:01</t>
  </si>
  <si>
    <t xml:space="preserve"> 2020-04-02 11:56:02</t>
  </si>
  <si>
    <t>疫情中爱情的模样</t>
  </si>
  <si>
    <t xml:space="preserve"> 2020-04-02 14:32:02</t>
  </si>
  <si>
    <t xml:space="preserve"> 2020-04-02 12:18:02</t>
  </si>
  <si>
    <t>日本大学举行云毕业典礼</t>
  </si>
  <si>
    <t xml:space="preserve"> 2020-04-02 12:22:02</t>
  </si>
  <si>
    <t>荷兰弟倒立穿衣服</t>
  </si>
  <si>
    <t xml:space="preserve"> 2020-04-02 12:44:02</t>
  </si>
  <si>
    <t xml:space="preserve"> 2020-04-02 08:02:02</t>
  </si>
  <si>
    <t>意大利3000万海外口罩2200万来自中国</t>
  </si>
  <si>
    <t xml:space="preserve"> 2020-04-02 11:18:02</t>
  </si>
  <si>
    <t>甜筒美妆蛋</t>
  </si>
  <si>
    <t xml:space="preserve"> 2020-04-02 12:28:02</t>
  </si>
  <si>
    <t>上海教师入围全球教师奖</t>
  </si>
  <si>
    <t xml:space="preserve"> 2020-04-02 12:32:02</t>
  </si>
  <si>
    <t xml:space="preserve"> 2020-04-02 07:48:02</t>
  </si>
  <si>
    <t>动物森友会 樱花</t>
  </si>
  <si>
    <t xml:space="preserve"> 2020-04-02 07:32:02</t>
  </si>
  <si>
    <t>美国预计有10万至24万人死于新冠</t>
  </si>
  <si>
    <t>西班牙执勤军人护送独居奶奶回家</t>
  </si>
  <si>
    <t xml:space="preserve"> 2020-04-03 13:10:02</t>
  </si>
  <si>
    <t xml:space="preserve"> 2020-04-02 23:14:02</t>
  </si>
  <si>
    <t>Lisa教虞书欣跳舞</t>
  </si>
  <si>
    <t xml:space="preserve"> 2020-04-02 22:32:01</t>
  </si>
  <si>
    <t>钟南山担心一些国家控制不了疫情</t>
  </si>
  <si>
    <t xml:space="preserve"> 2020-04-02 21:38:02</t>
  </si>
  <si>
    <t>孔雪儿方声明</t>
  </si>
  <si>
    <t xml:space="preserve"> 2020-04-03 12:34:01</t>
  </si>
  <si>
    <t xml:space="preserve"> 2020-04-02 21:02:02</t>
  </si>
  <si>
    <t>瑞幸暴跌</t>
  </si>
  <si>
    <t xml:space="preserve"> 2020-04-03 09:54:01</t>
  </si>
  <si>
    <t xml:space="preserve"> 2020-04-02 23:10:01</t>
  </si>
  <si>
    <t>邓主任回应外籍新冠患者咬伤护士</t>
  </si>
  <si>
    <t xml:space="preserve"> 2020-04-03 09:32:02</t>
  </si>
  <si>
    <t xml:space="preserve"> 2020-04-02 21:44:02</t>
  </si>
  <si>
    <t>喻言不是vocal组第一</t>
  </si>
  <si>
    <t xml:space="preserve"> 2020-04-03 09:14:02</t>
  </si>
  <si>
    <t xml:space="preserve"> 2020-04-02 21:06:01</t>
  </si>
  <si>
    <t>卖淫嫖娼人员收容教育办法决定废止</t>
  </si>
  <si>
    <t xml:space="preserve"> 2020-04-03 09:46:02</t>
  </si>
  <si>
    <t xml:space="preserve"> 2020-04-02 19:18:02</t>
  </si>
  <si>
    <t>潘粤明为变胖道歉</t>
  </si>
  <si>
    <t xml:space="preserve"> 2020-04-03 08:44:02</t>
  </si>
  <si>
    <t xml:space="preserve"> 2020-04-02 20:30:02</t>
  </si>
  <si>
    <t>教师猥亵17名小学生获刑7年半</t>
  </si>
  <si>
    <t xml:space="preserve"> 2020-04-03 08:32:02</t>
  </si>
  <si>
    <t xml:space="preserve"> 2020-04-02 18:34:02</t>
  </si>
  <si>
    <t>小咕咚整容</t>
  </si>
  <si>
    <t xml:space="preserve"> 2020-04-03 07:40:02</t>
  </si>
  <si>
    <t>刘令姿升A班</t>
  </si>
  <si>
    <t xml:space="preserve"> 2020-04-02 21:22:02</t>
  </si>
  <si>
    <t>援鄂医疗队员回来被儿子戴手铐</t>
  </si>
  <si>
    <t xml:space="preserve"> 2020-04-03 08:02:02</t>
  </si>
  <si>
    <t xml:space="preserve"> 2020-04-02 18:20:02</t>
  </si>
  <si>
    <t>新冠是人类第一个冠状病毒大流行</t>
  </si>
  <si>
    <t xml:space="preserve"> 2020-04-03 07:46:02</t>
  </si>
  <si>
    <t xml:space="preserve"> 2020-01-29 20:58:01</t>
  </si>
  <si>
    <t>李文亮</t>
  </si>
  <si>
    <t xml:space="preserve"> 2020-04-03 08:20:02</t>
  </si>
  <si>
    <t xml:space="preserve"> 2020-04-02 19:42:02</t>
  </si>
  <si>
    <t>华春莹质问美国近9分钟</t>
  </si>
  <si>
    <t xml:space="preserve"> 2020-04-03 11:54:02</t>
  </si>
  <si>
    <t xml:space="preserve"> 2020-04-02 22:18:02</t>
  </si>
  <si>
    <t>棠雪爸爸</t>
  </si>
  <si>
    <t xml:space="preserve"> 2020-04-03 10:12:02</t>
  </si>
  <si>
    <t>瑞幸咖啡伪造交易22亿</t>
  </si>
  <si>
    <t xml:space="preserve"> 2020-04-03 09:10:02</t>
  </si>
  <si>
    <t>柏林一区长自曝故意感染新冠</t>
  </si>
  <si>
    <t xml:space="preserve"> 2020-04-03 16:26:02</t>
  </si>
  <si>
    <t xml:space="preserve"> 2020-03-30 19:26:02</t>
  </si>
  <si>
    <t>浙江开学时间</t>
  </si>
  <si>
    <t xml:space="preserve"> 2020-04-03 08:34:02</t>
  </si>
  <si>
    <t xml:space="preserve"> 2020-04-02 18:26:02</t>
  </si>
  <si>
    <t>刘诗诗谈当妈感受</t>
  </si>
  <si>
    <t xml:space="preserve"> 2020-04-03 08:54:02</t>
  </si>
  <si>
    <t xml:space="preserve"> 2020-04-02 22:00:02</t>
  </si>
  <si>
    <t>七穗太元气了</t>
  </si>
  <si>
    <t xml:space="preserve"> 2020-04-03 05:28:02</t>
  </si>
  <si>
    <t xml:space="preserve"> 2020-04-02 23:24:01</t>
  </si>
  <si>
    <t>中传发布艺考调整公告</t>
  </si>
  <si>
    <t xml:space="preserve"> 2020-04-03 07:16:01</t>
  </si>
  <si>
    <t xml:space="preserve"> 2020-04-02 19:22:01</t>
  </si>
  <si>
    <t>奶绮</t>
  </si>
  <si>
    <t xml:space="preserve"> 2020-04-03 07:38:02</t>
  </si>
  <si>
    <t xml:space="preserve"> 2020-04-02 19:16:02</t>
  </si>
  <si>
    <t>清平乐定档</t>
  </si>
  <si>
    <t xml:space="preserve"> 2020-04-03 08:08:02</t>
  </si>
  <si>
    <t xml:space="preserve"> 2020-04-02 20:00:02</t>
  </si>
  <si>
    <t>外交部新公布11个疫情高风险国家</t>
  </si>
  <si>
    <t xml:space="preserve"> 2020-04-03 08:28:01</t>
  </si>
  <si>
    <t xml:space="preserve"> 2020-04-02 22:22:02</t>
  </si>
  <si>
    <t>辽宁1例境外输入关联病例行程轨迹</t>
  </si>
  <si>
    <t>俄罗斯带薪休假延长至4月30日</t>
  </si>
  <si>
    <t xml:space="preserve"> 2020-04-03 07:14:02</t>
  </si>
  <si>
    <t xml:space="preserve"> 2020-04-02 20:50:02</t>
  </si>
  <si>
    <t>宋昭艺哭了</t>
  </si>
  <si>
    <t xml:space="preserve"> 2020-04-03 08:26:01</t>
  </si>
  <si>
    <t xml:space="preserve"> 2020-04-02 22:36:02</t>
  </si>
  <si>
    <t>第二批援意专家组结束任务回国</t>
  </si>
  <si>
    <t xml:space="preserve"> 2020-04-03 07:34:02</t>
  </si>
  <si>
    <t xml:space="preserve"> 2020-04-02 18:16:02</t>
  </si>
  <si>
    <t>湖北14名牺牲人员被评为首批烈士</t>
  </si>
  <si>
    <t xml:space="preserve"> 2020-04-02 17:36:02</t>
  </si>
  <si>
    <t>宋茜牛仔裤</t>
  </si>
  <si>
    <t xml:space="preserve"> 2020-04-03 08:52:02</t>
  </si>
  <si>
    <t>n年后会出现的历史试题</t>
  </si>
  <si>
    <t xml:space="preserve"> 2020-04-03 08:42:02</t>
  </si>
  <si>
    <t>工作人员回应外籍男子插队</t>
  </si>
  <si>
    <t xml:space="preserve"> 2020-04-02 20:24:02</t>
  </si>
  <si>
    <t>蔡徐坤金属边眼镜</t>
  </si>
  <si>
    <t xml:space="preserve"> 2020-04-03 07:18:02</t>
  </si>
  <si>
    <t xml:space="preserve"> 2019-11-28 11:00:05</t>
  </si>
  <si>
    <t>阿水</t>
  </si>
  <si>
    <t xml:space="preserve"> 2020-04-03 08:50:01</t>
  </si>
  <si>
    <t xml:space="preserve"> 2020-04-02 20:44:02</t>
  </si>
  <si>
    <t>鬼吹灯龙岭迷窟</t>
  </si>
  <si>
    <t xml:space="preserve"> 2020-04-02 16:40:02</t>
  </si>
  <si>
    <t>能够保送出道的素人颜值</t>
  </si>
  <si>
    <t xml:space="preserve"> 2020-04-03 08:18:02</t>
  </si>
  <si>
    <t xml:space="preserve"> 2020-04-02 21:18:02</t>
  </si>
  <si>
    <t>钟南山全程英文演讲</t>
  </si>
  <si>
    <t xml:space="preserve"> 2020-04-02 16:52:01</t>
  </si>
  <si>
    <t>亚马逊雨林原始部落出现确诊病例</t>
  </si>
  <si>
    <t xml:space="preserve"> 2020-04-02 15:44:02</t>
  </si>
  <si>
    <t>杨幂 鳄鱼没有心</t>
  </si>
  <si>
    <t xml:space="preserve"> 2020-04-03 07:08:02</t>
  </si>
  <si>
    <t>狼人杀</t>
  </si>
  <si>
    <t xml:space="preserve"> 2020-04-02 21:26:02</t>
  </si>
  <si>
    <t>张语格扭伤脖子</t>
  </si>
  <si>
    <t xml:space="preserve"> 2020-04-03 01:40:02</t>
  </si>
  <si>
    <t>退税</t>
  </si>
  <si>
    <t xml:space="preserve"> 2020-04-03 03:00:02</t>
  </si>
  <si>
    <t>京都一大学暴发疫情</t>
  </si>
  <si>
    <t xml:space="preserve"> 2020-04-03 17:04:01</t>
  </si>
  <si>
    <t xml:space="preserve"> 2020-04-03 10:00:02</t>
  </si>
  <si>
    <t>女子登机发现只有自己一名乘客</t>
  </si>
  <si>
    <t xml:space="preserve"> 2020-04-03 16:40:01</t>
  </si>
  <si>
    <t xml:space="preserve"> 2020-04-03 11:26:02</t>
  </si>
  <si>
    <t>教育部辟谣取消6月份四六级考试</t>
  </si>
  <si>
    <t xml:space="preserve"> 2020-04-03 11:38:01</t>
  </si>
  <si>
    <t>阿水加入滔搏</t>
  </si>
  <si>
    <t xml:space="preserve"> 2020-04-03 14:44:01</t>
  </si>
  <si>
    <t>沈阳全面取消人才落户限制</t>
  </si>
  <si>
    <t xml:space="preserve"> 2020-04-03 16:16:02</t>
  </si>
  <si>
    <t xml:space="preserve"> 2020-04-03 08:10:02</t>
  </si>
  <si>
    <t>青春有你赛制</t>
  </si>
  <si>
    <t xml:space="preserve"> 2020-04-03 11:22:02</t>
  </si>
  <si>
    <t>纽约市长称出门需捂住口鼻</t>
  </si>
  <si>
    <t xml:space="preserve"> 2020-04-03 14:52:01</t>
  </si>
  <si>
    <t>多地中国留学生晒健康包</t>
  </si>
  <si>
    <t xml:space="preserve"> 2020-04-03 14:56:02</t>
  </si>
  <si>
    <t>广州公交车自撞珠江隧道口司机身亡</t>
  </si>
  <si>
    <t xml:space="preserve"> 2020-04-03 14:38:01</t>
  </si>
  <si>
    <t xml:space="preserve"> 2020-04-03 09:56:01</t>
  </si>
  <si>
    <t>我国科学家在南海首次发现鲸落</t>
  </si>
  <si>
    <t xml:space="preserve"> 2020-04-03 14:02:02</t>
  </si>
  <si>
    <t>特朗普第二次新冠检测呈阴性</t>
  </si>
  <si>
    <t xml:space="preserve"> 2020-04-03 14:22:02</t>
  </si>
  <si>
    <t>4月4日举行全国性哀悼活动</t>
  </si>
  <si>
    <t xml:space="preserve"> 2020-04-03 14:18:02</t>
  </si>
  <si>
    <t xml:space="preserve"> 2020-04-03 11:44:02</t>
  </si>
  <si>
    <t>武汉继续强化小区封闭管理</t>
  </si>
  <si>
    <t xml:space="preserve"> 2020-04-03 17:34:02</t>
  </si>
  <si>
    <t xml:space="preserve"> 2020-04-03 07:54:02</t>
  </si>
  <si>
    <t>108人完成新冠疫苗接种</t>
  </si>
  <si>
    <t xml:space="preserve"> 2020-04-03 14:00:02</t>
  </si>
  <si>
    <t xml:space="preserve"> 2020-04-03 07:10:02</t>
  </si>
  <si>
    <t>美国数十万加仑牛奶倒下水道</t>
  </si>
  <si>
    <t xml:space="preserve"> 2020-04-03 13:42:02</t>
  </si>
  <si>
    <t xml:space="preserve"> 2020-04-03 10:28:02</t>
  </si>
  <si>
    <t>杭州2022年第19届亚运会吉祥物</t>
  </si>
  <si>
    <t xml:space="preserve"> 2020-04-03 20:02:01</t>
  </si>
  <si>
    <t xml:space="preserve"> 2020-04-03 11:46:02</t>
  </si>
  <si>
    <t>妻子公开曝光被丈夫家暴16年</t>
  </si>
  <si>
    <t xml:space="preserve"> 2020-04-03 17:58:01</t>
  </si>
  <si>
    <t xml:space="preserve"> 2020-04-03 11:30:02</t>
  </si>
  <si>
    <t>melody的正确打开方式</t>
  </si>
  <si>
    <t xml:space="preserve"> 2020-04-03 16:34:01</t>
  </si>
  <si>
    <t xml:space="preserve"> 2020-04-03 11:56:01</t>
  </si>
  <si>
    <t>北大学生将鲁迅作品改成rap</t>
  </si>
  <si>
    <t xml:space="preserve"> 2020-04-03 14:58:02</t>
  </si>
  <si>
    <t xml:space="preserve"> 2020-04-03 11:00:01</t>
  </si>
  <si>
    <t>樱桃小丸子联名彩妆</t>
  </si>
  <si>
    <t xml:space="preserve"> 2020-04-03 15:38:02</t>
  </si>
  <si>
    <t>暴以素</t>
  </si>
  <si>
    <t xml:space="preserve"> 2020-04-03 16:42:02</t>
  </si>
  <si>
    <t>分手后的人到底有多狠</t>
  </si>
  <si>
    <t xml:space="preserve"> 2020-04-03 10:52:02</t>
  </si>
  <si>
    <t>济宁巨响</t>
  </si>
  <si>
    <t xml:space="preserve"> 2020-04-03 16:06:02</t>
  </si>
  <si>
    <t>乃万A班</t>
  </si>
  <si>
    <t xml:space="preserve"> 2020-04-03 15:16:02</t>
  </si>
  <si>
    <t xml:space="preserve"> 2020-04-03 08:40:02</t>
  </si>
  <si>
    <t>隔离者退房后房间满地垃圾</t>
  </si>
  <si>
    <t xml:space="preserve"> 2020-04-03 17:50:02</t>
  </si>
  <si>
    <t xml:space="preserve"> 2020-04-03 12:06:02</t>
  </si>
  <si>
    <t>鳄鱼在购物中心散步闲逛</t>
  </si>
  <si>
    <t xml:space="preserve"> 2020-04-03 15:40:02</t>
  </si>
  <si>
    <t>沙赞导演隔离在家拍恐怖片</t>
  </si>
  <si>
    <t xml:space="preserve"> 2020-04-03 14:24:01</t>
  </si>
  <si>
    <t xml:space="preserve"> 2020-04-03 07:48:02</t>
  </si>
  <si>
    <t>上单Zoom</t>
  </si>
  <si>
    <t xml:space="preserve"> 2020-04-03 17:26:02</t>
  </si>
  <si>
    <t>西班牙改造两层停车场停尸</t>
  </si>
  <si>
    <t xml:space="preserve"> 2020-04-03 13:36:01</t>
  </si>
  <si>
    <t xml:space="preserve"> 2020-04-03 10:16:02</t>
  </si>
  <si>
    <t>31省区市新增60例无症状感染者</t>
  </si>
  <si>
    <t xml:space="preserve"> 2020-04-03 13:28:02</t>
  </si>
  <si>
    <t xml:space="preserve"> 2020-04-03 09:28:02</t>
  </si>
  <si>
    <t>美国新冠肺炎确诊病例超24万</t>
  </si>
  <si>
    <t xml:space="preserve"> 2020-04-03 13:38:01</t>
  </si>
  <si>
    <t xml:space="preserve"> 2020-04-03 11:20:02</t>
  </si>
  <si>
    <t>邢台学院回应5名教师出国</t>
  </si>
  <si>
    <t xml:space="preserve"> 2020-04-03 13:32:02</t>
  </si>
  <si>
    <t>特朗普回应50个州哄抢医疗资源</t>
  </si>
  <si>
    <t xml:space="preserve"> 2020-04-03 14:10:01</t>
  </si>
  <si>
    <t>神州租车暴跌</t>
  </si>
  <si>
    <t xml:space="preserve"> 2020-04-03 12:48:02</t>
  </si>
  <si>
    <t xml:space="preserve"> 2020-04-03 10:34:02</t>
  </si>
  <si>
    <t>31省区市新增2例本土病例</t>
  </si>
  <si>
    <t xml:space="preserve"> 2020-04-03 13:14:02</t>
  </si>
  <si>
    <t>悉尼科技大学设湖北奖学金</t>
  </si>
  <si>
    <t xml:space="preserve"> 2020-04-03 13:56:01</t>
  </si>
  <si>
    <t xml:space="preserve"> 2020-04-03 08:58:02</t>
  </si>
  <si>
    <t>救火战士看到自己的照片哭了</t>
  </si>
  <si>
    <t>目前没有出现一例复阳患者人传人</t>
  </si>
  <si>
    <t>法国养老院884人死于新冠肺炎</t>
  </si>
  <si>
    <t xml:space="preserve"> 2020-04-03 13:26:02</t>
  </si>
  <si>
    <t>NASA和SpaceX禁止员工使用Zoom</t>
  </si>
  <si>
    <t xml:space="preserve"> 2020-04-03 12:50:02</t>
  </si>
  <si>
    <t xml:space="preserve"> 2020-04-03 11:24:01</t>
  </si>
  <si>
    <t>央视记者探访纽约两大临时医院</t>
  </si>
  <si>
    <t xml:space="preserve"> 2020-04-03 12:46:02</t>
  </si>
  <si>
    <t xml:space="preserve"> 2020-04-03 09:16:02</t>
  </si>
  <si>
    <t>我们疫情控制的速度在医学史上不曾有过</t>
  </si>
  <si>
    <t xml:space="preserve"> 2020-04-03 13:20:02</t>
  </si>
  <si>
    <t xml:space="preserve"> 2020-04-03 10:24:01</t>
  </si>
  <si>
    <t>女生有哪些奇奇怪怪的哭点</t>
  </si>
  <si>
    <t xml:space="preserve"> 2020-04-03 12:32:02</t>
  </si>
  <si>
    <t>西班牙疫情有到达峰值迹象</t>
  </si>
  <si>
    <t>西昌救火武警唱起少年</t>
  </si>
  <si>
    <t xml:space="preserve"> 2020-04-03 12:28:02</t>
  </si>
  <si>
    <t>ELLEMEN鹿晗全封面</t>
  </si>
  <si>
    <t xml:space="preserve"> 2020-04-03 12:22:02</t>
  </si>
  <si>
    <t>高三复课后大课间练习八段锦</t>
  </si>
  <si>
    <t xml:space="preserve"> 2020-04-04 12:12:01</t>
  </si>
  <si>
    <t xml:space="preserve"> 2020-04-03 22:40:02</t>
  </si>
  <si>
    <t>武汉商家1小时卖出数百碗热干面</t>
  </si>
  <si>
    <t xml:space="preserve"> 2020-04-04 11:18:02</t>
  </si>
  <si>
    <t xml:space="preserve"> 2020-04-03 23:06:02</t>
  </si>
  <si>
    <t>4月4日武汉市区车辆停止行驶3分钟</t>
  </si>
  <si>
    <t xml:space="preserve"> 2020-04-04 10:34:02</t>
  </si>
  <si>
    <t xml:space="preserve"> 2020-04-03 23:02:02</t>
  </si>
  <si>
    <t>伦敦9天建成方舱医院</t>
  </si>
  <si>
    <t xml:space="preserve"> 2020-04-04 16:32:01</t>
  </si>
  <si>
    <t xml:space="preserve"> 2020-04-04 00:14:02</t>
  </si>
  <si>
    <t>全国性哀悼活动</t>
  </si>
  <si>
    <t xml:space="preserve"> 2020-04-04 11:12:02</t>
  </si>
  <si>
    <t xml:space="preserve"> 2020-04-03 23:14:02</t>
  </si>
  <si>
    <t>CSGO国服将停服一天</t>
  </si>
  <si>
    <t xml:space="preserve"> 2020-04-04 10:08:01</t>
  </si>
  <si>
    <t xml:space="preserve"> 2020-04-03 21:08:01</t>
  </si>
  <si>
    <t>被外籍新冠患者咬伤护士首发声</t>
  </si>
  <si>
    <t xml:space="preserve"> 2020-04-04 10:40:02</t>
  </si>
  <si>
    <t xml:space="preserve"> 2020-04-03 22:44:02</t>
  </si>
  <si>
    <t>学生放学扎堆校长大喇叭硬核喊话</t>
  </si>
  <si>
    <t xml:space="preserve"> 2020-04-03 21:48:02</t>
  </si>
  <si>
    <t>江歌母亲回应对刘鑫提起诉讼</t>
  </si>
  <si>
    <t xml:space="preserve"> 2020-04-04 00:44:01</t>
  </si>
  <si>
    <t>越来越喜欢戴口罩的原因</t>
  </si>
  <si>
    <t xml:space="preserve"> 2020-04-04 09:30:02</t>
  </si>
  <si>
    <t xml:space="preserve"> 2020-04-03 20:44:02</t>
  </si>
  <si>
    <t>18省份最新开学时间</t>
  </si>
  <si>
    <t xml:space="preserve"> 2020-04-04 09:26:02</t>
  </si>
  <si>
    <t xml:space="preserve"> 2020-04-03 22:56:02</t>
  </si>
  <si>
    <t>汉口北市场开市商户激动落泪</t>
  </si>
  <si>
    <t xml:space="preserve"> 2020-04-04 11:04:02</t>
  </si>
  <si>
    <t xml:space="preserve"> 2020-04-03 20:06:01</t>
  </si>
  <si>
    <t>陪妹妹练琴的哥哥</t>
  </si>
  <si>
    <t xml:space="preserve"> 2020-04-04 08:18:02</t>
  </si>
  <si>
    <t xml:space="preserve"> 2020-04-03 19:22:02</t>
  </si>
  <si>
    <t>华春莹反问战斗时会想到论功行赏吗</t>
  </si>
  <si>
    <t xml:space="preserve"> 2020-04-04 07:28:02</t>
  </si>
  <si>
    <t xml:space="preserve"> 2020-04-03 15:24:02</t>
  </si>
  <si>
    <t>瑞幸爆单</t>
  </si>
  <si>
    <t xml:space="preserve"> 2020-04-04 08:02:01</t>
  </si>
  <si>
    <t xml:space="preserve"> 2020-04-03 18:20:02</t>
  </si>
  <si>
    <t>北京一女子发热被困海上游轮</t>
  </si>
  <si>
    <t xml:space="preserve"> 2020-04-03 20:58:02</t>
  </si>
  <si>
    <t>游戏停服</t>
  </si>
  <si>
    <t xml:space="preserve"> 2020-04-04 12:04:02</t>
  </si>
  <si>
    <t xml:space="preserve"> 2020-04-03 23:04:02</t>
  </si>
  <si>
    <t>Steam</t>
  </si>
  <si>
    <t xml:space="preserve"> 2020-04-04 00:36:02</t>
  </si>
  <si>
    <t xml:space="preserve"> 2020-04-03 17:02:01</t>
  </si>
  <si>
    <t>2020光见证历史了</t>
  </si>
  <si>
    <t xml:space="preserve"> 2020-04-04 09:44:02</t>
  </si>
  <si>
    <t xml:space="preserve"> 2020-04-03 22:48:02</t>
  </si>
  <si>
    <t>清华美院艺考取消艺术史论专业初选</t>
  </si>
  <si>
    <t xml:space="preserve"> 2020-04-04 10:26:02</t>
  </si>
  <si>
    <t>和平精英</t>
  </si>
  <si>
    <t xml:space="preserve"> 2020-04-04 09:50:02</t>
  </si>
  <si>
    <t xml:space="preserve"> 2020-04-03 20:34:02</t>
  </si>
  <si>
    <t>新冠肺炎如何攻陷全世界</t>
  </si>
  <si>
    <t xml:space="preserve"> 2020-04-04 07:54:02</t>
  </si>
  <si>
    <t xml:space="preserve"> 2020-04-03 20:08:02</t>
  </si>
  <si>
    <t>芋圆鲜奶麻薯</t>
  </si>
  <si>
    <t xml:space="preserve"> 2020-04-04 08:30:01</t>
  </si>
  <si>
    <t xml:space="preserve"> 2019-10-26 22:14:01</t>
  </si>
  <si>
    <t>英雄联盟</t>
  </si>
  <si>
    <t>好闺蜜分为两种</t>
  </si>
  <si>
    <t xml:space="preserve"> 2020-04-04 10:42:01</t>
  </si>
  <si>
    <t xml:space="preserve"> 2020-04-03 22:04:02</t>
  </si>
  <si>
    <t>脏脏瀑布提拉米苏</t>
  </si>
  <si>
    <t>孙文斌被执行死刑</t>
  </si>
  <si>
    <t xml:space="preserve"> 2020-04-04 03:26:01</t>
  </si>
  <si>
    <t xml:space="preserve"> 2020-04-03 21:34:01</t>
  </si>
  <si>
    <t>旅行团奇袭声入人心男团</t>
  </si>
  <si>
    <t xml:space="preserve"> 2020-04-04 10:06:02</t>
  </si>
  <si>
    <t xml:space="preserve"> 2020-04-03 22:00:02</t>
  </si>
  <si>
    <t>给4.2万驰援医护拍肖像</t>
  </si>
  <si>
    <t xml:space="preserve"> 2020-04-04 07:40:01</t>
  </si>
  <si>
    <t xml:space="preserve"> 2020-04-03 21:00:02</t>
  </si>
  <si>
    <t>英国首相约翰逊将延长隔离期</t>
  </si>
  <si>
    <t xml:space="preserve"> 2020-04-04 00:30:02</t>
  </si>
  <si>
    <t xml:space="preserve"> 2020-04-03 16:36:02</t>
  </si>
  <si>
    <t>明星年轻时可以有多帅</t>
  </si>
  <si>
    <t xml:space="preserve"> 2020-04-04 07:48:02</t>
  </si>
  <si>
    <t xml:space="preserve"> 2020-04-03 22:10:02</t>
  </si>
  <si>
    <t>意大利托斯卡纳将试验中草药</t>
  </si>
  <si>
    <t xml:space="preserve"> 2020-04-03 16:18:01</t>
  </si>
  <si>
    <t>刘鑫被江歌母亲起诉拒收起诉书</t>
  </si>
  <si>
    <t xml:space="preserve"> 2020-04-04 07:30:02</t>
  </si>
  <si>
    <t>美国知名页岩油企申请破产保护</t>
  </si>
  <si>
    <t xml:space="preserve"> 2020-04-04 07:14:02</t>
  </si>
  <si>
    <t xml:space="preserve"> 2020-04-03 18:48:01</t>
  </si>
  <si>
    <t>网易游戏</t>
  </si>
  <si>
    <t xml:space="preserve"> 2020-04-04 07:38:02</t>
  </si>
  <si>
    <t xml:space="preserve"> 2020-04-03 21:18:01</t>
  </si>
  <si>
    <t>日本确诊病例数破三千</t>
  </si>
  <si>
    <t>当东北人碰上天津人</t>
  </si>
  <si>
    <t xml:space="preserve"> 2020-04-03 21:12:02</t>
  </si>
  <si>
    <t>郑俊英被处以100万韩元罚款</t>
  </si>
  <si>
    <t xml:space="preserve"> 2020-04-03 19:30:02</t>
  </si>
  <si>
    <t>如果女友过于贴心</t>
  </si>
  <si>
    <t xml:space="preserve"> 2020-04-03 19:42:01</t>
  </si>
  <si>
    <t>央行称绝不会让市场出现钱荒</t>
  </si>
  <si>
    <t xml:space="preserve"> 2020-04-04 02:04:02</t>
  </si>
  <si>
    <t xml:space="preserve"> 2020-04-03 20:32:02</t>
  </si>
  <si>
    <t>德国总理默克尔结束自我隔离</t>
  </si>
  <si>
    <t xml:space="preserve"> 2020-04-04 07:06:02</t>
  </si>
  <si>
    <t xml:space="preserve"> 2020-04-03 18:32:02</t>
  </si>
  <si>
    <t>王者荣耀超话头像</t>
  </si>
  <si>
    <t xml:space="preserve"> 2020-04-04 00:28:02</t>
  </si>
  <si>
    <t>腾讯电竞停止明天举行的所有比赛</t>
  </si>
  <si>
    <t xml:space="preserve"> 2020-04-04 07:16:02</t>
  </si>
  <si>
    <t xml:space="preserve"> 2020-04-03 18:16:01</t>
  </si>
  <si>
    <t>新加坡</t>
  </si>
  <si>
    <t xml:space="preserve"> 2020-04-04 08:46:02</t>
  </si>
  <si>
    <t xml:space="preserve"> 2020-04-03 17:44:02</t>
  </si>
  <si>
    <t>武汉返京男子感染母亲致28人隔离获刑</t>
  </si>
  <si>
    <t>微波炉芒果千层</t>
  </si>
  <si>
    <t xml:space="preserve"> 2020-04-03 18:00:02</t>
  </si>
  <si>
    <t>河南郭某鹏已被解除合同</t>
  </si>
  <si>
    <t xml:space="preserve"> 2020-04-04 08:26:02</t>
  </si>
  <si>
    <t xml:space="preserve"> 2020-04-03 19:56:02</t>
  </si>
  <si>
    <t>泰国非洲马瘟疫情</t>
  </si>
  <si>
    <t xml:space="preserve"> 2020-04-04 18:44:01</t>
  </si>
  <si>
    <t xml:space="preserve"> 2020-04-04 11:14:02</t>
  </si>
  <si>
    <t>北京街头行人止步车辆鸣笛</t>
  </si>
  <si>
    <t xml:space="preserve"> 2020-04-05 07:10:02</t>
  </si>
  <si>
    <t xml:space="preserve"> 2020-04-04 09:46:01</t>
  </si>
  <si>
    <t>2020已痛失13名院士</t>
  </si>
  <si>
    <t xml:space="preserve"> 2020-04-05 05:38:02</t>
  </si>
  <si>
    <t xml:space="preserve"> 2020-04-04 07:50:02</t>
  </si>
  <si>
    <t>全中国默哀三分钟</t>
  </si>
  <si>
    <t xml:space="preserve"> 2020-04-05 06:52:02</t>
  </si>
  <si>
    <t xml:space="preserve"> 2020-04-04 08:48:02</t>
  </si>
  <si>
    <t>武汉新增1例本土病例</t>
  </si>
  <si>
    <t xml:space="preserve"> 2020-04-05 07:06:01</t>
  </si>
  <si>
    <t xml:space="preserve"> 2020-04-04 10:10:02</t>
  </si>
  <si>
    <t>鸣笛</t>
  </si>
  <si>
    <t xml:space="preserve"> 2020-04-04 16:30:02</t>
  </si>
  <si>
    <t xml:space="preserve"> 2020-04-04 08:20:02</t>
  </si>
  <si>
    <t>塞尔维亚总统发布会上3次感谢中国</t>
  </si>
  <si>
    <t xml:space="preserve"> 2020-04-04 14:10:01</t>
  </si>
  <si>
    <t xml:space="preserve"> 2020-04-04 09:32:02</t>
  </si>
  <si>
    <t>上海外滩52栋建筑集体下半旗</t>
  </si>
  <si>
    <t xml:space="preserve"> 2020-04-04 14:20:02</t>
  </si>
  <si>
    <t xml:space="preserve"> 2020-04-04 07:08:02</t>
  </si>
  <si>
    <t>美国确诊病例超过27万</t>
  </si>
  <si>
    <t xml:space="preserve"> 2020-04-04 13:56:02</t>
  </si>
  <si>
    <t>世卫警告勿急于解除封闭措施</t>
  </si>
  <si>
    <t xml:space="preserve"> 2020-04-04 14:04:02</t>
  </si>
  <si>
    <t xml:space="preserve"> 2020-04-04 12:00:02</t>
  </si>
  <si>
    <t>欧盟对医疗物资暂免征收关税</t>
  </si>
  <si>
    <t xml:space="preserve"> 2020-04-05 07:52:02</t>
  </si>
  <si>
    <t xml:space="preserve"> 2020-04-04 11:52:01</t>
  </si>
  <si>
    <t>刘强东卸任京东法定代表人</t>
  </si>
  <si>
    <t xml:space="preserve"> 2020-04-05 05:06:02</t>
  </si>
  <si>
    <t>愿山河无恙</t>
  </si>
  <si>
    <t xml:space="preserve"> 2020-04-04 14:08:02</t>
  </si>
  <si>
    <t xml:space="preserve"> 2020-04-04 11:30:01</t>
  </si>
  <si>
    <t>武汉天河机场已全面消杀</t>
  </si>
  <si>
    <t xml:space="preserve"> 2020-04-05 07:14:02</t>
  </si>
  <si>
    <t xml:space="preserve"> 2020-04-04 07:22:02</t>
  </si>
  <si>
    <t>清明祭</t>
  </si>
  <si>
    <t xml:space="preserve"> 2020-04-04 13:26:02</t>
  </si>
  <si>
    <t xml:space="preserve"> 2020-04-04 10:36:01</t>
  </si>
  <si>
    <t>武汉市民拍摄降半旗</t>
  </si>
  <si>
    <t xml:space="preserve"> 2020-04-04 11:58:02</t>
  </si>
  <si>
    <t>苹果向黑客发7.5万美元奖励</t>
  </si>
  <si>
    <t xml:space="preserve"> 2020-04-04 17:46:01</t>
  </si>
  <si>
    <t xml:space="preserve"> 2020-04-04 11:54:02</t>
  </si>
  <si>
    <t>张文宏称患者复阳不会传染人</t>
  </si>
  <si>
    <t xml:space="preserve"> 2020-04-04 17:36:02</t>
  </si>
  <si>
    <t xml:space="preserve"> 2020-04-04 11:02:01</t>
  </si>
  <si>
    <t>上海地铁默哀</t>
  </si>
  <si>
    <t xml:space="preserve"> 2020-04-04 21:48:02</t>
  </si>
  <si>
    <t xml:space="preserve"> 2020-04-04 12:18:02</t>
  </si>
  <si>
    <t>央行决定于4月对中小银行定向降准</t>
  </si>
  <si>
    <t xml:space="preserve"> 2020-04-04 19:10:02</t>
  </si>
  <si>
    <t xml:space="preserve"> 2020-04-04 09:06:02</t>
  </si>
  <si>
    <t>特朗普解释自己为何不戴口罩</t>
  </si>
  <si>
    <t xml:space="preserve"> 2020-04-04 15:00:02</t>
  </si>
  <si>
    <t xml:space="preserve"> 2020-04-04 11:08:02</t>
  </si>
  <si>
    <t>特朗普禁止出口紧缺医用物资</t>
  </si>
  <si>
    <t xml:space="preserve"> 2020-04-04 19:12:02</t>
  </si>
  <si>
    <t xml:space="preserve"> 2020-04-04 09:08:01</t>
  </si>
  <si>
    <t>鲸落</t>
  </si>
  <si>
    <t xml:space="preserve"> 2020-04-04 19:14:02</t>
  </si>
  <si>
    <t xml:space="preserve"> 2020-04-04 10:44:02</t>
  </si>
  <si>
    <t>美国两周内1000万人丢掉了工作</t>
  </si>
  <si>
    <t xml:space="preserve"> 2020-04-04 19:08:01</t>
  </si>
  <si>
    <t>柳叶刀主编倡议全球和中国一起志哀</t>
  </si>
  <si>
    <t xml:space="preserve"> 2020-04-04 14:24:01</t>
  </si>
  <si>
    <t xml:space="preserve"> 2020-04-04 10:38:01</t>
  </si>
  <si>
    <t>新中国成立以来有636名消防员牺牲</t>
  </si>
  <si>
    <t xml:space="preserve"> 2020-04-04 19:50:01</t>
  </si>
  <si>
    <t>庆幸帮病人编辑好的遗言没有发出去</t>
  </si>
  <si>
    <t xml:space="preserve"> 2020-04-04 20:38:02</t>
  </si>
  <si>
    <t xml:space="preserve"> 2020-04-04 07:56:02</t>
  </si>
  <si>
    <t>热干面一次买8碗</t>
  </si>
  <si>
    <t xml:space="preserve"> 2020-04-05 06:08:02</t>
  </si>
  <si>
    <t>防空警报</t>
  </si>
  <si>
    <t>接触特朗普和彭斯的人都要检测</t>
  </si>
  <si>
    <t xml:space="preserve"> 2020-04-04 17:18:01</t>
  </si>
  <si>
    <t xml:space="preserve"> 2020-04-04 11:20:01</t>
  </si>
  <si>
    <t>航拍武汉长江大桥哀悼画面</t>
  </si>
  <si>
    <t>默哀</t>
  </si>
  <si>
    <t xml:space="preserve"> 2020-04-04 16:34:02</t>
  </si>
  <si>
    <t>澳洲老人收到中国邻居分享的口罩</t>
  </si>
  <si>
    <t>中国驻外使领馆下半旗志哀</t>
  </si>
  <si>
    <t xml:space="preserve"> 2020-04-04 13:54:01</t>
  </si>
  <si>
    <t>美国大选将于11月3日举行</t>
  </si>
  <si>
    <t xml:space="preserve"> 2020-04-04 16:44:01</t>
  </si>
  <si>
    <t>头像</t>
  </si>
  <si>
    <t xml:space="preserve"> 2020-04-04 15:08:02</t>
  </si>
  <si>
    <t xml:space="preserve"> 2020-04-04 07:18:01</t>
  </si>
  <si>
    <t>天安门广场下半旗</t>
  </si>
  <si>
    <t xml:space="preserve"> 2020-04-04 13:52:02</t>
  </si>
  <si>
    <t xml:space="preserve"> 2020-04-04 12:06:02</t>
  </si>
  <si>
    <t>援鄂医疗队面朝武汉方向默哀</t>
  </si>
  <si>
    <t xml:space="preserve"> 2020-04-04 13:40:02</t>
  </si>
  <si>
    <t>武汉长江大桥车辆停车鸣笛</t>
  </si>
  <si>
    <t xml:space="preserve"> 2020-04-04 12:46:02</t>
  </si>
  <si>
    <t xml:space="preserve"> 2020-04-04 12:10:02</t>
  </si>
  <si>
    <t>司法部追授近50名因公牺牲英模</t>
  </si>
  <si>
    <t xml:space="preserve"> 2020-04-04 12:22:02</t>
  </si>
  <si>
    <t>西昌市民送别森林火灾牺牲勇士</t>
  </si>
  <si>
    <t>81192</t>
  </si>
  <si>
    <t xml:space="preserve"> 2020-04-04 12:42:02</t>
  </si>
  <si>
    <t>方舱口述史</t>
  </si>
  <si>
    <t xml:space="preserve"> 2020-04-04 12:44:02</t>
  </si>
  <si>
    <t xml:space="preserve"> 2020-04-04 12:14:02</t>
  </si>
  <si>
    <t>没有理由忘记苦难</t>
  </si>
  <si>
    <t xml:space="preserve"> 2020-04-04 12:48:02</t>
  </si>
  <si>
    <t>为思念的人写一句话</t>
  </si>
  <si>
    <t xml:space="preserve"> 2020-04-04 15:34:02</t>
  </si>
  <si>
    <t xml:space="preserve"> 2020-04-04 10:14:02</t>
  </si>
  <si>
    <t>人民日报</t>
  </si>
  <si>
    <t xml:space="preserve"> 2020-04-04 14:12:01</t>
  </si>
  <si>
    <t>央视新闻</t>
  </si>
  <si>
    <t xml:space="preserve"> 2020-04-04 16:36:01</t>
  </si>
  <si>
    <t xml:space="preserve"> 2020-04-04 08:32:02</t>
  </si>
  <si>
    <t>春天很好只是很想你</t>
  </si>
  <si>
    <t xml:space="preserve"> 2020-04-04 13:18:02</t>
  </si>
  <si>
    <t xml:space="preserve"> 2020-04-04 08:04:02</t>
  </si>
  <si>
    <t>纽约向全体市民发放免费三餐</t>
  </si>
  <si>
    <t xml:space="preserve"> 2020-04-05 10:34:02</t>
  </si>
  <si>
    <t xml:space="preserve"> 2020-04-04 21:22:02</t>
  </si>
  <si>
    <t>这是今日中国的声音</t>
  </si>
  <si>
    <t xml:space="preserve"> 2020-04-05 10:46:01</t>
  </si>
  <si>
    <t xml:space="preserve"> 2020-04-04 21:56:01</t>
  </si>
  <si>
    <t>赵英明回家丈夫儿子捧花迎接</t>
  </si>
  <si>
    <t xml:space="preserve"> 2020-04-05 08:46:02</t>
  </si>
  <si>
    <t xml:space="preserve"> 2020-04-04 21:46:02</t>
  </si>
  <si>
    <t>全球新冠肺炎超过110万例</t>
  </si>
  <si>
    <t xml:space="preserve"> 2020-04-05 11:06:02</t>
  </si>
  <si>
    <t xml:space="preserve"> 2020-04-04 22:24:02</t>
  </si>
  <si>
    <t>川藏线突发雪崩武警紧急救援</t>
  </si>
  <si>
    <t xml:space="preserve"> 2020-04-05 10:48:02</t>
  </si>
  <si>
    <t xml:space="preserve"> 2020-04-04 23:40:02</t>
  </si>
  <si>
    <t>王智的后盾</t>
  </si>
  <si>
    <t xml:space="preserve"> 2020-04-05 09:58:02</t>
  </si>
  <si>
    <t>法国人远程视频葬礼</t>
  </si>
  <si>
    <t xml:space="preserve"> 2020-04-05 10:26:02</t>
  </si>
  <si>
    <t>平如美棠作者饶平如去世</t>
  </si>
  <si>
    <t xml:space="preserve"> 2020-04-05 10:02:01</t>
  </si>
  <si>
    <t xml:space="preserve"> 2020-04-04 20:54:02</t>
  </si>
  <si>
    <t>30多地推出消费券</t>
  </si>
  <si>
    <t xml:space="preserve"> 2020-04-05 11:40:02</t>
  </si>
  <si>
    <t xml:space="preserve"> 2020-04-04 21:42:01</t>
  </si>
  <si>
    <t>罗永浩回应收到限制消费令</t>
  </si>
  <si>
    <t xml:space="preserve"> 2020-04-05 10:24:02</t>
  </si>
  <si>
    <t>河南民众列出哀悼字样队形</t>
  </si>
  <si>
    <t xml:space="preserve"> 2020-04-05 09:14:01</t>
  </si>
  <si>
    <t xml:space="preserve"> 2020-04-04 18:40:01</t>
  </si>
  <si>
    <t>外卖小哥下车默哀流泪</t>
  </si>
  <si>
    <t xml:space="preserve"> 2020-04-04 20:40:01</t>
  </si>
  <si>
    <t>法国600名军人感染新冠病毒</t>
  </si>
  <si>
    <t xml:space="preserve"> 2020-04-05 08:20:02</t>
  </si>
  <si>
    <t xml:space="preserve"> 2020-04-04 17:30:01</t>
  </si>
  <si>
    <t>久久不愿离开的武汉市民</t>
  </si>
  <si>
    <t xml:space="preserve"> 2020-04-05 13:36:02</t>
  </si>
  <si>
    <t xml:space="preserve"> 2020-04-04 23:02:02</t>
  </si>
  <si>
    <t>武汉外卖骑手老计没活了</t>
  </si>
  <si>
    <t xml:space="preserve"> 2020-04-05 10:14:02</t>
  </si>
  <si>
    <t>特朗普解雇美国国家情报督察长</t>
  </si>
  <si>
    <t xml:space="preserve"> 2020-04-05 10:30:01</t>
  </si>
  <si>
    <t xml:space="preserve"> 2020-04-04 22:56:02</t>
  </si>
  <si>
    <t>西昌森林大火的三天两夜</t>
  </si>
  <si>
    <t xml:space="preserve"> 2020-04-05 10:58:02</t>
  </si>
  <si>
    <t xml:space="preserve"> 2020-04-04 19:22:02</t>
  </si>
  <si>
    <t>一觉醒来发现屋门被1米深积雪挡住</t>
  </si>
  <si>
    <t xml:space="preserve"> 2020-04-05 10:04:02</t>
  </si>
  <si>
    <t xml:space="preserve"> 2020-04-04 19:52:02</t>
  </si>
  <si>
    <t>山火中牺牲的18名扑火队员的最后一刻</t>
  </si>
  <si>
    <t xml:space="preserve"> 2020-04-05 10:12:02</t>
  </si>
  <si>
    <t xml:space="preserve"> 2020-04-04 18:24:02</t>
  </si>
  <si>
    <t>全球天空一个月航班变化图</t>
  </si>
  <si>
    <t xml:space="preserve"> 2020-04-05 10:00:02</t>
  </si>
  <si>
    <t>小麦稻谷库存可够全国吃一年</t>
  </si>
  <si>
    <t xml:space="preserve"> 2020-04-04 19:44:02</t>
  </si>
  <si>
    <t>无名烈士墓终于刻上姓名</t>
  </si>
  <si>
    <t xml:space="preserve"> 2020-04-04 18:04:02</t>
  </si>
  <si>
    <t>返京留学生两次出现症状未报告</t>
  </si>
  <si>
    <t xml:space="preserve"> 2020-04-05 09:34:02</t>
  </si>
  <si>
    <t xml:space="preserve"> 2020-04-04 23:00:02</t>
  </si>
  <si>
    <t>维和战士与国内同步悼念</t>
  </si>
  <si>
    <t xml:space="preserve"> 2020-04-05 08:18:02</t>
  </si>
  <si>
    <t xml:space="preserve"> 2020-04-04 15:42:01</t>
  </si>
  <si>
    <t>护士援鄂47天归来儿子已认不出她</t>
  </si>
  <si>
    <t xml:space="preserve"> 2020-04-05 08:42:02</t>
  </si>
  <si>
    <t xml:space="preserve"> 2020-04-04 22:08:01</t>
  </si>
  <si>
    <t>91岁抗美援朝老兵为战友立碑</t>
  </si>
  <si>
    <t xml:space="preserve"> 2020-04-05 08:08:02</t>
  </si>
  <si>
    <t xml:space="preserve"> 2020-04-04 16:48:02</t>
  </si>
  <si>
    <t>中国抗疫图卷</t>
  </si>
  <si>
    <t xml:space="preserve"> 2020-04-05 08:16:02</t>
  </si>
  <si>
    <t xml:space="preserve"> 2020-04-04 16:58:02</t>
  </si>
  <si>
    <t>伊朗大使馆引用左传发文</t>
  </si>
  <si>
    <t xml:space="preserve"> 2020-04-05 09:10:01</t>
  </si>
  <si>
    <t>南京路步行街市民停下脚步哀悼</t>
  </si>
  <si>
    <t xml:space="preserve"> 2020-04-05 08:14:02</t>
  </si>
  <si>
    <t xml:space="preserve"> 2020-04-04 20:36:01</t>
  </si>
  <si>
    <t>悼念援华医生白求恩与柯棣华</t>
  </si>
  <si>
    <t xml:space="preserve"> 2020-04-05 07:30:02</t>
  </si>
  <si>
    <t xml:space="preserve"> 2020-04-04 15:52:02</t>
  </si>
  <si>
    <t>这是今天10点的武汉</t>
  </si>
  <si>
    <t xml:space="preserve"> 2020-04-05 03:04:02</t>
  </si>
  <si>
    <t xml:space="preserve"> 2020-04-04 18:08:02</t>
  </si>
  <si>
    <t>西安1.4万辆出租车同时鸣笛</t>
  </si>
  <si>
    <t xml:space="preserve"> 2020-04-05 08:26:01</t>
  </si>
  <si>
    <t>宁南万人迎英雄遗体回乡</t>
  </si>
  <si>
    <t xml:space="preserve"> 2020-04-05 08:04:01</t>
  </si>
  <si>
    <t>范佩西和儿子带球神同步</t>
  </si>
  <si>
    <t xml:space="preserve"> 2020-04-05 07:26:02</t>
  </si>
  <si>
    <t xml:space="preserve"> 2020-04-04 14:14:02</t>
  </si>
  <si>
    <t>钟南山在办公室静立默哀</t>
  </si>
  <si>
    <t xml:space="preserve"> 2020-04-05 07:38:02</t>
  </si>
  <si>
    <t>崔娃连线比尔盖茨</t>
  </si>
  <si>
    <t xml:space="preserve"> 2020-04-05 07:32:02</t>
  </si>
  <si>
    <t xml:space="preserve"> 2020-04-04 14:56:02</t>
  </si>
  <si>
    <t>特朗普集团已在加美两国裁员1000多人</t>
  </si>
  <si>
    <t xml:space="preserve"> 2020-04-04 17:38:02</t>
  </si>
  <si>
    <t>小学生隔着墙向国旗敬礼</t>
  </si>
  <si>
    <t xml:space="preserve"> 2020-04-05 02:56:01</t>
  </si>
  <si>
    <t xml:space="preserve"> 2020-04-04 18:52:01</t>
  </si>
  <si>
    <t>有五星红旗的地方就有对同胞的悼念</t>
  </si>
  <si>
    <t xml:space="preserve"> 2020-04-04 18:54:02</t>
  </si>
  <si>
    <t>部队官兵鸣枪悼念逝者</t>
  </si>
  <si>
    <t xml:space="preserve"> 2020-04-05 01:42:01</t>
  </si>
  <si>
    <t>湖北50万吨积压蔬菜清零</t>
  </si>
  <si>
    <t xml:space="preserve"> 2020-04-05 04:16:02</t>
  </si>
  <si>
    <t xml:space="preserve"> 2020-04-04 19:02:02</t>
  </si>
  <si>
    <t>俄罗斯驻华大使中文悼念逝者</t>
  </si>
  <si>
    <t xml:space="preserve"> 2020-04-05 08:38:01</t>
  </si>
  <si>
    <t>援鄂院感专家10天改造病区</t>
  </si>
  <si>
    <t xml:space="preserve"> 2020-04-05 01:14:01</t>
  </si>
  <si>
    <t xml:space="preserve"> 2020-04-04 13:16:01</t>
  </si>
  <si>
    <t>甘肃天水四月飞雪</t>
  </si>
  <si>
    <t xml:space="preserve"> 2020-04-05 19:34:02</t>
  </si>
  <si>
    <t xml:space="preserve"> 2020-04-05 11:52:01</t>
  </si>
  <si>
    <t>喻言3A</t>
  </si>
  <si>
    <t xml:space="preserve"> 2020-04-05 18:54:01</t>
  </si>
  <si>
    <t xml:space="preserve"> 2020-04-05 11:08:02</t>
  </si>
  <si>
    <t>还有3天武汉解封</t>
  </si>
  <si>
    <t xml:space="preserve"> 2020-04-05 15:44:02</t>
  </si>
  <si>
    <t xml:space="preserve"> 2020-04-05 07:12:02</t>
  </si>
  <si>
    <t>美国新冠肺炎确诊人数超过30万</t>
  </si>
  <si>
    <t xml:space="preserve"> 2020-04-05 19:54:02</t>
  </si>
  <si>
    <t xml:space="preserve"> 2020-04-05 11:38:02</t>
  </si>
  <si>
    <t>虞书欣给爸妈打电话</t>
  </si>
  <si>
    <t xml:space="preserve"> 2020-04-05 17:24:02</t>
  </si>
  <si>
    <t xml:space="preserve"> 2020-04-05 11:32:02</t>
  </si>
  <si>
    <t>委内瑞拉</t>
  </si>
  <si>
    <t xml:space="preserve"> 2020-04-05 15:48:02</t>
  </si>
  <si>
    <t>为方舱厕所消杀的曹大姐</t>
  </si>
  <si>
    <t xml:space="preserve"> 2020-04-05 15:58:02</t>
  </si>
  <si>
    <t xml:space="preserve"> 2020-04-05 11:48:02</t>
  </si>
  <si>
    <t>北京中小学期末考试不得增加难度</t>
  </si>
  <si>
    <t xml:space="preserve"> 2020-04-05 15:46:02</t>
  </si>
  <si>
    <t xml:space="preserve"> 2020-04-05 09:36:02</t>
  </si>
  <si>
    <t>英国从中国运回一整飞机防护物资</t>
  </si>
  <si>
    <t xml:space="preserve"> 2020-04-05 17:32:01</t>
  </si>
  <si>
    <t xml:space="preserve"> 2020-04-05 11:00:02</t>
  </si>
  <si>
    <t>故宫直播</t>
  </si>
  <si>
    <t xml:space="preserve"> 2020-04-05 15:54:02</t>
  </si>
  <si>
    <t>大中小学将设劳动必修课</t>
  </si>
  <si>
    <t xml:space="preserve"> 2020-04-05 16:10:01</t>
  </si>
  <si>
    <t xml:space="preserve"> 2020-04-05 08:34:02</t>
  </si>
  <si>
    <t>纽约州州长感谢中国捐赠1000台呼吸机</t>
  </si>
  <si>
    <t xml:space="preserve"> 2020-04-05 14:18:02</t>
  </si>
  <si>
    <t xml:space="preserve"> 2020-04-05 12:00:02</t>
  </si>
  <si>
    <t>西班牙政府申请延长国家紧急状态</t>
  </si>
  <si>
    <t xml:space="preserve"> 2020-04-05 08:10:02</t>
  </si>
  <si>
    <t>广东新增5例本土病例</t>
  </si>
  <si>
    <t>英国5G基站遭纵火</t>
  </si>
  <si>
    <t xml:space="preserve"> 2020-04-05 14:16:01</t>
  </si>
  <si>
    <t xml:space="preserve"> 2020-04-05 10:50:02</t>
  </si>
  <si>
    <t>广东揭阳通报2例关联病例详情</t>
  </si>
  <si>
    <t xml:space="preserve"> 2020-04-05 16:22:02</t>
  </si>
  <si>
    <t xml:space="preserve"> 2020-04-05 11:14:01</t>
  </si>
  <si>
    <t>美国奶农倾倒大量牛奶</t>
  </si>
  <si>
    <t xml:space="preserve"> 2020-04-05 18:06:02</t>
  </si>
  <si>
    <t xml:space="preserve"> 2020-04-05 10:10:02</t>
  </si>
  <si>
    <t>黄山景区现场拥挤不堪</t>
  </si>
  <si>
    <t>揭阳</t>
  </si>
  <si>
    <t xml:space="preserve"> 2020-04-05 15:14:02</t>
  </si>
  <si>
    <t>印度最大贫民窟部分封闭</t>
  </si>
  <si>
    <t xml:space="preserve"> 2020-04-05 07:16:02</t>
  </si>
  <si>
    <t>3M公司回应特朗普限制口罩出口</t>
  </si>
  <si>
    <t xml:space="preserve"> 2020-04-05 15:18:02</t>
  </si>
  <si>
    <t xml:space="preserve"> 2020-04-05 07:28:01</t>
  </si>
  <si>
    <t>特朗普称美国死亡人数将会激增</t>
  </si>
  <si>
    <t xml:space="preserve"> 2020-04-05 13:46:02</t>
  </si>
  <si>
    <t>意大利总理警卫因新冠肺炎去世</t>
  </si>
  <si>
    <t xml:space="preserve"> 2020-04-05 14:02:01</t>
  </si>
  <si>
    <t>纽约等地疫情或于六七天到达拐点</t>
  </si>
  <si>
    <t>法国已从中国订购近20亿个口罩</t>
  </si>
  <si>
    <t xml:space="preserve"> 2020-04-05 15:16:01</t>
  </si>
  <si>
    <t>英首相未婚妻出现新冠病毒症状</t>
  </si>
  <si>
    <t xml:space="preserve"> 2020-04-05 15:00:02</t>
  </si>
  <si>
    <t xml:space="preserve"> 2020-04-05 08:48:02</t>
  </si>
  <si>
    <t>三百台全新呼吸机从中国运抵英国</t>
  </si>
  <si>
    <t xml:space="preserve"> 2020-04-05 08:00:02</t>
  </si>
  <si>
    <t>王者荣耀开服</t>
  </si>
  <si>
    <t xml:space="preserve"> 2020-04-05 17:10:01</t>
  </si>
  <si>
    <t xml:space="preserve"> 2020-04-05 12:08:01</t>
  </si>
  <si>
    <t>黄山景区游客达2万停止售票</t>
  </si>
  <si>
    <t xml:space="preserve"> 2020-04-05 13:44:02</t>
  </si>
  <si>
    <t>黑龙江新增13例俄罗斯输入病例</t>
  </si>
  <si>
    <t xml:space="preserve"> 2020-04-05 13:48:02</t>
  </si>
  <si>
    <t xml:space="preserve"> 2020-04-05 07:40:01</t>
  </si>
  <si>
    <t>科比入选篮球名人堂</t>
  </si>
  <si>
    <t xml:space="preserve"> 2020-04-05 13:34:02</t>
  </si>
  <si>
    <t xml:space="preserve"> 2020-04-05 10:32:02</t>
  </si>
  <si>
    <t>武汉通报城管硬闯社区不配合防疫工作</t>
  </si>
  <si>
    <t xml:space="preserve"> 2020-04-05 14:44:01</t>
  </si>
  <si>
    <t xml:space="preserve"> 2020-04-05 12:10:02</t>
  </si>
  <si>
    <t>美国纽约中央公园建起野战医院</t>
  </si>
  <si>
    <t xml:space="preserve"> 2020-04-05 13:12:02</t>
  </si>
  <si>
    <t xml:space="preserve"> 2020-04-05 09:12:02</t>
  </si>
  <si>
    <t>新冠疫苗志愿者说自己不是英雄</t>
  </si>
  <si>
    <t xml:space="preserve"> 2020-04-05 08:22:02</t>
  </si>
  <si>
    <t>法国累计确诊超中国</t>
  </si>
  <si>
    <t xml:space="preserve"> 2020-04-05 13:28:01</t>
  </si>
  <si>
    <t>科比邓肯加内特入选名人堂</t>
  </si>
  <si>
    <t xml:space="preserve"> 2020-04-05 13:16:02</t>
  </si>
  <si>
    <t>2000名新训学兵迎昼夜大考</t>
  </si>
  <si>
    <t xml:space="preserve"> 2020-04-05 13:10:02</t>
  </si>
  <si>
    <t xml:space="preserve"> 2020-04-05 11:18:02</t>
  </si>
  <si>
    <t>土航停飞所有航班</t>
  </si>
  <si>
    <t xml:space="preserve"> 2020-04-05 12:50:01</t>
  </si>
  <si>
    <t xml:space="preserve"> 2020-04-05 10:28:01</t>
  </si>
  <si>
    <t>全球新冠肺炎确诊超120万</t>
  </si>
  <si>
    <t>揭阳2例本土新增均为儿童</t>
  </si>
  <si>
    <t xml:space="preserve"> 2020-04-05 17:12:02</t>
  </si>
  <si>
    <t xml:space="preserve"> 2020-04-05 12:20:02</t>
  </si>
  <si>
    <t>广州公布3例关联病例详情</t>
  </si>
  <si>
    <t xml:space="preserve"> 2020-04-05 12:30:02</t>
  </si>
  <si>
    <t xml:space="preserve"> 2020-04-05 10:36:01</t>
  </si>
  <si>
    <t>最后一颗北斗三号组网卫星运抵发射场</t>
  </si>
  <si>
    <t xml:space="preserve"> 2020-04-05 18:04:01</t>
  </si>
  <si>
    <t>瑞幸董事长回应22亿元财务造假</t>
  </si>
  <si>
    <t xml:space="preserve"> 2020-04-05 12:52:01</t>
  </si>
  <si>
    <t>率土之滨</t>
  </si>
  <si>
    <t xml:space="preserve"> 2020-04-05 12:36:02</t>
  </si>
  <si>
    <t xml:space="preserve"> 2020-04-05 11:42:02</t>
  </si>
  <si>
    <t>重点打击口罩等防疫用品认证违法行为</t>
  </si>
  <si>
    <t xml:space="preserve"> 2020-04-05 12:28:01</t>
  </si>
  <si>
    <t>已有207个国家地区出现新冠肺炎病例</t>
  </si>
  <si>
    <t xml:space="preserve"> 2020-04-05 09:04:02</t>
  </si>
  <si>
    <t>澳警方将刑事调查红宝石公主号引爆疫情</t>
  </si>
  <si>
    <t xml:space="preserve"> 2020-04-05 10:16:02</t>
  </si>
  <si>
    <t>2108名扑火人员彻夜值守西昌火场</t>
  </si>
  <si>
    <t xml:space="preserve"> 2020-04-06 12:32:02</t>
  </si>
  <si>
    <t>胡夏被说像商演</t>
  </si>
  <si>
    <t xml:space="preserve"> 2020-04-06 09:38:02</t>
  </si>
  <si>
    <t xml:space="preserve"> 2020-04-05 20:20:02</t>
  </si>
  <si>
    <t>多人因发布涉悼念不当言论被处理</t>
  </si>
  <si>
    <t xml:space="preserve"> 2020-04-06 11:44:01</t>
  </si>
  <si>
    <t xml:space="preserve"> 2020-04-05 22:14:02</t>
  </si>
  <si>
    <t>徐梦洁爸爸</t>
  </si>
  <si>
    <t xml:space="preserve"> 2020-04-06 12:44:02</t>
  </si>
  <si>
    <t xml:space="preserve"> 2020-04-05 23:00:02</t>
  </si>
  <si>
    <t>王一博胡兵拔鼻毛</t>
  </si>
  <si>
    <t xml:space="preserve"> 2020-04-06 11:10:02</t>
  </si>
  <si>
    <t>尚雯婕</t>
  </si>
  <si>
    <t xml:space="preserve"> 2020-04-06 08:02:02</t>
  </si>
  <si>
    <t xml:space="preserve"> 2020-04-05 22:52:02</t>
  </si>
  <si>
    <t>武汉市发出无偿献血倡议</t>
  </si>
  <si>
    <t xml:space="preserve"> 2020-04-06 08:56:01</t>
  </si>
  <si>
    <t xml:space="preserve"> 2020-04-05 20:52:02</t>
  </si>
  <si>
    <t>The Shy知识盲区</t>
  </si>
  <si>
    <t xml:space="preserve"> 2020-04-06 07:16:02</t>
  </si>
  <si>
    <t xml:space="preserve"> 2020-04-05 17:22:01</t>
  </si>
  <si>
    <t>美国禁止N95口罩出口加拿大</t>
  </si>
  <si>
    <t xml:space="preserve"> 2020-04-05 18:34:02</t>
  </si>
  <si>
    <t>许飞回应超女重聚</t>
  </si>
  <si>
    <t xml:space="preserve"> 2020-04-06 08:24:02</t>
  </si>
  <si>
    <t xml:space="preserve"> 2020-04-05 19:24:02</t>
  </si>
  <si>
    <t>青春有你 搞笑综艺</t>
  </si>
  <si>
    <t xml:space="preserve"> 2020-04-06 08:04:02</t>
  </si>
  <si>
    <t xml:space="preserve"> 2020-04-05 22:44:02</t>
  </si>
  <si>
    <t>英国新增感染者5903例</t>
  </si>
  <si>
    <t xml:space="preserve"> 2020-04-06 09:26:02</t>
  </si>
  <si>
    <t xml:space="preserve"> 2020-04-05 20:38:02</t>
  </si>
  <si>
    <t>为戴口罩剃掉四年的胡子</t>
  </si>
  <si>
    <t xml:space="preserve"> 2020-04-06 08:54:02</t>
  </si>
  <si>
    <t xml:space="preserve"> 2020-04-05 19:46:01</t>
  </si>
  <si>
    <t>山东1岁女婴确定为无症状感染者</t>
  </si>
  <si>
    <t xml:space="preserve"> 2020-04-06 07:40:01</t>
  </si>
  <si>
    <t xml:space="preserve"> 2020-04-05 20:28:02</t>
  </si>
  <si>
    <t>重庆云阳发生非洲猪瘟疫情</t>
  </si>
  <si>
    <t xml:space="preserve"> 2020-04-06 11:26:01</t>
  </si>
  <si>
    <t xml:space="preserve"> 2020-04-05 23:12:01</t>
  </si>
  <si>
    <t>医生骗病人老伴手机坏了</t>
  </si>
  <si>
    <t xml:space="preserve"> 2020-04-06 11:54:02</t>
  </si>
  <si>
    <t xml:space="preserve"> 2020-04-05 21:32:01</t>
  </si>
  <si>
    <t>谭松韵的个性签名</t>
  </si>
  <si>
    <t xml:space="preserve"> 2020-04-06 11:48:02</t>
  </si>
  <si>
    <t xml:space="preserve"> 2020-04-05 19:08:02</t>
  </si>
  <si>
    <t>厉娜</t>
  </si>
  <si>
    <t xml:space="preserve"> 2020-04-06 10:10:01</t>
  </si>
  <si>
    <t>厦门6月30日前国有A级景区全免费</t>
  </si>
  <si>
    <t xml:space="preserve"> 2020-04-06 10:34:02</t>
  </si>
  <si>
    <t xml:space="preserve"> 2020-04-05 22:36:01</t>
  </si>
  <si>
    <t>毛坦厂高三考生返校</t>
  </si>
  <si>
    <t xml:space="preserve"> 2020-04-06 11:16:01</t>
  </si>
  <si>
    <t xml:space="preserve"> 2020-04-05 22:58:02</t>
  </si>
  <si>
    <t>张新成少年感</t>
  </si>
  <si>
    <t xml:space="preserve"> 2020-04-06 10:26:01</t>
  </si>
  <si>
    <t xml:space="preserve"> 2020-04-05 23:20:02</t>
  </si>
  <si>
    <t>青岛街道办回应优待外籍隔离人员</t>
  </si>
  <si>
    <t xml:space="preserve"> 2020-04-05 20:26:02</t>
  </si>
  <si>
    <t>如何分辨大一和大四学生</t>
  </si>
  <si>
    <t>全年最大超级月亮4月8日上演</t>
  </si>
  <si>
    <t xml:space="preserve"> 2020-04-06 10:48:01</t>
  </si>
  <si>
    <t xml:space="preserve"> 2020-04-05 22:56:02</t>
  </si>
  <si>
    <t>张静静我们等你</t>
  </si>
  <si>
    <t>许嵩直播</t>
  </si>
  <si>
    <t xml:space="preserve"> 2020-04-06 11:08:02</t>
  </si>
  <si>
    <t xml:space="preserve"> 2020-04-05 20:04:02</t>
  </si>
  <si>
    <t>最硬核的离职信</t>
  </si>
  <si>
    <t xml:space="preserve"> 2020-04-06 08:18:02</t>
  </si>
  <si>
    <t>特朗普回应美国截和德国口罩</t>
  </si>
  <si>
    <t xml:space="preserve"> 2020-04-08 07:46:02</t>
  </si>
  <si>
    <t xml:space="preserve"> 2020-04-05 18:42:01</t>
  </si>
  <si>
    <t>安吉拉</t>
  </si>
  <si>
    <t xml:space="preserve"> 2020-04-06 08:50:02</t>
  </si>
  <si>
    <t xml:space="preserve"> 2020-04-05 21:16:01</t>
  </si>
  <si>
    <t>女孩用逝去辅警卫衣做思念熊</t>
  </si>
  <si>
    <t xml:space="preserve"> 2020-04-06 09:24:02</t>
  </si>
  <si>
    <t xml:space="preserve"> 2020-04-05 22:18:02</t>
  </si>
  <si>
    <t>雷神山ICU呼吸机集体休假</t>
  </si>
  <si>
    <t xml:space="preserve"> 2020-04-06 08:16:02</t>
  </si>
  <si>
    <t xml:space="preserve"> 2020-04-05 22:30:02</t>
  </si>
  <si>
    <t>张韶涵 白兰鸽巡游记</t>
  </si>
  <si>
    <t xml:space="preserve"> 2020-04-06 09:48:02</t>
  </si>
  <si>
    <t xml:space="preserve"> 2020-04-05 21:50:01</t>
  </si>
  <si>
    <t>特朗普称美国体育赛事将尽快恢复</t>
  </si>
  <si>
    <t xml:space="preserve"> 2020-04-06 08:36:02</t>
  </si>
  <si>
    <t>黎语冰举报边澄</t>
  </si>
  <si>
    <t xml:space="preserve"> 2020-04-05 18:10:02</t>
  </si>
  <si>
    <t>厄瓜多尔最大城市街道现多具尸体</t>
  </si>
  <si>
    <t xml:space="preserve"> 2020-04-06 07:10:02</t>
  </si>
  <si>
    <t xml:space="preserve"> 2020-04-05 16:48:02</t>
  </si>
  <si>
    <t>孔雪儿哭了</t>
  </si>
  <si>
    <t xml:space="preserve"> 2020-04-05 21:46:02</t>
  </si>
  <si>
    <t>商细蕊打程凤台</t>
  </si>
  <si>
    <t xml:space="preserve"> 2020-04-05 17:06:02</t>
  </si>
  <si>
    <t>北京可能较长时期处于疫情防控状态</t>
  </si>
  <si>
    <t xml:space="preserve"> 2020-04-05 17:14:02</t>
  </si>
  <si>
    <t>金子涵颜值</t>
  </si>
  <si>
    <t xml:space="preserve"> 2020-04-06 07:34:01</t>
  </si>
  <si>
    <t xml:space="preserve"> 2020-04-05 19:12:02</t>
  </si>
  <si>
    <t>煽情环节</t>
  </si>
  <si>
    <t xml:space="preserve"> 2020-04-06 07:26:02</t>
  </si>
  <si>
    <t>大多中国家长的错觉</t>
  </si>
  <si>
    <t xml:space="preserve"> 2020-04-06 07:08:02</t>
  </si>
  <si>
    <t>RNG iG</t>
  </si>
  <si>
    <t xml:space="preserve"> 2020-04-05 18:30:02</t>
  </si>
  <si>
    <t>N号房用户试图花钱删除访问记录</t>
  </si>
  <si>
    <t xml:space="preserve"> 2020-04-06 07:24:02</t>
  </si>
  <si>
    <t xml:space="preserve"> 2020-04-05 21:06:02</t>
  </si>
  <si>
    <t>神仙牛奶咖喱饭</t>
  </si>
  <si>
    <t xml:space="preserve"> 2020-04-05 15:50:02</t>
  </si>
  <si>
    <t>成年人常见潜台词</t>
  </si>
  <si>
    <t xml:space="preserve"> 2020-04-05 21:18:02</t>
  </si>
  <si>
    <t>战疫护士的女儿消毒后才敢抱妈妈</t>
  </si>
  <si>
    <t xml:space="preserve"> 2020-04-06 20:36:01</t>
  </si>
  <si>
    <t xml:space="preserve"> 2020-04-06 11:36:02</t>
  </si>
  <si>
    <t>萧亚轩公开意外受伤照片</t>
  </si>
  <si>
    <t xml:space="preserve"> 2020-04-06 17:20:02</t>
  </si>
  <si>
    <t xml:space="preserve"> 2020-04-06 11:30:02</t>
  </si>
  <si>
    <t>驻美使馆明确优先安排小留学生乘机</t>
  </si>
  <si>
    <t xml:space="preserve"> 2020-04-06 18:22:02</t>
  </si>
  <si>
    <t xml:space="preserve"> 2020-04-06 08:52:02</t>
  </si>
  <si>
    <t>张国伟退役</t>
  </si>
  <si>
    <t xml:space="preserve"> 2020-04-06 19:44:02</t>
  </si>
  <si>
    <t xml:space="preserve"> 2020-04-06 08:38:02</t>
  </si>
  <si>
    <t>何雯娜婆婆</t>
  </si>
  <si>
    <t xml:space="preserve"> 2020-04-06 16:32:02</t>
  </si>
  <si>
    <t xml:space="preserve"> 2020-04-06 07:44:02</t>
  </si>
  <si>
    <t>美国一只老虎新冠病毒检测呈阳性</t>
  </si>
  <si>
    <t xml:space="preserve"> 2020-04-06 16:00:02</t>
  </si>
  <si>
    <t xml:space="preserve"> 2020-04-06 11:46:02</t>
  </si>
  <si>
    <t>纽约州新增死亡病例首次下降</t>
  </si>
  <si>
    <t xml:space="preserve"> 2020-04-06 17:26:02</t>
  </si>
  <si>
    <t xml:space="preserve"> 2020-04-06 11:18:02</t>
  </si>
  <si>
    <t>美国动物园回应老虎检测呈阳性</t>
  </si>
  <si>
    <t xml:space="preserve"> 2020-04-06 16:04:01</t>
  </si>
  <si>
    <t>广东四个区疫情风险升级</t>
  </si>
  <si>
    <t xml:space="preserve"> 2020-04-06 14:18:01</t>
  </si>
  <si>
    <t xml:space="preserve"> 2020-04-06 10:42:02</t>
  </si>
  <si>
    <t>航空人16天成功研制全自动口罩机</t>
  </si>
  <si>
    <t xml:space="preserve"> 2020-04-06 13:22:02</t>
  </si>
  <si>
    <t xml:space="preserve"> 2020-04-06 11:12:01</t>
  </si>
  <si>
    <t>英国确诊病例近4.8万例</t>
  </si>
  <si>
    <t xml:space="preserve"> 2020-04-06 14:42:02</t>
  </si>
  <si>
    <t xml:space="preserve"> 2020-04-06 11:50:02</t>
  </si>
  <si>
    <t>我国披露首次火箭残骸伞控精准回收画面</t>
  </si>
  <si>
    <t xml:space="preserve"> 2020-04-06 16:30:02</t>
  </si>
  <si>
    <t xml:space="preserve"> 2020-04-06 08:26:02</t>
  </si>
  <si>
    <t>周杰伦戴林俊杰墨镜拍MV</t>
  </si>
  <si>
    <t xml:space="preserve"> 2020-04-06 15:20:02</t>
  </si>
  <si>
    <t xml:space="preserve"> 2020-04-06 07:12:02</t>
  </si>
  <si>
    <t>英国首相约翰逊高烧入院检测</t>
  </si>
  <si>
    <t xml:space="preserve"> 2020-04-06 14:58:02</t>
  </si>
  <si>
    <t xml:space="preserve"> 2020-04-06 07:22:02</t>
  </si>
  <si>
    <t>英国女王电视讲话</t>
  </si>
  <si>
    <t xml:space="preserve"> 2020-04-06 19:24:02</t>
  </si>
  <si>
    <t xml:space="preserve"> 2020-04-06 12:06:02</t>
  </si>
  <si>
    <t>基辛格称新冠肺炎大流行将改变世界秩序</t>
  </si>
  <si>
    <t xml:space="preserve"> 2020-04-06 21:46:02</t>
  </si>
  <si>
    <t>麦当劳小程序崩了</t>
  </si>
  <si>
    <t xml:space="preserve"> 2020-04-06 17:46:01</t>
  </si>
  <si>
    <t xml:space="preserve"> 2020-04-06 09:58:02</t>
  </si>
  <si>
    <t>张国伟龙吸水</t>
  </si>
  <si>
    <t xml:space="preserve"> 2020-04-06 15:08:01</t>
  </si>
  <si>
    <t xml:space="preserve"> 2020-04-06 09:28:01</t>
  </si>
  <si>
    <t>安倍最快明天宣布日本进入紧急状态</t>
  </si>
  <si>
    <t xml:space="preserve"> 2020-04-06 18:44:02</t>
  </si>
  <si>
    <t xml:space="preserve"> 2020-04-06 09:00:02</t>
  </si>
  <si>
    <t>NINEPERCENT</t>
  </si>
  <si>
    <t xml:space="preserve"> 2020-04-06 17:40:02</t>
  </si>
  <si>
    <t xml:space="preserve"> 2020-04-06 11:42:02</t>
  </si>
  <si>
    <t>同名率极高的名字</t>
  </si>
  <si>
    <t>一线城市房价下跌</t>
  </si>
  <si>
    <t xml:space="preserve"> 2020-04-06 15:24:02</t>
  </si>
  <si>
    <t xml:space="preserve"> 2020-04-06 10:50:02</t>
  </si>
  <si>
    <t>刚果金持枪袭击3名中国公民遇害</t>
  </si>
  <si>
    <t xml:space="preserve"> 2020-04-06 15:04:01</t>
  </si>
  <si>
    <t xml:space="preserve"> 2020-04-06 09:40:02</t>
  </si>
  <si>
    <t>捷克总统驳斥对中国防疫物资质量的质疑</t>
  </si>
  <si>
    <t xml:space="preserve"> 2020-04-06 15:00:02</t>
  </si>
  <si>
    <t xml:space="preserve"> 2020-04-06 10:56:02</t>
  </si>
  <si>
    <t>3个月用粉笔画32米清明上河图</t>
  </si>
  <si>
    <t xml:space="preserve"> 2020-04-06 16:22:01</t>
  </si>
  <si>
    <t>爸妈姓氏合起来的名字</t>
  </si>
  <si>
    <t xml:space="preserve"> 2020-04-06 13:24:02</t>
  </si>
  <si>
    <t xml:space="preserve"> 2020-04-06 08:48:01</t>
  </si>
  <si>
    <t>黑龙江新增20例俄罗斯输入病例</t>
  </si>
  <si>
    <t xml:space="preserve"> 2020-04-06 15:14:02</t>
  </si>
  <si>
    <t xml:space="preserve"> 2020-04-06 10:28:01</t>
  </si>
  <si>
    <t>特朗普向约翰逊送祝福</t>
  </si>
  <si>
    <t xml:space="preserve"> 2020-04-06 20:08:02</t>
  </si>
  <si>
    <t>鸡肉的神仙做法</t>
  </si>
  <si>
    <t xml:space="preserve"> 2020-04-06 11:28:02</t>
  </si>
  <si>
    <t>郴州通报团委书记涉嫌猥亵事件</t>
  </si>
  <si>
    <t xml:space="preserve"> 2020-04-06 15:22:02</t>
  </si>
  <si>
    <t xml:space="preserve"> 2020-04-06 08:20:01</t>
  </si>
  <si>
    <t>是什么让你选择宁愿单身</t>
  </si>
  <si>
    <t xml:space="preserve"> 2020-04-06 13:18:02</t>
  </si>
  <si>
    <t>世卫组织称中国进入缓疫阶段</t>
  </si>
  <si>
    <t xml:space="preserve"> 2020-04-06 13:00:02</t>
  </si>
  <si>
    <t>美国新冠肺炎确诊突破33万</t>
  </si>
  <si>
    <t xml:space="preserve"> 2020-04-06 15:06:01</t>
  </si>
  <si>
    <t>武汉又要见面了</t>
  </si>
  <si>
    <t xml:space="preserve"> 2020-04-06 15:10:02</t>
  </si>
  <si>
    <t xml:space="preserve"> 2020-04-06 12:10:02</t>
  </si>
  <si>
    <t>江西发放2000万元餐饮消费券</t>
  </si>
  <si>
    <t xml:space="preserve"> 2020-04-06 14:16:01</t>
  </si>
  <si>
    <t xml:space="preserve"> 2020-04-06 07:18:02</t>
  </si>
  <si>
    <t>柳州发现中华秋沙鸭</t>
  </si>
  <si>
    <t xml:space="preserve"> 2020-04-06 13:16:02</t>
  </si>
  <si>
    <t>世卫组织发布钟南山防疫提示</t>
  </si>
  <si>
    <t xml:space="preserve"> 2020-04-06 13:10:02</t>
  </si>
  <si>
    <t>广东新增1例本土病例</t>
  </si>
  <si>
    <t xml:space="preserve"> 2020-04-06 12:54:02</t>
  </si>
  <si>
    <t>被解职舰长确诊感染新冠肺炎</t>
  </si>
  <si>
    <t xml:space="preserve"> 2020-04-06 08:58:02</t>
  </si>
  <si>
    <t>意大利疫情趋缓</t>
  </si>
  <si>
    <t xml:space="preserve"> 2020-04-06 15:02:01</t>
  </si>
  <si>
    <t xml:space="preserve"> 2020-04-06 11:56:02</t>
  </si>
  <si>
    <t>黑龙江新增20例境外输入病例活动轨迹</t>
  </si>
  <si>
    <t xml:space="preserve"> 2020-04-06 19:56:01</t>
  </si>
  <si>
    <t xml:space="preserve"> 2020-04-06 12:20:02</t>
  </si>
  <si>
    <t>法甲队医确诊新冠后自杀</t>
  </si>
  <si>
    <t xml:space="preserve"> 2020-04-06 21:14:02</t>
  </si>
  <si>
    <t xml:space="preserve"> 2020-04-06 12:22:02</t>
  </si>
  <si>
    <t>钟南山 一些欧美国家不是真正的封城</t>
  </si>
  <si>
    <t xml:space="preserve"> 2020-04-06 12:48:02</t>
  </si>
  <si>
    <t xml:space="preserve"> 2020-04-06 10:08:01</t>
  </si>
  <si>
    <t>武汉临床用血面临压力</t>
  </si>
  <si>
    <t xml:space="preserve"> 2020-04-06 07:30:01</t>
  </si>
  <si>
    <t>英国谣传病毒与5G设备有关</t>
  </si>
  <si>
    <t xml:space="preserve"> 2020-04-06 11:52:02</t>
  </si>
  <si>
    <t>雷神山医院患者仅剩47人</t>
  </si>
  <si>
    <t xml:space="preserve"> 2020-04-07 09:06:02</t>
  </si>
  <si>
    <t xml:space="preserve"> 2020-04-06 20:40:02</t>
  </si>
  <si>
    <t>朱广权李佳琦直播</t>
  </si>
  <si>
    <t xml:space="preserve"> 2020-04-07 11:30:02</t>
  </si>
  <si>
    <t xml:space="preserve"> 2020-04-06 21:50:02</t>
  </si>
  <si>
    <t>山东援鄂医疗队员张静静去世</t>
  </si>
  <si>
    <t xml:space="preserve"> 2020-04-07 09:16:01</t>
  </si>
  <si>
    <t xml:space="preserve"> 2020-04-06 23:32:01</t>
  </si>
  <si>
    <t>西班牙新增死亡病例数降至近两周来最低</t>
  </si>
  <si>
    <t xml:space="preserve"> 2020-04-07 16:00:02</t>
  </si>
  <si>
    <t xml:space="preserve"> 2020-04-07 00:02:02</t>
  </si>
  <si>
    <t>许飞</t>
  </si>
  <si>
    <t xml:space="preserve"> 2020-04-07 08:44:02</t>
  </si>
  <si>
    <t xml:space="preserve"> 2020-04-06 17:38:02</t>
  </si>
  <si>
    <t>谭维维 谭某某</t>
  </si>
  <si>
    <t xml:space="preserve"> 2020-04-07 10:20:02</t>
  </si>
  <si>
    <t xml:space="preserve"> 2020-04-06 21:34:02</t>
  </si>
  <si>
    <t>武汉新增无症状感染者34人</t>
  </si>
  <si>
    <t xml:space="preserve"> 2020-04-06 22:30:01</t>
  </si>
  <si>
    <t>我是余欢水</t>
  </si>
  <si>
    <t xml:space="preserve"> 2020-04-07 10:48:02</t>
  </si>
  <si>
    <t xml:space="preserve"> 2020-04-06 20:42:02</t>
  </si>
  <si>
    <t>黎语冰棠雪分手</t>
  </si>
  <si>
    <t xml:space="preserve"> 2020-04-07 09:12:02</t>
  </si>
  <si>
    <t xml:space="preserve"> 2020-04-06 20:04:01</t>
  </si>
  <si>
    <t>湖北高校返校后要求学生不外出不聚餐</t>
  </si>
  <si>
    <t xml:space="preserve"> 2020-04-07 08:28:01</t>
  </si>
  <si>
    <t>演员李菲耶罗感染新冠去世</t>
  </si>
  <si>
    <t xml:space="preserve"> 2020-04-07 07:36:02</t>
  </si>
  <si>
    <t xml:space="preserve"> 2020-04-06 16:34:01</t>
  </si>
  <si>
    <t>韩真真发文力挺尚雯婕</t>
  </si>
  <si>
    <t xml:space="preserve"> 2020-04-07 12:24:01</t>
  </si>
  <si>
    <t xml:space="preserve"> 2020-04-06 23:04:02</t>
  </si>
  <si>
    <t>朱广权模仿李佳琦</t>
  </si>
  <si>
    <t xml:space="preserve"> 2020-04-07 08:38:01</t>
  </si>
  <si>
    <t xml:space="preserve"> 2020-04-06 21:06:02</t>
  </si>
  <si>
    <t>春熙路持刀男子有精神疾病史</t>
  </si>
  <si>
    <t xml:space="preserve"> 2020-04-07 07:52:02</t>
  </si>
  <si>
    <t xml:space="preserve"> 2020-04-06 17:48:02</t>
  </si>
  <si>
    <t>极限挑战路透</t>
  </si>
  <si>
    <t xml:space="preserve"> 2020-04-07 09:18:02</t>
  </si>
  <si>
    <t xml:space="preserve"> 2020-04-06 18:02:02</t>
  </si>
  <si>
    <t>口罩戴与不戴的气流差异</t>
  </si>
  <si>
    <t xml:space="preserve"> 2020-04-07 12:26:02</t>
  </si>
  <si>
    <t xml:space="preserve"> 2020-04-06 21:16:02</t>
  </si>
  <si>
    <t>广州三元里</t>
  </si>
  <si>
    <t xml:space="preserve"> 2020-04-07 11:38:02</t>
  </si>
  <si>
    <t xml:space="preserve"> 2020-04-06 22:50:02</t>
  </si>
  <si>
    <t>男版青你2主题曲</t>
  </si>
  <si>
    <t xml:space="preserve"> 2020-04-07 09:24:01</t>
  </si>
  <si>
    <t xml:space="preserve"> 2020-04-06 22:52:02</t>
  </si>
  <si>
    <t>感染新冠医生被救治过程</t>
  </si>
  <si>
    <t xml:space="preserve"> 2020-04-07 09:10:02</t>
  </si>
  <si>
    <t xml:space="preserve"> 2020-04-06 22:24:01</t>
  </si>
  <si>
    <t>瓜迪奥拉母亲因新冠去世</t>
  </si>
  <si>
    <t xml:space="preserve"> 2020-04-07 13:48:01</t>
  </si>
  <si>
    <t xml:space="preserve"> 2020-04-06 22:16:02</t>
  </si>
  <si>
    <t>杀破狼</t>
  </si>
  <si>
    <t xml:space="preserve"> 2020-04-07 10:08:01</t>
  </si>
  <si>
    <t xml:space="preserve"> 2020-04-06 19:46:01</t>
  </si>
  <si>
    <t>海底捞复工后涨价约6%</t>
  </si>
  <si>
    <t xml:space="preserve"> 2020-04-06 19:58:02</t>
  </si>
  <si>
    <t>娃娃脸的女生能有多可爱</t>
  </si>
  <si>
    <t xml:space="preserve"> 2020-04-07 10:54:01</t>
  </si>
  <si>
    <t xml:space="preserve"> 2020-04-06 19:10:02</t>
  </si>
  <si>
    <t>罗志祥回归极限挑战</t>
  </si>
  <si>
    <t xml:space="preserve"> 2020-04-06 22:06:02</t>
  </si>
  <si>
    <t>李汶翰唱小半</t>
  </si>
  <si>
    <t xml:space="preserve"> 2020-04-07 07:30:02</t>
  </si>
  <si>
    <t>纽约殡仪馆葬礼是平时两倍</t>
  </si>
  <si>
    <t xml:space="preserve"> 2020-04-06 17:00:02</t>
  </si>
  <si>
    <t>加拿大省长怒批美国</t>
  </si>
  <si>
    <t xml:space="preserve"> 2020-04-07 07:58:02</t>
  </si>
  <si>
    <t xml:space="preserve"> 2020-04-06 19:16:02</t>
  </si>
  <si>
    <t>安倍称将向收入大减人群发放现金</t>
  </si>
  <si>
    <t xml:space="preserve"> 2020-04-07 07:28:02</t>
  </si>
  <si>
    <t xml:space="preserve"> 2020-04-06 19:02:02</t>
  </si>
  <si>
    <t>UNINE再唱青你主题曲</t>
  </si>
  <si>
    <t xml:space="preserve"> 2020-04-07 09:40:02</t>
  </si>
  <si>
    <t xml:space="preserve"> 2020-04-06 18:42:02</t>
  </si>
  <si>
    <t>喝奶茶要小心点欧</t>
  </si>
  <si>
    <t xml:space="preserve"> 2020-04-07 07:08:01</t>
  </si>
  <si>
    <t xml:space="preserve"> 2020-04-06 22:44:02</t>
  </si>
  <si>
    <t>最搞笑的一次购物经历</t>
  </si>
  <si>
    <t xml:space="preserve"> 2020-04-07 07:38:02</t>
  </si>
  <si>
    <t xml:space="preserve"> 2020-04-06 20:46:02</t>
  </si>
  <si>
    <t>三亚海警巡逻偶遇百只海豚</t>
  </si>
  <si>
    <t xml:space="preserve"> 2020-04-07 04:36:02</t>
  </si>
  <si>
    <t>爱尔兰总理重新注册成为医生</t>
  </si>
  <si>
    <t xml:space="preserve"> 2020-04-07 07:54:02</t>
  </si>
  <si>
    <t xml:space="preserve"> 2020-04-06 21:20:02</t>
  </si>
  <si>
    <t>黎语冰受伤</t>
  </si>
  <si>
    <t xml:space="preserve"> 2020-04-07 07:14:02</t>
  </si>
  <si>
    <t xml:space="preserve"> 2020-04-06 18:48:02</t>
  </si>
  <si>
    <t>日本高中生的甜蜜负担</t>
  </si>
  <si>
    <t xml:space="preserve"> 2020-04-07 07:06:02</t>
  </si>
  <si>
    <t xml:space="preserve"> 2020-04-06 17:22:02</t>
  </si>
  <si>
    <t>买过最不后悔的东西</t>
  </si>
  <si>
    <t xml:space="preserve"> 2020-04-06 18:24:02</t>
  </si>
  <si>
    <t>郭杰瑞</t>
  </si>
  <si>
    <t xml:space="preserve"> 2020-04-06 22:36:02</t>
  </si>
  <si>
    <t>放假与开学状态对比</t>
  </si>
  <si>
    <t xml:space="preserve"> 2020-04-07 08:36:01</t>
  </si>
  <si>
    <t xml:space="preserve"> 2020-04-06 17:58:01</t>
  </si>
  <si>
    <t>外国人不戴口罩在公园扎堆聚餐</t>
  </si>
  <si>
    <t xml:space="preserve"> 2020-04-07 08:24:01</t>
  </si>
  <si>
    <t xml:space="preserve"> 2020-04-06 21:12:01</t>
  </si>
  <si>
    <t>鹤岗太平沟拍到4只野生东北虎</t>
  </si>
  <si>
    <t>南京11所高校公布开学时间</t>
  </si>
  <si>
    <t xml:space="preserve"> 2020-04-07 07:04:02</t>
  </si>
  <si>
    <t xml:space="preserve"> 2020-04-06 18:08:02</t>
  </si>
  <si>
    <t>当代网友的控楼能力</t>
  </si>
  <si>
    <t xml:space="preserve"> 2020-04-07 07:42:02</t>
  </si>
  <si>
    <t xml:space="preserve"> 2020-04-06 21:08:01</t>
  </si>
  <si>
    <t>英首相约翰逊未进行呼吸机治疗</t>
  </si>
  <si>
    <t xml:space="preserve"> 2020-04-07 07:40:02</t>
  </si>
  <si>
    <t>你见过最惊艳的旅游照</t>
  </si>
  <si>
    <t xml:space="preserve"> 2020-04-06 19:30:02</t>
  </si>
  <si>
    <t>中国发布新冠肺炎疫情纪事</t>
  </si>
  <si>
    <t xml:space="preserve"> 2020-04-07 05:22:02</t>
  </si>
  <si>
    <t>周梓倩</t>
  </si>
  <si>
    <t xml:space="preserve"> 2020-04-06 21:24:02</t>
  </si>
  <si>
    <t>放风筝原来是个体力活</t>
  </si>
  <si>
    <t xml:space="preserve"> 2020-04-07 00:50:02</t>
  </si>
  <si>
    <t xml:space="preserve"> 2020-04-06 12:50:02</t>
  </si>
  <si>
    <t>全球富豪两个月损失2.6万亿</t>
  </si>
  <si>
    <t xml:space="preserve"> 2020-04-07 03:52:01</t>
  </si>
  <si>
    <t xml:space="preserve"> 2020-04-06 16:06:02</t>
  </si>
  <si>
    <t>男子春熙路持刀毁坏财物拒捕袭警</t>
  </si>
  <si>
    <t xml:space="preserve"> 2020-04-07 17:46:02</t>
  </si>
  <si>
    <t xml:space="preserve"> 2020-04-07 09:08:02</t>
  </si>
  <si>
    <t>苏志燮赵恩静结婚</t>
  </si>
  <si>
    <t xml:space="preserve"> 2020-04-07 16:48:01</t>
  </si>
  <si>
    <t xml:space="preserve"> 2020-04-07 10:58:02</t>
  </si>
  <si>
    <t>清明假期4325.4万人次出游</t>
  </si>
  <si>
    <t xml:space="preserve"> 2020-04-07 18:20:02</t>
  </si>
  <si>
    <t xml:space="preserve"> 2020-04-07 11:42:02</t>
  </si>
  <si>
    <t>四川女子否认遭丈夫家暴16年</t>
  </si>
  <si>
    <t xml:space="preserve"> 2020-04-07 15:48:01</t>
  </si>
  <si>
    <t xml:space="preserve"> 2020-04-07 11:26:02</t>
  </si>
  <si>
    <t>大学包高铁接回滞留湖北学生</t>
  </si>
  <si>
    <t xml:space="preserve"> 2020-04-07 14:34:02</t>
  </si>
  <si>
    <t xml:space="preserve"> 2020-04-07 11:08:02</t>
  </si>
  <si>
    <t>104岁新冠肺炎患者治愈</t>
  </si>
  <si>
    <t xml:space="preserve"> 2020-04-07 11:04:01</t>
  </si>
  <si>
    <t>蔡徐坤让接机粉丝不要群聚</t>
  </si>
  <si>
    <t xml:space="preserve"> 2020-04-07 14:32:02</t>
  </si>
  <si>
    <t xml:space="preserve"> 2020-04-07 11:48:02</t>
  </si>
  <si>
    <t>N号房部分会员被立案</t>
  </si>
  <si>
    <t xml:space="preserve"> 2020-04-07 15:10:02</t>
  </si>
  <si>
    <t xml:space="preserve"> 2020-04-07 04:38:02</t>
  </si>
  <si>
    <t>英国首相病情恶化转入ICU</t>
  </si>
  <si>
    <t xml:space="preserve"> 2020-04-07 15:24:01</t>
  </si>
  <si>
    <t xml:space="preserve"> 2020-04-07 11:56:02</t>
  </si>
  <si>
    <t>默克尔 新冠是欧盟成立以来最大考验</t>
  </si>
  <si>
    <t xml:space="preserve"> 2020-04-07 15:44:02</t>
  </si>
  <si>
    <t>朱广权累瘫了</t>
  </si>
  <si>
    <t xml:space="preserve"> 2020-04-07 07:32:01</t>
  </si>
  <si>
    <t>张静静援非丈夫求助希望尽早回国</t>
  </si>
  <si>
    <t xml:space="preserve"> 2020-04-07 14:00:02</t>
  </si>
  <si>
    <t xml:space="preserve"> 2020-04-07 08:46:02</t>
  </si>
  <si>
    <t>邦女郎布莱克曼去世</t>
  </si>
  <si>
    <t xml:space="preserve"> 2020-04-07 10:56:01</t>
  </si>
  <si>
    <t>湖北新增18例无症状感染者</t>
  </si>
  <si>
    <t xml:space="preserve"> 2020-04-07 18:02:02</t>
  </si>
  <si>
    <t xml:space="preserve"> 2020-04-07 09:46:02</t>
  </si>
  <si>
    <t>Faker</t>
  </si>
  <si>
    <t xml:space="preserve"> 2020-04-07 11:34:02</t>
  </si>
  <si>
    <t>刘诗诗红衣封面</t>
  </si>
  <si>
    <t xml:space="preserve"> 2020-04-07 19:12:01</t>
  </si>
  <si>
    <t xml:space="preserve"> 2020-04-07 12:02:02</t>
  </si>
  <si>
    <t>王一博喉结</t>
  </si>
  <si>
    <t xml:space="preserve"> 2020-04-07 16:14:02</t>
  </si>
  <si>
    <t xml:space="preserve"> 2020-04-07 11:36:02</t>
  </si>
  <si>
    <t>薯片上衣</t>
  </si>
  <si>
    <t xml:space="preserve"> 2020-04-07 15:40:02</t>
  </si>
  <si>
    <t xml:space="preserve"> 2020-04-07 08:32:01</t>
  </si>
  <si>
    <t>湖北卫健委回应张静静去世</t>
  </si>
  <si>
    <t xml:space="preserve"> 2020-04-07 16:32:02</t>
  </si>
  <si>
    <t xml:space="preserve"> 2020-04-07 08:18:02</t>
  </si>
  <si>
    <t>特朗普回应英国首相病情恶化</t>
  </si>
  <si>
    <t xml:space="preserve"> 2020-04-07 14:22:02</t>
  </si>
  <si>
    <t>时隔70多天再次吃到热干面</t>
  </si>
  <si>
    <t>美国成为第三个死亡病例过万国家</t>
  </si>
  <si>
    <t xml:space="preserve"> 2020-04-07 16:02:01</t>
  </si>
  <si>
    <t xml:space="preserve"> 2020-04-07 09:44:01</t>
  </si>
  <si>
    <t>郴州市北湖区团委书记被免职</t>
  </si>
  <si>
    <t xml:space="preserve"> 2020-04-07 14:54:02</t>
  </si>
  <si>
    <t xml:space="preserve"> 2020-04-07 11:40:02</t>
  </si>
  <si>
    <t>甜品包包</t>
  </si>
  <si>
    <t xml:space="preserve"> 2020-04-07 13:22:01</t>
  </si>
  <si>
    <t xml:space="preserve"> 2020-04-07 10:10:02</t>
  </si>
  <si>
    <t>武汉昨日献血人数874人</t>
  </si>
  <si>
    <t xml:space="preserve"> 2020-04-07 14:38:02</t>
  </si>
  <si>
    <t>河南高三开学第一天</t>
  </si>
  <si>
    <t xml:space="preserve"> 2020-04-07 13:56:02</t>
  </si>
  <si>
    <t>美军超千人确诊新冠肺炎</t>
  </si>
  <si>
    <t>故宫承乾宫梨花盛开</t>
  </si>
  <si>
    <t xml:space="preserve"> 2020-04-07 13:40:02</t>
  </si>
  <si>
    <t xml:space="preserve"> 2020-04-07 11:32:01</t>
  </si>
  <si>
    <t>电影版闪电侠扮演者与粉丝起冲突</t>
  </si>
  <si>
    <t xml:space="preserve"> 2020-04-07 13:52:02</t>
  </si>
  <si>
    <t>树懒因行动缓慢被挑着参观水族馆</t>
  </si>
  <si>
    <t>广州越秀区官方通报</t>
  </si>
  <si>
    <t xml:space="preserve"> 2020-04-07 13:50:02</t>
  </si>
  <si>
    <t>JK罗琳出现新冠症状后康复</t>
  </si>
  <si>
    <t xml:space="preserve"> 2020-04-07 13:36:02</t>
  </si>
  <si>
    <t>独角兽联名彩妆</t>
  </si>
  <si>
    <t xml:space="preserve"> 2020-04-07 13:46:02</t>
  </si>
  <si>
    <t xml:space="preserve"> 2020-04-07 08:00:01</t>
  </si>
  <si>
    <t>安蒂奇去世</t>
  </si>
  <si>
    <t>还有1天武汉解封</t>
  </si>
  <si>
    <t xml:space="preserve"> 2020-04-07 13:16:02</t>
  </si>
  <si>
    <t>新西兰卫生部长违反封城禁令被降职</t>
  </si>
  <si>
    <t xml:space="preserve"> 2020-04-07 13:32:02</t>
  </si>
  <si>
    <t>脆皮草莓流心瀑布山</t>
  </si>
  <si>
    <t xml:space="preserve"> 2020-04-07 12:38:02</t>
  </si>
  <si>
    <t xml:space="preserve"> 2020-04-07 10:50:02</t>
  </si>
  <si>
    <t>英国警察Rap宣传居家隔离</t>
  </si>
  <si>
    <t>钻石眼饰</t>
  </si>
  <si>
    <t xml:space="preserve"> 2020-04-07 11:54:02</t>
  </si>
  <si>
    <t>世卫组织鼓励各国普通民众佩戴口罩</t>
  </si>
  <si>
    <t xml:space="preserve"> 2020-04-07 15:50:02</t>
  </si>
  <si>
    <t xml:space="preserve"> 2020-04-07 12:08:02</t>
  </si>
  <si>
    <t>冰雪奇缘新番外</t>
  </si>
  <si>
    <t xml:space="preserve"> 2020-04-07 12:52:02</t>
  </si>
  <si>
    <t xml:space="preserve"> 2020-04-07 12:06:01</t>
  </si>
  <si>
    <t>自制荷兰松饼</t>
  </si>
  <si>
    <t>美国确诊病例超过36万</t>
  </si>
  <si>
    <t xml:space="preserve"> 2020-04-07 16:38:02</t>
  </si>
  <si>
    <t xml:space="preserve"> 2020-04-07 12:22:02</t>
  </si>
  <si>
    <t>广州排查发现5例境外输入</t>
  </si>
  <si>
    <t xml:space="preserve"> 2020-04-07 13:20:02</t>
  </si>
  <si>
    <t>洗手版PPAP</t>
  </si>
  <si>
    <t xml:space="preserve"> 2020-04-07 13:10:02</t>
  </si>
  <si>
    <t xml:space="preserve"> 2020-04-07 07:10:02</t>
  </si>
  <si>
    <t>拥有生僻姓氏是什么体验</t>
  </si>
  <si>
    <t xml:space="preserve"> 2020-04-08 15:36:02</t>
  </si>
  <si>
    <t xml:space="preserve"> 2020-04-07 23:46:02</t>
  </si>
  <si>
    <t>武汉解封</t>
  </si>
  <si>
    <t xml:space="preserve"> 2020-04-08 08:16:02</t>
  </si>
  <si>
    <t xml:space="preserve"> 2020-04-07 22:44:02</t>
  </si>
  <si>
    <t>武汉解封遇上超级月亮</t>
  </si>
  <si>
    <t xml:space="preserve"> 2020-04-08 12:04:02</t>
  </si>
  <si>
    <t xml:space="preserve"> 2020-04-07 22:02:02</t>
  </si>
  <si>
    <t>瑞幸咖啡停牌</t>
  </si>
  <si>
    <t xml:space="preserve"> 2020-04-08 12:18:02</t>
  </si>
  <si>
    <t xml:space="preserve"> 2020-04-07 21:50:01</t>
  </si>
  <si>
    <t>杨超越 仙女的脚不会臭</t>
  </si>
  <si>
    <t xml:space="preserve"> 2020-04-08 14:26:02</t>
  </si>
  <si>
    <t xml:space="preserve"> 2020-04-07 23:16:02</t>
  </si>
  <si>
    <t>黄多多健身</t>
  </si>
  <si>
    <t xml:space="preserve"> 2020-04-08 08:00:02</t>
  </si>
  <si>
    <t xml:space="preserve"> 2020-04-07 20:06:02</t>
  </si>
  <si>
    <t>从明天起做一个幸福的人</t>
  </si>
  <si>
    <t xml:space="preserve"> 2020-04-08 08:56:02</t>
  </si>
  <si>
    <t xml:space="preserve"> 2020-04-07 22:50:01</t>
  </si>
  <si>
    <t>河南对武汉来豫人员免费核酸检测</t>
  </si>
  <si>
    <t xml:space="preserve"> 2020-04-07 18:12:02</t>
  </si>
  <si>
    <t>58名主播被列入黑名单</t>
  </si>
  <si>
    <t xml:space="preserve"> 2020-04-08 17:46:01</t>
  </si>
  <si>
    <t xml:space="preserve"> 2020-04-07 18:22:02</t>
  </si>
  <si>
    <t>外交部回应中国排外情绪上升言论</t>
  </si>
  <si>
    <t xml:space="preserve"> 2020-04-08 09:00:02</t>
  </si>
  <si>
    <t xml:space="preserve"> 2020-04-07 19:26:02</t>
  </si>
  <si>
    <t>肯尼迪家族又发生悲剧</t>
  </si>
  <si>
    <t xml:space="preserve"> 2020-04-08 09:08:01</t>
  </si>
  <si>
    <t xml:space="preserve"> 2020-04-05 12:38:02</t>
  </si>
  <si>
    <t>清平乐</t>
  </si>
  <si>
    <t xml:space="preserve"> 2020-04-08 07:36:02</t>
  </si>
  <si>
    <t xml:space="preserve"> 2020-04-07 18:42:02</t>
  </si>
  <si>
    <t>苏志燮发文</t>
  </si>
  <si>
    <t xml:space="preserve"> 2020-04-07 20:14:01</t>
  </si>
  <si>
    <t>袁隆平称中国不会出现粮荒</t>
  </si>
  <si>
    <t xml:space="preserve"> 2020-04-08 07:32:01</t>
  </si>
  <si>
    <t xml:space="preserve"> 2020-04-07 20:12:02</t>
  </si>
  <si>
    <t>四川凉山州突发山体垮塌</t>
  </si>
  <si>
    <t xml:space="preserve"> 2020-04-08 07:44:02</t>
  </si>
  <si>
    <t xml:space="preserve"> 2020-04-07 21:18:02</t>
  </si>
  <si>
    <t>夫妻的世界剧情</t>
  </si>
  <si>
    <t xml:space="preserve"> 2020-04-08 10:46:02</t>
  </si>
  <si>
    <t xml:space="preserve"> 2020-04-08 00:02:01</t>
  </si>
  <si>
    <t>爱奇艺股价</t>
  </si>
  <si>
    <t xml:space="preserve"> 2020-04-08 11:40:02</t>
  </si>
  <si>
    <t xml:space="preserve"> 2020-04-07 23:52:02</t>
  </si>
  <si>
    <t>因外貌被误会年龄的经历</t>
  </si>
  <si>
    <t xml:space="preserve"> 2020-04-08 11:30:02</t>
  </si>
  <si>
    <t xml:space="preserve"> 2020-04-07 20:54:02</t>
  </si>
  <si>
    <t>情侣之间最忌讳的话题</t>
  </si>
  <si>
    <t xml:space="preserve"> 2020-04-08 11:08:02</t>
  </si>
  <si>
    <t xml:space="preserve"> 2020-04-07 21:52:02</t>
  </si>
  <si>
    <t>兰博基尼每天手工缝制1000只口罩</t>
  </si>
  <si>
    <t xml:space="preserve"> 2020-04-08 11:28:02</t>
  </si>
  <si>
    <t xml:space="preserve"> 2020-04-07 22:28:02</t>
  </si>
  <si>
    <t>意大利两只海鸥打架被警察踹开</t>
  </si>
  <si>
    <t xml:space="preserve"> 2020-04-08 12:00:02</t>
  </si>
  <si>
    <t xml:space="preserve"> 2020-04-07 23:12:01</t>
  </si>
  <si>
    <t>文科生的强大之处</t>
  </si>
  <si>
    <t xml:space="preserve"> 2020-04-08 09:18:02</t>
  </si>
  <si>
    <t xml:space="preserve"> 2020-04-07 19:50:02</t>
  </si>
  <si>
    <t>郭老师</t>
  </si>
  <si>
    <t xml:space="preserve"> 2020-04-08 10:56:02</t>
  </si>
  <si>
    <t xml:space="preserve"> 2020-04-07 19:48:02</t>
  </si>
  <si>
    <t>男生对床的占有面积</t>
  </si>
  <si>
    <t xml:space="preserve"> 2020-04-08 10:34:02</t>
  </si>
  <si>
    <t>大学生寝室定律</t>
  </si>
  <si>
    <t xml:space="preserve"> 2020-04-08 07:20:02</t>
  </si>
  <si>
    <t xml:space="preserve"> 2020-04-07 22:48:02</t>
  </si>
  <si>
    <t>张开宙</t>
  </si>
  <si>
    <t xml:space="preserve"> 2020-04-08 10:52:01</t>
  </si>
  <si>
    <t xml:space="preserve"> 2020-04-07 20:36:01</t>
  </si>
  <si>
    <t>台上台下反差很大的歌手</t>
  </si>
  <si>
    <t xml:space="preserve"> 2020-04-07 16:56:01</t>
  </si>
  <si>
    <t>特朗普与3M公司和解</t>
  </si>
  <si>
    <t xml:space="preserve"> 2020-04-08 09:48:02</t>
  </si>
  <si>
    <t xml:space="preserve"> 2020-04-07 21:20:02</t>
  </si>
  <si>
    <t>无心法师大结局</t>
  </si>
  <si>
    <t xml:space="preserve"> 2020-04-08 09:06:02</t>
  </si>
  <si>
    <t xml:space="preserve"> 2020-04-07 22:30:02</t>
  </si>
  <si>
    <t>福布斯全球亿万富豪榜</t>
  </si>
  <si>
    <t xml:space="preserve"> 2020-04-08 07:42:01</t>
  </si>
  <si>
    <t xml:space="preserve"> 2020-04-07 18:04:01</t>
  </si>
  <si>
    <t>法国护士联名裸体抗议</t>
  </si>
  <si>
    <t xml:space="preserve"> 2020-04-08 16:50:02</t>
  </si>
  <si>
    <t xml:space="preserve"> 2020-04-07 17:38:02</t>
  </si>
  <si>
    <t>安倍晋三发布紧急事态宣言</t>
  </si>
  <si>
    <t xml:space="preserve"> 2020-04-08 07:14:02</t>
  </si>
  <si>
    <t xml:space="preserve"> 2020-04-07 19:46:02</t>
  </si>
  <si>
    <t>广州已隔离六千余名外籍人员</t>
  </si>
  <si>
    <t xml:space="preserve"> 2020-04-07 19:16:01</t>
  </si>
  <si>
    <t>感觉很值钱的头像</t>
  </si>
  <si>
    <t xml:space="preserve"> 2020-04-07 22:38:01</t>
  </si>
  <si>
    <t>全国超九成酒店恢复营业</t>
  </si>
  <si>
    <t xml:space="preserve"> 2020-04-08 07:28:01</t>
  </si>
  <si>
    <t>空气牛奶冻</t>
  </si>
  <si>
    <t xml:space="preserve"> 2020-04-08 09:10:02</t>
  </si>
  <si>
    <t xml:space="preserve"> 2020-04-07 23:56:02</t>
  </si>
  <si>
    <t>来自开学的惊喜</t>
  </si>
  <si>
    <t xml:space="preserve"> 2020-04-08 08:06:02</t>
  </si>
  <si>
    <t xml:space="preserve"> 2020-04-07 21:26:02</t>
  </si>
  <si>
    <t>赵立坚驳斥抹黑中国援意的英国媒体</t>
  </si>
  <si>
    <t xml:space="preserve"> 2020-04-07 21:24:02</t>
  </si>
  <si>
    <t>湖北各类学校继续延期开学</t>
  </si>
  <si>
    <t xml:space="preserve"> 2020-04-08 08:18:02</t>
  </si>
  <si>
    <t xml:space="preserve"> 2020-04-08 00:00:02</t>
  </si>
  <si>
    <t>美军医院船一船员确诊新冠肺炎</t>
  </si>
  <si>
    <t xml:space="preserve"> 2020-04-08 02:52:02</t>
  </si>
  <si>
    <t xml:space="preserve"> 2020-04-07 18:28:01</t>
  </si>
  <si>
    <t>鹿晗侧颜</t>
  </si>
  <si>
    <t xml:space="preserve"> 2020-04-08 08:26:02</t>
  </si>
  <si>
    <t xml:space="preserve"> 2020-04-07 22:04:02</t>
  </si>
  <si>
    <t>山东菏泽万亩牡丹盛开</t>
  </si>
  <si>
    <t xml:space="preserve"> 2020-04-08 01:04:02</t>
  </si>
  <si>
    <t>山东大中专院校学生暂不返校</t>
  </si>
  <si>
    <t xml:space="preserve"> 2020-04-07 23:54:02</t>
  </si>
  <si>
    <t>自动回复惹出的笑话</t>
  </si>
  <si>
    <t xml:space="preserve"> 2020-04-08 07:18:02</t>
  </si>
  <si>
    <t>动物园回应钓老虎项目</t>
  </si>
  <si>
    <t xml:space="preserve"> 2020-04-07 15:46:02</t>
  </si>
  <si>
    <t>主播马东道歉</t>
  </si>
  <si>
    <t xml:space="preserve"> 2020-04-08 16:24:01</t>
  </si>
  <si>
    <t xml:space="preserve"> 2020-04-08 10:48:02</t>
  </si>
  <si>
    <t>女孩高喊我的武汉回来了</t>
  </si>
  <si>
    <t xml:space="preserve"> 2020-04-08 15:02:02</t>
  </si>
  <si>
    <t xml:space="preserve"> 2020-04-08 10:18:02</t>
  </si>
  <si>
    <t>协助张静静家属回国已有初步方案</t>
  </si>
  <si>
    <t xml:space="preserve"> 2020-04-08 14:14:02</t>
  </si>
  <si>
    <t xml:space="preserve"> 2020-04-08 10:26:02</t>
  </si>
  <si>
    <t>英国首相仍在ICU但未使用呼吸机</t>
  </si>
  <si>
    <t xml:space="preserve"> 2020-04-08 16:46:02</t>
  </si>
  <si>
    <t xml:space="preserve"> 2020-04-08 10:06:02</t>
  </si>
  <si>
    <t>小罗出狱</t>
  </si>
  <si>
    <t xml:space="preserve"> 2020-04-08 13:54:02</t>
  </si>
  <si>
    <t xml:space="preserve"> 2020-04-08 08:46:02</t>
  </si>
  <si>
    <t>爱奇艺否认造假指控</t>
  </si>
  <si>
    <t xml:space="preserve"> 2020-04-08 13:44:02</t>
  </si>
  <si>
    <t xml:space="preserve"> 2020-04-08 07:16:02</t>
  </si>
  <si>
    <t>英国新冠ICU病房画面</t>
  </si>
  <si>
    <t xml:space="preserve"> 2020-04-08 11:32:02</t>
  </si>
  <si>
    <t>面朝大海春暖花开</t>
  </si>
  <si>
    <t xml:space="preserve"> 2020-04-08 13:22:02</t>
  </si>
  <si>
    <t>中国将首次完全以网络形式举办广交会</t>
  </si>
  <si>
    <t xml:space="preserve"> 2020-04-08 18:24:02</t>
  </si>
  <si>
    <t xml:space="preserve"> 2020-04-08 07:48:02</t>
  </si>
  <si>
    <t>美国海军代理部长辞职</t>
  </si>
  <si>
    <t xml:space="preserve"> 2020-04-08 13:52:02</t>
  </si>
  <si>
    <t xml:space="preserve"> 2020-04-08 09:50:02</t>
  </si>
  <si>
    <t>武汉解封首日早高峰</t>
  </si>
  <si>
    <t xml:space="preserve"> 2020-04-08 13:28:02</t>
  </si>
  <si>
    <t xml:space="preserve"> 2020-04-08 09:24:01</t>
  </si>
  <si>
    <t>英国请求美国提供200台呼吸机</t>
  </si>
  <si>
    <t>山东新增本土2例初步判断为关联病例</t>
  </si>
  <si>
    <t xml:space="preserve"> 2020-04-08 15:40:01</t>
  </si>
  <si>
    <t>新冠疫情已影响全球超八成劳动人口</t>
  </si>
  <si>
    <t xml:space="preserve"> 2020-04-08 13:16:01</t>
  </si>
  <si>
    <t xml:space="preserve"> 2020-04-08 10:58:02</t>
  </si>
  <si>
    <t>北京要求所有观察人员必须核酸检测</t>
  </si>
  <si>
    <t>全球护士缺口达590万</t>
  </si>
  <si>
    <t xml:space="preserve"> 2020-04-08 19:42:02</t>
  </si>
  <si>
    <t xml:space="preserve"> 2020-04-08 11:36:02</t>
  </si>
  <si>
    <t>武汉出城第一人</t>
  </si>
  <si>
    <t xml:space="preserve"> 2020-04-08 16:00:02</t>
  </si>
  <si>
    <t xml:space="preserve"> 2020-04-08 11:44:01</t>
  </si>
  <si>
    <t>WannaRen病毒大规模传播</t>
  </si>
  <si>
    <t xml:space="preserve"> 2020-04-08 18:14:02</t>
  </si>
  <si>
    <t xml:space="preserve"> 2020-04-08 11:06:01</t>
  </si>
  <si>
    <t>小朋友的三观有多正</t>
  </si>
  <si>
    <t xml:space="preserve"> 2020-04-08 14:50:02</t>
  </si>
  <si>
    <t xml:space="preserve"> 2020-04-08 10:38:02</t>
  </si>
  <si>
    <t>王小川为爱奇艺发声</t>
  </si>
  <si>
    <t xml:space="preserve"> 2020-04-08 15:04:02</t>
  </si>
  <si>
    <t xml:space="preserve"> 2020-04-08 11:10:02</t>
  </si>
  <si>
    <t>橘右京新皮肤</t>
  </si>
  <si>
    <t xml:space="preserve"> 2020-04-08 15:32:01</t>
  </si>
  <si>
    <t>警方抓获发布偷拍高中女同学照片男子</t>
  </si>
  <si>
    <t xml:space="preserve"> 2020-04-08 16:54:02</t>
  </si>
  <si>
    <t>法国运送口罩飞行员在中国确诊新冠</t>
  </si>
  <si>
    <t xml:space="preserve"> 2020-04-08 16:12:02</t>
  </si>
  <si>
    <t xml:space="preserve"> 2020-04-08 08:28:02</t>
  </si>
  <si>
    <t>女生跟闺蜜的聊天记录</t>
  </si>
  <si>
    <t xml:space="preserve"> 2020-04-08 16:26:02</t>
  </si>
  <si>
    <t>李现春夏VogueMe四月刊封面</t>
  </si>
  <si>
    <t xml:space="preserve"> 2020-04-08 16:32:02</t>
  </si>
  <si>
    <t xml:space="preserve"> 2020-04-08 12:06:01</t>
  </si>
  <si>
    <t>武汉小龙虾店迎来外卖高峰</t>
  </si>
  <si>
    <t xml:space="preserve"> 2020-04-08 11:42:02</t>
  </si>
  <si>
    <t>印度村民自发在村口设卡</t>
  </si>
  <si>
    <t xml:space="preserve"> 2020-04-08 12:38:02</t>
  </si>
  <si>
    <t xml:space="preserve"> 2020-04-08 09:16:01</t>
  </si>
  <si>
    <t>浙江对近14天来自武汉人员开展检测</t>
  </si>
  <si>
    <t xml:space="preserve"> 2020-04-08 13:40:02</t>
  </si>
  <si>
    <t>库里祝贺武汉解封</t>
  </si>
  <si>
    <t xml:space="preserve"> 2020-04-08 13:20:02</t>
  </si>
  <si>
    <t xml:space="preserve"> 2020-04-08 07:54:02</t>
  </si>
  <si>
    <t>美国新冠病毒感染超38万</t>
  </si>
  <si>
    <t xml:space="preserve"> 2020-04-08 12:32:02</t>
  </si>
  <si>
    <t>厌学情绪造成的原因</t>
  </si>
  <si>
    <t xml:space="preserve"> 2020-04-08 12:02:02</t>
  </si>
  <si>
    <t>做不了学霸学渣是什么体验</t>
  </si>
  <si>
    <t xml:space="preserve"> 2020-04-08 17:44:01</t>
  </si>
  <si>
    <t>王一博Tmagazine封面预告</t>
  </si>
  <si>
    <t xml:space="preserve"> 2020-04-08 12:26:01</t>
  </si>
  <si>
    <t xml:space="preserve"> 2020-04-08 10:36:02</t>
  </si>
  <si>
    <t>摩登家庭大结局幕后照</t>
  </si>
  <si>
    <t xml:space="preserve"> 2020-04-08 12:24:02</t>
  </si>
  <si>
    <t>首架来汉航班获水门礼遇</t>
  </si>
  <si>
    <t xml:space="preserve"> 2020-04-08 17:16:01</t>
  </si>
  <si>
    <t>武汉重启后的新生宝宝</t>
  </si>
  <si>
    <t xml:space="preserve"> 2020-04-08 12:22:02</t>
  </si>
  <si>
    <t>武汉解封灯光秀</t>
  </si>
  <si>
    <t xml:space="preserve"> 2020-04-08 08:50:02</t>
  </si>
  <si>
    <t>快乐小羊公园玩耍</t>
  </si>
  <si>
    <t xml:space="preserve"> 2020-04-08 17:20:02</t>
  </si>
  <si>
    <t xml:space="preserve"> 2020-04-08 12:14:01</t>
  </si>
  <si>
    <t>华为宣布今年6月支持5G消息商用</t>
  </si>
  <si>
    <t xml:space="preserve"> 2020-04-08 14:48:01</t>
  </si>
  <si>
    <t>北京高考今起模拟志愿填报</t>
  </si>
  <si>
    <t xml:space="preserve"> 2020-04-08 12:50:02</t>
  </si>
  <si>
    <t>美国民众排长队申请救济金</t>
  </si>
  <si>
    <t xml:space="preserve"> 2020-04-08 18:46:02</t>
  </si>
  <si>
    <t>武汉再现堵车红</t>
  </si>
  <si>
    <t xml:space="preserve"> 2020-04-08 17:54:01</t>
  </si>
  <si>
    <t>中国乔丹侵权案终审败诉</t>
  </si>
  <si>
    <t xml:space="preserve"> 2020-04-08 07:30:02</t>
  </si>
  <si>
    <t>安倍称东京1个月后确诊将超8万人</t>
  </si>
  <si>
    <t>好未来内部审计发现员工行为不当</t>
  </si>
  <si>
    <t xml:space="preserve"> 2020-04-08 17:22:02</t>
  </si>
  <si>
    <t>王思聪持有的普思投资股权解除冻结</t>
  </si>
  <si>
    <t>7名留澳中国学生聚餐被罚5万</t>
  </si>
  <si>
    <t xml:space="preserve"> 2020-04-08 18:20:01</t>
  </si>
  <si>
    <t>101所高校撤销193个学位授权点</t>
  </si>
  <si>
    <t xml:space="preserve"> 2020-04-08 19:54:01</t>
  </si>
  <si>
    <t>武汉市民两个多月第一次吃热干面</t>
  </si>
  <si>
    <t xml:space="preserve"> 2020-04-08 16:18:02</t>
  </si>
  <si>
    <t>朱一龙吃热干面</t>
  </si>
  <si>
    <t xml:space="preserve"> 2020-04-08 19:58:02</t>
  </si>
  <si>
    <t>霸哥单杀TheShy</t>
  </si>
  <si>
    <t xml:space="preserve"> 2020-04-08 15:06:01</t>
  </si>
  <si>
    <t>时尚女魔头儿子确诊新冠</t>
  </si>
  <si>
    <t xml:space="preserve"> 2020-04-08 19:16:02</t>
  </si>
  <si>
    <t>阿富汗将释放100名塔利班囚犯</t>
  </si>
  <si>
    <t>广西杀害男医生女护士被批捕</t>
  </si>
  <si>
    <t>持东航回国机票被拒登机</t>
  </si>
  <si>
    <t>浦发银行回应瑞幸6000万贷款</t>
  </si>
  <si>
    <t xml:space="preserve"> 2020-04-08 20:24:01</t>
  </si>
  <si>
    <t>滞留武汉北京人员每日限定进京1000人</t>
  </si>
  <si>
    <t xml:space="preserve"> 2020-04-08 16:06:02</t>
  </si>
  <si>
    <t>Switch暂停在日出货</t>
  </si>
  <si>
    <t>玉渊潭公园2元门票被炒到50元</t>
  </si>
  <si>
    <t xml:space="preserve"> 2020-04-08 17:48:02</t>
  </si>
  <si>
    <t>武汉2万多环卫人员全市大扫除</t>
  </si>
  <si>
    <t xml:space="preserve"> 2020-04-08 16:44:02</t>
  </si>
  <si>
    <t>不敢告诉爸妈的真实价格</t>
  </si>
  <si>
    <t xml:space="preserve"> 2020-04-08 18:42:01</t>
  </si>
  <si>
    <t>雪碧鸡丝凉面</t>
  </si>
  <si>
    <t xml:space="preserve"> 2020-04-08 19:20:02</t>
  </si>
  <si>
    <t>名字取得太草率是什么体验</t>
  </si>
  <si>
    <t xml:space="preserve"> 2020-04-08 20:22:02</t>
  </si>
  <si>
    <t>武汉教师100幅钢笔画记录战疫瞬间</t>
  </si>
  <si>
    <t xml:space="preserve"> 2020-04-08 19:00:02</t>
  </si>
  <si>
    <t>影视剧中令人惊艳的女杀手</t>
  </si>
  <si>
    <t xml:space="preserve"> 2020-04-08 17:50:02</t>
  </si>
  <si>
    <t>闺蜜间用的头像</t>
  </si>
  <si>
    <t xml:space="preserve"> 2020-04-08 13:24:02</t>
  </si>
  <si>
    <t>吴彦祖</t>
  </si>
  <si>
    <t xml:space="preserve"> 2020-04-08 20:12:02</t>
  </si>
  <si>
    <t>华为超级望远镜</t>
  </si>
  <si>
    <t xml:space="preserve"> 2020-04-08 14:12:02</t>
  </si>
  <si>
    <t>lack of use</t>
  </si>
  <si>
    <t xml:space="preserve"> 2020-04-08 20:02:02</t>
  </si>
  <si>
    <t>外交部回应美战略界人士望中美携手抗疫</t>
  </si>
  <si>
    <t xml:space="preserve"> 2020-04-08 17:30:02</t>
  </si>
  <si>
    <t>成都调整中小学开学时间</t>
  </si>
  <si>
    <t>星光礼裙</t>
  </si>
  <si>
    <t xml:space="preserve"> 2019-12-01 20:36:02</t>
  </si>
  <si>
    <t>谢安然</t>
  </si>
  <si>
    <t xml:space="preserve"> 2020-04-08 14:16:02</t>
  </si>
  <si>
    <t>抗击新冠最大个人捐款</t>
  </si>
  <si>
    <t>加拿大副外长确诊感染新冠病毒</t>
  </si>
  <si>
    <t xml:space="preserve"> 2020-04-08 19:34:02</t>
  </si>
  <si>
    <t>为什么说知识能改变命运</t>
  </si>
  <si>
    <t>刘梦</t>
  </si>
  <si>
    <t>我一天的四个阶段</t>
  </si>
  <si>
    <t xml:space="preserve"> 2020-04-08 19:04:02</t>
  </si>
  <si>
    <t>孩子开学家长们的真实反应</t>
  </si>
  <si>
    <t xml:space="preserve"> 2020-04-08 14:28:02</t>
  </si>
  <si>
    <t>华晨宇 新世界</t>
  </si>
  <si>
    <t xml:space="preserve"> 2020-04-08 20:34:01</t>
  </si>
  <si>
    <t>爆浆芋泥芒果糯米糍</t>
  </si>
  <si>
    <t xml:space="preserve"> 2020-04-08 16:58:02</t>
  </si>
  <si>
    <t>北京今年杨柳飞絮时间约50天</t>
  </si>
  <si>
    <t xml:space="preserve"> 2020-04-08 18:32:02</t>
  </si>
  <si>
    <t>武汉二号线窗外的景色</t>
  </si>
  <si>
    <t xml:space="preserve"> 2020-04-08 13:42:01</t>
  </si>
  <si>
    <t>偷拍女同学男子被南航解除合同</t>
  </si>
  <si>
    <t xml:space="preserve"> 2020-04-08 20:28:01</t>
  </si>
  <si>
    <t>结束隔离的医疗队员在口罩上画笑脸</t>
  </si>
  <si>
    <t xml:space="preserve"> 2020-04-08 20:36:02</t>
  </si>
  <si>
    <t>塔里木盆地获重大油气发现</t>
  </si>
  <si>
    <t xml:space="preserve"> 2020-04-08 20:38:02</t>
  </si>
  <si>
    <t>爸妈如何向你道歉</t>
  </si>
  <si>
    <t>创造营学员制服</t>
  </si>
  <si>
    <t xml:space="preserve"> 2020-04-08 16:48:02</t>
  </si>
  <si>
    <t>盲盒式穿搭</t>
  </si>
  <si>
    <t xml:space="preserve"> 2020-04-08 20:08:02</t>
  </si>
  <si>
    <t>绥芬河累计进境2443人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</si>
</sst>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name val="Arial"/>
    </font>
    <font>
      <b/>
      <sz val="11"/>
      <color rgb="FF000000"/>
      <name val="等线"/>
      <charset val="134"/>
    </font>
    <font>
      <b/>
      <sz val="11"/>
      <color rgb="FF000000"/>
      <name val="Arial"/>
    </font>
    <font>
      <sz val="10"/>
      <color theme="1"/>
      <name val="Arial"/>
    </font>
    <font>
      <sz val="11"/>
      <color rgb="FF000000"/>
      <name val="等线"/>
      <charset val="134"/>
    </font>
    <font>
      <sz val="10"/>
      <color rgb="FF000000"/>
      <name val="Arial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/>
    <xf numFmtId="0" fontId="5" fillId="0" borderId="0" xfId="0" quotePrefix="1" applyFont="1" applyAlignment="1">
      <alignment vertical="center"/>
    </xf>
    <xf numFmtId="0" fontId="6" fillId="2" borderId="0" xfId="0" applyFont="1" applyFill="1"/>
    <xf numFmtId="0" fontId="5" fillId="2" borderId="0" xfId="0" quotePrefix="1" applyFont="1" applyFill="1" applyAlignment="1">
      <alignment vertical="center"/>
    </xf>
    <xf numFmtId="0" fontId="6" fillId="2" borderId="0" xfId="0" quotePrefix="1" applyFon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5001"/>
  <sheetViews>
    <sheetView tabSelected="1" topLeftCell="A2103" workbookViewId="0">
      <selection activeCell="F2161" sqref="F2161"/>
    </sheetView>
  </sheetViews>
  <sheetFormatPr baseColWidth="10" defaultColWidth="14.5" defaultRowHeight="15.75" customHeight="1"/>
  <cols>
    <col min="1" max="1" width="22.5" customWidth="1"/>
    <col min="2" max="2" width="28.33203125" customWidth="1"/>
    <col min="3" max="3" width="67.6640625" customWidth="1"/>
    <col min="4" max="4" width="32.33203125" customWidth="1"/>
    <col min="5" max="5" width="20" customWidth="1"/>
    <col min="6" max="6" width="37" customWidth="1"/>
  </cols>
  <sheetData>
    <row r="1" spans="1:6" ht="13.5" customHeight="1">
      <c r="C1" s="1" t="s">
        <v>0</v>
      </c>
      <c r="D1" s="2" t="s">
        <v>1</v>
      </c>
      <c r="E1" s="1" t="s">
        <v>2</v>
      </c>
      <c r="F1" s="3" t="s">
        <v>3</v>
      </c>
    </row>
    <row r="2" spans="1:6" ht="13.5" hidden="1" customHeight="1">
      <c r="A2" s="4" t="s">
        <v>4</v>
      </c>
      <c r="B2" s="4" t="s">
        <v>5</v>
      </c>
      <c r="C2" s="4" t="str">
        <f ca="1">IFERROR(__xludf.DUMMYFUNCTION("GOOGLETRANSLATE(D:D,""auto"",""en"")"),"Chaired Xie Na")</f>
        <v>Chaired Xie Na</v>
      </c>
      <c r="D2" s="5" t="s">
        <v>6</v>
      </c>
      <c r="E2" s="4">
        <v>3368333</v>
      </c>
    </row>
    <row r="3" spans="1:6" ht="13.5" hidden="1" customHeight="1">
      <c r="A3" s="4" t="s">
        <v>7</v>
      </c>
      <c r="B3" s="4" t="s">
        <v>8</v>
      </c>
      <c r="C3" s="4" t="str">
        <f ca="1">IFERROR(__xludf.DUMMYFUNCTION("GOOGLETRANSLATE(D:D,""auto"",""en"")"),"New Year's Eve")</f>
        <v>New Year's Eve</v>
      </c>
      <c r="D3" s="5" t="s">
        <v>9</v>
      </c>
      <c r="E3" s="4">
        <v>2599465</v>
      </c>
    </row>
    <row r="4" spans="1:6" ht="13.5" hidden="1" customHeight="1">
      <c r="A4" s="4" t="s">
        <v>10</v>
      </c>
      <c r="B4" s="4" t="s">
        <v>11</v>
      </c>
      <c r="C4" s="4" t="str">
        <f ca="1">IFERROR(__xludf.DUMMYFUNCTION("GOOGLETRANSLATE(D:D,""auto"",""en"")"),"A too Yiyangqianxi the")</f>
        <v>A too Yiyangqianxi the</v>
      </c>
      <c r="D4" s="5" t="s">
        <v>12</v>
      </c>
      <c r="E4" s="4">
        <v>2000970</v>
      </c>
    </row>
    <row r="5" spans="1:6" ht="13.5" hidden="1" customHeight="1">
      <c r="A5" s="4" t="s">
        <v>13</v>
      </c>
      <c r="B5" s="4" t="s">
        <v>14</v>
      </c>
      <c r="C5" s="4" t="str">
        <f ca="1">IFERROR(__xludf.DUMMYFUNCTION("GOOGLETRANSLATE(D:D,""auto"",""en"")"),"Lip-synching")</f>
        <v>Lip-synching</v>
      </c>
      <c r="D5" s="5" t="s">
        <v>15</v>
      </c>
      <c r="E5" s="4">
        <v>1867253</v>
      </c>
    </row>
    <row r="6" spans="1:6" ht="13.5" hidden="1" customHeight="1">
      <c r="A6" s="4" t="s">
        <v>16</v>
      </c>
      <c r="B6" s="4" t="s">
        <v>17</v>
      </c>
      <c r="C6" s="4" t="str">
        <f ca="1">IFERROR(__xludf.DUMMYFUNCTION("GOOGLETRANSLATE(D:D,""auto"",""en"")"),"Wang Yibo water dancing and singing")</f>
        <v>Wang Yibo water dancing and singing</v>
      </c>
      <c r="D6" s="5" t="s">
        <v>18</v>
      </c>
      <c r="E6" s="4">
        <v>1471792</v>
      </c>
    </row>
    <row r="7" spans="1:6" ht="13.5" hidden="1" customHeight="1">
      <c r="A7" s="4" t="s">
        <v>19</v>
      </c>
      <c r="B7" s="4" t="s">
        <v>20</v>
      </c>
      <c r="C7" s="4" t="str">
        <f ca="1">IFERROR(__xludf.DUMMYFUNCTION("GOOGLETRANSLATE(D:D,""auto"",""en"")"),"New Year's Eve Copywriting")</f>
        <v>New Year's Eve Copywriting</v>
      </c>
      <c r="D7" s="5" t="s">
        <v>21</v>
      </c>
      <c r="E7" s="4">
        <v>1299084</v>
      </c>
    </row>
    <row r="8" spans="1:6" ht="13.5" hidden="1" customHeight="1">
      <c r="A8" s="4" t="s">
        <v>22</v>
      </c>
      <c r="B8" s="4" t="s">
        <v>23</v>
      </c>
      <c r="C8" s="4" t="str">
        <f ca="1">IFERROR(__xludf.DUMMYFUNCTION("GOOGLETRANSLATE(D:D,""auto"",""en"")"),"Jiefangbei New Year's Eve")</f>
        <v>Jiefangbei New Year's Eve</v>
      </c>
      <c r="D8" s="5" t="s">
        <v>24</v>
      </c>
      <c r="E8" s="4">
        <v>1270522</v>
      </c>
    </row>
    <row r="9" spans="1:6" ht="13.5" hidden="1" customHeight="1">
      <c r="A9" s="4" t="s">
        <v>25</v>
      </c>
      <c r="B9" s="4" t="s">
        <v>26</v>
      </c>
      <c r="C9" s="4" t="str">
        <f ca="1">IFERROR(__xludf.DUMMYFUNCTION("GOOGLETRANSLATE(D:D,""auto"",""en"")"),"Mrs Lam condolences to the Hong Kong Police Force")</f>
        <v>Mrs Lam condolences to the Hong Kong Police Force</v>
      </c>
      <c r="D9" s="5" t="s">
        <v>27</v>
      </c>
      <c r="E9" s="4">
        <v>1260295</v>
      </c>
    </row>
    <row r="10" spans="1:6" ht="13.5" hidden="1" customHeight="1">
      <c r="A10" s="4" t="s">
        <v>28</v>
      </c>
      <c r="B10" s="4" t="s">
        <v>29</v>
      </c>
      <c r="C10" s="4" t="str">
        <f ca="1">IFERROR(__xludf.DUMMYFUNCTION("GOOGLETRANSLATE(D:D,""auto"",""en"")"),"Zhejiang Satellite TV New Year's Eve playbill")</f>
        <v>Zhejiang Satellite TV New Year's Eve playbill</v>
      </c>
      <c r="D10" s="5" t="s">
        <v>30</v>
      </c>
      <c r="E10" s="4">
        <v>1259453</v>
      </c>
    </row>
    <row r="11" spans="1:6" ht="13.5" hidden="1" customHeight="1">
      <c r="A11" s="4" t="s">
        <v>31</v>
      </c>
      <c r="B11" s="4" t="s">
        <v>32</v>
      </c>
      <c r="C11" s="4" t="str">
        <f ca="1">IFERROR(__xludf.DUMMYFUNCTION("GOOGLETRANSLATE(D:D,""auto"",""en"")"),"Lijiang family of the deceased do not agree with the withdrawal of the case against killing")</f>
        <v>Lijiang family of the deceased do not agree with the withdrawal of the case against killing</v>
      </c>
      <c r="D11" s="5" t="s">
        <v>33</v>
      </c>
      <c r="E11" s="4">
        <v>1259260</v>
      </c>
    </row>
    <row r="12" spans="1:6" ht="13.5" hidden="1" customHeight="1">
      <c r="A12" s="4" t="s">
        <v>34</v>
      </c>
      <c r="B12" s="4" t="s">
        <v>35</v>
      </c>
      <c r="C12" s="4" t="str">
        <f ca="1">IFERROR(__xludf.DUMMYFUNCTION("GOOGLETRANSLATE(D:D,""auto"",""en"")"),"Dilly Reba dancing and singing")</f>
        <v>Dilly Reba dancing and singing</v>
      </c>
      <c r="D12" s="5" t="s">
        <v>36</v>
      </c>
      <c r="E12" s="4">
        <v>1192497</v>
      </c>
    </row>
    <row r="13" spans="1:6" ht="13.5" hidden="1" customHeight="1">
      <c r="A13" s="4" t="s">
        <v>37</v>
      </c>
      <c r="B13" s="4" t="s">
        <v>38</v>
      </c>
      <c r="C13" s="4" t="str">
        <f ca="1">IFERROR(__xludf.DUMMYFUNCTION("GOOGLETRANSLATE(D:D,""auto"",""en"")"),"Good Night SMS plan")</f>
        <v>Good Night SMS plan</v>
      </c>
      <c r="D13" s="5" t="s">
        <v>39</v>
      </c>
      <c r="E13" s="4">
        <v>1066537</v>
      </c>
    </row>
    <row r="14" spans="1:6" ht="13.5" hidden="1" customHeight="1">
      <c r="A14" s="4" t="s">
        <v>40</v>
      </c>
      <c r="B14" s="4" t="s">
        <v>26</v>
      </c>
      <c r="C14" s="4" t="str">
        <f ca="1">IFERROR(__xludf.DUMMYFUNCTION("GOOGLETRANSLATE(D:D,""auto"",""en"")"),"Sydney Fireworks")</f>
        <v>Sydney Fireworks</v>
      </c>
      <c r="D14" s="5" t="s">
        <v>41</v>
      </c>
      <c r="E14" s="4">
        <v>1012629</v>
      </c>
    </row>
    <row r="15" spans="1:6" ht="13.5" hidden="1" customHeight="1">
      <c r="A15" s="4" t="s">
        <v>28</v>
      </c>
      <c r="B15" s="4" t="s">
        <v>42</v>
      </c>
      <c r="C15" s="4" t="str">
        <f ca="1">IFERROR(__xludf.DUMMYFUNCTION("GOOGLETRANSLATE(D:D,""auto"",""en"")"),"Dragon TV New Year's Eve")</f>
        <v>Dragon TV New Year's Eve</v>
      </c>
      <c r="D15" s="5" t="s">
        <v>43</v>
      </c>
      <c r="E15" s="4">
        <v>1000463</v>
      </c>
    </row>
    <row r="16" spans="1:6" ht="13.5" hidden="1" customHeight="1">
      <c r="A16" s="4" t="s">
        <v>44</v>
      </c>
      <c r="B16" s="4" t="s">
        <v>45</v>
      </c>
      <c r="C16" s="4" t="str">
        <f ca="1">IFERROR(__xludf.DUMMYFUNCTION("GOOGLETRANSLATE(D:D,""auto"",""en"")"),"Wang Yi Yang Mi Tengger wolf disco")</f>
        <v>Wang Yi Yang Mi Tengger wolf disco</v>
      </c>
      <c r="D16" s="5" t="s">
        <v>46</v>
      </c>
      <c r="E16" s="4">
        <v>996009</v>
      </c>
    </row>
    <row r="17" spans="1:5" ht="13.5" hidden="1" customHeight="1">
      <c r="A17" s="4" t="s">
        <v>47</v>
      </c>
      <c r="B17" s="4" t="s">
        <v>48</v>
      </c>
      <c r="C17" s="4" t="str">
        <f ca="1">IFERROR(__xludf.DUMMYFUNCTION("GOOGLETRANSLATE(D:D,""auto"",""en"")"),"2020 Avatar")</f>
        <v>2020 Avatar</v>
      </c>
      <c r="D17" s="5" t="s">
        <v>49</v>
      </c>
      <c r="E17" s="4">
        <v>985338</v>
      </c>
    </row>
    <row r="18" spans="1:5" ht="13.5" hidden="1" customHeight="1">
      <c r="A18" s="4" t="s">
        <v>22</v>
      </c>
      <c r="B18" s="4" t="s">
        <v>50</v>
      </c>
      <c r="C18" s="4" t="str">
        <f ca="1">IFERROR(__xludf.DUMMYFUNCTION("GOOGLETRANSLATE(D:D,""auto"",""en"")"),"Japanese New Year's Eve")</f>
        <v>Japanese New Year's Eve</v>
      </c>
      <c r="D18" s="5" t="s">
        <v>51</v>
      </c>
      <c r="E18" s="4">
        <v>899913</v>
      </c>
    </row>
    <row r="19" spans="1:5" ht="13.5" hidden="1" customHeight="1">
      <c r="A19" s="4" t="s">
        <v>52</v>
      </c>
      <c r="B19" s="4" t="s">
        <v>23</v>
      </c>
      <c r="C19" s="4" t="str">
        <f ca="1">IFERROR(__xludf.DUMMYFUNCTION("GOOGLETRANSLATE(D:D,""auto"",""en"")"),"Bund New Year's Eve")</f>
        <v>Bund New Year's Eve</v>
      </c>
      <c r="D19" s="5" t="s">
        <v>53</v>
      </c>
      <c r="E19" s="4">
        <v>649119</v>
      </c>
    </row>
    <row r="20" spans="1:5" ht="13.5" hidden="1" customHeight="1">
      <c r="A20" s="4" t="s">
        <v>54</v>
      </c>
      <c r="B20" s="4" t="s">
        <v>55</v>
      </c>
      <c r="C20" s="4" t="str">
        <f ca="1">IFERROR(__xludf.DUMMYFUNCTION("GOOGLETRANSLATE(D:D,""auto"",""en"")"),"2020 animal year")</f>
        <v>2020 animal year</v>
      </c>
      <c r="D20" s="5" t="s">
        <v>56</v>
      </c>
      <c r="E20" s="4">
        <v>528076</v>
      </c>
    </row>
    <row r="21" spans="1:5" ht="13.5" hidden="1" customHeight="1">
      <c r="A21" s="4" t="s">
        <v>57</v>
      </c>
      <c r="B21" s="4" t="s">
        <v>58</v>
      </c>
      <c r="C21" s="4" t="str">
        <f ca="1">IFERROR(__xludf.DUMMYFUNCTION("GOOGLETRANSLATE(D:D,""auto"",""en"")"),"Hunan TV hostess makeup hair")</f>
        <v>Hunan TV hostess makeup hair</v>
      </c>
      <c r="D21" s="5" t="s">
        <v>59</v>
      </c>
      <c r="E21" s="4">
        <v>515574</v>
      </c>
    </row>
    <row r="22" spans="1:5" ht="13.5" hidden="1" customHeight="1">
      <c r="A22" s="4" t="s">
        <v>60</v>
      </c>
      <c r="B22" s="4" t="s">
        <v>61</v>
      </c>
      <c r="C22" s="4" t="str">
        <f ca="1">IFERROR(__xludf.DUMMYFUNCTION("GOOGLETRANSLATE(D:D,""auto"",""en"")"),"New Year's Eve")</f>
        <v>New Year's Eve</v>
      </c>
      <c r="D22" s="5" t="s">
        <v>62</v>
      </c>
      <c r="E22" s="4">
        <v>418247</v>
      </c>
    </row>
    <row r="23" spans="1:5" ht="13.5" hidden="1" customHeight="1">
      <c r="A23" s="4" t="s">
        <v>63</v>
      </c>
      <c r="B23" s="4" t="s">
        <v>64</v>
      </c>
      <c r="C23" s="4" t="str">
        <f ca="1">IFERROR(__xludf.DUMMYFUNCTION("GOOGLETRANSLATE(D:D,""auto"",""en"")"),"2019 farewell photo")</f>
        <v>2019 farewell photo</v>
      </c>
      <c r="D23" s="5" t="s">
        <v>65</v>
      </c>
      <c r="E23" s="4">
        <v>405307</v>
      </c>
    </row>
    <row r="24" spans="1:5" ht="13.5" hidden="1" customHeight="1">
      <c r="A24" s="4" t="s">
        <v>19</v>
      </c>
      <c r="B24" s="4" t="s">
        <v>23</v>
      </c>
      <c r="C24" s="4" t="str">
        <f ca="1">IFERROR(__xludf.DUMMYFUNCTION("GOOGLETRANSLATE(D:D,""auto"",""en"")"),"Hanshan Temple bell")</f>
        <v>Hanshan Temple bell</v>
      </c>
      <c r="D24" s="5" t="s">
        <v>66</v>
      </c>
      <c r="E24" s="4">
        <v>364811</v>
      </c>
    </row>
    <row r="25" spans="1:5" ht="13.5" hidden="1" customHeight="1">
      <c r="A25" s="4" t="s">
        <v>67</v>
      </c>
      <c r="B25" s="4" t="s">
        <v>68</v>
      </c>
      <c r="C25" s="4" t="str">
        <f ca="1">IFERROR(__xludf.DUMMYFUNCTION("GOOGLETRANSLATE(D:D,""auto"",""en"")"),"Guangzhou Tower New Year's Eve")</f>
        <v>Guangzhou Tower New Year's Eve</v>
      </c>
      <c r="D25" s="5" t="s">
        <v>69</v>
      </c>
      <c r="E25" s="4">
        <v>353050</v>
      </c>
    </row>
    <row r="26" spans="1:5" ht="13.5" hidden="1" customHeight="1">
      <c r="A26" s="4" t="s">
        <v>28</v>
      </c>
      <c r="B26" s="4" t="s">
        <v>68</v>
      </c>
      <c r="C26" s="4" t="str">
        <f ca="1">IFERROR(__xludf.DUMMYFUNCTION("GOOGLETRANSLATE(D:D,""auto"",""en"")"),"Jane Zhang even sing songs 8")</f>
        <v>Jane Zhang even sing songs 8</v>
      </c>
      <c r="D26" s="5" t="s">
        <v>70</v>
      </c>
      <c r="E26" s="4">
        <v>328526</v>
      </c>
    </row>
    <row r="27" spans="1:5" ht="13.5" hidden="1" customHeight="1">
      <c r="A27" s="4" t="s">
        <v>71</v>
      </c>
      <c r="B27" s="4" t="s">
        <v>11</v>
      </c>
      <c r="C27" s="4" t="str">
        <f ca="1">IFERROR(__xludf.DUMMYFUNCTION("GOOGLETRANSLATE(D:D,""auto"",""en"")"),"Fish Leong breaking up happy to sing")</f>
        <v>Fish Leong breaking up happy to sing</v>
      </c>
      <c r="D27" s="5" t="s">
        <v>72</v>
      </c>
      <c r="E27" s="4">
        <v>325056</v>
      </c>
    </row>
    <row r="28" spans="1:5" ht="13.5" hidden="1" customHeight="1">
      <c r="A28" s="4" t="s">
        <v>73</v>
      </c>
      <c r="B28" s="4" t="s">
        <v>74</v>
      </c>
      <c r="C28" s="4" t="str">
        <f ca="1">IFERROR(__xludf.DUMMYFUNCTION("GOOGLETRANSLATE(D:D,""auto"",""en"")"),"Most real state of New Year's Eve")</f>
        <v>Most real state of New Year's Eve</v>
      </c>
      <c r="D28" s="5" t="s">
        <v>75</v>
      </c>
      <c r="E28" s="4">
        <v>302783</v>
      </c>
    </row>
    <row r="29" spans="1:5" ht="13.5" hidden="1" customHeight="1">
      <c r="A29" s="4" t="s">
        <v>76</v>
      </c>
      <c r="B29" s="4" t="s">
        <v>77</v>
      </c>
      <c r="C29" s="4" t="str">
        <f ca="1">IFERROR(__xludf.DUMMYFUNCTION("GOOGLETRANSLATE(D:D,""auto"",""en"")"),"The Netherlands is not renamed")</f>
        <v>The Netherlands is not renamed</v>
      </c>
      <c r="D29" s="5" t="s">
        <v>78</v>
      </c>
      <c r="E29" s="4">
        <v>278682</v>
      </c>
    </row>
    <row r="30" spans="1:5" ht="13.5" hidden="1" customHeight="1">
      <c r="A30" s="4" t="s">
        <v>7</v>
      </c>
      <c r="B30" s="4" t="s">
        <v>79</v>
      </c>
      <c r="C30" s="4" t="str">
        <f ca="1">IFERROR(__xludf.DUMMYFUNCTION("GOOGLETRANSLATE(D:D,""auto"",""en"")"),"happy New Year")</f>
        <v>happy New Year</v>
      </c>
      <c r="D30" s="5" t="s">
        <v>80</v>
      </c>
      <c r="E30" s="4">
        <v>275129</v>
      </c>
    </row>
    <row r="31" spans="1:5" ht="13.5" hidden="1" customHeight="1">
      <c r="A31" s="4" t="s">
        <v>81</v>
      </c>
      <c r="B31" s="4" t="s">
        <v>79</v>
      </c>
      <c r="C31" s="4" t="str">
        <f ca="1">IFERROR(__xludf.DUMMYFUNCTION("GOOGLETRANSLATE(D:D,""auto"",""en"")"),"Listen to JJ skewers good fun")</f>
        <v>Listen to JJ skewers good fun</v>
      </c>
      <c r="D31" s="5" t="s">
        <v>82</v>
      </c>
      <c r="E31" s="4">
        <v>272178</v>
      </c>
    </row>
    <row r="32" spans="1:5" ht="13.5" hidden="1" customHeight="1">
      <c r="A32" s="4" t="s">
        <v>83</v>
      </c>
      <c r="B32" s="4" t="s">
        <v>84</v>
      </c>
      <c r="C32" s="4" t="str">
        <f ca="1">IFERROR(__xludf.DUMMYFUNCTION("GOOGLETRANSLATE(D:D,""auto"",""en"")"),"ZHU Guang right to preside B station New Year's Eve")</f>
        <v>ZHU Guang right to preside B station New Year's Eve</v>
      </c>
      <c r="D32" s="5" t="s">
        <v>85</v>
      </c>
      <c r="E32" s="4">
        <v>263239</v>
      </c>
    </row>
    <row r="33" spans="1:5" ht="13.5" hidden="1" customHeight="1">
      <c r="A33" s="4" t="s">
        <v>86</v>
      </c>
      <c r="B33" s="4" t="s">
        <v>87</v>
      </c>
      <c r="C33" s="4" t="str">
        <f ca="1">IFERROR(__xludf.DUMMYFUNCTION("GOOGLETRANSLATE(D:D,""auto"",""en"")"),"2020 New Year sign")</f>
        <v>2020 New Year sign</v>
      </c>
      <c r="D33" s="5" t="s">
        <v>88</v>
      </c>
      <c r="E33" s="4">
        <v>231204</v>
      </c>
    </row>
    <row r="34" spans="1:5" ht="13.5" hidden="1" customHeight="1">
      <c r="A34" s="4" t="s">
        <v>28</v>
      </c>
      <c r="B34" s="4" t="s">
        <v>89</v>
      </c>
      <c r="C34" s="4" t="str">
        <f ca="1">IFERROR(__xludf.DUMMYFUNCTION("GOOGLETRANSLATE(D:D,""auto"",""en"")"),"New Year's Day the implementation of new regulations")</f>
        <v>New Year's Day the implementation of new regulations</v>
      </c>
      <c r="D34" s="5" t="s">
        <v>90</v>
      </c>
      <c r="E34" s="4">
        <v>206060</v>
      </c>
    </row>
    <row r="35" spans="1:5" ht="13.5" hidden="1" customHeight="1">
      <c r="A35" s="4" t="s">
        <v>91</v>
      </c>
      <c r="B35" s="4" t="s">
        <v>92</v>
      </c>
      <c r="C35" s="4" t="str">
        <f ca="1">IFERROR(__xludf.DUMMYFUNCTION("GOOGLETRANSLATE(D:D,""auto"",""en"")"),"Kindergarten children with mineral water bucket when the drum")</f>
        <v>Kindergarten children with mineral water bucket when the drum</v>
      </c>
      <c r="D35" s="5" t="s">
        <v>93</v>
      </c>
      <c r="E35" s="4">
        <v>203771</v>
      </c>
    </row>
    <row r="36" spans="1:5" ht="13.5" hidden="1" customHeight="1">
      <c r="A36" s="4" t="s">
        <v>71</v>
      </c>
      <c r="B36" s="4" t="s">
        <v>94</v>
      </c>
      <c r="C36" s="4" t="str">
        <f ca="1">IFERROR(__xludf.DUMMYFUNCTION("GOOGLETRANSLATE(D:D,""auto"",""en"")"),"Hanazawa coriander Wang Su waterfall a little sweet")</f>
        <v>Hanazawa coriander Wang Su waterfall a little sweet</v>
      </c>
      <c r="D36" s="5" t="s">
        <v>95</v>
      </c>
      <c r="E36" s="4">
        <v>202784</v>
      </c>
    </row>
    <row r="37" spans="1:5" ht="13.5" hidden="1" customHeight="1">
      <c r="A37" s="4" t="s">
        <v>96</v>
      </c>
      <c r="B37" s="4" t="s">
        <v>97</v>
      </c>
      <c r="C37" s="4" t="str">
        <f ca="1">IFERROR(__xludf.DUMMYFUNCTION("GOOGLETRANSLATE(D:D,""auto"",""en"")"),"Raymond Zhang Xin month marriage")</f>
        <v>Raymond Zhang Xin month marriage</v>
      </c>
      <c r="D37" s="5" t="s">
        <v>98</v>
      </c>
      <c r="E37" s="4">
        <v>201045</v>
      </c>
    </row>
    <row r="38" spans="1:5" ht="13.5" hidden="1" customHeight="1">
      <c r="A38" s="4" t="s">
        <v>99</v>
      </c>
      <c r="B38" s="4" t="s">
        <v>100</v>
      </c>
      <c r="C38" s="4" t="str">
        <f ca="1">IFERROR(__xludf.DUMMYFUNCTION("GOOGLETRANSLATE(D:D,""auto"",""en"")"),"I just stay up all night New Year's Eve")</f>
        <v>I just stay up all night New Year's Eve</v>
      </c>
      <c r="D38" s="5" t="s">
        <v>101</v>
      </c>
      <c r="E38" s="4">
        <v>198183</v>
      </c>
    </row>
    <row r="39" spans="1:5" ht="13.5" hidden="1" customHeight="1">
      <c r="A39" s="4" t="s">
        <v>102</v>
      </c>
      <c r="B39" s="4" t="s">
        <v>103</v>
      </c>
      <c r="C39" s="4" t="str">
        <f ca="1">IFERROR(__xludf.DUMMYFUNCTION("GOOGLETRANSLATE(D:D,""auto"",""en"")"),"Best place New Year's Eve")</f>
        <v>Best place New Year's Eve</v>
      </c>
      <c r="D39" s="5" t="s">
        <v>104</v>
      </c>
      <c r="E39" s="4">
        <v>198113</v>
      </c>
    </row>
    <row r="40" spans="1:5" ht="13.5" hidden="1" customHeight="1">
      <c r="A40" s="4" t="s">
        <v>105</v>
      </c>
      <c r="B40" s="4" t="s">
        <v>106</v>
      </c>
      <c r="C40" s="4" t="str">
        <f ca="1">IFERROR(__xludf.DUMMYFUNCTION("GOOGLETRANSLATE(D:D,""auto"",""en"")"),"Red and White Song")</f>
        <v>Red and White Song</v>
      </c>
      <c r="D40" s="5" t="s">
        <v>107</v>
      </c>
      <c r="E40" s="4">
        <v>189162</v>
      </c>
    </row>
    <row r="41" spans="1:5" ht="13.5" hidden="1" customHeight="1">
      <c r="A41" s="4" t="s">
        <v>63</v>
      </c>
      <c r="B41" s="4" t="s">
        <v>108</v>
      </c>
      <c r="C41" s="4" t="str">
        <f ca="1">IFERROR(__xludf.DUMMYFUNCTION("GOOGLETRANSLATE(D:D,""auto"",""en"")"),"Kitty Zhang Yi heart and surrender")</f>
        <v>Kitty Zhang Yi heart and surrender</v>
      </c>
      <c r="D41" s="5" t="s">
        <v>109</v>
      </c>
      <c r="E41" s="4">
        <v>176019</v>
      </c>
    </row>
    <row r="42" spans="1:5" ht="13.5" hidden="1" customHeight="1">
      <c r="A42" s="4" t="s">
        <v>110</v>
      </c>
      <c r="B42" s="4" t="s">
        <v>55</v>
      </c>
      <c r="C42" s="4" t="str">
        <f ca="1">IFERROR(__xludf.DUMMYFUNCTION("GOOGLETRANSLATE(D:D,""auto"",""en"")"),"Kim Huan performances misplaced song")</f>
        <v>Kim Huan performances misplaced song</v>
      </c>
      <c r="D42" s="5" t="s">
        <v>111</v>
      </c>
      <c r="E42" s="4">
        <v>170250</v>
      </c>
    </row>
    <row r="43" spans="1:5" ht="13.5" hidden="1" customHeight="1">
      <c r="A43" s="4" t="s">
        <v>105</v>
      </c>
      <c r="B43" s="4" t="s">
        <v>112</v>
      </c>
      <c r="C43" s="4" t="str">
        <f ca="1">IFERROR(__xludf.DUMMYFUNCTION("GOOGLETRANSLATE(D:D,""auto"",""en"")"),"New Year's party performance playing stick roll")</f>
        <v>New Year's party performance playing stick roll</v>
      </c>
      <c r="D43" s="5" t="s">
        <v>113</v>
      </c>
      <c r="E43" s="4">
        <v>154853</v>
      </c>
    </row>
    <row r="44" spans="1:5" ht="13.5" hidden="1" customHeight="1">
      <c r="A44" s="4" t="s">
        <v>105</v>
      </c>
      <c r="B44" s="4" t="s">
        <v>112</v>
      </c>
      <c r="C44" s="4" t="str">
        <f ca="1">IFERROR(__xludf.DUMMYFUNCTION("GOOGLETRANSLATE(D:D,""auto"",""en"")"),"MBC Songs Festival")</f>
        <v>MBC Songs Festival</v>
      </c>
      <c r="D44" s="5" t="s">
        <v>114</v>
      </c>
      <c r="E44" s="4">
        <v>146076</v>
      </c>
    </row>
    <row r="45" spans="1:5" ht="13.5" hidden="1" customHeight="1">
      <c r="A45" s="4" t="s">
        <v>115</v>
      </c>
      <c r="B45" s="4" t="s">
        <v>97</v>
      </c>
      <c r="C45" s="4" t="str">
        <f ca="1">IFERROR(__xludf.DUMMYFUNCTION("GOOGLETRANSLATE(D:D,""auto"",""en"")"),"Shandong high-speed rail")</f>
        <v>Shandong high-speed rail</v>
      </c>
      <c r="D45" s="5" t="s">
        <v>116</v>
      </c>
      <c r="E45" s="4">
        <v>142887</v>
      </c>
    </row>
    <row r="46" spans="1:5" ht="13.5" hidden="1" customHeight="1">
      <c r="A46" s="4" t="s">
        <v>117</v>
      </c>
      <c r="B46" s="4" t="s">
        <v>118</v>
      </c>
      <c r="C46" s="4" t="str">
        <f ca="1">IFERROR(__xludf.DUMMYFUNCTION("GOOGLETRANSLATE(D:D,""auto"",""en"")"),"A New Year's Eve people do not sweet")</f>
        <v>A New Year's Eve people do not sweet</v>
      </c>
      <c r="D46" s="5" t="s">
        <v>119</v>
      </c>
      <c r="E46" s="4">
        <v>135186</v>
      </c>
    </row>
    <row r="47" spans="1:5" ht="13.5" hidden="1" customHeight="1">
      <c r="A47" s="4" t="s">
        <v>120</v>
      </c>
      <c r="B47" s="4" t="s">
        <v>121</v>
      </c>
      <c r="C47" s="4" t="str">
        <f ca="1">IFERROR(__xludf.DUMMYFUNCTION("GOOGLETRANSLATE(D:D,""auto"",""en"")"),"Chengdu university teachers and students, please free to eat lamb")</f>
        <v>Chengdu university teachers and students, please free to eat lamb</v>
      </c>
      <c r="D47" s="5" t="s">
        <v>122</v>
      </c>
      <c r="E47" s="4">
        <v>128002</v>
      </c>
    </row>
    <row r="48" spans="1:5" ht="13.5" hidden="1" customHeight="1">
      <c r="A48" s="4" t="s">
        <v>123</v>
      </c>
      <c r="B48" s="4" t="s">
        <v>124</v>
      </c>
      <c r="C48" s="4" t="str">
        <f ca="1">IFERROR(__xludf.DUMMYFUNCTION("GOOGLETRANSLATE(D:D,""auto"",""en"")"),"Chinese wedding dress how beautiful")</f>
        <v>Chinese wedding dress how beautiful</v>
      </c>
      <c r="D48" s="5" t="s">
        <v>125</v>
      </c>
      <c r="E48" s="4">
        <v>117780</v>
      </c>
    </row>
    <row r="49" spans="1:5" ht="13.5" hidden="1" customHeight="1">
      <c r="A49" s="4" t="s">
        <v>126</v>
      </c>
      <c r="B49" s="4" t="s">
        <v>127</v>
      </c>
      <c r="C49" s="4" t="str">
        <f ca="1">IFERROR(__xludf.DUMMYFUNCTION("GOOGLETRANSLATE(D:D,""auto"",""en"")"),"Yue Yue porridge")</f>
        <v>Yue Yue porridge</v>
      </c>
      <c r="D49" s="5" t="s">
        <v>128</v>
      </c>
      <c r="E49" s="4">
        <v>103485</v>
      </c>
    </row>
    <row r="50" spans="1:5" ht="13.5" hidden="1" customHeight="1">
      <c r="C50" s="4" t="str">
        <f ca="1">IFERROR(__xludf.DUMMYFUNCTION("GOOGLETRANSLATE(D:D,""auto"",""en"")"),"#VALUE!")</f>
        <v>#VALUE!</v>
      </c>
    </row>
    <row r="51" spans="1:5" ht="13.5" hidden="1" customHeight="1">
      <c r="A51" s="4" t="s">
        <v>129</v>
      </c>
      <c r="B51" s="4" t="s">
        <v>130</v>
      </c>
      <c r="C51" s="4" t="str">
        <f ca="1">IFERROR(__xludf.DUMMYFUNCTION("GOOGLETRANSLATE(D:D,""auto"",""en"")"),"New Year's Eve ratings")</f>
        <v>New Year's Eve ratings</v>
      </c>
      <c r="D51" s="4" t="s">
        <v>131</v>
      </c>
      <c r="E51" s="4">
        <v>3815825</v>
      </c>
    </row>
    <row r="52" spans="1:5" ht="13.5" hidden="1" customHeight="1">
      <c r="A52" s="4" t="s">
        <v>132</v>
      </c>
      <c r="B52" s="4" t="s">
        <v>133</v>
      </c>
      <c r="C52" s="4" t="str">
        <f ca="1">IFERROR(__xludf.DUMMYFUNCTION("GOOGLETRANSLATE(D:D,""auto"",""en"")"),"Beijing Maternity Hospital's first baby after 20")</f>
        <v>Beijing Maternity Hospital's first baby after 20</v>
      </c>
      <c r="D52" s="5" t="s">
        <v>134</v>
      </c>
      <c r="E52" s="4">
        <v>3036433</v>
      </c>
    </row>
    <row r="53" spans="1:5" ht="13.5" hidden="1" customHeight="1">
      <c r="A53" s="4" t="s">
        <v>135</v>
      </c>
      <c r="B53" s="4" t="s">
        <v>136</v>
      </c>
      <c r="C53" s="4" t="str">
        <f ca="1">IFERROR(__xludf.DUMMYFUNCTION("GOOGLETRANSLATE(D:D,""auto"",""en"")"),"Aaron Wolf disco listen to what it feels like")</f>
        <v>Aaron Wolf disco listen to what it feels like</v>
      </c>
      <c r="D53" s="5" t="s">
        <v>137</v>
      </c>
      <c r="E53" s="4">
        <v>2892433</v>
      </c>
    </row>
    <row r="54" spans="1:5" ht="13.5" hidden="1" customHeight="1">
      <c r="A54" s="4" t="s">
        <v>138</v>
      </c>
      <c r="B54" s="4" t="s">
        <v>139</v>
      </c>
      <c r="C54" s="4" t="str">
        <f ca="1">IFERROR(__xludf.DUMMYFUNCTION("GOOGLETRANSLATE(D:D,""auto"",""en"")"),"Mike")</f>
        <v>Mike</v>
      </c>
      <c r="D54" s="5" t="s">
        <v>140</v>
      </c>
      <c r="E54" s="4">
        <v>1988725</v>
      </c>
    </row>
    <row r="55" spans="1:5" ht="13.5" hidden="1" customHeight="1">
      <c r="A55" s="4" t="s">
        <v>141</v>
      </c>
      <c r="B55" s="4" t="s">
        <v>142</v>
      </c>
      <c r="C55" s="4" t="str">
        <f ca="1">IFERROR(__xludf.DUMMYFUNCTION("GOOGLETRANSLATE(D:D,""auto"",""en"")"),"Bella articles and Godfrey farewell")</f>
        <v>Bella articles and Godfrey farewell</v>
      </c>
      <c r="D55" s="5" t="s">
        <v>143</v>
      </c>
      <c r="E55" s="4">
        <v>1721164</v>
      </c>
    </row>
    <row r="56" spans="1:5" ht="13.5" hidden="1" customHeight="1">
      <c r="A56" s="4" t="s">
        <v>144</v>
      </c>
      <c r="B56" s="4" t="s">
        <v>145</v>
      </c>
      <c r="C56" s="4" t="str">
        <f ca="1">IFERROR(__xludf.DUMMYFUNCTION("GOOGLETRANSLATE(D:D,""auto"",""en"")"),"2020 There are five magical Saturday")</f>
        <v>2020 There are five magical Saturday</v>
      </c>
      <c r="D56" s="5" t="s">
        <v>146</v>
      </c>
      <c r="E56" s="4">
        <v>1631336</v>
      </c>
    </row>
    <row r="57" spans="1:5" ht="13.5" hidden="1" customHeight="1">
      <c r="A57" s="4" t="s">
        <v>147</v>
      </c>
      <c r="B57" s="4" t="s">
        <v>47</v>
      </c>
      <c r="C57" s="4" t="str">
        <f ca="1">IFERROR(__xludf.DUMMYFUNCTION("GOOGLETRANSLATE(D:D,""auto"",""en"")"),"After 90 over Liucheng pressure from housing and car")</f>
        <v>After 90 over Liucheng pressure from housing and car</v>
      </c>
      <c r="D57" s="5" t="s">
        <v>148</v>
      </c>
      <c r="E57" s="4">
        <v>1576704</v>
      </c>
    </row>
    <row r="58" spans="1:5" ht="13.5" hidden="1" customHeight="1">
      <c r="A58" s="4" t="s">
        <v>149</v>
      </c>
      <c r="B58" s="4" t="s">
        <v>150</v>
      </c>
      <c r="C58" s="4" t="str">
        <f ca="1">IFERROR(__xludf.DUMMYFUNCTION("GOOGLETRANSLATE(D:D,""auto"",""en"")"),"New Year's first flag-raising")</f>
        <v>New Year's first flag-raising</v>
      </c>
      <c r="D58" s="5" t="s">
        <v>151</v>
      </c>
      <c r="E58" s="4">
        <v>1571023</v>
      </c>
    </row>
    <row r="59" spans="1:5" ht="13.5" hidden="1" customHeight="1">
      <c r="A59" s="4" t="s">
        <v>152</v>
      </c>
      <c r="B59" s="4" t="s">
        <v>153</v>
      </c>
      <c r="C59" s="4" t="str">
        <f ca="1">IFERROR(__xludf.DUMMYFUNCTION("GOOGLETRANSLATE(D:D,""auto"",""en"")"),"Hunan Satellite reason indiscriminately shot")</f>
        <v>Hunan Satellite reason indiscriminately shot</v>
      </c>
      <c r="D59" s="5" t="s">
        <v>154</v>
      </c>
      <c r="E59" s="4">
        <v>1569714</v>
      </c>
    </row>
    <row r="60" spans="1:5" ht="13.5" hidden="1" customHeight="1">
      <c r="A60" s="4" t="s">
        <v>155</v>
      </c>
      <c r="B60" s="4" t="s">
        <v>44</v>
      </c>
      <c r="C60" s="4" t="str">
        <f ca="1">IFERROR(__xludf.DUMMYFUNCTION("GOOGLETRANSLATE(D:D,""auto"",""en"")"),"Wu Xin state")</f>
        <v>Wu Xin state</v>
      </c>
      <c r="D60" s="5" t="s">
        <v>156</v>
      </c>
      <c r="E60" s="4">
        <v>1296857</v>
      </c>
    </row>
    <row r="61" spans="1:5" ht="13.5" hidden="1" customHeight="1">
      <c r="A61" s="4" t="s">
        <v>157</v>
      </c>
      <c r="B61" s="4" t="s">
        <v>158</v>
      </c>
      <c r="C61" s="4" t="str">
        <f ca="1">IFERROR(__xludf.DUMMYFUNCTION("GOOGLETRANSLATE(D:D,""auto"",""en"")"),"CCTV presided over the group's 2019 days")</f>
        <v>CCTV presided over the group's 2019 days</v>
      </c>
      <c r="D61" s="5" t="s">
        <v>159</v>
      </c>
      <c r="E61" s="4">
        <v>1278470</v>
      </c>
    </row>
    <row r="62" spans="1:5" ht="13.5" hidden="1" customHeight="1">
      <c r="A62" s="4" t="s">
        <v>160</v>
      </c>
      <c r="B62" s="4" t="s">
        <v>161</v>
      </c>
      <c r="C62" s="4" t="str">
        <f ca="1">IFERROR(__xludf.DUMMYFUNCTION("GOOGLETRANSLATE(D:D,""auto"",""en"")"),"The first batch of 30 after ninety")</f>
        <v>The first batch of 30 after ninety</v>
      </c>
      <c r="D62" s="5" t="s">
        <v>162</v>
      </c>
      <c r="E62" s="4">
        <v>1200498</v>
      </c>
    </row>
    <row r="63" spans="1:5" ht="13.5" hidden="1" customHeight="1">
      <c r="A63" s="4" t="s">
        <v>157</v>
      </c>
      <c r="B63" s="4" t="s">
        <v>163</v>
      </c>
      <c r="C63" s="4" t="str">
        <f ca="1">IFERROR(__xludf.DUMMYFUNCTION("GOOGLETRANSLATE(D:D,""auto"",""en"")"),"Pet eggs")</f>
        <v>Pet eggs</v>
      </c>
      <c r="D63" s="5" t="s">
        <v>164</v>
      </c>
      <c r="E63" s="4">
        <v>1144549</v>
      </c>
    </row>
    <row r="64" spans="1:5" ht="13.5" hidden="1" customHeight="1">
      <c r="A64" s="4" t="s">
        <v>165</v>
      </c>
      <c r="B64" s="4" t="s">
        <v>47</v>
      </c>
      <c r="C64" s="4" t="str">
        <f ca="1">IFERROR(__xludf.DUMMYFUNCTION("GOOGLETRANSLATE(D:D,""auto"",""en"")"),"2020 Calendar fake fight")</f>
        <v>2020 Calendar fake fight</v>
      </c>
      <c r="D64" s="5" t="s">
        <v>166</v>
      </c>
      <c r="E64" s="4">
        <v>1094585</v>
      </c>
    </row>
    <row r="65" spans="1:5" ht="13.5" hidden="1" customHeight="1">
      <c r="A65" s="4" t="s">
        <v>13</v>
      </c>
      <c r="B65" s="4" t="s">
        <v>14</v>
      </c>
      <c r="C65" s="4" t="str">
        <f ca="1">IFERROR(__xludf.DUMMYFUNCTION("GOOGLETRANSLATE(D:D,""auto"",""en"")"),"Lip-synching")</f>
        <v>Lip-synching</v>
      </c>
      <c r="D65" s="5" t="s">
        <v>15</v>
      </c>
      <c r="E65" s="4">
        <v>1025675</v>
      </c>
    </row>
    <row r="66" spans="1:5" ht="13.5" hidden="1" customHeight="1">
      <c r="A66" s="4" t="s">
        <v>167</v>
      </c>
      <c r="B66" s="4" t="s">
        <v>168</v>
      </c>
      <c r="C66" s="4" t="str">
        <f ca="1">IFERROR(__xludf.DUMMYFUNCTION("GOOGLETRANSLATE(D:D,""auto"",""en"")"),"Alipay red envelope")</f>
        <v>Alipay red envelope</v>
      </c>
      <c r="D66" s="5" t="s">
        <v>169</v>
      </c>
      <c r="E66" s="4">
        <v>1006927</v>
      </c>
    </row>
    <row r="67" spans="1:5" ht="13.5" hidden="1" customHeight="1">
      <c r="A67" s="4" t="s">
        <v>170</v>
      </c>
      <c r="B67" s="4" t="s">
        <v>171</v>
      </c>
      <c r="C67" s="4" t="str">
        <f ca="1">IFERROR(__xludf.DUMMYFUNCTION("GOOGLETRANSLATE(D:D,""auto"",""en"")"),"D Club")</f>
        <v>D Club</v>
      </c>
      <c r="D67" s="5" t="s">
        <v>172</v>
      </c>
      <c r="E67" s="4">
        <v>956681</v>
      </c>
    </row>
    <row r="68" spans="1:5" ht="13.5" hidden="1" customHeight="1">
      <c r="A68" s="4" t="s">
        <v>173</v>
      </c>
      <c r="B68" s="4" t="s">
        <v>174</v>
      </c>
      <c r="C68" s="4" t="str">
        <f ca="1">IFERROR(__xludf.DUMMYFUNCTION("GOOGLETRANSLATE(D:D,""auto"",""en"")"),"2020 research schedule")</f>
        <v>2020 research schedule</v>
      </c>
      <c r="D68" s="5" t="s">
        <v>175</v>
      </c>
      <c r="E68" s="4">
        <v>570358</v>
      </c>
    </row>
    <row r="69" spans="1:5" ht="13.5" hidden="1" customHeight="1">
      <c r="A69" s="4" t="s">
        <v>176</v>
      </c>
      <c r="B69" s="4" t="s">
        <v>150</v>
      </c>
      <c r="C69" s="4" t="str">
        <f ca="1">IFERROR(__xludf.DUMMYFUNCTION("GOOGLETRANSLATE(D:D,""auto"",""en"")"),"Li show the way to wipe lipstick")</f>
        <v>Li show the way to wipe lipstick</v>
      </c>
      <c r="D69" s="5" t="s">
        <v>177</v>
      </c>
      <c r="E69" s="4">
        <v>567818</v>
      </c>
    </row>
    <row r="70" spans="1:5" ht="13.5" hidden="1" customHeight="1">
      <c r="A70" s="4" t="s">
        <v>178</v>
      </c>
      <c r="B70" s="4" t="s">
        <v>179</v>
      </c>
      <c r="C70" s="4" t="str">
        <f ca="1">IFERROR(__xludf.DUMMYFUNCTION("GOOGLETRANSLATE(D:D,""auto"",""en"")"),"Last year to this year's takeaway")</f>
        <v>Last year to this year's takeaway</v>
      </c>
      <c r="D70" s="5" t="s">
        <v>180</v>
      </c>
      <c r="E70" s="4">
        <v>564985</v>
      </c>
    </row>
    <row r="71" spans="1:5" ht="13.5" hidden="1" customHeight="1">
      <c r="A71" s="4" t="s">
        <v>165</v>
      </c>
      <c r="B71" s="4" t="s">
        <v>181</v>
      </c>
      <c r="C71" s="4" t="str">
        <f ca="1">IFERROR(__xludf.DUMMYFUNCTION("GOOGLETRANSLATE(D:D,""auto"",""en"")"),"United Nations staff exposure status quo Assange")</f>
        <v>United Nations staff exposure status quo Assange</v>
      </c>
      <c r="D71" s="5" t="s">
        <v>182</v>
      </c>
      <c r="E71" s="4">
        <v>476913</v>
      </c>
    </row>
    <row r="72" spans="1:5" ht="13.5" hidden="1" customHeight="1">
      <c r="A72" s="4" t="s">
        <v>173</v>
      </c>
      <c r="B72" s="4" t="s">
        <v>54</v>
      </c>
      <c r="C72" s="4" t="str">
        <f ca="1">IFERROR(__xludf.DUMMYFUNCTION("GOOGLETRANSLATE(D:D,""auto"",""en"")"),"And sisters chat tigers of the word")</f>
        <v>And sisters chat tigers of the word</v>
      </c>
      <c r="D72" s="5" t="s">
        <v>183</v>
      </c>
      <c r="E72" s="4">
        <v>429269</v>
      </c>
    </row>
    <row r="73" spans="1:5" ht="13.5" hidden="1" customHeight="1">
      <c r="A73" s="4" t="s">
        <v>184</v>
      </c>
      <c r="B73" s="4" t="s">
        <v>185</v>
      </c>
      <c r="C73" s="4" t="str">
        <f ca="1">IFERROR(__xludf.DUMMYFUNCTION("GOOGLETRANSLATE(D:D,""auto"",""en"")"),"Zigong in Sichuan earthquake")</f>
        <v>Zigong in Sichuan earthquake</v>
      </c>
      <c r="D73" s="5" t="s">
        <v>186</v>
      </c>
      <c r="E73" s="4">
        <v>382230</v>
      </c>
    </row>
    <row r="74" spans="1:5" ht="13.5" hidden="1" customHeight="1">
      <c r="A74" s="4" t="s">
        <v>187</v>
      </c>
      <c r="B74" s="4" t="s">
        <v>188</v>
      </c>
      <c r="C74" s="4" t="str">
        <f ca="1">IFERROR(__xludf.DUMMYFUNCTION("GOOGLETRANSLATE(D:D,""auto"",""en"")"),"1 1 Ni Ni said expression package")</f>
        <v>1 1 Ni Ni said expression package</v>
      </c>
      <c r="D74" s="5" t="s">
        <v>189</v>
      </c>
      <c r="E74" s="4">
        <v>373667</v>
      </c>
    </row>
    <row r="75" spans="1:5" ht="13.5" hidden="1" customHeight="1">
      <c r="A75" s="4" t="s">
        <v>190</v>
      </c>
      <c r="B75" s="4" t="s">
        <v>191</v>
      </c>
      <c r="C75" s="4" t="str">
        <f ca="1">IFERROR(__xludf.DUMMYFUNCTION("GOOGLETRANSLATE(D:D,""auto"",""en"")"),"Wang Yibo ball head")</f>
        <v>Wang Yibo ball head</v>
      </c>
      <c r="D75" s="5" t="s">
        <v>192</v>
      </c>
      <c r="E75" s="4">
        <v>326267</v>
      </c>
    </row>
    <row r="76" spans="1:5" ht="13.5" hidden="1" customHeight="1">
      <c r="A76" s="4" t="s">
        <v>193</v>
      </c>
      <c r="B76" s="4" t="s">
        <v>194</v>
      </c>
      <c r="C76" s="4" t="str">
        <f ca="1">IFERROR(__xludf.DUMMYFUNCTION("GOOGLETRANSLATE(D:D,""auto"",""en"")"),"Happy New Year 2020")</f>
        <v>Happy New Year 2020</v>
      </c>
      <c r="D76" s="5" t="s">
        <v>195</v>
      </c>
      <c r="E76" s="4">
        <v>226322</v>
      </c>
    </row>
    <row r="77" spans="1:5" ht="13.5" hidden="1" customHeight="1">
      <c r="A77" s="4" t="s">
        <v>160</v>
      </c>
      <c r="B77" s="4" t="s">
        <v>196</v>
      </c>
      <c r="C77" s="4" t="str">
        <f ca="1">IFERROR(__xludf.DUMMYFUNCTION("GOOGLETRANSLATE(D:D,""auto"",""en"")"),"A child that age would get married")</f>
        <v>A child that age would get married</v>
      </c>
      <c r="D77" s="5" t="s">
        <v>197</v>
      </c>
      <c r="E77" s="4">
        <v>219223</v>
      </c>
    </row>
    <row r="78" spans="1:5" ht="13.5" hidden="1" customHeight="1">
      <c r="A78" s="4" t="s">
        <v>198</v>
      </c>
      <c r="B78" s="4" t="s">
        <v>54</v>
      </c>
      <c r="C78" s="4" t="str">
        <f ca="1">IFERROR(__xludf.DUMMYFUNCTION("GOOGLETRANSLATE(D:D,""auto"",""en"")"),"Well-off")</f>
        <v>Well-off</v>
      </c>
      <c r="D78" s="5" t="s">
        <v>199</v>
      </c>
      <c r="E78" s="4">
        <v>182513</v>
      </c>
    </row>
    <row r="79" spans="1:5" ht="13.5" hidden="1" customHeight="1">
      <c r="A79" s="4" t="s">
        <v>200</v>
      </c>
      <c r="B79" s="4" t="s">
        <v>201</v>
      </c>
      <c r="C79" s="4" t="str">
        <f ca="1">IFERROR(__xludf.DUMMYFUNCTION("GOOGLETRANSLATE(D:D,""auto"",""en"")"),"Yang Mi RAP")</f>
        <v>Yang Mi RAP</v>
      </c>
      <c r="D79" s="5" t="s">
        <v>202</v>
      </c>
      <c r="E79" s="4">
        <v>181233</v>
      </c>
    </row>
    <row r="80" spans="1:5" ht="13.5" hidden="1" customHeight="1">
      <c r="A80" s="4" t="s">
        <v>203</v>
      </c>
      <c r="B80" s="4" t="s">
        <v>204</v>
      </c>
      <c r="C80" s="4" t="str">
        <f ca="1">IFERROR(__xludf.DUMMYFUNCTION("GOOGLETRANSLATE(D:D,""auto"",""en"")"),"Xiaozhan years MV")</f>
        <v>Xiaozhan years MV</v>
      </c>
      <c r="D80" s="5" t="s">
        <v>205</v>
      </c>
      <c r="E80" s="4">
        <v>181062</v>
      </c>
    </row>
    <row r="81" spans="1:5" ht="13.5" hidden="1" customHeight="1">
      <c r="A81" s="4" t="s">
        <v>206</v>
      </c>
      <c r="B81" s="4" t="s">
        <v>207</v>
      </c>
      <c r="C81" s="4" t="str">
        <f ca="1">IFERROR(__xludf.DUMMYFUNCTION("GOOGLETRANSLATE(D:D,""auto"",""en"")"),"What kind of boyfriend most sultry")</f>
        <v>What kind of boyfriend most sultry</v>
      </c>
      <c r="D81" s="5" t="s">
        <v>208</v>
      </c>
      <c r="E81" s="4">
        <v>180822</v>
      </c>
    </row>
    <row r="82" spans="1:5" ht="13.5" hidden="1" customHeight="1">
      <c r="A82" s="4" t="s">
        <v>209</v>
      </c>
      <c r="B82" s="4" t="s">
        <v>210</v>
      </c>
      <c r="C82" s="4" t="str">
        <f ca="1">IFERROR(__xludf.DUMMYFUNCTION("GOOGLETRANSLATE(D:D,""auto"",""en"")"),"The sweetest thing happened with the opposite sex too")</f>
        <v>The sweetest thing happened with the opposite sex too</v>
      </c>
      <c r="D82" s="5" t="s">
        <v>211</v>
      </c>
      <c r="E82" s="4">
        <v>179828</v>
      </c>
    </row>
    <row r="83" spans="1:5" ht="13.5" hidden="1" customHeight="1">
      <c r="A83" s="4" t="s">
        <v>212</v>
      </c>
      <c r="B83" s="4" t="s">
        <v>153</v>
      </c>
      <c r="C83" s="4" t="str">
        <f ca="1">IFERROR(__xludf.DUMMYFUNCTION("GOOGLETRANSLATE(D:D,""auto"",""en"")"),"Hong Kong DAB wish peace petition launched 2020")</f>
        <v>Hong Kong DAB wish peace petition launched 2020</v>
      </c>
      <c r="D83" s="5" t="s">
        <v>213</v>
      </c>
      <c r="E83" s="4">
        <v>168711</v>
      </c>
    </row>
    <row r="84" spans="1:5" ht="13.5" hidden="1" customHeight="1">
      <c r="A84" s="4" t="s">
        <v>160</v>
      </c>
      <c r="B84" s="4" t="s">
        <v>54</v>
      </c>
      <c r="C84" s="4" t="str">
        <f ca="1">IFERROR(__xludf.DUMMYFUNCTION("GOOGLETRANSLATE(D:D,""auto"",""en"")"),"Wu Yifan shook hands")</f>
        <v>Wu Yifan shook hands</v>
      </c>
      <c r="D84" s="5" t="s">
        <v>214</v>
      </c>
      <c r="E84" s="4">
        <v>166357</v>
      </c>
    </row>
    <row r="85" spans="1:5" ht="13.5" hidden="1" customHeight="1">
      <c r="A85" s="4" t="s">
        <v>209</v>
      </c>
      <c r="B85" s="4" t="s">
        <v>215</v>
      </c>
      <c r="C85" s="4" t="str">
        <f ca="1">IFERROR(__xludf.DUMMYFUNCTION("GOOGLETRANSLATE(D:D,""auto"",""en"")"),"The sky crane shave")</f>
        <v>The sky crane shave</v>
      </c>
      <c r="D85" s="5" t="s">
        <v>216</v>
      </c>
      <c r="E85" s="4">
        <v>165465</v>
      </c>
    </row>
    <row r="86" spans="1:5" ht="13.5" hidden="1" customHeight="1">
      <c r="A86" s="4" t="s">
        <v>217</v>
      </c>
      <c r="B86" s="4" t="s">
        <v>54</v>
      </c>
      <c r="C86" s="4" t="str">
        <f ca="1">IFERROR(__xludf.DUMMYFUNCTION("GOOGLETRANSLATE(D:D,""auto"",""en"")"),"London New Year's Eve fireworks")</f>
        <v>London New Year's Eve fireworks</v>
      </c>
      <c r="D86" s="5" t="s">
        <v>218</v>
      </c>
      <c r="E86" s="4">
        <v>161153</v>
      </c>
    </row>
    <row r="87" spans="1:5" ht="13.5" hidden="1" customHeight="1">
      <c r="A87" s="4" t="s">
        <v>219</v>
      </c>
      <c r="B87" s="4" t="s">
        <v>204</v>
      </c>
      <c r="C87" s="4" t="str">
        <f ca="1">IFERROR(__xludf.DUMMYFUNCTION("GOOGLETRANSLATE(D:D,""auto"",""en"")"),"A large number of wild Siberian tigers and leopards precious screen")</f>
        <v>A large number of wild Siberian tigers and leopards precious screen</v>
      </c>
      <c r="D87" s="5" t="s">
        <v>220</v>
      </c>
      <c r="E87" s="4">
        <v>160015</v>
      </c>
    </row>
    <row r="88" spans="1:5" ht="13.5" hidden="1" customHeight="1">
      <c r="A88" s="4" t="s">
        <v>221</v>
      </c>
      <c r="B88" s="4" t="s">
        <v>191</v>
      </c>
      <c r="C88" s="4" t="str">
        <f ca="1">IFERROR(__xludf.DUMMYFUNCTION("GOOGLETRANSLATE(D:D,""auto"",""en"")"),"Mass blessing is necessary to return it")</f>
        <v>Mass blessing is necessary to return it</v>
      </c>
      <c r="D88" s="5" t="s">
        <v>222</v>
      </c>
      <c r="E88" s="4">
        <v>141760</v>
      </c>
    </row>
    <row r="89" spans="1:5" ht="13.5" hidden="1" customHeight="1">
      <c r="A89" s="4" t="s">
        <v>223</v>
      </c>
      <c r="B89" s="4" t="s">
        <v>224</v>
      </c>
      <c r="C89" s="4" t="str">
        <f ca="1">IFERROR(__xludf.DUMMYFUNCTION("GOOGLETRANSLATE(D:D,""auto"",""en"")"),"Wang Yibo professional actions do not imitate")</f>
        <v>Wang Yibo professional actions do not imitate</v>
      </c>
      <c r="D89" s="5" t="s">
        <v>225</v>
      </c>
      <c r="E89" s="4">
        <v>141662</v>
      </c>
    </row>
    <row r="90" spans="1:5" ht="13.5" hidden="1" customHeight="1">
      <c r="A90" s="4" t="s">
        <v>226</v>
      </c>
      <c r="B90" s="4" t="s">
        <v>37</v>
      </c>
      <c r="C90" s="4" t="str">
        <f ca="1">IFERROR(__xludf.DUMMYFUNCTION("GOOGLETRANSLATE(D:D,""auto"",""en"")"),"Jackson Wang fried good site")</f>
        <v>Jackson Wang fried good site</v>
      </c>
      <c r="D90" s="5" t="s">
        <v>227</v>
      </c>
      <c r="E90" s="4">
        <v>141381</v>
      </c>
    </row>
    <row r="91" spans="1:5" ht="13.5" hidden="1" customHeight="1">
      <c r="A91" s="4" t="s">
        <v>228</v>
      </c>
      <c r="B91" s="4" t="s">
        <v>179</v>
      </c>
      <c r="C91" s="4" t="str">
        <f ca="1">IFERROR(__xludf.DUMMYFUNCTION("GOOGLETRANSLATE(D:D,""auto"",""en"")"),"2020 The first ray of sunshine")</f>
        <v>2020 The first ray of sunshine</v>
      </c>
      <c r="D91" s="5" t="s">
        <v>229</v>
      </c>
      <c r="E91" s="4">
        <v>140878</v>
      </c>
    </row>
    <row r="92" spans="1:5" ht="13.5" hidden="1" customHeight="1">
      <c r="A92" s="4" t="s">
        <v>230</v>
      </c>
      <c r="B92" s="4" t="s">
        <v>150</v>
      </c>
      <c r="C92" s="4" t="str">
        <f ca="1">IFERROR(__xludf.DUMMYFUNCTION("GOOGLETRANSLATE(D:D,""auto"",""en"")"),"One with eight bullet holes in applications to join the party")</f>
        <v>One with eight bullet holes in applications to join the party</v>
      </c>
      <c r="D92" s="5" t="s">
        <v>231</v>
      </c>
      <c r="E92" s="4">
        <v>136051</v>
      </c>
    </row>
    <row r="93" spans="1:5" ht="13.5" hidden="1" customHeight="1">
      <c r="A93" s="4" t="s">
        <v>232</v>
      </c>
      <c r="B93" s="4" t="s">
        <v>47</v>
      </c>
      <c r="C93" s="4" t="str">
        <f ca="1">IFERROR(__xludf.DUMMYFUNCTION("GOOGLETRANSLATE(D:D,""auto"",""en"")"),"2019 spent most of the money")</f>
        <v>2019 spent most of the money</v>
      </c>
      <c r="D93" s="5" t="s">
        <v>233</v>
      </c>
      <c r="E93" s="4">
        <v>131688</v>
      </c>
    </row>
    <row r="94" spans="1:5" ht="13.5" hidden="1" customHeight="1">
      <c r="A94" s="4" t="s">
        <v>52</v>
      </c>
      <c r="B94" s="4" t="s">
        <v>102</v>
      </c>
      <c r="C94" s="4" t="str">
        <f ca="1">IFERROR(__xludf.DUMMYFUNCTION("GOOGLETRANSLATE(D:D,""auto"",""en"")"),"Boy response")</f>
        <v>Boy response</v>
      </c>
      <c r="D94" s="5" t="s">
        <v>234</v>
      </c>
      <c r="E94" s="4">
        <v>95844</v>
      </c>
    </row>
    <row r="95" spans="1:5" ht="13.5" hidden="1" customHeight="1">
      <c r="A95" s="4" t="s">
        <v>52</v>
      </c>
      <c r="B95" s="4" t="s">
        <v>23</v>
      </c>
      <c r="C95" s="4" t="str">
        <f ca="1">IFERROR(__xludf.DUMMYFUNCTION("GOOGLETRANSLATE(D:D,""auto"",""en"")"),"Bund New Year's Eve")</f>
        <v>Bund New Year's Eve</v>
      </c>
      <c r="D95" s="5" t="s">
        <v>53</v>
      </c>
      <c r="E95" s="4">
        <v>94683</v>
      </c>
    </row>
    <row r="96" spans="1:5" ht="13.5" hidden="1" customHeight="1">
      <c r="A96" s="4" t="s">
        <v>221</v>
      </c>
      <c r="B96" s="4" t="s">
        <v>235</v>
      </c>
      <c r="C96" s="4" t="str">
        <f ca="1">IFERROR(__xludf.DUMMYFUNCTION("GOOGLETRANSLATE(D:D,""auto"",""en"")"),"pet")</f>
        <v>pet</v>
      </c>
      <c r="D96" s="5" t="s">
        <v>236</v>
      </c>
      <c r="E96" s="4">
        <v>92207</v>
      </c>
    </row>
    <row r="97" spans="1:5" ht="13.5" hidden="1" customHeight="1">
      <c r="A97" s="4" t="s">
        <v>52</v>
      </c>
      <c r="B97" s="4" t="s">
        <v>110</v>
      </c>
      <c r="C97" s="4" t="str">
        <f ca="1">IFERROR(__xludf.DUMMYFUNCTION("GOOGLETRANSLATE(D:D,""auto"",""en"")"),"2020 Pictures")</f>
        <v>2020 Pictures</v>
      </c>
      <c r="D97" s="5" t="s">
        <v>237</v>
      </c>
      <c r="E97" s="4">
        <v>90612</v>
      </c>
    </row>
    <row r="98" spans="1:5" ht="13.5" hidden="1" customHeight="1">
      <c r="A98" s="4" t="s">
        <v>226</v>
      </c>
      <c r="B98" s="4" t="s">
        <v>210</v>
      </c>
      <c r="C98" s="4" t="str">
        <f ca="1">IFERROR(__xludf.DUMMYFUNCTION("GOOGLETRANSLATE(D:D,""auto"",""en"")"),"2019 Report of Love")</f>
        <v>2019 Report of Love</v>
      </c>
      <c r="D98" s="5" t="s">
        <v>238</v>
      </c>
      <c r="E98" s="4">
        <v>90526</v>
      </c>
    </row>
    <row r="99" spans="1:5" ht="13.5" hidden="1" customHeight="1">
      <c r="A99" s="4" t="s">
        <v>239</v>
      </c>
      <c r="B99" s="4" t="s">
        <v>168</v>
      </c>
      <c r="C99" s="4" t="str">
        <f ca="1">IFERROR(__xludf.DUMMYFUNCTION("GOOGLETRANSLATE(D:D,""auto"",""en"")"),"New Year's Day flag-raising special link")</f>
        <v>New Year's Day flag-raising special link</v>
      </c>
      <c r="D99" s="5" t="s">
        <v>240</v>
      </c>
      <c r="E99" s="4">
        <v>87025</v>
      </c>
    </row>
    <row r="100" spans="1:5" ht="13.5" hidden="1" customHeight="1">
      <c r="C100" s="4" t="str">
        <f ca="1">IFERROR(__xludf.DUMMYFUNCTION("GOOGLETRANSLATE(D:D,""auto"",""en"")"),"#VALUE!")</f>
        <v>#VALUE!</v>
      </c>
    </row>
    <row r="101" spans="1:5" ht="13.5" hidden="1" customHeight="1">
      <c r="A101" s="4" t="s">
        <v>241</v>
      </c>
      <c r="B101" s="4" t="s">
        <v>242</v>
      </c>
      <c r="C101" s="4" t="str">
        <f ca="1">IFERROR(__xludf.DUMMYFUNCTION("GOOGLETRANSLATE(D:D,""auto"",""en"")"),"Why this change fast Kyung broadcast time")</f>
        <v>Why this change fast Kyung broadcast time</v>
      </c>
      <c r="D101" s="4" t="s">
        <v>243</v>
      </c>
      <c r="E101" s="4">
        <v>3329593</v>
      </c>
    </row>
    <row r="102" spans="1:5" ht="13.5" hidden="1" customHeight="1">
      <c r="A102" s="4" t="s">
        <v>244</v>
      </c>
      <c r="B102" s="4" t="s">
        <v>245</v>
      </c>
      <c r="C102" s="4" t="str">
        <f ca="1">IFERROR(__xludf.DUMMYFUNCTION("GOOGLETRANSLATE(D:D,""auto"",""en"")"),"Orange Island fireworks")</f>
        <v>Orange Island fireworks</v>
      </c>
      <c r="D102" s="5" t="s">
        <v>246</v>
      </c>
      <c r="E102" s="4">
        <v>2105294</v>
      </c>
    </row>
    <row r="103" spans="1:5" ht="13.5" hidden="1" customHeight="1">
      <c r="A103" s="4" t="s">
        <v>247</v>
      </c>
      <c r="B103" s="4" t="s">
        <v>248</v>
      </c>
      <c r="C103" s="4" t="str">
        <f ca="1">IFERROR(__xludf.DUMMYFUNCTION("GOOGLETRANSLATE(D:D,""auto"",""en"")"),"Qingyu in finale")</f>
        <v>Qingyu in finale</v>
      </c>
      <c r="D103" s="5" t="s">
        <v>249</v>
      </c>
      <c r="E103" s="4">
        <v>2068102</v>
      </c>
    </row>
    <row r="104" spans="1:5" ht="13.5" hidden="1" customHeight="1">
      <c r="A104" s="4" t="s">
        <v>250</v>
      </c>
      <c r="B104" s="4" t="s">
        <v>251</v>
      </c>
      <c r="C104" s="4" t="str">
        <f ca="1">IFERROR(__xludf.DUMMYFUNCTION("GOOGLETRANSLATE(D:D,""auto"",""en"")"),"Singer Lineups")</f>
        <v>Singer Lineups</v>
      </c>
      <c r="D104" s="5" t="s">
        <v>252</v>
      </c>
      <c r="E104" s="4">
        <v>1716392</v>
      </c>
    </row>
    <row r="105" spans="1:5" ht="13.5" hidden="1" customHeight="1">
      <c r="A105" s="4" t="s">
        <v>253</v>
      </c>
      <c r="B105" s="4" t="s">
        <v>254</v>
      </c>
      <c r="C105" s="4" t="str">
        <f ca="1">IFERROR(__xludf.DUMMYFUNCTION("GOOGLETRANSLATE(D:D,""auto"",""en"")"),"Greasy seen most overbearing president")</f>
        <v>Greasy seen most overbearing president</v>
      </c>
      <c r="D105" s="5" t="s">
        <v>255</v>
      </c>
      <c r="E105" s="4">
        <v>1064721</v>
      </c>
    </row>
    <row r="106" spans="1:5" ht="13.5" hidden="1" customHeight="1">
      <c r="A106" s="4" t="s">
        <v>253</v>
      </c>
      <c r="B106" s="4" t="s">
        <v>254</v>
      </c>
      <c r="C106" s="4" t="str">
        <f ca="1">IFERROR(__xludf.DUMMYFUNCTION("GOOGLETRANSLATE(D:D,""auto"",""en"")"),"He Yunchen Dengbing Ying Li Haoyuan get the offer")</f>
        <v>He Yunchen Dengbing Ying Li Haoyuan get the offer</v>
      </c>
      <c r="D106" s="5" t="s">
        <v>256</v>
      </c>
      <c r="E106" s="4">
        <v>983772</v>
      </c>
    </row>
    <row r="107" spans="1:5" ht="13.5" hidden="1" customHeight="1">
      <c r="A107" s="4" t="s">
        <v>257</v>
      </c>
      <c r="B107" s="4" t="s">
        <v>258</v>
      </c>
      <c r="C107" s="4" t="str">
        <f ca="1">IFERROR(__xludf.DUMMYFUNCTION("GOOGLETRANSLATE(D:D,""auto"",""en"")"),"Mainland Chinese New Year the first ray of dawn")</f>
        <v>Mainland Chinese New Year the first ray of dawn</v>
      </c>
      <c r="D107" s="5" t="s">
        <v>259</v>
      </c>
      <c r="E107" s="4">
        <v>947028</v>
      </c>
    </row>
    <row r="108" spans="1:5" ht="13.5" hidden="1" customHeight="1">
      <c r="A108" s="4" t="s">
        <v>260</v>
      </c>
      <c r="B108" s="4" t="s">
        <v>261</v>
      </c>
      <c r="C108" s="4" t="str">
        <f ca="1">IFERROR(__xludf.DUMMYFUNCTION("GOOGLETRANSLATE(D:D,""auto"",""en"")"),"Foreign leaders issued a New Year message")</f>
        <v>Foreign leaders issued a New Year message</v>
      </c>
      <c r="D108" s="5" t="s">
        <v>262</v>
      </c>
      <c r="E108" s="4">
        <v>945547</v>
      </c>
    </row>
    <row r="109" spans="1:5" ht="13.5" hidden="1" customHeight="1">
      <c r="A109" s="4" t="s">
        <v>263</v>
      </c>
      <c r="B109" s="4" t="s">
        <v>264</v>
      </c>
      <c r="C109" s="4" t="str">
        <f ca="1">IFERROR(__xludf.DUMMYFUNCTION("GOOGLETRANSLATE(D:D,""auto"",""en"")"),"Tang Fei")</f>
        <v>Tang Fei</v>
      </c>
      <c r="D109" s="5" t="s">
        <v>265</v>
      </c>
      <c r="E109" s="4">
        <v>945139</v>
      </c>
    </row>
    <row r="110" spans="1:5" ht="13.5" hidden="1" customHeight="1">
      <c r="A110" s="4" t="s">
        <v>266</v>
      </c>
      <c r="B110" s="4" t="s">
        <v>267</v>
      </c>
      <c r="C110" s="4" t="str">
        <f ca="1">IFERROR(__xludf.DUMMYFUNCTION("GOOGLETRANSLATE(D:D,""auto"",""en"")"),"Nanfentouqin Huang Zitao")</f>
        <v>Nanfentouqin Huang Zitao</v>
      </c>
      <c r="D110" s="5" t="s">
        <v>268</v>
      </c>
      <c r="E110" s="4">
        <v>621331</v>
      </c>
    </row>
    <row r="111" spans="1:5" ht="13.5" hidden="1" customHeight="1">
      <c r="A111" s="4" t="s">
        <v>269</v>
      </c>
      <c r="B111" s="4" t="s">
        <v>270</v>
      </c>
      <c r="C111" s="4" t="str">
        <f ca="1">IFERROR(__xludf.DUMMYFUNCTION("GOOGLETRANSLATE(D:D,""auto"",""en"")"),"Du Fuguo skilled tablet and video comrades")</f>
        <v>Du Fuguo skilled tablet and video comrades</v>
      </c>
      <c r="D111" s="5" t="s">
        <v>271</v>
      </c>
      <c r="E111" s="4">
        <v>610851</v>
      </c>
    </row>
    <row r="112" spans="1:5" ht="13.5" hidden="1" customHeight="1">
      <c r="A112" s="4" t="s">
        <v>266</v>
      </c>
      <c r="B112" s="4" t="s">
        <v>272</v>
      </c>
      <c r="C112" s="4" t="str">
        <f ca="1">IFERROR(__xludf.DUMMYFUNCTION("GOOGLETRANSLATE(D:D,""auto"",""en"")"),"Forbidden City 600 years old this year")</f>
        <v>Forbidden City 600 years old this year</v>
      </c>
      <c r="D112" s="5" t="s">
        <v>273</v>
      </c>
      <c r="E112" s="4">
        <v>600446</v>
      </c>
    </row>
    <row r="113" spans="1:6" ht="13.5" hidden="1" customHeight="1">
      <c r="A113" s="4" t="s">
        <v>274</v>
      </c>
      <c r="B113" s="4" t="s">
        <v>275</v>
      </c>
      <c r="C113" s="4" t="str">
        <f ca="1">IFERROR(__xludf.DUMMYFUNCTION("GOOGLETRANSLATE(D:D,""auto"",""en"")"),"Hotan watermelon barbecue")</f>
        <v>Hotan watermelon barbecue</v>
      </c>
      <c r="D113" s="5" t="s">
        <v>276</v>
      </c>
      <c r="E113" s="4">
        <v>572134</v>
      </c>
    </row>
    <row r="114" spans="1:6" ht="13.5" hidden="1" customHeight="1">
      <c r="A114" s="4" t="s">
        <v>277</v>
      </c>
      <c r="B114" s="4" t="s">
        <v>278</v>
      </c>
      <c r="C114" s="4" t="str">
        <f ca="1">IFERROR(__xludf.DUMMYFUNCTION("GOOGLETRANSLATE(D:D,""auto"",""en"")"),"Jiamusi eastern outskirts of the airport fire")</f>
        <v>Jiamusi eastern outskirts of the airport fire</v>
      </c>
      <c r="D114" s="5" t="s">
        <v>279</v>
      </c>
      <c r="E114" s="4">
        <v>559781</v>
      </c>
    </row>
    <row r="115" spans="1:6" ht="13.5" hidden="1" customHeight="1">
      <c r="A115" s="4" t="s">
        <v>280</v>
      </c>
      <c r="B115" s="4" t="s">
        <v>281</v>
      </c>
      <c r="C115" s="4" t="str">
        <f ca="1">IFERROR(__xludf.DUMMYFUNCTION("GOOGLETRANSLATE(D:D,""auto"",""en"")"),"420,000 tourists Shanghai Bund New Year's Eve")</f>
        <v>420,000 tourists Shanghai Bund New Year's Eve</v>
      </c>
      <c r="D115" s="5" t="s">
        <v>282</v>
      </c>
      <c r="E115" s="4">
        <v>544093</v>
      </c>
    </row>
    <row r="116" spans="1:6" ht="13.5" hidden="1" customHeight="1">
      <c r="A116" s="4" t="s">
        <v>283</v>
      </c>
      <c r="B116" s="4" t="s">
        <v>284</v>
      </c>
      <c r="C116" s="4" t="str">
        <f ca="1">IFERROR(__xludf.DUMMYFUNCTION("GOOGLETRANSLATE(D:D,""auto"",""en"")"),"Jung Eun-ji")</f>
        <v>Jung Eun-ji</v>
      </c>
      <c r="D116" s="5" t="s">
        <v>285</v>
      </c>
      <c r="E116" s="4">
        <v>526197</v>
      </c>
    </row>
    <row r="117" spans="1:6" ht="13.5" hidden="1" customHeight="1">
      <c r="A117" s="4" t="s">
        <v>286</v>
      </c>
      <c r="B117" s="4" t="s">
        <v>287</v>
      </c>
      <c r="C117" s="4" t="str">
        <f ca="1">IFERROR(__xludf.DUMMYFUNCTION("GOOGLETRANSLATE(D:D,""auto"",""en"")"),"Singer when the play")</f>
        <v>Singer when the play</v>
      </c>
      <c r="D117" s="5" t="s">
        <v>288</v>
      </c>
      <c r="E117" s="4">
        <v>513200</v>
      </c>
    </row>
    <row r="118" spans="1:6" ht="13.5" hidden="1" customHeight="1">
      <c r="A118" s="4" t="s">
        <v>289</v>
      </c>
      <c r="B118" s="4" t="s">
        <v>290</v>
      </c>
      <c r="C118" s="4" t="str">
        <f ca="1">IFERROR(__xludf.DUMMYFUNCTION("GOOGLETRANSLATE(D:D,""auto"",""en"")"),"As a fat man")</f>
        <v>As a fat man</v>
      </c>
      <c r="D118" s="5" t="s">
        <v>291</v>
      </c>
      <c r="E118" s="4">
        <v>386735</v>
      </c>
    </row>
    <row r="119" spans="1:6" ht="13.5" hidden="1" customHeight="1">
      <c r="A119" s="4" t="s">
        <v>292</v>
      </c>
      <c r="B119" s="4" t="s">
        <v>251</v>
      </c>
      <c r="C119" s="4" t="str">
        <f ca="1">IFERROR(__xludf.DUMMYFUNCTION("GOOGLETRANSLATE(D:D,""auto"",""en"")"),"Wang Junkai the end Nortel premiere")</f>
        <v>Wang Junkai the end Nortel premiere</v>
      </c>
      <c r="D119" s="5" t="s">
        <v>293</v>
      </c>
      <c r="E119" s="4">
        <v>385951</v>
      </c>
    </row>
    <row r="120" spans="1:6" ht="13.5" hidden="1" customHeight="1">
      <c r="A120" s="4" t="s">
        <v>294</v>
      </c>
      <c r="B120" s="4" t="s">
        <v>295</v>
      </c>
      <c r="C120" s="4" t="str">
        <f ca="1">IFERROR(__xludf.DUMMYFUNCTION("GOOGLETRANSLATE(D:D,""auto"",""en"")"),"Exciting offer")</f>
        <v>Exciting offer</v>
      </c>
      <c r="D120" s="5" t="s">
        <v>296</v>
      </c>
      <c r="E120" s="4">
        <v>362511</v>
      </c>
    </row>
    <row r="121" spans="1:6" ht="13.5" hidden="1" customHeight="1">
      <c r="A121" s="4" t="s">
        <v>297</v>
      </c>
      <c r="B121" s="4" t="s">
        <v>298</v>
      </c>
      <c r="C121" s="4" t="str">
        <f ca="1">IFERROR(__xludf.DUMMYFUNCTION("GOOGLETRANSLATE(D:D,""auto"",""en"")"),"The company issued 2 million year-end awards Lakeview Room")</f>
        <v>The company issued 2 million year-end awards Lakeview Room</v>
      </c>
      <c r="D121" s="5" t="s">
        <v>299</v>
      </c>
      <c r="E121" s="4">
        <v>337896</v>
      </c>
    </row>
    <row r="122" spans="1:6" ht="13.5" hidden="1" customHeight="1">
      <c r="A122" s="4" t="s">
        <v>300</v>
      </c>
      <c r="B122" s="4" t="s">
        <v>301</v>
      </c>
      <c r="C122" s="4" t="str">
        <f ca="1">IFERROR(__xludf.DUMMYFUNCTION("GOOGLETRANSLATE(D:D,""auto"",""en"")"),"Boys and girls Zuifan what made circle of friends")</f>
        <v>Boys and girls Zuifan what made circle of friends</v>
      </c>
      <c r="D122" s="5" t="s">
        <v>302</v>
      </c>
      <c r="E122" s="4">
        <v>336716</v>
      </c>
    </row>
    <row r="123" spans="1:6" ht="13.5" hidden="1" customHeight="1">
      <c r="A123" s="4" t="s">
        <v>303</v>
      </c>
      <c r="B123" s="4" t="s">
        <v>304</v>
      </c>
      <c r="C123" s="4" t="str">
        <f ca="1">IFERROR(__xludf.DUMMYFUNCTION("GOOGLETRANSLATE(D:D,""auto"",""en"")"),"Wolf thought of next year")</f>
        <v>Wolf thought of next year</v>
      </c>
      <c r="D123" s="5" t="s">
        <v>305</v>
      </c>
      <c r="E123" s="4">
        <v>334981</v>
      </c>
    </row>
    <row r="124" spans="1:6" ht="13.5" hidden="1" customHeight="1">
      <c r="A124" s="4" t="s">
        <v>306</v>
      </c>
      <c r="B124" s="4" t="s">
        <v>281</v>
      </c>
      <c r="C124" s="4" t="str">
        <f ca="1">IFERROR(__xludf.DUMMYFUNCTION("GOOGLETRANSLATE(D:D,""auto"",""en"")"),"Wenna female production")</f>
        <v>Wenna female production</v>
      </c>
      <c r="D124" s="5" t="s">
        <v>307</v>
      </c>
      <c r="E124" s="4">
        <v>330103</v>
      </c>
    </row>
    <row r="125" spans="1:6" ht="13.5" hidden="1" customHeight="1">
      <c r="A125" s="4" t="s">
        <v>308</v>
      </c>
      <c r="B125" s="4" t="s">
        <v>152</v>
      </c>
      <c r="C125" s="4" t="str">
        <f ca="1">IFERROR(__xludf.DUMMYFUNCTION("GOOGLETRANSLATE(D:D,""auto"",""en"")"),"Wu sings half strange men to ride onto the platform")</f>
        <v>Wu sings half strange men to ride onto the platform</v>
      </c>
      <c r="D125" s="5" t="s">
        <v>309</v>
      </c>
      <c r="E125" s="4">
        <v>326844</v>
      </c>
    </row>
    <row r="126" spans="1:6" ht="13.5" hidden="1" customHeight="1">
      <c r="A126" s="4" t="s">
        <v>310</v>
      </c>
      <c r="B126" s="4" t="s">
        <v>311</v>
      </c>
      <c r="C126" s="4" t="str">
        <f ca="1">IFERROR(__xludf.DUMMYFUNCTION("GOOGLETRANSLATE(D:D,""auto"",""en"")"),"Sichuan TV New Year's concert")</f>
        <v>Sichuan TV New Year's concert</v>
      </c>
      <c r="D126" s="5" t="s">
        <v>312</v>
      </c>
      <c r="E126" s="4">
        <v>325439</v>
      </c>
    </row>
    <row r="127" spans="1:6" ht="13.5" hidden="1" customHeight="1">
      <c r="A127" s="4" t="s">
        <v>313</v>
      </c>
      <c r="B127" s="4" t="s">
        <v>314</v>
      </c>
      <c r="C127" s="4" t="str">
        <f ca="1">IFERROR(__xludf.DUMMYFUNCTION("GOOGLETRANSLATE(D:D,""auto"",""en"")"),"Wuhan Marine Park four corners of the goat")</f>
        <v>Wuhan Marine Park four corners of the goat</v>
      </c>
      <c r="D127" s="5" t="s">
        <v>315</v>
      </c>
      <c r="E127" s="4">
        <v>322138</v>
      </c>
      <c r="F127">
        <v>0</v>
      </c>
    </row>
    <row r="128" spans="1:6" ht="13.5" hidden="1" customHeight="1">
      <c r="A128" s="4" t="s">
        <v>316</v>
      </c>
      <c r="B128" s="4" t="s">
        <v>178</v>
      </c>
      <c r="C128" s="4" t="str">
        <f ca="1">IFERROR(__xludf.DUMMYFUNCTION("GOOGLETRANSLATE(D:D,""auto"",""en"")"),"Hong Kong 17 opposition members arrested region involving violence")</f>
        <v>Hong Kong 17 opposition members arrested region involving violence</v>
      </c>
      <c r="D128" s="5" t="s">
        <v>317</v>
      </c>
      <c r="E128" s="4">
        <v>318142</v>
      </c>
    </row>
    <row r="129" spans="1:5" ht="13.5" hidden="1" customHeight="1">
      <c r="A129" s="4" t="s">
        <v>318</v>
      </c>
      <c r="B129" s="4" t="s">
        <v>319</v>
      </c>
      <c r="C129" s="4" t="str">
        <f ca="1">IFERROR(__xludf.DUMMYFUNCTION("GOOGLETRANSLATE(D:D,""auto"",""en"")"),"Chongqing was killed jumping girls who have been laid to rest")</f>
        <v>Chongqing was killed jumping girls who have been laid to rest</v>
      </c>
      <c r="D129" s="5" t="s">
        <v>320</v>
      </c>
      <c r="E129" s="4">
        <v>318123</v>
      </c>
    </row>
    <row r="130" spans="1:5" ht="13.5" hidden="1" customHeight="1">
      <c r="A130" s="4" t="s">
        <v>274</v>
      </c>
      <c r="B130" s="4" t="s">
        <v>321</v>
      </c>
      <c r="C130" s="4" t="str">
        <f ca="1">IFERROR(__xludf.DUMMYFUNCTION("GOOGLETRANSLATE(D:D,""auto"",""en"")"),"Mao is not easy to join the singer")</f>
        <v>Mao is not easy to join the singer</v>
      </c>
      <c r="D130" s="5" t="s">
        <v>322</v>
      </c>
      <c r="E130" s="4">
        <v>317790</v>
      </c>
    </row>
    <row r="131" spans="1:5" ht="13.5" hidden="1" customHeight="1">
      <c r="A131" s="4" t="s">
        <v>323</v>
      </c>
      <c r="B131" s="4" t="s">
        <v>324</v>
      </c>
      <c r="C131" s="4" t="str">
        <f ca="1">IFERROR(__xludf.DUMMYFUNCTION("GOOGLETRANSLATE(D:D,""auto"",""en"")"),"Luhan eat sowing")</f>
        <v>Luhan eat sowing</v>
      </c>
      <c r="D131" s="5" t="s">
        <v>325</v>
      </c>
      <c r="E131" s="4">
        <v>315553</v>
      </c>
    </row>
    <row r="132" spans="1:5" ht="13.5" hidden="1" customHeight="1">
      <c r="A132" s="4" t="s">
        <v>326</v>
      </c>
      <c r="B132" s="4" t="s">
        <v>327</v>
      </c>
      <c r="C132" s="4" t="str">
        <f ca="1">IFERROR(__xludf.DUMMYFUNCTION("GOOGLETRANSLATE(D:D,""auto"",""en"")"),"Chongqing Palm Springs")</f>
        <v>Chongqing Palm Springs</v>
      </c>
      <c r="D132" s="5" t="s">
        <v>328</v>
      </c>
      <c r="E132" s="4">
        <v>265083</v>
      </c>
    </row>
    <row r="133" spans="1:5" ht="13.5" hidden="1" customHeight="1">
      <c r="A133" s="4" t="s">
        <v>329</v>
      </c>
      <c r="B133" s="4" t="s">
        <v>330</v>
      </c>
      <c r="C133" s="4" t="str">
        <f ca="1">IFERROR(__xludf.DUMMYFUNCTION("GOOGLETRANSLATE(D:D,""auto"",""en"")"),"41 anniversary of the Letter to Taiwan Compatriots")</f>
        <v>41 anniversary of the Letter to Taiwan Compatriots</v>
      </c>
      <c r="D133" s="5" t="s">
        <v>331</v>
      </c>
      <c r="E133" s="4">
        <v>243627</v>
      </c>
    </row>
    <row r="134" spans="1:5" ht="13.5" hidden="1" customHeight="1">
      <c r="A134" s="4" t="s">
        <v>332</v>
      </c>
      <c r="B134" s="4" t="s">
        <v>178</v>
      </c>
      <c r="C134" s="4" t="str">
        <f ca="1">IFERROR(__xludf.DUMMYFUNCTION("GOOGLETRANSLATE(D:D,""auto"",""en"")"),"Zheng Shuang company lawyers sent a letter to Dick obediently")</f>
        <v>Zheng Shuang company lawyers sent a letter to Dick obediently</v>
      </c>
      <c r="D134" s="5" t="s">
        <v>333</v>
      </c>
      <c r="E134" s="4">
        <v>234309</v>
      </c>
    </row>
    <row r="135" spans="1:5" ht="13.5" hidden="1" customHeight="1">
      <c r="A135" s="4" t="s">
        <v>297</v>
      </c>
      <c r="B135" s="4" t="s">
        <v>334</v>
      </c>
      <c r="C135" s="4" t="str">
        <f ca="1">IFERROR(__xludf.DUMMYFUNCTION("GOOGLETRANSLATE(D:D,""auto"",""en"")"),"Zhou joined the singer Deep")</f>
        <v>Zhou joined the singer Deep</v>
      </c>
      <c r="D135" s="5" t="s">
        <v>335</v>
      </c>
      <c r="E135" s="4">
        <v>225192</v>
      </c>
    </row>
    <row r="136" spans="1:5" ht="13.5" hidden="1" customHeight="1">
      <c r="A136" s="4" t="s">
        <v>326</v>
      </c>
      <c r="B136" s="4" t="s">
        <v>336</v>
      </c>
      <c r="C136" s="4" t="str">
        <f ca="1">IFERROR(__xludf.DUMMYFUNCTION("GOOGLETRANSLATE(D:D,""auto"",""en"")"),"Year of the Rat ran 66.66 kilometers pattern")</f>
        <v>Year of the Rat ran 66.66 kilometers pattern</v>
      </c>
      <c r="D136" s="5" t="s">
        <v>337</v>
      </c>
      <c r="E136" s="4">
        <v>195508</v>
      </c>
    </row>
    <row r="137" spans="1:5" ht="13.5" hidden="1" customHeight="1">
      <c r="A137" s="4" t="s">
        <v>338</v>
      </c>
      <c r="B137" s="4" t="s">
        <v>339</v>
      </c>
      <c r="C137" s="4" t="str">
        <f ca="1">IFERROR(__xludf.DUMMYFUNCTION("GOOGLETRANSLATE(D:D,""auto"",""en"")"),"Years of dog vs year boyfriend")</f>
        <v>Years of dog vs year boyfriend</v>
      </c>
      <c r="D137" s="5" t="s">
        <v>340</v>
      </c>
      <c r="E137" s="4">
        <v>176895</v>
      </c>
    </row>
    <row r="138" spans="1:5" ht="13.5" hidden="1" customHeight="1">
      <c r="A138" s="4" t="s">
        <v>318</v>
      </c>
      <c r="B138" s="4" t="s">
        <v>341</v>
      </c>
      <c r="C138" s="4" t="str">
        <f ca="1">IFERROR(__xludf.DUMMYFUNCTION("GOOGLETRANSLATE(D:D,""auto"",""en"")"),"Goodnight plan")</f>
        <v>Goodnight plan</v>
      </c>
      <c r="D138" s="5" t="s">
        <v>342</v>
      </c>
      <c r="E138" s="4">
        <v>169175</v>
      </c>
    </row>
    <row r="139" spans="1:5" ht="13.5" hidden="1" customHeight="1">
      <c r="A139" s="4" t="s">
        <v>343</v>
      </c>
      <c r="B139" s="4" t="s">
        <v>311</v>
      </c>
      <c r="C139" s="4" t="str">
        <f ca="1">IFERROR(__xludf.DUMMYFUNCTION("GOOGLETRANSLATE(D:D,""auto"",""en"")"),"FIG MV moving sea stars")</f>
        <v>FIG MV moving sea stars</v>
      </c>
      <c r="D139" s="5" t="s">
        <v>344</v>
      </c>
      <c r="E139" s="4">
        <v>159706</v>
      </c>
    </row>
    <row r="140" spans="1:5" ht="13.5" hidden="1" customHeight="1">
      <c r="A140" s="4" t="s">
        <v>345</v>
      </c>
      <c r="B140" s="4" t="s">
        <v>284</v>
      </c>
      <c r="C140" s="4" t="str">
        <f ca="1">IFERROR(__xludf.DUMMYFUNCTION("GOOGLETRANSLATE(D:D,""auto"",""en"")"),"What are you doing in 2000")</f>
        <v>What are you doing in 2000</v>
      </c>
      <c r="D140" s="5" t="s">
        <v>346</v>
      </c>
      <c r="E140" s="4">
        <v>150253</v>
      </c>
    </row>
    <row r="141" spans="1:5" ht="13.5" hidden="1" customHeight="1">
      <c r="A141" s="4" t="s">
        <v>347</v>
      </c>
      <c r="B141" s="4" t="s">
        <v>348</v>
      </c>
      <c r="C141" s="4" t="str">
        <f ca="1">IFERROR(__xludf.DUMMYFUNCTION("GOOGLETRANSLATE(D:D,""auto"",""en"")"),"Jiangsu coach and fans clash")</f>
        <v>Jiangsu coach and fans clash</v>
      </c>
      <c r="D141" s="5" t="s">
        <v>349</v>
      </c>
      <c r="E141" s="4">
        <v>148386</v>
      </c>
    </row>
    <row r="142" spans="1:5" ht="13.5" hidden="1" customHeight="1">
      <c r="A142" s="4" t="s">
        <v>280</v>
      </c>
      <c r="B142" s="4" t="s">
        <v>350</v>
      </c>
      <c r="C142" s="4" t="str">
        <f ca="1">IFERROR(__xludf.DUMMYFUNCTION("GOOGLETRANSLATE(D:D,""auto"",""en"")"),"Luhan I was fat with play")</f>
        <v>Luhan I was fat with play</v>
      </c>
      <c r="D142" s="5" t="s">
        <v>351</v>
      </c>
      <c r="E142" s="4">
        <v>139004</v>
      </c>
    </row>
    <row r="143" spans="1:5" ht="13.5" hidden="1" customHeight="1">
      <c r="A143" s="4" t="s">
        <v>352</v>
      </c>
      <c r="B143" s="4" t="s">
        <v>353</v>
      </c>
      <c r="C143" s="4" t="str">
        <f ca="1">IFERROR(__xludf.DUMMYFUNCTION("GOOGLETRANSLATE(D:D,""auto"",""en"")"),"Minor trainee termination pay brokerage firm three million")</f>
        <v>Minor trainee termination pay brokerage firm three million</v>
      </c>
      <c r="D143" s="5" t="s">
        <v>354</v>
      </c>
      <c r="E143" s="4">
        <v>136161</v>
      </c>
    </row>
    <row r="144" spans="1:5" ht="13.5" hidden="1" customHeight="1">
      <c r="A144" s="4" t="s">
        <v>318</v>
      </c>
      <c r="B144" s="4" t="s">
        <v>355</v>
      </c>
      <c r="C144" s="4" t="str">
        <f ca="1">IFERROR(__xludf.DUMMYFUNCTION("GOOGLETRANSLATE(D:D,""auto"",""en"")"),"List Movie Channel M")</f>
        <v>List Movie Channel M</v>
      </c>
      <c r="D144" s="5" t="s">
        <v>356</v>
      </c>
      <c r="E144" s="4">
        <v>131386</v>
      </c>
    </row>
    <row r="145" spans="1:5" ht="13.5" hidden="1" customHeight="1">
      <c r="A145" s="4" t="s">
        <v>357</v>
      </c>
      <c r="B145" s="4" t="s">
        <v>358</v>
      </c>
      <c r="C145" s="4" t="str">
        <f ca="1">IFERROR(__xludf.DUMMYFUNCTION("GOOGLETRANSLATE(D:D,""auto"",""en"")"),"2019 China's most beautiful picture of the stars")</f>
        <v>2019 China's most beautiful picture of the stars</v>
      </c>
      <c r="D145" s="5" t="s">
        <v>359</v>
      </c>
      <c r="E145" s="4">
        <v>126267</v>
      </c>
    </row>
    <row r="146" spans="1:5" ht="13.5" hidden="1" customHeight="1">
      <c r="A146" s="4" t="s">
        <v>167</v>
      </c>
      <c r="B146" s="4" t="s">
        <v>168</v>
      </c>
      <c r="C146" s="4" t="str">
        <f ca="1">IFERROR(__xludf.DUMMYFUNCTION("GOOGLETRANSLATE(D:D,""auto"",""en"")"),"Alipay red envelope")</f>
        <v>Alipay red envelope</v>
      </c>
      <c r="D146" s="5" t="s">
        <v>169</v>
      </c>
      <c r="E146" s="4">
        <v>117989</v>
      </c>
    </row>
    <row r="147" spans="1:5" ht="13.5" hidden="1" customHeight="1">
      <c r="A147" s="4" t="s">
        <v>360</v>
      </c>
      <c r="B147" s="4" t="s">
        <v>144</v>
      </c>
      <c r="C147" s="4" t="str">
        <f ca="1">IFERROR(__xludf.DUMMYFUNCTION("GOOGLETRANSLATE(D:D,""auto"",""en"")"),"Spanish eat 12 grapes New Year's Eve")</f>
        <v>Spanish eat 12 grapes New Year's Eve</v>
      </c>
      <c r="D147" s="5" t="s">
        <v>361</v>
      </c>
      <c r="E147" s="4">
        <v>108062</v>
      </c>
    </row>
    <row r="148" spans="1:5" ht="13.5" hidden="1" customHeight="1">
      <c r="A148" s="4" t="s">
        <v>362</v>
      </c>
      <c r="B148" s="4" t="s">
        <v>258</v>
      </c>
      <c r="C148" s="4" t="str">
        <f ca="1">IFERROR(__xludf.DUMMYFUNCTION("GOOGLETRANSLATE(D:D,""auto"",""en"")"),"100 seconds early in the morning to see the beauty around the Chinese New Year")</f>
        <v>100 seconds early in the morning to see the beauty around the Chinese New Year</v>
      </c>
      <c r="D148" s="5" t="s">
        <v>363</v>
      </c>
      <c r="E148" s="4">
        <v>99146</v>
      </c>
    </row>
    <row r="149" spans="1:5" ht="13.5" hidden="1" customHeight="1">
      <c r="A149" s="4" t="s">
        <v>364</v>
      </c>
      <c r="B149" s="4" t="s">
        <v>365</v>
      </c>
      <c r="C149" s="4" t="str">
        <f ca="1">IFERROR(__xludf.DUMMYFUNCTION("GOOGLETRANSLATE(D:D,""auto"",""en"")"),"Day prenatal CEO Tibetan musical instrument box flee Japan")</f>
        <v>Day prenatal CEO Tibetan musical instrument box flee Japan</v>
      </c>
      <c r="D149" s="5" t="s">
        <v>366</v>
      </c>
      <c r="E149" s="4">
        <v>59099</v>
      </c>
    </row>
    <row r="150" spans="1:5" ht="13.5" hidden="1" customHeight="1">
      <c r="C150" s="4" t="str">
        <f ca="1">IFERROR(__xludf.DUMMYFUNCTION("GOOGLETRANSLATE(D:D,""auto"",""en"")"),"#VALUE!")</f>
        <v>#VALUE!</v>
      </c>
    </row>
    <row r="151" spans="1:5" ht="13.5" hidden="1" customHeight="1">
      <c r="A151" s="4" t="s">
        <v>367</v>
      </c>
      <c r="B151" s="4" t="s">
        <v>368</v>
      </c>
      <c r="C151" s="4" t="str">
        <f ca="1">IFERROR(__xludf.DUMMYFUNCTION("GOOGLETRANSLATE(D:D,""auto"",""en"")"),"Zhou Xun Yapeng Faye Wong Dou Jing Tong New Year's party")</f>
        <v>Zhou Xun Yapeng Faye Wong Dou Jing Tong New Year's party</v>
      </c>
      <c r="D151" s="4" t="s">
        <v>369</v>
      </c>
      <c r="E151" s="4">
        <v>4016016</v>
      </c>
    </row>
    <row r="152" spans="1:5" ht="13.5" hidden="1" customHeight="1">
      <c r="A152" s="4" t="s">
        <v>370</v>
      </c>
      <c r="B152" s="4" t="s">
        <v>371</v>
      </c>
      <c r="C152" s="4" t="str">
        <f ca="1">IFERROR(__xludf.DUMMYFUNCTION("GOOGLETRANSLATE(D:D,""auto"",""en"")"),"Taiwan Black Hawk helicopter made a forced landing")</f>
        <v>Taiwan Black Hawk helicopter made a forced landing</v>
      </c>
      <c r="D152" s="5" t="s">
        <v>372</v>
      </c>
      <c r="E152" s="4">
        <v>2933539</v>
      </c>
    </row>
    <row r="153" spans="1:5" ht="13.5" hidden="1" customHeight="1">
      <c r="A153" s="4" t="s">
        <v>373</v>
      </c>
      <c r="B153" s="4" t="s">
        <v>329</v>
      </c>
      <c r="C153" s="4" t="str">
        <f ca="1">IFERROR(__xludf.DUMMYFUNCTION("GOOGLETRANSLATE(D:D,""auto"",""en"")"),"Wu and Liu poetry with his son swim Disney")</f>
        <v>Wu and Liu poetry with his son swim Disney</v>
      </c>
      <c r="D153" s="5" t="s">
        <v>374</v>
      </c>
      <c r="E153" s="4">
        <v>2267154</v>
      </c>
    </row>
    <row r="154" spans="1:5" ht="13.5" hidden="1" customHeight="1">
      <c r="A154" s="4" t="s">
        <v>375</v>
      </c>
      <c r="B154" s="4" t="s">
        <v>376</v>
      </c>
      <c r="C154" s="4" t="str">
        <f ca="1">IFERROR(__xludf.DUMMYFUNCTION("GOOGLETRANSLATE(D:D,""auto"",""en"")"),"Xu Song is leaning on the shoulders of Shen")</f>
        <v>Xu Song is leaning on the shoulders of Shen</v>
      </c>
      <c r="D154" s="5" t="s">
        <v>377</v>
      </c>
      <c r="E154" s="4">
        <v>1481512</v>
      </c>
    </row>
    <row r="155" spans="1:5" ht="13.5" hidden="1" customHeight="1">
      <c r="A155" s="4" t="s">
        <v>378</v>
      </c>
      <c r="B155" s="4" t="s">
        <v>329</v>
      </c>
      <c r="C155" s="4" t="str">
        <f ca="1">IFERROR(__xludf.DUMMYFUNCTION("GOOGLETRANSLATE(D:D,""auto"",""en"")"),"Yangtze River fishing ban ten years")</f>
        <v>Yangtze River fishing ban ten years</v>
      </c>
      <c r="D155" s="5" t="s">
        <v>379</v>
      </c>
      <c r="E155" s="4">
        <v>1464464</v>
      </c>
    </row>
    <row r="156" spans="1:5" ht="13.5" hidden="1" customHeight="1">
      <c r="A156" s="4" t="s">
        <v>380</v>
      </c>
      <c r="B156" s="4" t="s">
        <v>308</v>
      </c>
      <c r="C156" s="4" t="str">
        <f ca="1">IFERROR(__xludf.DUMMYFUNCTION("GOOGLETRANSLATE(D:D,""auto"",""en"")"),"Zhang Ying Ying family was dismissed civil action")</f>
        <v>Zhang Ying Ying family was dismissed civil action</v>
      </c>
      <c r="D156" s="5" t="s">
        <v>381</v>
      </c>
      <c r="E156" s="4">
        <v>1360244</v>
      </c>
    </row>
    <row r="157" spans="1:5" ht="13.5" hidden="1" customHeight="1">
      <c r="A157" s="4" t="s">
        <v>382</v>
      </c>
      <c r="B157" s="4" t="s">
        <v>383</v>
      </c>
      <c r="C157" s="4" t="str">
        <f ca="1">IFERROR(__xludf.DUMMYFUNCTION("GOOGLETRANSLATE(D:D,""auto"",""en"")"),"2020 and the upcoming Year of the Rat is a leap year")</f>
        <v>2020 and the upcoming Year of the Rat is a leap year</v>
      </c>
      <c r="D157" s="5" t="s">
        <v>384</v>
      </c>
      <c r="E157" s="4">
        <v>1230076</v>
      </c>
    </row>
    <row r="158" spans="1:5" ht="13.5" hidden="1" customHeight="1">
      <c r="A158" s="4" t="s">
        <v>385</v>
      </c>
      <c r="B158" s="4" t="s">
        <v>386</v>
      </c>
      <c r="C158" s="4" t="str">
        <f ca="1">IFERROR(__xludf.DUMMYFUNCTION("GOOGLETRANSLATE(D:D,""auto"",""en"")"),"Chang Cheng added millet")</f>
        <v>Chang Cheng added millet</v>
      </c>
      <c r="D158" s="5" t="s">
        <v>387</v>
      </c>
      <c r="E158" s="4">
        <v>1072825</v>
      </c>
    </row>
    <row r="159" spans="1:5" ht="13.5" hidden="1" customHeight="1">
      <c r="A159" s="4" t="s">
        <v>388</v>
      </c>
      <c r="B159" s="4" t="s">
        <v>260</v>
      </c>
      <c r="C159" s="4" t="str">
        <f ca="1">IFERROR(__xludf.DUMMYFUNCTION("GOOGLETRANSLATE(D:D,""auto"",""en"")"),"List of dishonesty set 1-3 month grace period")</f>
        <v>List of dishonesty set 1-3 month grace period</v>
      </c>
      <c r="D159" s="5" t="s">
        <v>389</v>
      </c>
      <c r="E159" s="4">
        <v>967407</v>
      </c>
    </row>
    <row r="160" spans="1:5" ht="13.5" hidden="1" customHeight="1">
      <c r="A160" s="4" t="s">
        <v>390</v>
      </c>
      <c r="B160" s="4" t="s">
        <v>391</v>
      </c>
      <c r="C160" s="4" t="str">
        <f ca="1">IFERROR(__xludf.DUMMYFUNCTION("GOOGLETRANSLATE(D:D,""auto"",""en"")"),"Kim Hee Chul-owned agency admits affair MOMO")</f>
        <v>Kim Hee Chul-owned agency admits affair MOMO</v>
      </c>
      <c r="D160" s="5" t="s">
        <v>392</v>
      </c>
      <c r="E160" s="4">
        <v>928458</v>
      </c>
    </row>
    <row r="161" spans="1:5" ht="13.5" hidden="1" customHeight="1">
      <c r="A161" s="4" t="s">
        <v>393</v>
      </c>
      <c r="B161" s="4" t="s">
        <v>394</v>
      </c>
      <c r="C161" s="4" t="str">
        <f ca="1">IFERROR(__xludf.DUMMYFUNCTION("GOOGLETRANSLATE(D:D,""auto"",""en"")"),"Lama Temple Laba porridge homes")</f>
        <v>Lama Temple Laba porridge homes</v>
      </c>
      <c r="D161" s="5" t="s">
        <v>395</v>
      </c>
      <c r="E161" s="4">
        <v>928036</v>
      </c>
    </row>
    <row r="162" spans="1:5" ht="13.5" hidden="1" customHeight="1">
      <c r="A162" s="4" t="s">
        <v>396</v>
      </c>
      <c r="B162" s="4" t="s">
        <v>280</v>
      </c>
      <c r="C162" s="4" t="str">
        <f ca="1">IFERROR(__xludf.DUMMYFUNCTION("GOOGLETRANSLATE(D:D,""auto"",""en"")"),"Laba Festival")</f>
        <v>Laba Festival</v>
      </c>
      <c r="D162" s="5" t="s">
        <v>397</v>
      </c>
      <c r="E162" s="4">
        <v>927212</v>
      </c>
    </row>
    <row r="163" spans="1:5" ht="13.5" hidden="1" customHeight="1">
      <c r="A163" s="4" t="s">
        <v>398</v>
      </c>
      <c r="B163" s="4" t="s">
        <v>371</v>
      </c>
      <c r="C163" s="4" t="str">
        <f ca="1">IFERROR(__xludf.DUMMYFUNCTION("GOOGLETRANSLATE(D:D,""auto"",""en"")"),"Makeup centuries Forbidden City")</f>
        <v>Makeup centuries Forbidden City</v>
      </c>
      <c r="D163" s="5" t="s">
        <v>399</v>
      </c>
      <c r="E163" s="4">
        <v>926970</v>
      </c>
    </row>
    <row r="164" spans="1:5" ht="13.5" hidden="1" customHeight="1">
      <c r="A164" s="4" t="s">
        <v>247</v>
      </c>
      <c r="B164" s="4" t="s">
        <v>248</v>
      </c>
      <c r="C164" s="4" t="str">
        <f ca="1">IFERROR(__xludf.DUMMYFUNCTION("GOOGLETRANSLATE(D:D,""auto"",""en"")"),"Qingyu in finale")</f>
        <v>Qingyu in finale</v>
      </c>
      <c r="D164" s="5" t="s">
        <v>249</v>
      </c>
      <c r="E164" s="4">
        <v>926104</v>
      </c>
    </row>
    <row r="165" spans="1:5" ht="13.5" hidden="1" customHeight="1">
      <c r="A165" s="4" t="s">
        <v>400</v>
      </c>
      <c r="B165" s="4" t="s">
        <v>401</v>
      </c>
      <c r="C165" s="4" t="str">
        <f ca="1">IFERROR(__xludf.DUMMYFUNCTION("GOOGLETRANSLATE(D:D,""auto"",""en"")"),"Wang Kai fake video won the case")</f>
        <v>Wang Kai fake video won the case</v>
      </c>
      <c r="D165" s="5" t="s">
        <v>402</v>
      </c>
      <c r="E165" s="4">
        <v>925371</v>
      </c>
    </row>
    <row r="166" spans="1:5" ht="13.5" hidden="1" customHeight="1">
      <c r="A166" s="4" t="s">
        <v>375</v>
      </c>
      <c r="B166" s="4" t="s">
        <v>403</v>
      </c>
      <c r="C166" s="4" t="str">
        <f ca="1">IFERROR(__xludf.DUMMYFUNCTION("GOOGLETRANSLATE(D:D,""auto"",""en"")"),"Moment that former marriage")</f>
        <v>Moment that former marriage</v>
      </c>
      <c r="D166" s="5" t="s">
        <v>404</v>
      </c>
      <c r="E166" s="4">
        <v>925207</v>
      </c>
    </row>
    <row r="167" spans="1:5" ht="13.5" hidden="1" customHeight="1">
      <c r="A167" s="4" t="s">
        <v>382</v>
      </c>
      <c r="B167" s="4" t="s">
        <v>405</v>
      </c>
      <c r="C167" s="4" t="str">
        <f ca="1">IFERROR(__xludf.DUMMYFUNCTION("GOOGLETRANSLATE(D:D,""auto"",""en"")"),"There are new Fei stills")</f>
        <v>There are new Fei stills</v>
      </c>
      <c r="D167" s="5" t="s">
        <v>406</v>
      </c>
      <c r="E167" s="4">
        <v>837454</v>
      </c>
    </row>
    <row r="168" spans="1:5" ht="13.5" hidden="1" customHeight="1">
      <c r="A168" s="4" t="s">
        <v>407</v>
      </c>
      <c r="B168" s="4" t="s">
        <v>408</v>
      </c>
      <c r="C168" s="4" t="str">
        <f ca="1">IFERROR(__xludf.DUMMYFUNCTION("GOOGLETRANSLATE(D:D,""auto"",""en"")"),"CPR pressure off Granny 12 rib")</f>
        <v>CPR pressure off Granny 12 rib</v>
      </c>
      <c r="D168" s="5" t="s">
        <v>409</v>
      </c>
      <c r="E168" s="4">
        <v>658863</v>
      </c>
    </row>
    <row r="169" spans="1:5" ht="13.5" hidden="1" customHeight="1">
      <c r="A169" s="4" t="s">
        <v>410</v>
      </c>
      <c r="B169" s="4" t="s">
        <v>411</v>
      </c>
      <c r="C169" s="4" t="str">
        <f ca="1">IFERROR(__xludf.DUMMYFUNCTION("GOOGLETRANSLATE(D:D,""auto"",""en"")"),"Sea fishing counseling students homework")</f>
        <v>Sea fishing counseling students homework</v>
      </c>
      <c r="D169" s="5" t="s">
        <v>412</v>
      </c>
      <c r="E169" s="4">
        <v>631757</v>
      </c>
    </row>
    <row r="170" spans="1:5" ht="13.5" hidden="1" customHeight="1">
      <c r="A170" s="4" t="s">
        <v>413</v>
      </c>
      <c r="B170" s="4" t="s">
        <v>414</v>
      </c>
      <c r="C170" s="4" t="str">
        <f ca="1">IFERROR(__xludf.DUMMYFUNCTION("GOOGLETRANSLATE(D:D,""auto"",""en"")"),"Ayumi Hamasaki children")</f>
        <v>Ayumi Hamasaki children</v>
      </c>
      <c r="D170" s="5" t="s">
        <v>415</v>
      </c>
      <c r="E170" s="4">
        <v>488183</v>
      </c>
    </row>
    <row r="171" spans="1:5" ht="13.5" hidden="1" customHeight="1">
      <c r="A171" s="4" t="s">
        <v>416</v>
      </c>
      <c r="B171" s="4" t="s">
        <v>417</v>
      </c>
      <c r="C171" s="4" t="str">
        <f ca="1">IFERROR(__xludf.DUMMYFUNCTION("GOOGLETRANSLATE(D:D,""auto"",""en"")"),"Penglai between fixed gear")</f>
        <v>Penglai between fixed gear</v>
      </c>
      <c r="D171" s="5" t="s">
        <v>418</v>
      </c>
      <c r="E171" s="4">
        <v>415589</v>
      </c>
    </row>
    <row r="172" spans="1:5" ht="13.5" hidden="1" customHeight="1">
      <c r="A172" s="4" t="s">
        <v>419</v>
      </c>
      <c r="B172" s="4" t="s">
        <v>266</v>
      </c>
      <c r="C172" s="4" t="str">
        <f ca="1">IFERROR(__xludf.DUMMYFUNCTION("GOOGLETRANSLATE(D:D,""auto"",""en"")"),"Writing papers simulator")</f>
        <v>Writing papers simulator</v>
      </c>
      <c r="D172" s="5" t="s">
        <v>420</v>
      </c>
      <c r="E172" s="4">
        <v>374201</v>
      </c>
    </row>
    <row r="173" spans="1:5" ht="13.5" hidden="1" customHeight="1">
      <c r="A173" s="4" t="s">
        <v>421</v>
      </c>
      <c r="B173" s="4" t="s">
        <v>422</v>
      </c>
      <c r="C173" s="4" t="str">
        <f ca="1">IFERROR(__xludf.DUMMYFUNCTION("GOOGLETRANSLATE(D:D,""auto"",""en"")"),"NBA commissioner David Stern before his death")</f>
        <v>NBA commissioner David Stern before his death</v>
      </c>
      <c r="D173" s="5" t="s">
        <v>423</v>
      </c>
      <c r="E173" s="4">
        <v>372659</v>
      </c>
    </row>
    <row r="174" spans="1:5" ht="13.5" hidden="1" customHeight="1">
      <c r="A174" s="4" t="s">
        <v>424</v>
      </c>
      <c r="B174" s="4" t="s">
        <v>383</v>
      </c>
      <c r="C174" s="4" t="str">
        <f ca="1">IFERROR(__xludf.DUMMYFUNCTION("GOOGLETRANSLATE(D:D,""auto"",""en"")"),"Extra baggage girls how cute")</f>
        <v>Extra baggage girls how cute</v>
      </c>
      <c r="D174" s="5" t="s">
        <v>425</v>
      </c>
      <c r="E174" s="4">
        <v>371363</v>
      </c>
    </row>
    <row r="175" spans="1:5" ht="13.5" hidden="1" customHeight="1">
      <c r="A175" s="4" t="s">
        <v>424</v>
      </c>
      <c r="B175" s="4" t="s">
        <v>347</v>
      </c>
      <c r="C175" s="4" t="str">
        <f ca="1">IFERROR(__xludf.DUMMYFUNCTION("GOOGLETRANSLATE(D:D,""auto"",""en"")"),"Girls love to hate pink process")</f>
        <v>Girls love to hate pink process</v>
      </c>
      <c r="D175" s="5" t="s">
        <v>426</v>
      </c>
      <c r="E175" s="4">
        <v>344878</v>
      </c>
    </row>
    <row r="176" spans="1:5" ht="13.5" hidden="1" customHeight="1">
      <c r="A176" s="4" t="s">
        <v>294</v>
      </c>
      <c r="B176" s="4" t="s">
        <v>316</v>
      </c>
      <c r="C176" s="4" t="str">
        <f ca="1">IFERROR(__xludf.DUMMYFUNCTION("GOOGLETRANSLATE(D:D,""auto"",""en"")"),"The US government tightened visa policy")</f>
        <v>The US government tightened visa policy</v>
      </c>
      <c r="D176" s="5" t="s">
        <v>427</v>
      </c>
      <c r="E176" s="4">
        <v>289604</v>
      </c>
    </row>
    <row r="177" spans="1:5" ht="13.5" hidden="1" customHeight="1">
      <c r="A177" s="4" t="s">
        <v>428</v>
      </c>
      <c r="B177" s="4" t="s">
        <v>429</v>
      </c>
      <c r="C177" s="4" t="str">
        <f ca="1">IFERROR(__xludf.DUMMYFUNCTION("GOOGLETRANSLATE(D:D,""auto"",""en"")"),"Chongqing Fire Department early check balcony fire")</f>
        <v>Chongqing Fire Department early check balcony fire</v>
      </c>
      <c r="D177" s="5" t="s">
        <v>430</v>
      </c>
      <c r="E177" s="4">
        <v>279898</v>
      </c>
    </row>
    <row r="178" spans="1:5" ht="13.5" hidden="1" customHeight="1">
      <c r="A178" s="4" t="s">
        <v>294</v>
      </c>
      <c r="B178" s="4" t="s">
        <v>431</v>
      </c>
      <c r="C178" s="4" t="str">
        <f ca="1">IFERROR(__xludf.DUMMYFUNCTION("GOOGLETRANSLATE(D:D,""auto"",""en"")"),"The Vice-Chancellor school 594 students handwriting Happy New Year")</f>
        <v>The Vice-Chancellor school 594 students handwriting Happy New Year</v>
      </c>
      <c r="D178" s="5" t="s">
        <v>432</v>
      </c>
      <c r="E178" s="4">
        <v>262103</v>
      </c>
    </row>
    <row r="179" spans="1:5" ht="13.5" hidden="1" customHeight="1">
      <c r="A179" s="4" t="s">
        <v>433</v>
      </c>
      <c r="B179" s="4" t="s">
        <v>326</v>
      </c>
      <c r="C179" s="4" t="str">
        <f ca="1">IFERROR(__xludf.DUMMYFUNCTION("GOOGLETRANSLATE(D:D,""auto"",""en"")"),"Flight cancellations caused by a coin toss Pipan Pei 120,000")</f>
        <v>Flight cancellations caused by a coin toss Pipan Pei 120,000</v>
      </c>
      <c r="D179" s="5" t="s">
        <v>434</v>
      </c>
      <c r="E179" s="4">
        <v>254975</v>
      </c>
    </row>
    <row r="180" spans="1:5" ht="13.5" hidden="1" customHeight="1">
      <c r="A180" s="4" t="s">
        <v>435</v>
      </c>
      <c r="B180" s="4" t="s">
        <v>436</v>
      </c>
      <c r="C180" s="4" t="str">
        <f ca="1">IFERROR(__xludf.DUMMYFUNCTION("GOOGLETRANSLATE(D:D,""auto"",""en"")"),"New Year's first day took a plunge")</f>
        <v>New Year's first day took a plunge</v>
      </c>
      <c r="D180" s="5" t="s">
        <v>437</v>
      </c>
      <c r="E180" s="4">
        <v>223915</v>
      </c>
    </row>
    <row r="181" spans="1:5" ht="13.5" hidden="1" customHeight="1">
      <c r="A181" s="4" t="s">
        <v>247</v>
      </c>
      <c r="B181" s="4" t="s">
        <v>438</v>
      </c>
      <c r="C181" s="4" t="str">
        <f ca="1">IFERROR(__xludf.DUMMYFUNCTION("GOOGLETRANSLATE(D:D,""auto"",""en"")"),"Chengdu Wenshu 300,000 copies will be distributed rice porridge")</f>
        <v>Chengdu Wenshu 300,000 copies will be distributed rice porridge</v>
      </c>
      <c r="D181" s="5" t="s">
        <v>439</v>
      </c>
      <c r="E181" s="4">
        <v>212120</v>
      </c>
    </row>
    <row r="182" spans="1:5" ht="13.5" hidden="1" customHeight="1">
      <c r="A182" s="4" t="s">
        <v>440</v>
      </c>
      <c r="B182" s="4" t="s">
        <v>441</v>
      </c>
      <c r="C182" s="4" t="str">
        <f ca="1">IFERROR(__xludf.DUMMYFUNCTION("GOOGLETRANSLATE(D:D,""auto"",""en"")"),"DIY plastic bag dress popular girl")</f>
        <v>DIY plastic bag dress popular girl</v>
      </c>
      <c r="D182" s="5" t="s">
        <v>442</v>
      </c>
      <c r="E182" s="4">
        <v>195624</v>
      </c>
    </row>
    <row r="183" spans="1:5" ht="13.5" hidden="1" customHeight="1">
      <c r="A183" s="4" t="s">
        <v>443</v>
      </c>
      <c r="B183" s="4" t="s">
        <v>280</v>
      </c>
      <c r="C183" s="4" t="str">
        <f ca="1">IFERROR(__xludf.DUMMYFUNCTION("GOOGLETRANSLATE(D:D,""auto"",""en"")"),"What love is most comfortable relationship")</f>
        <v>What love is most comfortable relationship</v>
      </c>
      <c r="D183" s="5" t="s">
        <v>444</v>
      </c>
      <c r="E183" s="4">
        <v>192958</v>
      </c>
    </row>
    <row r="184" spans="1:5" ht="13.5" hidden="1" customHeight="1">
      <c r="A184" s="4" t="s">
        <v>445</v>
      </c>
      <c r="B184" s="4" t="s">
        <v>300</v>
      </c>
      <c r="C184" s="4" t="str">
        <f ca="1">IFERROR(__xludf.DUMMYFUNCTION("GOOGLETRANSLATE(D:D,""auto"",""en"")"),"Mention resignation boss to retain the right to stay")</f>
        <v>Mention resignation boss to retain the right to stay</v>
      </c>
      <c r="D184" s="5" t="s">
        <v>446</v>
      </c>
      <c r="E184" s="4">
        <v>185834</v>
      </c>
    </row>
    <row r="185" spans="1:5" ht="13.5" hidden="1" customHeight="1">
      <c r="A185" s="4" t="s">
        <v>241</v>
      </c>
      <c r="B185" s="4" t="s">
        <v>447</v>
      </c>
      <c r="C185" s="4" t="str">
        <f ca="1">IFERROR(__xludf.DUMMYFUNCTION("GOOGLETRANSLATE(D:D,""auto"",""en"")"),"Song Qian white suit")</f>
        <v>Song Qian white suit</v>
      </c>
      <c r="D185" s="5" t="s">
        <v>448</v>
      </c>
      <c r="E185" s="4">
        <v>171095</v>
      </c>
    </row>
    <row r="186" spans="1:5" ht="13.5" hidden="1" customHeight="1">
      <c r="A186" s="4" t="s">
        <v>449</v>
      </c>
      <c r="B186" s="4" t="s">
        <v>323</v>
      </c>
      <c r="C186" s="4" t="str">
        <f ca="1">IFERROR(__xludf.DUMMYFUNCTION("GOOGLETRANSLATE(D:D,""auto"",""en"")"),"Lucky cat bags")</f>
        <v>Lucky cat bags</v>
      </c>
      <c r="D186" s="5" t="s">
        <v>450</v>
      </c>
      <c r="E186" s="4">
        <v>170048</v>
      </c>
    </row>
    <row r="187" spans="1:5" ht="13.5" hidden="1" customHeight="1">
      <c r="A187" s="4" t="s">
        <v>451</v>
      </c>
      <c r="B187" s="4" t="s">
        <v>452</v>
      </c>
      <c r="C187" s="4" t="str">
        <f ca="1">IFERROR(__xludf.DUMMYFUNCTION("GOOGLETRANSLATE(D:D,""auto"",""en"")"),"You find the object of how high standards")</f>
        <v>You find the object of how high standards</v>
      </c>
      <c r="D187" s="5" t="s">
        <v>453</v>
      </c>
      <c r="E187" s="4">
        <v>155727</v>
      </c>
    </row>
    <row r="188" spans="1:5" ht="13.5" hidden="1" customHeight="1">
      <c r="A188" s="4" t="s">
        <v>241</v>
      </c>
      <c r="B188" s="4" t="s">
        <v>242</v>
      </c>
      <c r="C188" s="4" t="str">
        <f ca="1">IFERROR(__xludf.DUMMYFUNCTION("GOOGLETRANSLATE(D:D,""auto"",""en"")"),"Why this change fast Kyung broadcast time")</f>
        <v>Why this change fast Kyung broadcast time</v>
      </c>
      <c r="D188" s="5" t="s">
        <v>243</v>
      </c>
      <c r="E188" s="4">
        <v>145060</v>
      </c>
    </row>
    <row r="189" spans="1:5" ht="13.5" hidden="1" customHeight="1">
      <c r="A189" s="4" t="s">
        <v>454</v>
      </c>
      <c r="B189" s="4" t="s">
        <v>303</v>
      </c>
      <c r="C189" s="4" t="str">
        <f ca="1">IFERROR(__xludf.DUMMYFUNCTION("GOOGLETRANSLATE(D:D,""auto"",""en"")"),"Laba eat anything")</f>
        <v>Laba eat anything</v>
      </c>
      <c r="D189" s="5" t="s">
        <v>455</v>
      </c>
      <c r="E189" s="4">
        <v>144779</v>
      </c>
    </row>
    <row r="190" spans="1:5" ht="13.5" hidden="1" customHeight="1">
      <c r="A190" s="4" t="s">
        <v>456</v>
      </c>
      <c r="B190" s="4" t="s">
        <v>457</v>
      </c>
      <c r="C190" s="4" t="str">
        <f ca="1">IFERROR(__xludf.DUMMYFUNCTION("GOOGLETRANSLATE(D:D,""auto"",""en"")"),"Zhu Yilong help Mao Amin mention skirt")</f>
        <v>Zhu Yilong help Mao Amin mention skirt</v>
      </c>
      <c r="D190" s="5" t="s">
        <v>458</v>
      </c>
      <c r="E190" s="4">
        <v>143479</v>
      </c>
    </row>
    <row r="191" spans="1:5" ht="13.5" hidden="1" customHeight="1">
      <c r="A191" s="4" t="s">
        <v>375</v>
      </c>
      <c r="B191" s="4" t="s">
        <v>459</v>
      </c>
      <c r="C191" s="4" t="str">
        <f ca="1">IFERROR(__xludf.DUMMYFUNCTION("GOOGLETRANSLATE(D:D,""auto"",""en"")"),"The first working day of 2020")</f>
        <v>The first working day of 2020</v>
      </c>
      <c r="D191" s="5" t="s">
        <v>460</v>
      </c>
      <c r="E191" s="4">
        <v>140767</v>
      </c>
    </row>
    <row r="192" spans="1:5" ht="13.5" hidden="1" customHeight="1">
      <c r="A192" s="4" t="s">
        <v>451</v>
      </c>
      <c r="B192" s="4" t="s">
        <v>260</v>
      </c>
      <c r="C192" s="4" t="str">
        <f ca="1">IFERROR(__xludf.DUMMYFUNCTION("GOOGLETRANSLATE(D:D,""auto"",""en"")"),"Strong Force to the host law enforcement arrested 400 rioters")</f>
        <v>Strong Force to the host law enforcement arrested 400 rioters</v>
      </c>
      <c r="D192" s="5" t="s">
        <v>461</v>
      </c>
      <c r="E192" s="4">
        <v>117771</v>
      </c>
    </row>
    <row r="193" spans="1:5" ht="13.5" hidden="1" customHeight="1">
      <c r="A193" s="4" t="s">
        <v>294</v>
      </c>
      <c r="B193" s="4" t="s">
        <v>462</v>
      </c>
      <c r="C193" s="4" t="str">
        <f ca="1">IFERROR(__xludf.DUMMYFUNCTION("GOOGLETRANSLATE(D:D,""auto"",""en"")"),"Shanxi Province, a total ban P2P service")</f>
        <v>Shanxi Province, a total ban P2P service</v>
      </c>
      <c r="D193" s="5" t="s">
        <v>463</v>
      </c>
      <c r="E193" s="4">
        <v>115805</v>
      </c>
    </row>
    <row r="194" spans="1:5" ht="13.5" hidden="1" customHeight="1">
      <c r="A194" s="4" t="s">
        <v>464</v>
      </c>
      <c r="B194" s="4" t="s">
        <v>260</v>
      </c>
      <c r="C194" s="4" t="str">
        <f ca="1">IFERROR(__xludf.DUMMYFUNCTION("GOOGLETRANSLATE(D:D,""auto"",""en"")"),"Which adhere to for a long time you have a hobby")</f>
        <v>Which adhere to for a long time you have a hobby</v>
      </c>
      <c r="D194" s="5" t="s">
        <v>465</v>
      </c>
      <c r="E194" s="4">
        <v>113311</v>
      </c>
    </row>
    <row r="195" spans="1:5" ht="13.5" hidden="1" customHeight="1">
      <c r="A195" s="4" t="s">
        <v>466</v>
      </c>
      <c r="B195" s="4" t="s">
        <v>467</v>
      </c>
      <c r="C195" s="4" t="str">
        <f ca="1">IFERROR(__xludf.DUMMYFUNCTION("GOOGLETRANSLATE(D:D,""auto"",""en"")"),"Towel space station screwed with water")</f>
        <v>Towel space station screwed with water</v>
      </c>
      <c r="D195" s="5" t="s">
        <v>468</v>
      </c>
      <c r="E195" s="4">
        <v>110945</v>
      </c>
    </row>
    <row r="196" spans="1:5" ht="13.5" hidden="1" customHeight="1">
      <c r="A196" s="4" t="s">
        <v>294</v>
      </c>
      <c r="B196" s="4" t="s">
        <v>295</v>
      </c>
      <c r="C196" s="4" t="str">
        <f ca="1">IFERROR(__xludf.DUMMYFUNCTION("GOOGLETRANSLATE(D:D,""auto"",""en"")"),"Exciting offer")</f>
        <v>Exciting offer</v>
      </c>
      <c r="D196" s="5" t="s">
        <v>296</v>
      </c>
      <c r="E196" s="4">
        <v>110018</v>
      </c>
    </row>
    <row r="197" spans="1:5" ht="13.5" hidden="1" customHeight="1">
      <c r="A197" s="4" t="s">
        <v>469</v>
      </c>
      <c r="B197" s="4" t="s">
        <v>289</v>
      </c>
      <c r="C197" s="4" t="str">
        <f ca="1">IFERROR(__xludf.DUMMYFUNCTION("GOOGLETRANSLATE(D:D,""auto"",""en"")"),"Finless porpoise water show spit water going round in circles")</f>
        <v>Finless porpoise water show spit water going round in circles</v>
      </c>
      <c r="D197" s="5" t="s">
        <v>470</v>
      </c>
      <c r="E197" s="4">
        <v>104544</v>
      </c>
    </row>
    <row r="198" spans="1:5" ht="13.5" hidden="1" customHeight="1">
      <c r="A198" s="4" t="s">
        <v>471</v>
      </c>
      <c r="B198" s="4" t="s">
        <v>360</v>
      </c>
      <c r="C198" s="4" t="str">
        <f ca="1">IFERROR(__xludf.DUMMYFUNCTION("GOOGLETRANSLATE(D:D,""auto"",""en"")"),"After reading the bed sheet martial arts blows")</f>
        <v>After reading the bed sheet martial arts blows</v>
      </c>
      <c r="D198" s="5" t="s">
        <v>472</v>
      </c>
      <c r="E198" s="4">
        <v>101604</v>
      </c>
    </row>
    <row r="199" spans="1:5" ht="13.5" hidden="1" customHeight="1">
      <c r="A199" s="4" t="s">
        <v>253</v>
      </c>
      <c r="B199" s="4" t="s">
        <v>254</v>
      </c>
      <c r="C199" s="4" t="str">
        <f ca="1">IFERROR(__xludf.DUMMYFUNCTION("GOOGLETRANSLATE(D:D,""auto"",""en"")"),"Greasy seen most overbearing president")</f>
        <v>Greasy seen most overbearing president</v>
      </c>
      <c r="D199" s="5" t="s">
        <v>255</v>
      </c>
      <c r="E199" s="4">
        <v>70139</v>
      </c>
    </row>
    <row r="200" spans="1:5" ht="13.5" hidden="1" customHeight="1">
      <c r="A200" s="4" t="s">
        <v>253</v>
      </c>
      <c r="B200" s="4" t="s">
        <v>254</v>
      </c>
      <c r="C200" s="4" t="str">
        <f ca="1">IFERROR(__xludf.DUMMYFUNCTION("GOOGLETRANSLATE(D:D,""auto"",""en"")"),"He Yunchen Dengbing Ying Li Haoyuan get the offer")</f>
        <v>He Yunchen Dengbing Ying Li Haoyuan get the offer</v>
      </c>
      <c r="D200" s="5" t="s">
        <v>256</v>
      </c>
      <c r="E200" s="4">
        <v>63545</v>
      </c>
    </row>
    <row r="201" spans="1:5" ht="13.5" hidden="1" customHeight="1">
      <c r="C201" s="4" t="str">
        <f ca="1">IFERROR(__xludf.DUMMYFUNCTION("GOOGLETRANSLATE(D:D,""auto"",""en"")"),"#VALUE!")</f>
        <v>#VALUE!</v>
      </c>
    </row>
    <row r="202" spans="1:5" ht="13.5" hidden="1" customHeight="1">
      <c r="A202" s="4" t="s">
        <v>473</v>
      </c>
      <c r="B202" s="4" t="s">
        <v>474</v>
      </c>
      <c r="C202" s="4" t="str">
        <f ca="1">IFERROR(__xludf.DUMMYFUNCTION("GOOGLETRANSLATE(D:D,""auto"",""en"")"),"Du Jiang effort is not worth mentioning things")</f>
        <v>Du Jiang effort is not worth mentioning things</v>
      </c>
      <c r="D202" s="4" t="s">
        <v>475</v>
      </c>
      <c r="E202" s="4">
        <v>2758406</v>
      </c>
    </row>
    <row r="203" spans="1:5" ht="13.5" hidden="1" customHeight="1">
      <c r="A203" s="4" t="s">
        <v>476</v>
      </c>
      <c r="B203" s="4" t="s">
        <v>477</v>
      </c>
      <c r="C203" s="4" t="str">
        <f ca="1">IFERROR(__xludf.DUMMYFUNCTION("GOOGLETRANSLATE(D:D,""auto"",""en"")"),"White sturgeon extinction")</f>
        <v>White sturgeon extinction</v>
      </c>
      <c r="D203" s="5" t="s">
        <v>478</v>
      </c>
      <c r="E203" s="4">
        <v>2321791</v>
      </c>
    </row>
    <row r="204" spans="1:5" ht="13.5" hidden="1" customHeight="1">
      <c r="A204" s="4" t="s">
        <v>479</v>
      </c>
      <c r="B204" s="4" t="s">
        <v>480</v>
      </c>
      <c r="C204" s="4" t="str">
        <f ca="1">IFERROR(__xludf.DUMMYFUNCTION("GOOGLETRANSLATE(D:D,""auto"",""en"")"),"He Jiong, Xie Na hug across the sea")</f>
        <v>He Jiong, Xie Na hug across the sea</v>
      </c>
      <c r="D204" s="5" t="s">
        <v>481</v>
      </c>
      <c r="E204" s="4">
        <v>2226828</v>
      </c>
    </row>
    <row r="205" spans="1:5" ht="13.5" hidden="1" customHeight="1">
      <c r="A205" s="4" t="s">
        <v>482</v>
      </c>
      <c r="B205" s="4" t="s">
        <v>483</v>
      </c>
      <c r="C205" s="4" t="str">
        <f ca="1">IFERROR(__xludf.DUMMYFUNCTION("GOOGLETRANSLATE(D:D,""auto"",""en"")"),"Fu Seoul mother is not good enough for me")</f>
        <v>Fu Seoul mother is not good enough for me</v>
      </c>
      <c r="D205" s="5" t="s">
        <v>484</v>
      </c>
      <c r="E205" s="4">
        <v>1768269</v>
      </c>
    </row>
    <row r="206" spans="1:5" ht="13.5" hidden="1" customHeight="1">
      <c r="A206" s="4" t="s">
        <v>485</v>
      </c>
      <c r="B206" s="4" t="s">
        <v>486</v>
      </c>
      <c r="C206" s="4" t="str">
        <f ca="1">IFERROR(__xludf.DUMMYFUNCTION("GOOGLETRANSLATE(D:D,""auto"",""en"")"),"Back-containing sample shoes force component induced precocious puberty")</f>
        <v>Back-containing sample shoes force component induced precocious puberty</v>
      </c>
      <c r="D206" s="5" t="s">
        <v>487</v>
      </c>
      <c r="E206" s="4">
        <v>950866</v>
      </c>
    </row>
    <row r="207" spans="1:5" ht="13.5" hidden="1" customHeight="1">
      <c r="A207" s="4" t="s">
        <v>488</v>
      </c>
      <c r="B207" s="4" t="s">
        <v>489</v>
      </c>
      <c r="C207" s="4" t="str">
        <f ca="1">IFERROR(__xludf.DUMMYFUNCTION("GOOGLETRANSLATE(D:D,""auto"",""en"")"),"Chongqing high-rise fire is still accounted for the next fire exits")</f>
        <v>Chongqing high-rise fire is still accounted for the next fire exits</v>
      </c>
      <c r="D207" s="5" t="s">
        <v>490</v>
      </c>
      <c r="E207" s="4">
        <v>915533</v>
      </c>
    </row>
    <row r="208" spans="1:5" ht="13.5" hidden="1" customHeight="1">
      <c r="A208" s="4" t="s">
        <v>491</v>
      </c>
      <c r="B208" s="4" t="s">
        <v>492</v>
      </c>
      <c r="C208" s="4" t="str">
        <f ca="1">IFERROR(__xludf.DUMMYFUNCTION("GOOGLETRANSLATE(D:D,""auto"",""en"")"),"Luo Penang reasons for breaking up blue and red")</f>
        <v>Luo Penang reasons for breaking up blue and red</v>
      </c>
      <c r="D208" s="5" t="s">
        <v>493</v>
      </c>
      <c r="E208" s="4">
        <v>696278</v>
      </c>
    </row>
    <row r="209" spans="1:5" ht="13.5" hidden="1" customHeight="1">
      <c r="A209" s="4" t="s">
        <v>494</v>
      </c>
      <c r="B209" s="4" t="s">
        <v>495</v>
      </c>
      <c r="C209" s="4" t="str">
        <f ca="1">IFERROR(__xludf.DUMMYFUNCTION("GOOGLETRANSLATE(D:D,""auto"",""en"")"),"Hong Kong mob smashed the headquarters of an underground radio station")</f>
        <v>Hong Kong mob smashed the headquarters of an underground radio station</v>
      </c>
      <c r="D209" s="5" t="s">
        <v>496</v>
      </c>
      <c r="E209" s="4">
        <v>608290</v>
      </c>
    </row>
    <row r="210" spans="1:5" ht="13.5" hidden="1" customHeight="1">
      <c r="A210" s="4" t="s">
        <v>497</v>
      </c>
      <c r="B210" s="4" t="s">
        <v>498</v>
      </c>
      <c r="C210" s="4" t="str">
        <f ca="1">IFERROR(__xludf.DUMMYFUNCTION("GOOGLETRANSLATE(D:D,""auto"",""en"")"),"Zhan Qingyun parents need examination")</f>
        <v>Zhan Qingyun parents need examination</v>
      </c>
      <c r="D210" s="5" t="s">
        <v>499</v>
      </c>
      <c r="E210" s="4">
        <v>595865</v>
      </c>
    </row>
    <row r="211" spans="1:5" ht="13.5" hidden="1" customHeight="1">
      <c r="A211" s="4" t="s">
        <v>500</v>
      </c>
      <c r="B211" s="4" t="s">
        <v>501</v>
      </c>
      <c r="C211" s="4" t="str">
        <f ca="1">IFERROR(__xludf.DUMMYFUNCTION("GOOGLETRANSLATE(D:D,""auto"",""en"")"),"Two children should be adopted belly Breeds")</f>
        <v>Two children should be adopted belly Breeds</v>
      </c>
      <c r="D211" s="5" t="s">
        <v>502</v>
      </c>
      <c r="E211" s="4">
        <v>595137</v>
      </c>
    </row>
    <row r="212" spans="1:5" ht="13.5" hidden="1" customHeight="1">
      <c r="A212" s="4" t="s">
        <v>503</v>
      </c>
      <c r="B212" s="4" t="s">
        <v>504</v>
      </c>
      <c r="C212" s="4" t="str">
        <f ca="1">IFERROR(__xludf.DUMMYFUNCTION("GOOGLETRANSLATE(D:D,""auto"",""en"")"),"Should a second child after the boss agreed")</f>
        <v>Should a second child after the boss agreed</v>
      </c>
      <c r="D212" s="5" t="s">
        <v>505</v>
      </c>
      <c r="E212" s="4">
        <v>592330</v>
      </c>
    </row>
    <row r="213" spans="1:5" ht="13.5" hidden="1" customHeight="1">
      <c r="A213" s="4" t="s">
        <v>506</v>
      </c>
      <c r="B213" s="4" t="s">
        <v>507</v>
      </c>
      <c r="C213" s="4" t="str">
        <f ca="1">IFERROR(__xludf.DUMMYFUNCTION("GOOGLETRANSLATE(D:D,""auto"",""en"")"),"Swallowed AirPod doctors recommend self-discharge")</f>
        <v>Swallowed AirPod doctors recommend self-discharge</v>
      </c>
      <c r="D213" s="5" t="s">
        <v>508</v>
      </c>
      <c r="E213" s="4">
        <v>590153</v>
      </c>
    </row>
    <row r="214" spans="1:5" ht="13.5" hidden="1" customHeight="1">
      <c r="A214" s="4" t="s">
        <v>509</v>
      </c>
      <c r="B214" s="4" t="s">
        <v>396</v>
      </c>
      <c r="C214" s="4" t="str">
        <f ca="1">IFERROR(__xludf.DUMMYFUNCTION("GOOGLETRANSLATE(D:D,""auto"",""en"")"),"Laba")</f>
        <v>Laba</v>
      </c>
      <c r="D214" s="5" t="s">
        <v>510</v>
      </c>
      <c r="E214" s="4">
        <v>585874</v>
      </c>
    </row>
    <row r="215" spans="1:5" ht="13.5" hidden="1" customHeight="1">
      <c r="A215" s="4" t="s">
        <v>509</v>
      </c>
      <c r="B215" s="4" t="s">
        <v>511</v>
      </c>
      <c r="C215" s="4" t="str">
        <f ca="1">IFERROR(__xludf.DUMMYFUNCTION("GOOGLETRANSLATE(D:D,""auto"",""en"")"),"The boy into a red mesh with a cargo of anchor")</f>
        <v>The boy into a red mesh with a cargo of anchor</v>
      </c>
      <c r="D215" s="5" t="s">
        <v>512</v>
      </c>
      <c r="E215" s="4">
        <v>585661</v>
      </c>
    </row>
    <row r="216" spans="1:5" ht="13.5" hidden="1" customHeight="1">
      <c r="A216" s="4" t="s">
        <v>513</v>
      </c>
      <c r="B216" s="4" t="s">
        <v>514</v>
      </c>
      <c r="C216" s="4" t="str">
        <f ca="1">IFERROR(__xludf.DUMMYFUNCTION("GOOGLETRANSLATE(D:D,""auto"",""en"")"),"Brooklyn admits affair")</f>
        <v>Brooklyn admits affair</v>
      </c>
      <c r="D216" s="5" t="s">
        <v>515</v>
      </c>
      <c r="E216" s="4">
        <v>582022</v>
      </c>
    </row>
    <row r="217" spans="1:5" ht="13.5" hidden="1" customHeight="1">
      <c r="A217" s="4" t="s">
        <v>516</v>
      </c>
      <c r="B217" s="4" t="s">
        <v>517</v>
      </c>
      <c r="C217" s="4" t="str">
        <f ca="1">IFERROR(__xludf.DUMMYFUNCTION("GOOGLETRANSLATE(D:D,""auto"",""en"")"),"Zhu Zhanji wedding")</f>
        <v>Zhu Zhanji wedding</v>
      </c>
      <c r="D217" s="5" t="s">
        <v>518</v>
      </c>
      <c r="E217" s="4">
        <v>578415</v>
      </c>
    </row>
    <row r="218" spans="1:5" ht="13.5" hidden="1" customHeight="1">
      <c r="A218" s="4" t="s">
        <v>519</v>
      </c>
      <c r="B218" s="4" t="s">
        <v>520</v>
      </c>
      <c r="C218" s="4" t="str">
        <f ca="1">IFERROR(__xludf.DUMMYFUNCTION("GOOGLETRANSLATE(D:D,""auto"",""en"")"),"Jiujiang, Jiangxi Institute senior girls lost to")</f>
        <v>Jiujiang, Jiangxi Institute senior girls lost to</v>
      </c>
      <c r="D218" s="5" t="s">
        <v>521</v>
      </c>
      <c r="E218" s="4">
        <v>578168</v>
      </c>
    </row>
    <row r="219" spans="1:5" ht="13.5" hidden="1" customHeight="1">
      <c r="A219" s="4" t="s">
        <v>522</v>
      </c>
      <c r="B219" s="4" t="s">
        <v>523</v>
      </c>
      <c r="C219" s="4" t="str">
        <f ca="1">IFERROR(__xludf.DUMMYFUNCTION("GOOGLETRANSLATE(D:D,""auto"",""en"")"),"Parents fighting caused accidentally pulled 4-year-olds fall death")</f>
        <v>Parents fighting caused accidentally pulled 4-year-olds fall death</v>
      </c>
      <c r="D219" s="5" t="s">
        <v>524</v>
      </c>
      <c r="E219" s="4">
        <v>578005</v>
      </c>
    </row>
    <row r="220" spans="1:5" ht="13.5" hidden="1" customHeight="1">
      <c r="A220" s="4" t="s">
        <v>525</v>
      </c>
      <c r="B220" s="4" t="s">
        <v>526</v>
      </c>
      <c r="C220" s="4" t="str">
        <f ca="1">IFERROR(__xludf.DUMMYFUNCTION("GOOGLETRANSLATE(D:D,""auto"",""en"")"),"One of them a senior male slag Quotations")</f>
        <v>One of them a senior male slag Quotations</v>
      </c>
      <c r="D220" s="5" t="s">
        <v>527</v>
      </c>
      <c r="E220" s="4">
        <v>437485</v>
      </c>
    </row>
    <row r="221" spans="1:5" ht="13.5" hidden="1" customHeight="1">
      <c r="A221" s="4" t="s">
        <v>528</v>
      </c>
      <c r="B221" s="4" t="s">
        <v>529</v>
      </c>
      <c r="C221" s="4" t="str">
        <f ca="1">IFERROR(__xludf.DUMMYFUNCTION("GOOGLETRANSLATE(D:D,""auto"",""en"")"),"Ren Jialun eyes")</f>
        <v>Ren Jialun eyes</v>
      </c>
      <c r="D221" s="5" t="s">
        <v>530</v>
      </c>
      <c r="E221" s="4">
        <v>429961</v>
      </c>
    </row>
    <row r="222" spans="1:5" ht="13.5" hidden="1" customHeight="1">
      <c r="A222" s="4" t="s">
        <v>516</v>
      </c>
      <c r="B222" s="4" t="s">
        <v>531</v>
      </c>
      <c r="C222" s="4" t="str">
        <f ca="1">IFERROR(__xludf.DUMMYFUNCTION("GOOGLETRANSLATE(D:D,""auto"",""en"")"),"New Year's Day in one billion lottery")</f>
        <v>New Year's Day in one billion lottery</v>
      </c>
      <c r="D222" s="5" t="s">
        <v>532</v>
      </c>
      <c r="E222" s="4">
        <v>411910</v>
      </c>
    </row>
    <row r="223" spans="1:5" ht="13.5" hidden="1" customHeight="1">
      <c r="A223" s="4" t="s">
        <v>533</v>
      </c>
      <c r="B223" s="4" t="s">
        <v>534</v>
      </c>
      <c r="C223" s="4" t="str">
        <f ca="1">IFERROR(__xludf.DUMMYFUNCTION("GOOGLETRANSLATE(D:D,""auto"",""en"")"),"Flat face counter-attack trick")</f>
        <v>Flat face counter-attack trick</v>
      </c>
      <c r="D223" s="5" t="s">
        <v>535</v>
      </c>
      <c r="E223" s="4">
        <v>401498</v>
      </c>
    </row>
    <row r="224" spans="1:5" ht="13.5" hidden="1" customHeight="1">
      <c r="A224" s="4" t="s">
        <v>536</v>
      </c>
      <c r="B224" s="4" t="s">
        <v>537</v>
      </c>
      <c r="C224" s="4" t="str">
        <f ca="1">IFERROR(__xludf.DUMMYFUNCTION("GOOGLETRANSLATE(D:D,""auto"",""en"")"),"Chinatown Holmes")</f>
        <v>Chinatown Holmes</v>
      </c>
      <c r="D224" s="5" t="s">
        <v>538</v>
      </c>
      <c r="E224" s="4">
        <v>398356</v>
      </c>
    </row>
    <row r="225" spans="1:5" ht="13.5" hidden="1" customHeight="1">
      <c r="A225" s="4" t="s">
        <v>539</v>
      </c>
      <c r="B225" s="4" t="s">
        <v>540</v>
      </c>
      <c r="C225" s="4" t="str">
        <f ca="1">IFERROR(__xludf.DUMMYFUNCTION("GOOGLETRANSLATE(D:D,""auto"",""en"")"),"Han Feng's first marriage Celina Jade")</f>
        <v>Han Feng's first marriage Celina Jade</v>
      </c>
      <c r="D225" s="5" t="s">
        <v>541</v>
      </c>
      <c r="E225" s="4">
        <v>377527</v>
      </c>
    </row>
    <row r="226" spans="1:5" ht="13.5" hidden="1" customHeight="1">
      <c r="A226" s="4" t="s">
        <v>542</v>
      </c>
      <c r="B226" s="4" t="s">
        <v>543</v>
      </c>
      <c r="C226" s="4" t="str">
        <f ca="1">IFERROR(__xludf.DUMMYFUNCTION("GOOGLETRANSLATE(D:D,""auto"",""en"")"),"Zhang Han microblogging Comments")</f>
        <v>Zhang Han microblogging Comments</v>
      </c>
      <c r="D226" s="5" t="s">
        <v>544</v>
      </c>
      <c r="E226" s="4">
        <v>377514</v>
      </c>
    </row>
    <row r="227" spans="1:5" ht="13.5" hidden="1" customHeight="1">
      <c r="A227" s="4" t="s">
        <v>545</v>
      </c>
      <c r="B227" s="4" t="s">
        <v>546</v>
      </c>
      <c r="C227" s="4" t="str">
        <f ca="1">IFERROR(__xludf.DUMMYFUNCTION("GOOGLETRANSLATE(D:D,""auto"",""en"")"),"12306 collapse")</f>
        <v>12306 collapse</v>
      </c>
      <c r="D227" s="5" t="s">
        <v>547</v>
      </c>
      <c r="E227" s="4">
        <v>369524</v>
      </c>
    </row>
    <row r="228" spans="1:5" ht="13.5" hidden="1" customHeight="1">
      <c r="A228" s="4" t="s">
        <v>548</v>
      </c>
      <c r="B228" s="4" t="s">
        <v>549</v>
      </c>
      <c r="C228" s="4" t="str">
        <f ca="1">IFERROR(__xludf.DUMMYFUNCTION("GOOGLETRANSLATE(D:D,""auto"",""en"")"),"How long does love people like it")</f>
        <v>How long does love people like it</v>
      </c>
      <c r="D228" s="5" t="s">
        <v>550</v>
      </c>
      <c r="E228" s="4">
        <v>332260</v>
      </c>
    </row>
    <row r="229" spans="1:5" ht="13.5" hidden="1" customHeight="1">
      <c r="A229" s="4" t="s">
        <v>378</v>
      </c>
      <c r="B229" s="4" t="s">
        <v>329</v>
      </c>
      <c r="C229" s="4" t="str">
        <f ca="1">IFERROR(__xludf.DUMMYFUNCTION("GOOGLETRANSLATE(D:D,""auto"",""en"")"),"Yangtze River fishing ban ten years")</f>
        <v>Yangtze River fishing ban ten years</v>
      </c>
      <c r="D229" s="5" t="s">
        <v>379</v>
      </c>
      <c r="E229" s="4">
        <v>312395</v>
      </c>
    </row>
    <row r="230" spans="1:5" ht="13.5" hidden="1" customHeight="1">
      <c r="A230" s="4" t="s">
        <v>551</v>
      </c>
      <c r="B230" s="4" t="s">
        <v>552</v>
      </c>
      <c r="C230" s="4" t="str">
        <f ca="1">IFERROR(__xludf.DUMMYFUNCTION("GOOGLETRANSLATE(D:D,""auto"",""en"")"),"Roommate you most can not tolerate behavior")</f>
        <v>Roommate you most can not tolerate behavior</v>
      </c>
      <c r="D230" s="5" t="s">
        <v>553</v>
      </c>
      <c r="E230" s="4">
        <v>310774</v>
      </c>
    </row>
    <row r="231" spans="1:5" ht="13.5" hidden="1" customHeight="1">
      <c r="A231" s="4" t="s">
        <v>554</v>
      </c>
      <c r="B231" s="4" t="s">
        <v>410</v>
      </c>
      <c r="C231" s="4" t="str">
        <f ca="1">IFERROR(__xludf.DUMMYFUNCTION("GOOGLETRANSLATE(D:D,""auto"",""en"")"),"Zheng Xu wig wearing fur sister")</f>
        <v>Zheng Xu wig wearing fur sister</v>
      </c>
      <c r="D231" s="5" t="s">
        <v>555</v>
      </c>
      <c r="E231" s="4">
        <v>310340</v>
      </c>
    </row>
    <row r="232" spans="1:5" ht="13.5" hidden="1" customHeight="1">
      <c r="A232" s="4" t="s">
        <v>556</v>
      </c>
      <c r="B232" s="4" t="s">
        <v>557</v>
      </c>
      <c r="C232" s="4" t="str">
        <f ca="1">IFERROR(__xludf.DUMMYFUNCTION("GOOGLETRANSLATE(D:D,""auto"",""en"")"),"Zhou Zhennan Tucao Assembly")</f>
        <v>Zhou Zhennan Tucao Assembly</v>
      </c>
      <c r="D232" s="5" t="s">
        <v>558</v>
      </c>
      <c r="E232" s="4">
        <v>301271</v>
      </c>
    </row>
    <row r="233" spans="1:5" ht="13.5" hidden="1" customHeight="1">
      <c r="A233" s="4" t="s">
        <v>525</v>
      </c>
      <c r="B233" s="4" t="s">
        <v>559</v>
      </c>
      <c r="C233" s="4" t="str">
        <f ca="1">IFERROR(__xludf.DUMMYFUNCTION("GOOGLETRANSLATE(D:D,""auto"",""en"")"),"25 days endlessly less sleep is what feeling")</f>
        <v>25 days endlessly less sleep is what feeling</v>
      </c>
      <c r="D233" s="5" t="s">
        <v>560</v>
      </c>
      <c r="E233" s="4">
        <v>253113</v>
      </c>
    </row>
    <row r="234" spans="1:5" ht="13.5" hidden="1" customHeight="1">
      <c r="A234" s="4" t="s">
        <v>561</v>
      </c>
      <c r="B234" s="4" t="s">
        <v>562</v>
      </c>
      <c r="C234" s="4" t="str">
        <f ca="1">IFERROR(__xludf.DUMMYFUNCTION("GOOGLETRANSLATE(D:D,""auto"",""en"")"),"The troops stationed in Hong Kong New Year wish")</f>
        <v>The troops stationed in Hong Kong New Year wish</v>
      </c>
      <c r="D234" s="5" t="s">
        <v>563</v>
      </c>
      <c r="E234" s="4">
        <v>249465</v>
      </c>
    </row>
    <row r="235" spans="1:5" ht="13.5" hidden="1" customHeight="1">
      <c r="A235" s="4" t="s">
        <v>564</v>
      </c>
      <c r="B235" s="4" t="s">
        <v>565</v>
      </c>
      <c r="C235" s="4" t="str">
        <f ca="1">IFERROR(__xludf.DUMMYFUNCTION("GOOGLETRANSLATE(D:D,""auto"",""en"")"),"3.91 million to buy a mobile phone number")</f>
        <v>3.91 million to buy a mobile phone number</v>
      </c>
      <c r="D235" s="5" t="s">
        <v>566</v>
      </c>
      <c r="E235" s="4">
        <v>249353</v>
      </c>
    </row>
    <row r="236" spans="1:5" ht="13.5" hidden="1" customHeight="1">
      <c r="A236" s="4" t="s">
        <v>567</v>
      </c>
      <c r="B236" s="4" t="s">
        <v>568</v>
      </c>
      <c r="C236" s="4" t="str">
        <f ca="1">IFERROR(__xludf.DUMMYFUNCTION("GOOGLETRANSLATE(D:D,""auto"",""en"")"),"Luhan fans Kim Hee Chul fans")</f>
        <v>Luhan fans Kim Hee Chul fans</v>
      </c>
      <c r="D236" s="5" t="s">
        <v>569</v>
      </c>
      <c r="E236" s="4">
        <v>246757</v>
      </c>
    </row>
    <row r="237" spans="1:5" ht="13.5" hidden="1" customHeight="1">
      <c r="A237" s="4" t="s">
        <v>570</v>
      </c>
      <c r="B237" s="4" t="s">
        <v>571</v>
      </c>
      <c r="C237" s="4" t="str">
        <f ca="1">IFERROR(__xludf.DUMMYFUNCTION("GOOGLETRANSLATE(D:D,""auto"",""en"")"),"Wonderful say")</f>
        <v>Wonderful say</v>
      </c>
      <c r="D237" s="5" t="s">
        <v>572</v>
      </c>
      <c r="E237" s="4">
        <v>243066</v>
      </c>
    </row>
    <row r="238" spans="1:5" ht="13.5" hidden="1" customHeight="1">
      <c r="A238" s="4" t="s">
        <v>573</v>
      </c>
      <c r="B238" s="4" t="s">
        <v>574</v>
      </c>
      <c r="C238" s="4" t="str">
        <f ca="1">IFERROR(__xludf.DUMMYFUNCTION("GOOGLETRANSLATE(D:D,""auto"",""en"")"),"Circle of friends is what parents")</f>
        <v>Circle of friends is what parents</v>
      </c>
      <c r="D238" s="5" t="s">
        <v>575</v>
      </c>
      <c r="E238" s="4">
        <v>238414</v>
      </c>
    </row>
    <row r="239" spans="1:5" ht="13.5" hidden="1" customHeight="1">
      <c r="A239" s="4" t="s">
        <v>576</v>
      </c>
      <c r="B239" s="4" t="s">
        <v>577</v>
      </c>
      <c r="C239" s="4" t="str">
        <f ca="1">IFERROR(__xludf.DUMMYFUNCTION("GOOGLETRANSLATE(D:D,""auto"",""en"")"),"Jiangsu Province test results")</f>
        <v>Jiangsu Province test results</v>
      </c>
      <c r="D239" s="5" t="s">
        <v>578</v>
      </c>
      <c r="E239" s="4">
        <v>219620</v>
      </c>
    </row>
    <row r="240" spans="1:5" ht="13.5" hidden="1" customHeight="1">
      <c r="A240" s="4" t="s">
        <v>579</v>
      </c>
      <c r="B240" s="4" t="s">
        <v>580</v>
      </c>
      <c r="C240" s="4" t="str">
        <f ca="1">IFERROR(__xludf.DUMMYFUNCTION("GOOGLETRANSLATE(D:D,""auto"",""en"")"),"Day official blessing")</f>
        <v>Day official blessing</v>
      </c>
      <c r="D240" s="5" t="s">
        <v>581</v>
      </c>
      <c r="E240" s="4">
        <v>218533</v>
      </c>
    </row>
    <row r="241" spans="1:6" ht="13.5" hidden="1" customHeight="1">
      <c r="A241" s="4" t="s">
        <v>582</v>
      </c>
      <c r="B241" s="4" t="s">
        <v>375</v>
      </c>
      <c r="C241" s="4" t="str">
        <f ca="1">IFERROR(__xludf.DUMMYFUNCTION("GOOGLETRANSLATE(D:D,""auto"",""en"")"),"Yan side Bingbing")</f>
        <v>Yan side Bingbing</v>
      </c>
      <c r="D241" s="5" t="s">
        <v>583</v>
      </c>
      <c r="E241" s="4">
        <v>216009</v>
      </c>
    </row>
    <row r="242" spans="1:6" ht="13.5" hidden="1" customHeight="1">
      <c r="A242" s="4" t="s">
        <v>533</v>
      </c>
      <c r="B242" s="4" t="s">
        <v>584</v>
      </c>
      <c r="C242" s="4" t="str">
        <f ca="1">IFERROR(__xludf.DUMMYFUNCTION("GOOGLETRANSLATE(D:D,""auto"",""en"")"),"ETC is not installed forcibly charged ambulance")</f>
        <v>ETC is not installed forcibly charged ambulance</v>
      </c>
      <c r="D242" s="5" t="s">
        <v>585</v>
      </c>
      <c r="E242" s="4">
        <v>214863</v>
      </c>
    </row>
    <row r="243" spans="1:6" ht="13.5" hidden="1" customHeight="1">
      <c r="A243" s="4" t="s">
        <v>506</v>
      </c>
      <c r="B243" s="4" t="s">
        <v>586</v>
      </c>
      <c r="C243" s="4" t="str">
        <f ca="1">IFERROR(__xludf.DUMMYFUNCTION("GOOGLETRANSLATE(D:D,""auto"",""en"")"),"A child is the fire slogan")</f>
        <v>A child is the fire slogan</v>
      </c>
      <c r="D243" s="5" t="s">
        <v>587</v>
      </c>
      <c r="E243" s="4">
        <v>202751</v>
      </c>
    </row>
    <row r="244" spans="1:6" ht="13.5" hidden="1" customHeight="1">
      <c r="A244" s="4" t="s">
        <v>588</v>
      </c>
      <c r="B244" s="4" t="s">
        <v>589</v>
      </c>
      <c r="C244" s="4" t="str">
        <f ca="1">IFERROR(__xludf.DUMMYFUNCTION("GOOGLETRANSLATE(D:D,""auto"",""en"")"),"Kim Hee Chul issued")</f>
        <v>Kim Hee Chul issued</v>
      </c>
      <c r="D244" s="5" t="s">
        <v>590</v>
      </c>
      <c r="E244" s="4">
        <v>201810</v>
      </c>
    </row>
    <row r="245" spans="1:6" ht="13.5" hidden="1" customHeight="1">
      <c r="A245" s="4" t="s">
        <v>591</v>
      </c>
      <c r="B245" s="4" t="s">
        <v>592</v>
      </c>
      <c r="C245" s="4" t="str">
        <f ca="1">IFERROR(__xludf.DUMMYFUNCTION("GOOGLETRANSLATE(D:D,""auto"",""en"")"),"Starchaser after learn skills")</f>
        <v>Starchaser after learn skills</v>
      </c>
      <c r="D245" s="5" t="s">
        <v>593</v>
      </c>
      <c r="E245" s="4">
        <v>196493</v>
      </c>
    </row>
    <row r="246" spans="1:6" ht="13.5" hidden="1" customHeight="1">
      <c r="A246" s="4" t="s">
        <v>594</v>
      </c>
      <c r="B246" s="4" t="s">
        <v>595</v>
      </c>
      <c r="C246" s="4" t="str">
        <f ca="1">IFERROR(__xludf.DUMMYFUNCTION("GOOGLETRANSLATE(D:D,""auto"",""en"")"),"Police respond to man stunned nurse")</f>
        <v>Police respond to man stunned nurse</v>
      </c>
      <c r="D246" s="5" t="s">
        <v>596</v>
      </c>
      <c r="E246" s="4">
        <v>182381</v>
      </c>
    </row>
    <row r="247" spans="1:6" ht="13.5" customHeight="1">
      <c r="A247" s="6" t="s">
        <v>509</v>
      </c>
      <c r="B247" s="6" t="s">
        <v>514</v>
      </c>
      <c r="C247" s="6" t="str">
        <f ca="1">IFERROR(__xludf.DUMMYFUNCTION("GOOGLETRANSLATE(D:D,""auto"",""en"")"),"Wuhan outbreak of pneumonia patients were asked to continue to stay in hospital")</f>
        <v>Wuhan outbreak of pneumonia patients were asked to continue to stay in hospital</v>
      </c>
      <c r="D247" s="7" t="s">
        <v>597</v>
      </c>
      <c r="E247" s="6">
        <v>176122</v>
      </c>
      <c r="F247">
        <v>1</v>
      </c>
    </row>
    <row r="248" spans="1:6" ht="13.5" hidden="1" customHeight="1">
      <c r="A248" s="4" t="s">
        <v>598</v>
      </c>
      <c r="B248" s="4" t="s">
        <v>599</v>
      </c>
      <c r="C248" s="4" t="str">
        <f ca="1">IFERROR(__xludf.DUMMYFUNCTION("GOOGLETRANSLATE(D:D,""auto"",""en"")"),"Rocket Forces female dancing like")</f>
        <v>Rocket Forces female dancing like</v>
      </c>
      <c r="D248" s="5" t="s">
        <v>600</v>
      </c>
      <c r="E248" s="4">
        <v>136649</v>
      </c>
    </row>
    <row r="249" spans="1:6" ht="13.5" hidden="1" customHeight="1">
      <c r="A249" s="4" t="s">
        <v>601</v>
      </c>
      <c r="B249" s="4" t="s">
        <v>602</v>
      </c>
      <c r="C249" s="4" t="str">
        <f ca="1">IFERROR(__xludf.DUMMYFUNCTION("GOOGLETRANSLATE(D:D,""auto"",""en"")"),"Male nurse glucose drink adhere to the operating table")</f>
        <v>Male nurse glucose drink adhere to the operating table</v>
      </c>
      <c r="D249" s="5" t="s">
        <v>603</v>
      </c>
      <c r="E249" s="4">
        <v>132744</v>
      </c>
    </row>
    <row r="250" spans="1:6" ht="13.5" hidden="1" customHeight="1">
      <c r="C250" s="4" t="str">
        <f ca="1">IFERROR(__xludf.DUMMYFUNCTION("GOOGLETRANSLATE(D:D,""auto"",""en"")"),"#VALUE!")</f>
        <v>#VALUE!</v>
      </c>
    </row>
    <row r="251" spans="1:6" ht="13.5" hidden="1" customHeight="1">
      <c r="A251" s="4" t="s">
        <v>604</v>
      </c>
      <c r="B251" s="4" t="s">
        <v>605</v>
      </c>
      <c r="C251" s="4" t="str">
        <f ca="1">IFERROR(__xludf.DUMMYFUNCTION("GOOGLETRANSLATE(D:D,""auto"",""en"")"),"Deng Chao Sun Li thanks to find me in the open sea")</f>
        <v>Deng Chao Sun Li thanks to find me in the open sea</v>
      </c>
      <c r="D251" s="4" t="s">
        <v>606</v>
      </c>
      <c r="E251" s="4">
        <v>2278850</v>
      </c>
    </row>
    <row r="252" spans="1:6" ht="13.5" hidden="1" customHeight="1">
      <c r="A252" s="4" t="s">
        <v>607</v>
      </c>
      <c r="B252" s="4" t="s">
        <v>608</v>
      </c>
      <c r="C252" s="4" t="str">
        <f ca="1">IFERROR(__xludf.DUMMYFUNCTION("GOOGLETRANSLATE(D:D,""auto"",""en"")"),"Iran were killed in Iraq, Major General")</f>
        <v>Iran were killed in Iraq, Major General</v>
      </c>
      <c r="D252" s="5" t="s">
        <v>609</v>
      </c>
      <c r="E252" s="4">
        <v>1334075</v>
      </c>
    </row>
    <row r="253" spans="1:6" ht="13.5" hidden="1" customHeight="1">
      <c r="A253" s="4" t="s">
        <v>610</v>
      </c>
      <c r="B253" s="4" t="s">
        <v>488</v>
      </c>
      <c r="C253" s="4" t="str">
        <f ca="1">IFERROR(__xludf.DUMMYFUNCTION("GOOGLETRANSLATE(D:D,""auto"",""en"")"),"Joe Chen Alan dating")</f>
        <v>Joe Chen Alan dating</v>
      </c>
      <c r="D253" s="5" t="s">
        <v>611</v>
      </c>
      <c r="E253" s="4">
        <v>1290822</v>
      </c>
    </row>
    <row r="254" spans="1:6" ht="13.5" hidden="1" customHeight="1">
      <c r="A254" s="4" t="s">
        <v>612</v>
      </c>
      <c r="B254" s="4" t="s">
        <v>519</v>
      </c>
      <c r="C254" s="4" t="str">
        <f ca="1">IFERROR(__xludf.DUMMYFUNCTION("GOOGLETRANSLATE(D:D,""auto"",""en"")"),"Song Zhongji sign new company")</f>
        <v>Song Zhongji sign new company</v>
      </c>
      <c r="D254" s="5" t="s">
        <v>613</v>
      </c>
      <c r="E254" s="4">
        <v>833403</v>
      </c>
    </row>
    <row r="255" spans="1:6" ht="13.5" hidden="1" customHeight="1">
      <c r="A255" s="4" t="s">
        <v>614</v>
      </c>
      <c r="B255" s="4" t="s">
        <v>615</v>
      </c>
      <c r="C255" s="4" t="str">
        <f ca="1">IFERROR(__xludf.DUMMYFUNCTION("GOOGLETRANSLATE(D:D,""auto"",""en"")"),"2020 high-speed railway will fully use e-tickets")</f>
        <v>2020 high-speed railway will fully use e-tickets</v>
      </c>
      <c r="D255" s="5" t="s">
        <v>616</v>
      </c>
      <c r="E255" s="4">
        <v>767234</v>
      </c>
    </row>
    <row r="256" spans="1:6" ht="13.5" hidden="1" customHeight="1">
      <c r="A256" s="4" t="s">
        <v>617</v>
      </c>
      <c r="B256" s="4" t="s">
        <v>618</v>
      </c>
      <c r="C256" s="4" t="str">
        <f ca="1">IFERROR(__xludf.DUMMYFUNCTION("GOOGLETRANSLATE(D:D,""auto"",""en"")"),"Annual leave can be endlessly financial compensation")</f>
        <v>Annual leave can be endlessly financial compensation</v>
      </c>
      <c r="D256" s="5" t="s">
        <v>619</v>
      </c>
      <c r="E256" s="4">
        <v>670976</v>
      </c>
    </row>
    <row r="257" spans="1:5" ht="13.5" hidden="1" customHeight="1">
      <c r="A257" s="4" t="s">
        <v>620</v>
      </c>
      <c r="B257" s="4" t="s">
        <v>621</v>
      </c>
      <c r="C257" s="4" t="str">
        <f ca="1">IFERROR(__xludf.DUMMYFUNCTION("GOOGLETRANSLATE(D:D,""auto"",""en"")"),"Spring Festival train ticket sold over 300 million")</f>
        <v>Spring Festival train ticket sold over 300 million</v>
      </c>
      <c r="D257" s="5" t="s">
        <v>622</v>
      </c>
      <c r="E257" s="4">
        <v>626721</v>
      </c>
    </row>
    <row r="258" spans="1:5" ht="13.5" hidden="1" customHeight="1">
      <c r="A258" s="4" t="s">
        <v>623</v>
      </c>
      <c r="B258" s="4" t="s">
        <v>624</v>
      </c>
      <c r="C258" s="4" t="str">
        <f ca="1">IFERROR(__xludf.DUMMYFUNCTION("GOOGLETRANSLATE(D:D,""auto"",""en"")"),"Xiamen University, New Year's Eve together people jump Bunny")</f>
        <v>Xiamen University, New Year's Eve together people jump Bunny</v>
      </c>
      <c r="D258" s="5" t="s">
        <v>625</v>
      </c>
      <c r="E258" s="4">
        <v>626110</v>
      </c>
    </row>
    <row r="259" spans="1:5" ht="13.5" hidden="1" customHeight="1">
      <c r="A259" s="4" t="s">
        <v>626</v>
      </c>
      <c r="B259" s="4" t="s">
        <v>545</v>
      </c>
      <c r="C259" s="4" t="str">
        <f ca="1">IFERROR(__xludf.DUMMYFUNCTION("GOOGLETRANSLATE(D:D,""auto"",""en"")"),"Changde bit driver murder case hearing today")</f>
        <v>Changde bit driver murder case hearing today</v>
      </c>
      <c r="D259" s="5" t="s">
        <v>627</v>
      </c>
      <c r="E259" s="4">
        <v>410129</v>
      </c>
    </row>
    <row r="260" spans="1:5" ht="13.5" hidden="1" customHeight="1">
      <c r="A260" s="4" t="s">
        <v>628</v>
      </c>
      <c r="B260" s="4" t="s">
        <v>629</v>
      </c>
      <c r="C260" s="4" t="str">
        <f ca="1">IFERROR(__xludf.DUMMYFUNCTION("GOOGLETRANSLATE(D:D,""auto"",""en"")"),"90-year-old grandmother 80-year-old grandfather reunion")</f>
        <v>90-year-old grandmother 80-year-old grandfather reunion</v>
      </c>
      <c r="D260" s="5" t="s">
        <v>630</v>
      </c>
      <c r="E260" s="4">
        <v>400201</v>
      </c>
    </row>
    <row r="261" spans="1:5" ht="13.5" hidden="1" customHeight="1">
      <c r="A261" s="4" t="s">
        <v>631</v>
      </c>
      <c r="B261" s="4" t="s">
        <v>618</v>
      </c>
      <c r="C261" s="4" t="str">
        <f ca="1">IFERROR(__xludf.DUMMYFUNCTION("GOOGLETRANSLATE(D:D,""auto"",""en"")"),"Boiled Yellow River in Inner Mongolia")</f>
        <v>Boiled Yellow River in Inner Mongolia</v>
      </c>
      <c r="D261" s="5" t="s">
        <v>632</v>
      </c>
      <c r="E261" s="4">
        <v>395361</v>
      </c>
    </row>
    <row r="262" spans="1:5" ht="13.5" hidden="1" customHeight="1">
      <c r="A262" s="4" t="s">
        <v>633</v>
      </c>
      <c r="B262" s="4" t="s">
        <v>634</v>
      </c>
      <c r="C262" s="4" t="str">
        <f ca="1">IFERROR(__xludf.DUMMYFUNCTION("GOOGLETRANSLATE(D:D,""auto"",""en"")"),"Char siu bao earrings")</f>
        <v>Char siu bao earrings</v>
      </c>
      <c r="D262" s="5" t="s">
        <v>635</v>
      </c>
      <c r="E262" s="4">
        <v>379172</v>
      </c>
    </row>
    <row r="263" spans="1:5" ht="13.5" hidden="1" customHeight="1">
      <c r="A263" s="4" t="s">
        <v>479</v>
      </c>
      <c r="B263" s="4" t="s">
        <v>480</v>
      </c>
      <c r="C263" s="4" t="str">
        <f ca="1">IFERROR(__xludf.DUMMYFUNCTION("GOOGLETRANSLATE(D:D,""auto"",""en"")"),"He Jiong, Xie Na hug across the sea")</f>
        <v>He Jiong, Xie Na hug across the sea</v>
      </c>
      <c r="D263" s="5" t="s">
        <v>481</v>
      </c>
      <c r="E263" s="4">
        <v>365031</v>
      </c>
    </row>
    <row r="264" spans="1:5" ht="13.5" hidden="1" customHeight="1">
      <c r="A264" s="4" t="s">
        <v>623</v>
      </c>
      <c r="B264" s="4" t="s">
        <v>636</v>
      </c>
      <c r="C264" s="4" t="str">
        <f ca="1">IFERROR(__xludf.DUMMYFUNCTION("GOOGLETRANSLATE(D:D,""auto"",""en"")"),"Men respond rescue Granny crushed ribs respondent")</f>
        <v>Men respond rescue Granny crushed ribs respondent</v>
      </c>
      <c r="D264" s="5" t="s">
        <v>637</v>
      </c>
      <c r="E264" s="4">
        <v>357845</v>
      </c>
    </row>
    <row r="265" spans="1:5" ht="13.5" hidden="1" customHeight="1">
      <c r="A265" s="4" t="s">
        <v>623</v>
      </c>
      <c r="B265" s="4" t="s">
        <v>638</v>
      </c>
      <c r="C265" s="4" t="str">
        <f ca="1">IFERROR(__xludf.DUMMYFUNCTION("GOOGLETRANSLATE(D:D,""auto"",""en"")"),"8000 koalas were killed wildfires")</f>
        <v>8000 koalas were killed wildfires</v>
      </c>
      <c r="D265" s="5" t="s">
        <v>639</v>
      </c>
      <c r="E265" s="4">
        <v>326561</v>
      </c>
    </row>
    <row r="266" spans="1:5" ht="13.5" hidden="1" customHeight="1">
      <c r="A266" s="4" t="s">
        <v>640</v>
      </c>
      <c r="B266" s="4" t="s">
        <v>641</v>
      </c>
      <c r="C266" s="4" t="str">
        <f ca="1">IFERROR(__xludf.DUMMYFUNCTION("GOOGLETRANSLATE(D:D,""auto"",""en"")"),"Sicong birthday party")</f>
        <v>Sicong birthday party</v>
      </c>
      <c r="D266" s="5" t="s">
        <v>642</v>
      </c>
      <c r="E266" s="4">
        <v>324228</v>
      </c>
    </row>
    <row r="267" spans="1:5" ht="13.5" hidden="1" customHeight="1">
      <c r="A267" s="4" t="s">
        <v>643</v>
      </c>
      <c r="B267" s="4" t="s">
        <v>644</v>
      </c>
      <c r="C267" s="4" t="str">
        <f ca="1">IFERROR(__xludf.DUMMYFUNCTION("GOOGLETRANSLATE(D:D,""auto"",""en"")"),"You will not mind the other half of single-parent families do")</f>
        <v>You will not mind the other half of single-parent families do</v>
      </c>
      <c r="D267" s="5" t="s">
        <v>645</v>
      </c>
      <c r="E267" s="4">
        <v>321383</v>
      </c>
    </row>
    <row r="268" spans="1:5" ht="13.5" hidden="1" customHeight="1">
      <c r="A268" s="4" t="s">
        <v>646</v>
      </c>
      <c r="B268" s="4" t="s">
        <v>485</v>
      </c>
      <c r="C268" s="4" t="str">
        <f ca="1">IFERROR(__xludf.DUMMYFUNCTION("GOOGLETRANSLATE(D:D,""auto"",""en"")"),"Glory of the King Rat limited skin")</f>
        <v>Glory of the King Rat limited skin</v>
      </c>
      <c r="D268" s="5" t="s">
        <v>647</v>
      </c>
      <c r="E268" s="4">
        <v>316533</v>
      </c>
    </row>
    <row r="269" spans="1:5" ht="13.5" hidden="1" customHeight="1">
      <c r="A269" s="4" t="s">
        <v>648</v>
      </c>
      <c r="B269" s="4" t="s">
        <v>649</v>
      </c>
      <c r="C269" s="4" t="str">
        <f ca="1">IFERROR(__xludf.DUMMYFUNCTION("GOOGLETRANSLATE(D:D,""auto"",""en"")"),"Doctors secretly cheating tug of war")</f>
        <v>Doctors secretly cheating tug of war</v>
      </c>
      <c r="D269" s="5" t="s">
        <v>650</v>
      </c>
      <c r="E269" s="4">
        <v>311985</v>
      </c>
    </row>
    <row r="270" spans="1:5" ht="13.5" hidden="1" customHeight="1">
      <c r="A270" s="4" t="s">
        <v>651</v>
      </c>
      <c r="B270" s="4" t="s">
        <v>652</v>
      </c>
      <c r="C270" s="4" t="str">
        <f ca="1">IFERROR(__xludf.DUMMYFUNCTION("GOOGLETRANSLATE(D:D,""auto"",""en"")"),"I factory configuration is too low")</f>
        <v>I factory configuration is too low</v>
      </c>
      <c r="D270" s="5" t="s">
        <v>653</v>
      </c>
      <c r="E270" s="4">
        <v>309490</v>
      </c>
    </row>
    <row r="271" spans="1:5" ht="13.5" hidden="1" customHeight="1">
      <c r="A271" s="4" t="s">
        <v>654</v>
      </c>
      <c r="B271" s="4" t="s">
        <v>655</v>
      </c>
      <c r="C271" s="4" t="str">
        <f ca="1">IFERROR(__xludf.DUMMYFUNCTION("GOOGLETRANSLATE(D:D,""auto"",""en"")"),"What is the makeup of the reunions")</f>
        <v>What is the makeup of the reunions</v>
      </c>
      <c r="D271" s="5" t="s">
        <v>656</v>
      </c>
      <c r="E271" s="4">
        <v>302807</v>
      </c>
    </row>
    <row r="272" spans="1:5" ht="13.5" hidden="1" customHeight="1">
      <c r="A272" s="4" t="s">
        <v>657</v>
      </c>
      <c r="B272" s="4" t="s">
        <v>621</v>
      </c>
      <c r="C272" s="4" t="str">
        <f ca="1">IFERROR(__xludf.DUMMYFUNCTION("GOOGLETRANSLATE(D:D,""auto"",""en"")"),"Folding the sheet pigs Taiyizhenren")</f>
        <v>Folding the sheet pigs Taiyizhenren</v>
      </c>
      <c r="D272" s="5" t="s">
        <v>658</v>
      </c>
      <c r="E272" s="4">
        <v>300029</v>
      </c>
    </row>
    <row r="273" spans="1:6" ht="13.5" hidden="1" customHeight="1">
      <c r="A273" s="4" t="s">
        <v>659</v>
      </c>
      <c r="B273" s="4" t="s">
        <v>660</v>
      </c>
      <c r="C273" s="4" t="str">
        <f ca="1">IFERROR(__xludf.DUMMYFUNCTION("GOOGLETRANSLATE(D:D,""auto"",""en"")"),"So that girls feel the details fly")</f>
        <v>So that girls feel the details fly</v>
      </c>
      <c r="D273" s="5" t="s">
        <v>661</v>
      </c>
      <c r="E273" s="4">
        <v>298050</v>
      </c>
    </row>
    <row r="274" spans="1:6" ht="13.5" hidden="1" customHeight="1">
      <c r="A274" s="4" t="s">
        <v>662</v>
      </c>
      <c r="B274" s="4" t="s">
        <v>573</v>
      </c>
      <c r="C274" s="4" t="str">
        <f ca="1">IFERROR(__xludf.DUMMYFUNCTION("GOOGLETRANSLATE(D:D,""auto"",""en"")"),"After being frightened raccoon capture expression package")</f>
        <v>After being frightened raccoon capture expression package</v>
      </c>
      <c r="D274" s="5" t="s">
        <v>663</v>
      </c>
      <c r="E274" s="4">
        <v>293324</v>
      </c>
    </row>
    <row r="275" spans="1:6" ht="13.5" hidden="1" customHeight="1">
      <c r="A275" s="4" t="s">
        <v>664</v>
      </c>
      <c r="B275" s="4" t="s">
        <v>665</v>
      </c>
      <c r="C275" s="4" t="str">
        <f ca="1">IFERROR(__xludf.DUMMYFUNCTION("GOOGLETRANSLATE(D:D,""auto"",""en"")"),"What an unforgettable experience when driving test")</f>
        <v>What an unforgettable experience when driving test</v>
      </c>
      <c r="D275" s="5" t="s">
        <v>666</v>
      </c>
      <c r="E275" s="4">
        <v>278590</v>
      </c>
    </row>
    <row r="276" spans="1:6" ht="13.5" hidden="1" customHeight="1">
      <c r="A276" s="4" t="s">
        <v>667</v>
      </c>
      <c r="B276" s="4" t="s">
        <v>668</v>
      </c>
      <c r="C276" s="4" t="str">
        <f ca="1">IFERROR(__xludf.DUMMYFUNCTION("GOOGLETRANSLATE(D:D,""auto"",""en"")"),"J sister home")</f>
        <v>J sister home</v>
      </c>
      <c r="D276" s="5" t="s">
        <v>669</v>
      </c>
      <c r="E276" s="4">
        <v>258644</v>
      </c>
    </row>
    <row r="277" spans="1:6" ht="13.5" hidden="1" customHeight="1">
      <c r="A277" s="4" t="s">
        <v>670</v>
      </c>
      <c r="B277" s="4" t="s">
        <v>671</v>
      </c>
      <c r="C277" s="4" t="str">
        <f ca="1">IFERROR(__xludf.DUMMYFUNCTION("GOOGLETRANSLATE(D:D,""auto"",""en"")"),"6-year-olds walking 60,000 steps mountain school")</f>
        <v>6-year-olds walking 60,000 steps mountain school</v>
      </c>
      <c r="D277" s="5" t="s">
        <v>672</v>
      </c>
      <c r="E277" s="4">
        <v>234232</v>
      </c>
    </row>
    <row r="278" spans="1:6" ht="13.5" hidden="1" customHeight="1">
      <c r="A278" s="4" t="s">
        <v>494</v>
      </c>
      <c r="B278" s="4" t="s">
        <v>495</v>
      </c>
      <c r="C278" s="4" t="str">
        <f ca="1">IFERROR(__xludf.DUMMYFUNCTION("GOOGLETRANSLATE(D:D,""auto"",""en"")"),"Hong Kong mob smashed the headquarters of an underground radio station")</f>
        <v>Hong Kong mob smashed the headquarters of an underground radio station</v>
      </c>
      <c r="D278" s="5" t="s">
        <v>496</v>
      </c>
      <c r="E278" s="4">
        <v>233399</v>
      </c>
    </row>
    <row r="279" spans="1:6" ht="13.5" hidden="1" customHeight="1">
      <c r="A279" s="4" t="s">
        <v>673</v>
      </c>
      <c r="B279" s="4" t="s">
        <v>674</v>
      </c>
      <c r="C279" s="4" t="str">
        <f ca="1">IFERROR(__xludf.DUMMYFUNCTION("GOOGLETRANSLATE(D:D,""auto"",""en"")"),"He is introverted character flaw")</f>
        <v>He is introverted character flaw</v>
      </c>
      <c r="D279" s="5" t="s">
        <v>675</v>
      </c>
      <c r="E279" s="4">
        <v>233336</v>
      </c>
    </row>
    <row r="280" spans="1:6" ht="13.5" hidden="1" customHeight="1">
      <c r="A280" s="4" t="s">
        <v>676</v>
      </c>
      <c r="B280" s="4" t="s">
        <v>591</v>
      </c>
      <c r="C280" s="4" t="str">
        <f ca="1">IFERROR(__xludf.DUMMYFUNCTION("GOOGLETRANSLATE(D:D,""auto"",""en"")"),"You and the other half of the photo how sweet")</f>
        <v>You and the other half of the photo how sweet</v>
      </c>
      <c r="D280" s="5" t="s">
        <v>677</v>
      </c>
      <c r="E280" s="4">
        <v>232840</v>
      </c>
    </row>
    <row r="281" spans="1:6" ht="13.5" hidden="1" customHeight="1">
      <c r="A281" s="4" t="s">
        <v>476</v>
      </c>
      <c r="B281" s="4" t="s">
        <v>477</v>
      </c>
      <c r="C281" s="4" t="str">
        <f ca="1">IFERROR(__xludf.DUMMYFUNCTION("GOOGLETRANSLATE(D:D,""auto"",""en"")"),"White sturgeon extinction")</f>
        <v>White sturgeon extinction</v>
      </c>
      <c r="D281" s="5" t="s">
        <v>478</v>
      </c>
      <c r="E281" s="4">
        <v>196606</v>
      </c>
    </row>
    <row r="282" spans="1:6" ht="13.5" hidden="1" customHeight="1">
      <c r="A282" s="4" t="s">
        <v>678</v>
      </c>
      <c r="B282" s="4" t="s">
        <v>488</v>
      </c>
      <c r="C282" s="4" t="str">
        <f ca="1">IFERROR(__xludf.DUMMYFUNCTION("GOOGLETRANSLATE(D:D,""auto"",""en"")"),"Fitness photograph 2 hours 5 minutes")</f>
        <v>Fitness photograph 2 hours 5 minutes</v>
      </c>
      <c r="D282" s="5" t="s">
        <v>679</v>
      </c>
      <c r="E282" s="4">
        <v>190202</v>
      </c>
    </row>
    <row r="283" spans="1:6" ht="13.5" hidden="1" customHeight="1">
      <c r="A283" s="4" t="s">
        <v>378</v>
      </c>
      <c r="B283" s="4" t="s">
        <v>329</v>
      </c>
      <c r="C283" s="4" t="str">
        <f ca="1">IFERROR(__xludf.DUMMYFUNCTION("GOOGLETRANSLATE(D:D,""auto"",""en"")"),"Yangtze River fishing ban ten years")</f>
        <v>Yangtze River fishing ban ten years</v>
      </c>
      <c r="D283" s="5" t="s">
        <v>379</v>
      </c>
      <c r="E283" s="4">
        <v>186995</v>
      </c>
    </row>
    <row r="284" spans="1:6" ht="13.5" hidden="1" customHeight="1">
      <c r="A284" s="4" t="s">
        <v>680</v>
      </c>
      <c r="B284" s="4" t="s">
        <v>638</v>
      </c>
      <c r="C284" s="4" t="str">
        <f ca="1">IFERROR(__xludf.DUMMYFUNCTION("GOOGLETRANSLATE(D:D,""auto"",""en"")"),"Rat defined Cup")</f>
        <v>Rat defined Cup</v>
      </c>
      <c r="D284" s="5" t="s">
        <v>681</v>
      </c>
      <c r="E284" s="4">
        <v>184723</v>
      </c>
    </row>
    <row r="285" spans="1:6" ht="13.5" hidden="1" customHeight="1">
      <c r="A285" s="4" t="s">
        <v>476</v>
      </c>
      <c r="B285" s="4" t="s">
        <v>605</v>
      </c>
      <c r="C285" s="4" t="str">
        <f ca="1">IFERROR(__xludf.DUMMYFUNCTION("GOOGLETRANSLATE(D:D,""auto"",""en"")"),"Alzheimer's vaccine would enter human clinical stage")</f>
        <v>Alzheimer's vaccine would enter human clinical stage</v>
      </c>
      <c r="D285" s="5" t="s">
        <v>682</v>
      </c>
      <c r="E285" s="4">
        <v>179902</v>
      </c>
      <c r="F285">
        <v>0</v>
      </c>
    </row>
    <row r="286" spans="1:6" ht="13.5" hidden="1" customHeight="1">
      <c r="A286" s="4" t="s">
        <v>536</v>
      </c>
      <c r="B286" s="4" t="s">
        <v>537</v>
      </c>
      <c r="C286" s="4" t="str">
        <f ca="1">IFERROR(__xludf.DUMMYFUNCTION("GOOGLETRANSLATE(D:D,""auto"",""en"")"),"Chinatown Holmes")</f>
        <v>Chinatown Holmes</v>
      </c>
      <c r="D286" s="5" t="s">
        <v>538</v>
      </c>
      <c r="E286" s="4">
        <v>175774</v>
      </c>
    </row>
    <row r="287" spans="1:6" ht="13.5" hidden="1" customHeight="1">
      <c r="A287" s="4" t="s">
        <v>683</v>
      </c>
      <c r="B287" s="4" t="s">
        <v>641</v>
      </c>
      <c r="C287" s="4" t="str">
        <f ca="1">IFERROR(__xludf.DUMMYFUNCTION("GOOGLETRANSLATE(D:D,""auto"",""en"")"),"Our working-age population in 2035 will be reduced by nearly 100 million or")</f>
        <v>Our working-age population in 2035 will be reduced by nearly 100 million or</v>
      </c>
      <c r="D287" s="5" t="s">
        <v>684</v>
      </c>
      <c r="E287" s="4">
        <v>157128</v>
      </c>
    </row>
    <row r="288" spans="1:6" ht="13.5" hidden="1" customHeight="1">
      <c r="A288" s="4" t="s">
        <v>685</v>
      </c>
      <c r="B288" s="4" t="s">
        <v>686</v>
      </c>
      <c r="C288" s="4" t="str">
        <f ca="1">IFERROR(__xludf.DUMMYFUNCTION("GOOGLETRANSLATE(D:D,""auto"",""en"")"),"Tax results")</f>
        <v>Tax results</v>
      </c>
      <c r="D288" s="5" t="s">
        <v>687</v>
      </c>
      <c r="E288" s="4">
        <v>144489</v>
      </c>
    </row>
    <row r="289" spans="1:5" ht="13.5" hidden="1" customHeight="1">
      <c r="A289" s="4" t="s">
        <v>688</v>
      </c>
      <c r="B289" s="4" t="s">
        <v>689</v>
      </c>
      <c r="C289" s="4" t="str">
        <f ca="1">IFERROR(__xludf.DUMMYFUNCTION("GOOGLETRANSLATE(D:D,""auto"",""en"")"),"Junior high school students with polymer clay cartoon character comparable to pinching hand to do")</f>
        <v>Junior high school students with polymer clay cartoon character comparable to pinching hand to do</v>
      </c>
      <c r="D289" s="5" t="s">
        <v>690</v>
      </c>
      <c r="E289" s="4">
        <v>142994</v>
      </c>
    </row>
    <row r="290" spans="1:5" ht="13.5" hidden="1" customHeight="1">
      <c r="A290" s="4" t="s">
        <v>685</v>
      </c>
      <c r="B290" s="4" t="s">
        <v>485</v>
      </c>
      <c r="C290" s="4" t="str">
        <f ca="1">IFERROR(__xludf.DUMMYFUNCTION("GOOGLETRANSLATE(D:D,""auto"",""en"")"),"Girls say what words can not believe")</f>
        <v>Girls say what words can not believe</v>
      </c>
      <c r="D290" s="5" t="s">
        <v>691</v>
      </c>
      <c r="E290" s="4">
        <v>138115</v>
      </c>
    </row>
    <row r="291" spans="1:5" ht="13.5" hidden="1" customHeight="1">
      <c r="A291" s="4" t="s">
        <v>692</v>
      </c>
      <c r="B291" s="4" t="s">
        <v>500</v>
      </c>
      <c r="C291" s="4" t="str">
        <f ca="1">IFERROR(__xludf.DUMMYFUNCTION("GOOGLETRANSLATE(D:D,""auto"",""en"")"),"Draw a complete mom")</f>
        <v>Draw a complete mom</v>
      </c>
      <c r="D291" s="5" t="s">
        <v>693</v>
      </c>
      <c r="E291" s="4">
        <v>137788</v>
      </c>
    </row>
    <row r="292" spans="1:5" ht="13.5" hidden="1" customHeight="1">
      <c r="A292" s="4" t="s">
        <v>670</v>
      </c>
      <c r="B292" s="4" t="s">
        <v>621</v>
      </c>
      <c r="C292" s="4" t="str">
        <f ca="1">IFERROR(__xludf.DUMMYFUNCTION("GOOGLETRANSLATE(D:D,""auto"",""en"")"),"Music class gathering comparable universities concert")</f>
        <v>Music class gathering comparable universities concert</v>
      </c>
      <c r="D292" s="5" t="s">
        <v>694</v>
      </c>
      <c r="E292" s="4">
        <v>132203</v>
      </c>
    </row>
    <row r="293" spans="1:5" ht="13.5" hidden="1" customHeight="1">
      <c r="A293" s="4" t="s">
        <v>482</v>
      </c>
      <c r="B293" s="4" t="s">
        <v>483</v>
      </c>
      <c r="C293" s="4" t="str">
        <f ca="1">IFERROR(__xludf.DUMMYFUNCTION("GOOGLETRANSLATE(D:D,""auto"",""en"")"),"Fu Seoul mother is not good enough for me")</f>
        <v>Fu Seoul mother is not good enough for me</v>
      </c>
      <c r="D293" s="5" t="s">
        <v>484</v>
      </c>
      <c r="E293" s="4">
        <v>128550</v>
      </c>
    </row>
    <row r="294" spans="1:5" ht="13.5" hidden="1" customHeight="1">
      <c r="A294" s="4" t="s">
        <v>482</v>
      </c>
      <c r="B294" s="4" t="s">
        <v>618</v>
      </c>
      <c r="C294" s="4" t="str">
        <f ca="1">IFERROR(__xludf.DUMMYFUNCTION("GOOGLETRANSLATE(D:D,""auto"",""en"")"),"Michelin restaurant was downgraded by British cheese")</f>
        <v>Michelin restaurant was downgraded by British cheese</v>
      </c>
      <c r="D294" s="5" t="s">
        <v>695</v>
      </c>
      <c r="E294" s="4">
        <v>124300</v>
      </c>
    </row>
    <row r="295" spans="1:5" ht="13.5" hidden="1" customHeight="1">
      <c r="A295" s="4" t="s">
        <v>482</v>
      </c>
      <c r="B295" s="4" t="s">
        <v>696</v>
      </c>
      <c r="C295" s="4" t="str">
        <f ca="1">IFERROR(__xludf.DUMMYFUNCTION("GOOGLETRANSLATE(D:D,""auto"",""en"")"),"East Zupančič All-Star votes in the first round of the king")</f>
        <v>East Zupančič All-Star votes in the first round of the king</v>
      </c>
      <c r="D295" s="5" t="s">
        <v>697</v>
      </c>
      <c r="E295" s="4">
        <v>115628</v>
      </c>
    </row>
    <row r="296" spans="1:5" ht="13.5" hidden="1" customHeight="1">
      <c r="A296" s="4" t="s">
        <v>692</v>
      </c>
      <c r="B296" s="4" t="s">
        <v>698</v>
      </c>
      <c r="C296" s="4" t="str">
        <f ca="1">IFERROR(__xludf.DUMMYFUNCTION("GOOGLETRANSLATE(D:D,""auto"",""en"")"),"2019 Who concert you've seen")</f>
        <v>2019 Who concert you've seen</v>
      </c>
      <c r="D296" s="5" t="s">
        <v>699</v>
      </c>
      <c r="E296" s="4">
        <v>109780</v>
      </c>
    </row>
    <row r="297" spans="1:5" ht="13.5" hidden="1" customHeight="1">
      <c r="A297" s="4" t="s">
        <v>516</v>
      </c>
      <c r="B297" s="4" t="s">
        <v>517</v>
      </c>
      <c r="C297" s="4" t="str">
        <f ca="1">IFERROR(__xludf.DUMMYFUNCTION("GOOGLETRANSLATE(D:D,""auto"",""en"")"),"Zhu Zhanji wedding")</f>
        <v>Zhu Zhanji wedding</v>
      </c>
      <c r="D297" s="5" t="s">
        <v>518</v>
      </c>
      <c r="E297" s="4">
        <v>106354</v>
      </c>
    </row>
    <row r="298" spans="1:5" ht="13.5" hidden="1" customHeight="1">
      <c r="A298" s="4" t="s">
        <v>516</v>
      </c>
      <c r="B298" s="4" t="s">
        <v>531</v>
      </c>
      <c r="C298" s="4" t="str">
        <f ca="1">IFERROR(__xludf.DUMMYFUNCTION("GOOGLETRANSLATE(D:D,""auto"",""en"")"),"New Year's Day in one billion lottery")</f>
        <v>New Year's Day in one billion lottery</v>
      </c>
      <c r="D298" s="5" t="s">
        <v>532</v>
      </c>
      <c r="E298" s="4">
        <v>93228</v>
      </c>
    </row>
    <row r="299" spans="1:5" ht="13.5" hidden="1" customHeight="1">
      <c r="A299" s="4" t="s">
        <v>700</v>
      </c>
      <c r="B299" s="4" t="s">
        <v>701</v>
      </c>
      <c r="C299" s="4" t="str">
        <f ca="1">IFERROR(__xludf.DUMMYFUNCTION("GOOGLETRANSLATE(D:D,""auto"",""en"")"),"High-speed rail to the Beijing-Zhangjiakou postpone the wedding for four years")</f>
        <v>High-speed rail to the Beijing-Zhangjiakou postpone the wedding for four years</v>
      </c>
      <c r="D299" s="5" t="s">
        <v>702</v>
      </c>
      <c r="E299" s="4">
        <v>78866</v>
      </c>
    </row>
    <row r="300" spans="1:5" ht="13.5" hidden="1" customHeight="1">
      <c r="C300" s="4" t="str">
        <f ca="1">IFERROR(__xludf.DUMMYFUNCTION("GOOGLETRANSLATE(D:D,""auto"",""en"")"),"#VALUE!")</f>
        <v>#VALUE!</v>
      </c>
    </row>
    <row r="301" spans="1:5" ht="13.5" hidden="1" customHeight="1">
      <c r="A301" s="4" t="s">
        <v>703</v>
      </c>
      <c r="B301" s="4" t="s">
        <v>704</v>
      </c>
      <c r="C301" s="4" t="str">
        <f ca="1">IFERROR(__xludf.DUMMYFUNCTION("GOOGLETRANSLATE(D:D,""auto"",""en"")"),"Jinfu Jiang Uruguay responded to prosecute ex-girlfriend")</f>
        <v>Jinfu Jiang Uruguay responded to prosecute ex-girlfriend</v>
      </c>
      <c r="D301" s="4" t="s">
        <v>705</v>
      </c>
      <c r="E301" s="4">
        <v>3325805</v>
      </c>
    </row>
    <row r="302" spans="1:5" ht="13.5" hidden="1" customHeight="1">
      <c r="A302" s="4" t="s">
        <v>706</v>
      </c>
      <c r="B302" s="4" t="s">
        <v>707</v>
      </c>
      <c r="C302" s="4" t="str">
        <f ca="1">IFERROR(__xludf.DUMMYFUNCTION("GOOGLETRANSLATE(D:D,""auto"",""en"")"),"Playground families of the victims were buried apply for workers' compensation case")</f>
        <v>Playground families of the victims were buried apply for workers' compensation case</v>
      </c>
      <c r="D302" s="5" t="s">
        <v>708</v>
      </c>
      <c r="E302" s="4">
        <v>1774853</v>
      </c>
    </row>
    <row r="303" spans="1:5" ht="13.5" hidden="1" customHeight="1">
      <c r="A303" s="4" t="s">
        <v>709</v>
      </c>
      <c r="B303" s="4" t="s">
        <v>710</v>
      </c>
      <c r="C303" s="4" t="str">
        <f ca="1">IFERROR(__xludf.DUMMYFUNCTION("GOOGLETRANSLATE(D:D,""auto"",""en"")"),"Godfrey's most popular actor")</f>
        <v>Godfrey's most popular actor</v>
      </c>
      <c r="D303" s="5" t="s">
        <v>711</v>
      </c>
      <c r="E303" s="4">
        <v>1283307</v>
      </c>
    </row>
    <row r="304" spans="1:5" ht="13.5" hidden="1" customHeight="1">
      <c r="A304" s="4" t="s">
        <v>712</v>
      </c>
      <c r="B304" s="4" t="s">
        <v>713</v>
      </c>
      <c r="C304" s="4" t="str">
        <f ca="1">IFERROR(__xludf.DUMMYFUNCTION("GOOGLETRANSLATE(D:D,""auto"",""en"")"),"Fan Bingbing pink feather cloak")</f>
        <v>Fan Bingbing pink feather cloak</v>
      </c>
      <c r="D304" s="5" t="s">
        <v>714</v>
      </c>
      <c r="E304" s="4">
        <v>1145181</v>
      </c>
    </row>
    <row r="305" spans="1:6" ht="13.5" hidden="1" customHeight="1">
      <c r="A305" s="4" t="s">
        <v>715</v>
      </c>
      <c r="B305" s="4" t="s">
        <v>604</v>
      </c>
      <c r="C305" s="4" t="str">
        <f ca="1">IFERROR(__xludf.DUMMYFUNCTION("GOOGLETRANSLATE(D:D,""auto"",""en"")"),"Feng Timo Height")</f>
        <v>Feng Timo Height</v>
      </c>
      <c r="D305" s="5" t="s">
        <v>716</v>
      </c>
      <c r="E305" s="4">
        <v>946059</v>
      </c>
    </row>
    <row r="306" spans="1:6" ht="13.5" hidden="1" customHeight="1">
      <c r="A306" s="4" t="s">
        <v>717</v>
      </c>
      <c r="B306" s="4" t="s">
        <v>718</v>
      </c>
      <c r="C306" s="4" t="str">
        <f ca="1">IFERROR(__xludf.DUMMYFUNCTION("GOOGLETRANSLATE(D:D,""auto"",""en"")"),"2020's first large-scale rain and snow")</f>
        <v>2020's first large-scale rain and snow</v>
      </c>
      <c r="D306" s="5" t="s">
        <v>719</v>
      </c>
      <c r="E306" s="4">
        <v>726841</v>
      </c>
    </row>
    <row r="307" spans="1:6" ht="13.5" hidden="1" customHeight="1">
      <c r="A307" s="4" t="s">
        <v>720</v>
      </c>
      <c r="B307" s="4" t="s">
        <v>721</v>
      </c>
      <c r="C307" s="4" t="str">
        <f ca="1">IFERROR(__xludf.DUMMYFUNCTION("GOOGLETRANSLATE(D:D,""auto"",""en"")"),"Domestic HPV vaccine 329 yuan a")</f>
        <v>Domestic HPV vaccine 329 yuan a</v>
      </c>
      <c r="D307" s="5" t="s">
        <v>722</v>
      </c>
      <c r="E307" s="4">
        <v>723893</v>
      </c>
      <c r="F307">
        <v>0</v>
      </c>
    </row>
    <row r="308" spans="1:6" ht="13.5" hidden="1" customHeight="1">
      <c r="A308" s="4" t="s">
        <v>723</v>
      </c>
      <c r="B308" s="4" t="s">
        <v>724</v>
      </c>
      <c r="C308" s="4" t="str">
        <f ca="1">IFERROR(__xludf.DUMMYFUNCTION("GOOGLETRANSLATE(D:D,""auto"",""en"")"),"Courier will be divided into five grades")</f>
        <v>Courier will be divided into five grades</v>
      </c>
      <c r="D308" s="5" t="s">
        <v>725</v>
      </c>
      <c r="E308" s="4">
        <v>720713</v>
      </c>
    </row>
    <row r="309" spans="1:6" ht="13.5" hidden="1" customHeight="1">
      <c r="A309" s="4" t="s">
        <v>726</v>
      </c>
      <c r="B309" s="4" t="s">
        <v>604</v>
      </c>
      <c r="C309" s="4" t="str">
        <f ca="1">IFERROR(__xludf.DUMMYFUNCTION("GOOGLETRANSLATE(D:D,""auto"",""en"")"),"Mechanical famous mask does not exist")</f>
        <v>Mechanical famous mask does not exist</v>
      </c>
      <c r="D309" s="5" t="s">
        <v>727</v>
      </c>
      <c r="E309" s="4">
        <v>717715</v>
      </c>
    </row>
    <row r="310" spans="1:6" ht="13.5" hidden="1" customHeight="1">
      <c r="A310" s="4" t="s">
        <v>728</v>
      </c>
      <c r="B310" s="4" t="s">
        <v>729</v>
      </c>
      <c r="C310" s="4" t="str">
        <f ca="1">IFERROR(__xludf.DUMMYFUNCTION("GOOGLETRANSLATE(D:D,""auto"",""en"")"),"Jimmy Lin seventeen of the rainy season")</f>
        <v>Jimmy Lin seventeen of the rainy season</v>
      </c>
      <c r="D310" s="5" t="s">
        <v>730</v>
      </c>
      <c r="E310" s="4">
        <v>714224</v>
      </c>
    </row>
    <row r="311" spans="1:6" ht="13.5" hidden="1" customHeight="1">
      <c r="A311" s="4" t="s">
        <v>731</v>
      </c>
      <c r="B311" s="4" t="s">
        <v>732</v>
      </c>
      <c r="C311" s="4" t="str">
        <f ca="1">IFERROR(__xludf.DUMMYFUNCTION("GOOGLETRANSLATE(D:D,""auto"",""en"")"),"Iran's supreme leader said it would retaliate severely USA")</f>
        <v>Iran's supreme leader said it would retaliate severely USA</v>
      </c>
      <c r="D311" s="5" t="s">
        <v>733</v>
      </c>
      <c r="E311" s="4">
        <v>707059</v>
      </c>
    </row>
    <row r="312" spans="1:6" ht="13.5" hidden="1" customHeight="1">
      <c r="A312" s="4" t="s">
        <v>734</v>
      </c>
      <c r="B312" s="4" t="s">
        <v>735</v>
      </c>
      <c r="C312" s="4" t="str">
        <f ca="1">IFERROR(__xludf.DUMMYFUNCTION("GOOGLETRANSLATE(D:D,""auto"",""en"")"),"Hong Kong toxic materials form a subcommittee to examine")</f>
        <v>Hong Kong toxic materials form a subcommittee to examine</v>
      </c>
      <c r="D312" s="5" t="s">
        <v>736</v>
      </c>
      <c r="E312" s="4">
        <v>705769</v>
      </c>
    </row>
    <row r="313" spans="1:6" ht="13.5" hidden="1" customHeight="1">
      <c r="A313" s="4" t="s">
        <v>720</v>
      </c>
      <c r="B313" s="4" t="s">
        <v>737</v>
      </c>
      <c r="C313" s="4" t="str">
        <f ca="1">IFERROR(__xludf.DUMMYFUNCTION("GOOGLETRANSLATE(D:D,""auto"",""en"")"),"Changde killed by bit sound driver wife")</f>
        <v>Changde killed by bit sound driver wife</v>
      </c>
      <c r="D313" s="5" t="s">
        <v>738</v>
      </c>
      <c r="E313" s="4">
        <v>702615</v>
      </c>
    </row>
    <row r="314" spans="1:6" ht="13.5" customHeight="1">
      <c r="A314" s="6" t="s">
        <v>739</v>
      </c>
      <c r="B314" s="6" t="s">
        <v>740</v>
      </c>
      <c r="C314" s="6" t="str">
        <f ca="1">IFERROR(__xludf.DUMMYFUNCTION("GOOGLETRANSLATE(D:D,""auto"",""en"")"),"Wuhan Wei Jian informed the Commission pneumonia of unknown causes")</f>
        <v>Wuhan Wei Jian informed the Commission pneumonia of unknown causes</v>
      </c>
      <c r="D314" s="8" t="s">
        <v>741</v>
      </c>
      <c r="E314" s="6">
        <v>697879</v>
      </c>
      <c r="F314">
        <v>1</v>
      </c>
    </row>
    <row r="315" spans="1:6" ht="13.5" hidden="1" customHeight="1">
      <c r="A315" s="4" t="s">
        <v>742</v>
      </c>
      <c r="B315" s="4" t="s">
        <v>743</v>
      </c>
      <c r="C315" s="4" t="str">
        <f ca="1">IFERROR(__xludf.DUMMYFUNCTION("GOOGLETRANSLATE(D:D,""auto"",""en"")"),"Jolin Tsai Deng purple chess same stage")</f>
        <v>Jolin Tsai Deng purple chess same stage</v>
      </c>
      <c r="D315" s="5" t="s">
        <v>744</v>
      </c>
      <c r="E315" s="4">
        <v>693517</v>
      </c>
    </row>
    <row r="316" spans="1:6" ht="13.5" hidden="1" customHeight="1">
      <c r="A316" s="4" t="s">
        <v>745</v>
      </c>
      <c r="B316" s="4" t="s">
        <v>746</v>
      </c>
      <c r="C316" s="4" t="str">
        <f ca="1">IFERROR(__xludf.DUMMYFUNCTION("GOOGLETRANSLATE(D:D,""auto"",""en"")"),"No contact old classmates suddenly in it")</f>
        <v>No contact old classmates suddenly in it</v>
      </c>
      <c r="D316" s="5" t="s">
        <v>747</v>
      </c>
      <c r="E316" s="4">
        <v>690573</v>
      </c>
    </row>
    <row r="317" spans="1:6" ht="13.5" hidden="1" customHeight="1">
      <c r="A317" s="4" t="s">
        <v>748</v>
      </c>
      <c r="B317" s="4" t="s">
        <v>749</v>
      </c>
      <c r="C317" s="4" t="str">
        <f ca="1">IFERROR(__xludf.DUMMYFUNCTION("GOOGLETRANSLATE(D:D,""auto"",""en"")"),"What is the most taboo and sisters get along")</f>
        <v>What is the most taboo and sisters get along</v>
      </c>
      <c r="D317" s="5" t="s">
        <v>750</v>
      </c>
      <c r="E317" s="4">
        <v>686791</v>
      </c>
    </row>
    <row r="318" spans="1:6" ht="13.5" hidden="1" customHeight="1">
      <c r="A318" s="4" t="s">
        <v>751</v>
      </c>
      <c r="B318" s="4" t="s">
        <v>752</v>
      </c>
      <c r="C318" s="4" t="str">
        <f ca="1">IFERROR(__xludf.DUMMYFUNCTION("GOOGLETRANSLATE(D:D,""auto"",""en"")"),"20 more IOUs also 8 years")</f>
        <v>20 more IOUs also 8 years</v>
      </c>
      <c r="D318" s="5" t="s">
        <v>753</v>
      </c>
      <c r="E318" s="4">
        <v>546883</v>
      </c>
    </row>
    <row r="319" spans="1:6" ht="13.5" hidden="1" customHeight="1">
      <c r="A319" s="4" t="s">
        <v>754</v>
      </c>
      <c r="B319" s="4" t="s">
        <v>755</v>
      </c>
      <c r="C319" s="4" t="str">
        <f ca="1">IFERROR(__xludf.DUMMYFUNCTION("GOOGLETRANSLATE(D:D,""auto"",""en"")"),"Green uniforms you 2 players")</f>
        <v>Green uniforms you 2 players</v>
      </c>
      <c r="D319" s="5" t="s">
        <v>756</v>
      </c>
      <c r="E319" s="4">
        <v>458564</v>
      </c>
    </row>
    <row r="320" spans="1:6" ht="13.5" hidden="1" customHeight="1">
      <c r="A320" s="4" t="s">
        <v>757</v>
      </c>
      <c r="B320" s="4" t="s">
        <v>758</v>
      </c>
      <c r="C320" s="4" t="str">
        <f ca="1">IFERROR(__xludf.DUMMYFUNCTION("GOOGLETRANSLATE(D:D,""auto"",""en"")"),"40-year-old Lee Dong-wook")</f>
        <v>40-year-old Lee Dong-wook</v>
      </c>
      <c r="D320" s="5" t="s">
        <v>759</v>
      </c>
      <c r="E320" s="4">
        <v>448614</v>
      </c>
    </row>
    <row r="321" spans="1:5" ht="13.5" hidden="1" customHeight="1">
      <c r="A321" s="4" t="s">
        <v>760</v>
      </c>
      <c r="B321" s="4" t="s">
        <v>761</v>
      </c>
      <c r="C321" s="4" t="str">
        <f ca="1">IFERROR(__xludf.DUMMYFUNCTION("GOOGLETRANSLATE(D:D,""auto"",""en"")"),"Ha two white cat and his Master")</f>
        <v>Ha two white cat and his Master</v>
      </c>
      <c r="D321" s="5" t="s">
        <v>762</v>
      </c>
      <c r="E321" s="4">
        <v>422554</v>
      </c>
    </row>
    <row r="322" spans="1:5" ht="13.5" hidden="1" customHeight="1">
      <c r="A322" s="4" t="s">
        <v>763</v>
      </c>
      <c r="B322" s="4" t="s">
        <v>764</v>
      </c>
      <c r="C322" s="4" t="str">
        <f ca="1">IFERROR(__xludf.DUMMYFUNCTION("GOOGLETRANSLATE(D:D,""auto"",""en"")"),"After 30 years of living conditions")</f>
        <v>After 30 years of living conditions</v>
      </c>
      <c r="D322" s="5" t="s">
        <v>765</v>
      </c>
      <c r="E322" s="4">
        <v>379754</v>
      </c>
    </row>
    <row r="323" spans="1:5" ht="13.5" hidden="1" customHeight="1">
      <c r="A323" s="4" t="s">
        <v>766</v>
      </c>
      <c r="B323" s="4" t="s">
        <v>767</v>
      </c>
      <c r="C323" s="4" t="str">
        <f ca="1">IFERROR(__xludf.DUMMYFUNCTION("GOOGLETRANSLATE(D:D,""auto"",""en"")"),"77-year-old professor of naked tax 82,080,000")</f>
        <v>77-year-old professor of naked tax 82,080,000</v>
      </c>
      <c r="D323" s="5" t="s">
        <v>768</v>
      </c>
      <c r="E323" s="4">
        <v>304752</v>
      </c>
    </row>
    <row r="324" spans="1:5" ht="13.5" hidden="1" customHeight="1">
      <c r="A324" s="4" t="s">
        <v>769</v>
      </c>
      <c r="B324" s="4" t="s">
        <v>770</v>
      </c>
      <c r="C324" s="4" t="str">
        <f ca="1">IFERROR(__xludf.DUMMYFUNCTION("GOOGLETRANSLATE(D:D,""auto"",""en"")"),"Look no significant fat is what experience")</f>
        <v>Look no significant fat is what experience</v>
      </c>
      <c r="D324" s="5" t="s">
        <v>771</v>
      </c>
      <c r="E324" s="4">
        <v>234248</v>
      </c>
    </row>
    <row r="325" spans="1:5" ht="13.5" hidden="1" customHeight="1">
      <c r="A325" s="4" t="s">
        <v>772</v>
      </c>
      <c r="B325" s="4" t="s">
        <v>773</v>
      </c>
      <c r="C325" s="4" t="str">
        <f ca="1">IFERROR(__xludf.DUMMYFUNCTION("GOOGLETRANSLATE(D:D,""auto"",""en"")"),"Li Qin uniforms")</f>
        <v>Li Qin uniforms</v>
      </c>
      <c r="D325" s="5" t="s">
        <v>774</v>
      </c>
      <c r="E325" s="4">
        <v>229189</v>
      </c>
    </row>
    <row r="326" spans="1:5" ht="13.5" hidden="1" customHeight="1">
      <c r="A326" s="4" t="s">
        <v>775</v>
      </c>
      <c r="B326" s="4" t="s">
        <v>776</v>
      </c>
      <c r="C326" s="4" t="str">
        <f ca="1">IFERROR(__xludf.DUMMYFUNCTION("GOOGLETRANSLATE(D:D,""auto"",""en"")"),"Jinfu Jiang sued Uruguay ex-girlfriend")</f>
        <v>Jinfu Jiang sued Uruguay ex-girlfriend</v>
      </c>
      <c r="D326" s="5" t="s">
        <v>777</v>
      </c>
      <c r="E326" s="4">
        <v>226676</v>
      </c>
    </row>
    <row r="327" spans="1:5" ht="13.5" hidden="1" customHeight="1">
      <c r="A327" s="4" t="s">
        <v>778</v>
      </c>
      <c r="B327" s="4" t="s">
        <v>779</v>
      </c>
      <c r="C327" s="4" t="str">
        <f ca="1">IFERROR(__xludf.DUMMYFUNCTION("GOOGLETRANSLATE(D:D,""auto"",""en"")"),"Minus 40 degrees frozen train")</f>
        <v>Minus 40 degrees frozen train</v>
      </c>
      <c r="D327" s="5" t="s">
        <v>780</v>
      </c>
      <c r="E327" s="4">
        <v>220894</v>
      </c>
    </row>
    <row r="328" spans="1:5" ht="13.5" hidden="1" customHeight="1">
      <c r="A328" s="4" t="s">
        <v>781</v>
      </c>
      <c r="B328" s="4" t="s">
        <v>770</v>
      </c>
      <c r="C328" s="4" t="str">
        <f ca="1">IFERROR(__xludf.DUMMYFUNCTION("GOOGLETRANSLATE(D:D,""auto"",""en"")"),"Seamless integration of former feelings")</f>
        <v>Seamless integration of former feelings</v>
      </c>
      <c r="D328" s="5" t="s">
        <v>782</v>
      </c>
      <c r="E328" s="4">
        <v>204060</v>
      </c>
    </row>
    <row r="329" spans="1:5" ht="13.5" hidden="1" customHeight="1">
      <c r="A329" s="4" t="s">
        <v>783</v>
      </c>
      <c r="B329" s="4" t="s">
        <v>784</v>
      </c>
      <c r="C329" s="4" t="str">
        <f ca="1">IFERROR(__xludf.DUMMYFUNCTION("GOOGLETRANSLATE(D:D,""auto"",""en"")"),"Grapefruit bag")</f>
        <v>Grapefruit bag</v>
      </c>
      <c r="D329" s="5" t="s">
        <v>785</v>
      </c>
      <c r="E329" s="4">
        <v>173716</v>
      </c>
    </row>
    <row r="330" spans="1:5" ht="13.5" hidden="1" customHeight="1">
      <c r="A330" s="4" t="s">
        <v>786</v>
      </c>
      <c r="B330" s="4" t="s">
        <v>787</v>
      </c>
      <c r="C330" s="4" t="str">
        <f ca="1">IFERROR(__xludf.DUMMYFUNCTION("GOOGLETRANSLATE(D:D,""auto"",""en"")"),"Gu Ying Lee is now playing the game")</f>
        <v>Gu Ying Lee is now playing the game</v>
      </c>
      <c r="D330" s="5" t="s">
        <v>788</v>
      </c>
      <c r="E330" s="4">
        <v>172589</v>
      </c>
    </row>
    <row r="331" spans="1:5" ht="13.5" hidden="1" customHeight="1">
      <c r="A331" s="4" t="s">
        <v>789</v>
      </c>
      <c r="B331" s="4" t="s">
        <v>790</v>
      </c>
      <c r="C331" s="4" t="str">
        <f ca="1">IFERROR(__xludf.DUMMYFUNCTION("GOOGLETRANSLATE(D:D,""auto"",""en"")"),"Ouyang Nana silver eye shadow")</f>
        <v>Ouyang Nana silver eye shadow</v>
      </c>
      <c r="D331" s="5" t="s">
        <v>791</v>
      </c>
      <c r="E331" s="4">
        <v>172358</v>
      </c>
    </row>
    <row r="332" spans="1:5" ht="13.5" hidden="1" customHeight="1">
      <c r="A332" s="4" t="s">
        <v>792</v>
      </c>
      <c r="B332" s="4" t="s">
        <v>793</v>
      </c>
      <c r="C332" s="4" t="str">
        <f ca="1">IFERROR(__xludf.DUMMYFUNCTION("GOOGLETRANSLATE(D:D,""auto"",""en"")"),"How well the feelings of parents")</f>
        <v>How well the feelings of parents</v>
      </c>
      <c r="D332" s="5" t="s">
        <v>794</v>
      </c>
      <c r="E332" s="4">
        <v>169148</v>
      </c>
    </row>
    <row r="333" spans="1:5" ht="13.5" hidden="1" customHeight="1">
      <c r="A333" s="4" t="s">
        <v>795</v>
      </c>
      <c r="B333" s="4" t="s">
        <v>796</v>
      </c>
      <c r="C333" s="4" t="str">
        <f ca="1">IFERROR(__xludf.DUMMYFUNCTION("GOOGLETRANSLATE(D:D,""auto"",""en"")"),"Malone lost to Zhou Qihao")</f>
        <v>Malone lost to Zhou Qihao</v>
      </c>
      <c r="D333" s="5" t="s">
        <v>797</v>
      </c>
      <c r="E333" s="4">
        <v>164484</v>
      </c>
    </row>
    <row r="334" spans="1:5" ht="13.5" hidden="1" customHeight="1">
      <c r="A334" s="4" t="s">
        <v>798</v>
      </c>
      <c r="B334" s="4" t="s">
        <v>799</v>
      </c>
      <c r="C334" s="4" t="str">
        <f ca="1">IFERROR(__xludf.DUMMYFUNCTION("GOOGLETRANSLATE(D:D,""auto"",""en"")"),"19-month-old baby to accept the award on behalf of my father who died")</f>
        <v>19-month-old baby to accept the award on behalf of my father who died</v>
      </c>
      <c r="D334" s="5" t="s">
        <v>800</v>
      </c>
      <c r="E334" s="4">
        <v>160707</v>
      </c>
    </row>
    <row r="335" spans="1:5" ht="13.5" hidden="1" customHeight="1">
      <c r="A335" s="4" t="s">
        <v>720</v>
      </c>
      <c r="B335" s="4" t="s">
        <v>801</v>
      </c>
      <c r="C335" s="4" t="str">
        <f ca="1">IFERROR(__xludf.DUMMYFUNCTION("GOOGLETRANSLATE(D:D,""auto"",""en"")"),"Huachen Yu regression singer")</f>
        <v>Huachen Yu regression singer</v>
      </c>
      <c r="D335" s="5" t="s">
        <v>802</v>
      </c>
      <c r="E335" s="4">
        <v>158826</v>
      </c>
    </row>
    <row r="336" spans="1:5" ht="13.5" hidden="1" customHeight="1">
      <c r="A336" s="4" t="s">
        <v>803</v>
      </c>
      <c r="B336" s="4" t="s">
        <v>804</v>
      </c>
      <c r="C336" s="4" t="str">
        <f ca="1">IFERROR(__xludf.DUMMYFUNCTION("GOOGLETRANSLATE(D:D,""auto"",""en"")"),"Zhou Zhennan hot to drink champagne")</f>
        <v>Zhou Zhennan hot to drink champagne</v>
      </c>
      <c r="D336" s="5" t="s">
        <v>805</v>
      </c>
      <c r="E336" s="4">
        <v>158250</v>
      </c>
    </row>
    <row r="337" spans="1:5" ht="13.5" hidden="1" customHeight="1">
      <c r="A337" s="4" t="s">
        <v>806</v>
      </c>
      <c r="B337" s="4" t="s">
        <v>807</v>
      </c>
      <c r="C337" s="4" t="str">
        <f ca="1">IFERROR(__xludf.DUMMYFUNCTION("GOOGLETRANSLATE(D:D,""auto"",""en"")"),"Girls in the end how expensive")</f>
        <v>Girls in the end how expensive</v>
      </c>
      <c r="D337" s="5" t="s">
        <v>808</v>
      </c>
      <c r="E337" s="4">
        <v>155342</v>
      </c>
    </row>
    <row r="338" spans="1:5" ht="13.5" hidden="1" customHeight="1">
      <c r="A338" s="4" t="s">
        <v>795</v>
      </c>
      <c r="B338" s="4" t="s">
        <v>809</v>
      </c>
      <c r="C338" s="4" t="str">
        <f ca="1">IFERROR(__xludf.DUMMYFUNCTION("GOOGLETRANSLATE(D:D,""auto"",""en"")"),"Nanjing Massacre survivor photo wall lamp and put out three")</f>
        <v>Nanjing Massacre survivor photo wall lamp and put out three</v>
      </c>
      <c r="D338" s="5" t="s">
        <v>810</v>
      </c>
      <c r="E338" s="4">
        <v>139447</v>
      </c>
    </row>
    <row r="339" spans="1:5" ht="13.5" hidden="1" customHeight="1">
      <c r="A339" s="4" t="s">
        <v>795</v>
      </c>
      <c r="B339" s="4" t="s">
        <v>779</v>
      </c>
      <c r="C339" s="4" t="str">
        <f ca="1">IFERROR(__xludf.DUMMYFUNCTION("GOOGLETRANSLATE(D:D,""auto"",""en"")"),"Three percent at the helm of the world's top 500 Indians")</f>
        <v>Three percent at the helm of the world's top 500 Indians</v>
      </c>
      <c r="D339" s="5" t="s">
        <v>811</v>
      </c>
      <c r="E339" s="4">
        <v>125026</v>
      </c>
    </row>
    <row r="340" spans="1:5" ht="13.5" hidden="1" customHeight="1">
      <c r="A340" s="4" t="s">
        <v>795</v>
      </c>
      <c r="B340" s="4" t="s">
        <v>812</v>
      </c>
      <c r="C340" s="4" t="str">
        <f ca="1">IFERROR(__xludf.DUMMYFUNCTION("GOOGLETRANSLATE(D:D,""auto"",""en"")"),"JJ Nanning concert tickets")</f>
        <v>JJ Nanning concert tickets</v>
      </c>
      <c r="D340" s="5" t="s">
        <v>813</v>
      </c>
      <c r="E340" s="4">
        <v>125012</v>
      </c>
    </row>
    <row r="341" spans="1:5" ht="13.5" hidden="1" customHeight="1">
      <c r="A341" s="4" t="s">
        <v>607</v>
      </c>
      <c r="B341" s="4" t="s">
        <v>814</v>
      </c>
      <c r="C341" s="4" t="str">
        <f ca="1">IFERROR(__xludf.DUMMYFUNCTION("GOOGLETRANSLATE(D:D,""auto"",""en"")"),"2020's first meteor shower")</f>
        <v>2020's first meteor shower</v>
      </c>
      <c r="D341" s="5" t="s">
        <v>815</v>
      </c>
      <c r="E341" s="4">
        <v>124874</v>
      </c>
    </row>
    <row r="342" spans="1:5" ht="13.5" hidden="1" customHeight="1">
      <c r="A342" s="4" t="s">
        <v>816</v>
      </c>
      <c r="B342" s="4" t="s">
        <v>817</v>
      </c>
      <c r="C342" s="4" t="str">
        <f ca="1">IFERROR(__xludf.DUMMYFUNCTION("GOOGLETRANSLATE(D:D,""auto"",""en"")"),"University Laoyu 2000 pounds to do the whole fish feast")</f>
        <v>University Laoyu 2000 pounds to do the whole fish feast</v>
      </c>
      <c r="D342" s="5" t="s">
        <v>818</v>
      </c>
      <c r="E342" s="4">
        <v>108180</v>
      </c>
    </row>
    <row r="343" spans="1:5" ht="13.5" hidden="1" customHeight="1">
      <c r="A343" s="4" t="s">
        <v>819</v>
      </c>
      <c r="B343" s="4" t="s">
        <v>820</v>
      </c>
      <c r="C343" s="4" t="str">
        <f ca="1">IFERROR(__xludf.DUMMYFUNCTION("GOOGLETRANSLATE(D:D,""auto"",""en"")"),"Long experience what is good-looking mother")</f>
        <v>Long experience what is good-looking mother</v>
      </c>
      <c r="D343" s="5" t="s">
        <v>821</v>
      </c>
      <c r="E343" s="4">
        <v>108122</v>
      </c>
    </row>
    <row r="344" spans="1:5" ht="13.5" hidden="1" customHeight="1">
      <c r="A344" s="4" t="s">
        <v>607</v>
      </c>
      <c r="B344" s="4" t="s">
        <v>608</v>
      </c>
      <c r="C344" s="4" t="str">
        <f ca="1">IFERROR(__xludf.DUMMYFUNCTION("GOOGLETRANSLATE(D:D,""auto"",""en"")"),"Iran were killed in Iraq, Major General")</f>
        <v>Iran were killed in Iraq, Major General</v>
      </c>
      <c r="D344" s="5" t="s">
        <v>609</v>
      </c>
      <c r="E344" s="4">
        <v>97664</v>
      </c>
    </row>
    <row r="345" spans="1:5" ht="13.5" hidden="1" customHeight="1">
      <c r="A345" s="4" t="s">
        <v>822</v>
      </c>
      <c r="B345" s="4" t="s">
        <v>812</v>
      </c>
      <c r="C345" s="4" t="str">
        <f ca="1">IFERROR(__xludf.DUMMYFUNCTION("GOOGLETRANSLATE(D:D,""auto"",""en"")"),"First trip in 2020")</f>
        <v>First trip in 2020</v>
      </c>
      <c r="D345" s="5" t="s">
        <v>823</v>
      </c>
      <c r="E345" s="4">
        <v>97333</v>
      </c>
    </row>
    <row r="346" spans="1:5" ht="13.5" hidden="1" customHeight="1">
      <c r="A346" s="4" t="s">
        <v>824</v>
      </c>
      <c r="B346" s="4" t="s">
        <v>825</v>
      </c>
      <c r="C346" s="4" t="str">
        <f ca="1">IFERROR(__xludf.DUMMYFUNCTION("GOOGLETRANSLATE(D:D,""auto"",""en"")"),"Chinese listed companies in the market value of 500")</f>
        <v>Chinese listed companies in the market value of 500</v>
      </c>
      <c r="D346" s="5" t="s">
        <v>826</v>
      </c>
      <c r="E346" s="4">
        <v>96249</v>
      </c>
    </row>
    <row r="347" spans="1:5" ht="13.5" hidden="1" customHeight="1">
      <c r="A347" s="4" t="s">
        <v>827</v>
      </c>
      <c r="B347" s="4" t="s">
        <v>828</v>
      </c>
      <c r="C347" s="4" t="str">
        <f ca="1">IFERROR(__xludf.DUMMYFUNCTION("GOOGLETRANSLATE(D:D,""auto"",""en"")"),"Hunan agricultural vehicles even hit more than students")</f>
        <v>Hunan agricultural vehicles even hit more than students</v>
      </c>
      <c r="D347" s="5" t="s">
        <v>829</v>
      </c>
      <c r="E347" s="4">
        <v>95763</v>
      </c>
    </row>
    <row r="348" spans="1:5" ht="13.5" hidden="1" customHeight="1">
      <c r="A348" s="4" t="s">
        <v>830</v>
      </c>
      <c r="B348" s="4" t="s">
        <v>779</v>
      </c>
      <c r="C348" s="4" t="str">
        <f ca="1">IFERROR(__xludf.DUMMYFUNCTION("GOOGLETRANSLATE(D:D,""auto"",""en"")"),"Chongqing Tongliang dragon")</f>
        <v>Chongqing Tongliang dragon</v>
      </c>
      <c r="D348" s="5" t="s">
        <v>831</v>
      </c>
      <c r="E348" s="4">
        <v>85933</v>
      </c>
    </row>
    <row r="349" spans="1:5" ht="13.5" hidden="1" customHeight="1">
      <c r="A349" s="4" t="s">
        <v>819</v>
      </c>
      <c r="B349" s="4" t="s">
        <v>832</v>
      </c>
      <c r="C349" s="4" t="str">
        <f ca="1">IFERROR(__xludf.DUMMYFUNCTION("GOOGLETRANSLATE(D:D,""auto"",""en"")"),"Liu Hao Ran Fortuna style")</f>
        <v>Liu Hao Ran Fortuna style</v>
      </c>
      <c r="D349" s="5" t="s">
        <v>833</v>
      </c>
      <c r="E349" s="4">
        <v>69546</v>
      </c>
    </row>
    <row r="350" spans="1:5" ht="13.5" hidden="1" customHeight="1">
      <c r="C350" s="4" t="str">
        <f ca="1">IFERROR(__xludf.DUMMYFUNCTION("GOOGLETRANSLATE(D:D,""auto"",""en"")"),"#VALUE!")</f>
        <v>#VALUE!</v>
      </c>
    </row>
    <row r="351" spans="1:5" ht="13.5" hidden="1" customHeight="1">
      <c r="A351" s="4" t="s">
        <v>834</v>
      </c>
      <c r="B351" s="4" t="s">
        <v>835</v>
      </c>
      <c r="C351" s="4" t="str">
        <f ca="1">IFERROR(__xludf.DUMMYFUNCTION("GOOGLETRANSLATE(D:D,""auto"",""en"")"),"Li Landi cry")</f>
        <v>Li Landi cry</v>
      </c>
      <c r="D351" s="4" t="s">
        <v>836</v>
      </c>
      <c r="E351" s="4">
        <v>2403813</v>
      </c>
    </row>
    <row r="352" spans="1:5" ht="13.5" hidden="1" customHeight="1">
      <c r="A352" s="4" t="s">
        <v>837</v>
      </c>
      <c r="B352" s="4" t="s">
        <v>838</v>
      </c>
      <c r="C352" s="4" t="str">
        <f ca="1">IFERROR(__xludf.DUMMYFUNCTION("GOOGLETRANSLATE(D:D,""auto"",""en"")"),"Washington on alert")</f>
        <v>Washington on alert</v>
      </c>
      <c r="D352" s="5" t="s">
        <v>839</v>
      </c>
      <c r="E352" s="4">
        <v>2081825</v>
      </c>
    </row>
    <row r="353" spans="1:5" ht="13.5" hidden="1" customHeight="1">
      <c r="A353" s="4" t="s">
        <v>840</v>
      </c>
      <c r="B353" s="4" t="s">
        <v>841</v>
      </c>
      <c r="C353" s="4" t="str">
        <f ca="1">IFERROR(__xludf.DUMMYFUNCTION("GOOGLETRANSLATE(D:D,""auto"",""en"")"),"Amber recalls Shirley")</f>
        <v>Amber recalls Shirley</v>
      </c>
      <c r="D353" s="5" t="s">
        <v>842</v>
      </c>
      <c r="E353" s="4">
        <v>2075859</v>
      </c>
    </row>
    <row r="354" spans="1:5" ht="13.5" hidden="1" customHeight="1">
      <c r="A354" s="4" t="s">
        <v>843</v>
      </c>
      <c r="B354" s="4" t="s">
        <v>844</v>
      </c>
      <c r="C354" s="4" t="str">
        <f ca="1">IFERROR(__xludf.DUMMYFUNCTION("GOOGLETRANSLATE(D:D,""auto"",""en"")"),"Cattle in the eyes of the hottest stars")</f>
        <v>Cattle in the eyes of the hottest stars</v>
      </c>
      <c r="D354" s="5" t="s">
        <v>845</v>
      </c>
      <c r="E354" s="4">
        <v>1951571</v>
      </c>
    </row>
    <row r="355" spans="1:5" ht="13.5" hidden="1" customHeight="1">
      <c r="A355" s="4" t="s">
        <v>846</v>
      </c>
      <c r="B355" s="4" t="s">
        <v>847</v>
      </c>
      <c r="C355" s="4" t="str">
        <f ca="1">IFERROR(__xludf.DUMMYFUNCTION("GOOGLETRANSLATE(D:D,""auto"",""en"")"),"UGC interview")</f>
        <v>UGC interview</v>
      </c>
      <c r="D355" s="5" t="s">
        <v>848</v>
      </c>
      <c r="E355" s="4">
        <v>1035774</v>
      </c>
    </row>
    <row r="356" spans="1:5" ht="13.5" hidden="1" customHeight="1">
      <c r="A356" s="4" t="s">
        <v>849</v>
      </c>
      <c r="B356" s="4" t="s">
        <v>850</v>
      </c>
      <c r="C356" s="4" t="str">
        <f ca="1">IFERROR(__xludf.DUMMYFUNCTION("GOOGLETRANSLATE(D:D,""auto"",""en"")"),"It had no weekend morning")</f>
        <v>It had no weekend morning</v>
      </c>
      <c r="D356" s="5" t="s">
        <v>851</v>
      </c>
      <c r="E356" s="4">
        <v>870056</v>
      </c>
    </row>
    <row r="357" spans="1:5" ht="13.5" hidden="1" customHeight="1">
      <c r="A357" s="4" t="s">
        <v>852</v>
      </c>
      <c r="B357" s="4" t="s">
        <v>853</v>
      </c>
      <c r="C357" s="4" t="str">
        <f ca="1">IFERROR(__xludf.DUMMYFUNCTION("GOOGLETRANSLATE(D:D,""auto"",""en"")"),"We received the most perfunctory gift")</f>
        <v>We received the most perfunctory gift</v>
      </c>
      <c r="D357" s="5" t="s">
        <v>854</v>
      </c>
      <c r="E357" s="4">
        <v>702248</v>
      </c>
    </row>
    <row r="358" spans="1:5" ht="13.5" hidden="1" customHeight="1">
      <c r="A358" s="4" t="s">
        <v>855</v>
      </c>
      <c r="B358" s="4" t="s">
        <v>803</v>
      </c>
      <c r="C358" s="4" t="str">
        <f ca="1">IFERROR(__xludf.DUMMYFUNCTION("GOOGLETRANSLATE(D:D,""auto"",""en"")"),"12 year-old boy saved the whole building residents")</f>
        <v>12 year-old boy saved the whole building residents</v>
      </c>
      <c r="D358" s="5" t="s">
        <v>856</v>
      </c>
      <c r="E358" s="4">
        <v>653150</v>
      </c>
    </row>
    <row r="359" spans="1:5" ht="13.5" hidden="1" customHeight="1">
      <c r="A359" s="4" t="s">
        <v>857</v>
      </c>
      <c r="B359" s="4" t="s">
        <v>858</v>
      </c>
      <c r="C359" s="4" t="str">
        <f ca="1">IFERROR(__xludf.DUMMYFUNCTION("GOOGLETRANSLATE(D:D,""auto"",""en"")"),"Mulan new stills")</f>
        <v>Mulan new stills</v>
      </c>
      <c r="D359" s="5" t="s">
        <v>859</v>
      </c>
      <c r="E359" s="4">
        <v>577763</v>
      </c>
    </row>
    <row r="360" spans="1:5" ht="13.5" hidden="1" customHeight="1">
      <c r="A360" s="4" t="s">
        <v>860</v>
      </c>
      <c r="B360" s="4" t="s">
        <v>861</v>
      </c>
      <c r="C360" s="4" t="str">
        <f ca="1">IFERROR(__xludf.DUMMYFUNCTION("GOOGLETRANSLATE(D:D,""auto"",""en"")"),"Trump said the US military air strikes to stop the war")</f>
        <v>Trump said the US military air strikes to stop the war</v>
      </c>
      <c r="D360" s="5" t="s">
        <v>862</v>
      </c>
      <c r="E360" s="4">
        <v>496457</v>
      </c>
    </row>
    <row r="361" spans="1:5" ht="13.5" hidden="1" customHeight="1">
      <c r="A361" s="4" t="s">
        <v>863</v>
      </c>
      <c r="B361" s="4" t="s">
        <v>864</v>
      </c>
      <c r="C361" s="4" t="str">
        <f ca="1">IFERROR(__xludf.DUMMYFUNCTION("GOOGLETRANSLATE(D:D,""auto"",""en"")"),"Han Ma Tianyu is held high")</f>
        <v>Han Ma Tianyu is held high</v>
      </c>
      <c r="D361" s="5" t="s">
        <v>865</v>
      </c>
      <c r="E361" s="4">
        <v>486909</v>
      </c>
    </row>
    <row r="362" spans="1:5" ht="13.5" hidden="1" customHeight="1">
      <c r="A362" s="4" t="s">
        <v>866</v>
      </c>
      <c r="B362" s="4" t="s">
        <v>867</v>
      </c>
      <c r="C362" s="4" t="str">
        <f ca="1">IFERROR(__xludf.DUMMYFUNCTION("GOOGLETRANSLATE(D:D,""auto"",""en"")"),"Picasso paintings worth 180 million yuan torn")</f>
        <v>Picasso paintings worth 180 million yuan torn</v>
      </c>
      <c r="D362" s="5" t="s">
        <v>868</v>
      </c>
      <c r="E362" s="4">
        <v>477094</v>
      </c>
    </row>
    <row r="363" spans="1:5" ht="13.5" hidden="1" customHeight="1">
      <c r="A363" s="4" t="s">
        <v>869</v>
      </c>
      <c r="B363" s="4" t="s">
        <v>731</v>
      </c>
      <c r="C363" s="4" t="str">
        <f ca="1">IFERROR(__xludf.DUMMYFUNCTION("GOOGLETRANSLATE(D:D,""auto"",""en"")"),"Air leakage star sanctions passenger information staff")</f>
        <v>Air leakage star sanctions passenger information staff</v>
      </c>
      <c r="D363" s="5" t="s">
        <v>870</v>
      </c>
      <c r="E363" s="4">
        <v>459329</v>
      </c>
    </row>
    <row r="364" spans="1:5" ht="13.5" hidden="1" customHeight="1">
      <c r="A364" s="4" t="s">
        <v>869</v>
      </c>
      <c r="B364" s="4" t="s">
        <v>835</v>
      </c>
      <c r="C364" s="4" t="str">
        <f ca="1">IFERROR(__xludf.DUMMYFUNCTION("GOOGLETRANSLATE(D:D,""auto"",""en"")"),"2019 Top Ten diet to lose weight")</f>
        <v>2019 Top Ten diet to lose weight</v>
      </c>
      <c r="D364" s="5" t="s">
        <v>871</v>
      </c>
      <c r="E364" s="4">
        <v>403190</v>
      </c>
    </row>
    <row r="365" spans="1:5" ht="13.5" hidden="1" customHeight="1">
      <c r="A365" s="4" t="s">
        <v>872</v>
      </c>
      <c r="B365" s="4" t="s">
        <v>751</v>
      </c>
      <c r="C365" s="4" t="str">
        <f ca="1">IFERROR(__xludf.DUMMYFUNCTION("GOOGLETRANSLATE(D:D,""auto"",""en"")"),"Manslaughter extended release")</f>
        <v>Manslaughter extended release</v>
      </c>
      <c r="D365" s="5" t="s">
        <v>873</v>
      </c>
      <c r="E365" s="4">
        <v>402397</v>
      </c>
    </row>
    <row r="366" spans="1:5" ht="13.5" hidden="1" customHeight="1">
      <c r="A366" s="4" t="s">
        <v>874</v>
      </c>
      <c r="B366" s="4" t="s">
        <v>734</v>
      </c>
      <c r="C366" s="4" t="str">
        <f ca="1">IFERROR(__xludf.DUMMYFUNCTION("GOOGLETRANSLATE(D:D,""auto"",""en"")"),"When the circle of friends to forget the parents group")</f>
        <v>When the circle of friends to forget the parents group</v>
      </c>
      <c r="D366" s="5" t="s">
        <v>875</v>
      </c>
      <c r="E366" s="4">
        <v>400553</v>
      </c>
    </row>
    <row r="367" spans="1:5" ht="13.5" hidden="1" customHeight="1">
      <c r="A367" s="4" t="s">
        <v>876</v>
      </c>
      <c r="B367" s="4" t="s">
        <v>877</v>
      </c>
      <c r="C367" s="4" t="str">
        <f ca="1">IFERROR(__xludf.DUMMYFUNCTION("GOOGLETRANSLATE(D:D,""auto"",""en"")"),"Wu Yifan costume modeling")</f>
        <v>Wu Yifan costume modeling</v>
      </c>
      <c r="D367" s="5" t="s">
        <v>878</v>
      </c>
      <c r="E367" s="4">
        <v>391287</v>
      </c>
    </row>
    <row r="368" spans="1:5" ht="13.5" hidden="1" customHeight="1">
      <c r="A368" s="4" t="s">
        <v>879</v>
      </c>
      <c r="B368" s="4" t="s">
        <v>751</v>
      </c>
      <c r="C368" s="4" t="str">
        <f ca="1">IFERROR(__xludf.DUMMYFUNCTION("GOOGLETRANSLATE(D:D,""auto"",""en"")"),"Couple taking pictures new gesture")</f>
        <v>Couple taking pictures new gesture</v>
      </c>
      <c r="D368" s="5" t="s">
        <v>880</v>
      </c>
      <c r="E368" s="4">
        <v>376476</v>
      </c>
    </row>
    <row r="369" spans="1:5" ht="13.5" hidden="1" customHeight="1">
      <c r="A369" s="4" t="s">
        <v>881</v>
      </c>
      <c r="B369" s="4" t="s">
        <v>882</v>
      </c>
      <c r="C369" s="4" t="str">
        <f ca="1">IFERROR(__xludf.DUMMYFUNCTION("GOOGLETRANSLATE(D:D,""auto"",""en"")"),"Yang Jiechi with the US Secretary of State Pompeo phone")</f>
        <v>Yang Jiechi with the US Secretary of State Pompeo phone</v>
      </c>
      <c r="D369" s="5" t="s">
        <v>883</v>
      </c>
      <c r="E369" s="4">
        <v>343393</v>
      </c>
    </row>
    <row r="370" spans="1:5" ht="13.5" hidden="1" customHeight="1">
      <c r="A370" s="4" t="s">
        <v>884</v>
      </c>
      <c r="B370" s="4" t="s">
        <v>885</v>
      </c>
      <c r="C370" s="4" t="str">
        <f ca="1">IFERROR(__xludf.DUMMYFUNCTION("GOOGLETRANSLATE(D:D,""auto"",""en"")"),"Like the first three years of work")</f>
        <v>Like the first three years of work</v>
      </c>
      <c r="D370" s="5" t="s">
        <v>886</v>
      </c>
      <c r="E370" s="4">
        <v>339616</v>
      </c>
    </row>
    <row r="371" spans="1:5" ht="13.5" hidden="1" customHeight="1">
      <c r="A371" s="4" t="s">
        <v>887</v>
      </c>
      <c r="B371" s="4" t="s">
        <v>888</v>
      </c>
      <c r="C371" s="4" t="str">
        <f ca="1">IFERROR(__xludf.DUMMYFUNCTION("GOOGLETRANSLATE(D:D,""auto"",""en"")"),"Wu Lei shave")</f>
        <v>Wu Lei shave</v>
      </c>
      <c r="D371" s="5" t="s">
        <v>889</v>
      </c>
      <c r="E371" s="4">
        <v>310086</v>
      </c>
    </row>
    <row r="372" spans="1:5" ht="13.5" hidden="1" customHeight="1">
      <c r="A372" s="4" t="s">
        <v>890</v>
      </c>
      <c r="B372" s="4" t="s">
        <v>715</v>
      </c>
      <c r="C372" s="4" t="str">
        <f ca="1">IFERROR(__xludf.DUMMYFUNCTION("GOOGLETRANSLATE(D:D,""auto"",""en"")"),"Hua Sun Ssu medical students exam worship like")</f>
        <v>Hua Sun Ssu medical students exam worship like</v>
      </c>
      <c r="D372" s="5" t="s">
        <v>891</v>
      </c>
      <c r="E372" s="4">
        <v>277016</v>
      </c>
    </row>
    <row r="373" spans="1:5" ht="13.5" hidden="1" customHeight="1">
      <c r="A373" s="4" t="s">
        <v>892</v>
      </c>
      <c r="B373" s="4" t="s">
        <v>775</v>
      </c>
      <c r="C373" s="4" t="str">
        <f ca="1">IFERROR(__xludf.DUMMYFUNCTION("GOOGLETRANSLATE(D:D,""auto"",""en"")"),"Thomas was expelled small")</f>
        <v>Thomas was expelled small</v>
      </c>
      <c r="D373" s="5" t="s">
        <v>893</v>
      </c>
      <c r="E373" s="4">
        <v>276712</v>
      </c>
    </row>
    <row r="374" spans="1:5" ht="13.5" hidden="1" customHeight="1">
      <c r="A374" s="4" t="s">
        <v>894</v>
      </c>
      <c r="B374" s="4" t="s">
        <v>895</v>
      </c>
      <c r="C374" s="4" t="str">
        <f ca="1">IFERROR(__xludf.DUMMYFUNCTION("GOOGLETRANSLATE(D:D,""auto"",""en"")"),"The driver drops moratorium on new registration assessment 7 days")</f>
        <v>The driver drops moratorium on new registration assessment 7 days</v>
      </c>
      <c r="D374" s="5" t="s">
        <v>896</v>
      </c>
      <c r="E374" s="4">
        <v>276576</v>
      </c>
    </row>
    <row r="375" spans="1:5" ht="13.5" hidden="1" customHeight="1">
      <c r="A375" s="4" t="s">
        <v>897</v>
      </c>
      <c r="B375" s="4" t="s">
        <v>898</v>
      </c>
      <c r="C375" s="4" t="str">
        <f ca="1">IFERROR(__xludf.DUMMYFUNCTION("GOOGLETRANSLATE(D:D,""auto"",""en"")"),"When asked how angry deer")</f>
        <v>When asked how angry deer</v>
      </c>
      <c r="D375" s="5" t="s">
        <v>899</v>
      </c>
      <c r="E375" s="4">
        <v>276487</v>
      </c>
    </row>
    <row r="376" spans="1:5" ht="13.5" hidden="1" customHeight="1">
      <c r="A376" s="4" t="s">
        <v>900</v>
      </c>
      <c r="B376" s="4" t="s">
        <v>778</v>
      </c>
      <c r="C376" s="4" t="str">
        <f ca="1">IFERROR(__xludf.DUMMYFUNCTION("GOOGLETRANSLATE(D:D,""auto"",""en"")"),"What grievances received since the height")</f>
        <v>What grievances received since the height</v>
      </c>
      <c r="D376" s="5" t="s">
        <v>901</v>
      </c>
      <c r="E376" s="4">
        <v>258482</v>
      </c>
    </row>
    <row r="377" spans="1:5" ht="13.5" hidden="1" customHeight="1">
      <c r="A377" s="4" t="s">
        <v>902</v>
      </c>
      <c r="B377" s="4" t="s">
        <v>903</v>
      </c>
      <c r="C377" s="4" t="str">
        <f ca="1">IFERROR(__xludf.DUMMYFUNCTION("GOOGLETRANSLATE(D:D,""auto"",""en"")"),"High speed 550 kilometers charge 3870 yuan")</f>
        <v>High speed 550 kilometers charge 3870 yuan</v>
      </c>
      <c r="D377" s="5" t="s">
        <v>904</v>
      </c>
      <c r="E377" s="4">
        <v>246594</v>
      </c>
    </row>
    <row r="378" spans="1:5" ht="13.5" hidden="1" customHeight="1">
      <c r="A378" s="4" t="s">
        <v>905</v>
      </c>
      <c r="B378" s="4" t="s">
        <v>906</v>
      </c>
      <c r="C378" s="4" t="str">
        <f ca="1">IFERROR(__xludf.DUMMYFUNCTION("GOOGLETRANSLATE(D:D,""auto"",""en"")"),"Adult great way to say goodbye")</f>
        <v>Adult great way to say goodbye</v>
      </c>
      <c r="D378" s="5" t="s">
        <v>907</v>
      </c>
      <c r="E378" s="4">
        <v>210368</v>
      </c>
    </row>
    <row r="379" spans="1:5" ht="13.5" hidden="1" customHeight="1">
      <c r="A379" s="4" t="s">
        <v>908</v>
      </c>
      <c r="B379" s="4" t="s">
        <v>909</v>
      </c>
      <c r="C379" s="4" t="str">
        <f ca="1">IFERROR(__xludf.DUMMYFUNCTION("GOOGLETRANSLATE(D:D,""auto"",""en"")"),"Lhasa snow")</f>
        <v>Lhasa snow</v>
      </c>
      <c r="D379" s="5" t="s">
        <v>910</v>
      </c>
      <c r="E379" s="4">
        <v>198394</v>
      </c>
    </row>
    <row r="380" spans="1:5" ht="13.5" hidden="1" customHeight="1">
      <c r="A380" s="4" t="s">
        <v>890</v>
      </c>
      <c r="B380" s="4" t="s">
        <v>861</v>
      </c>
      <c r="C380" s="4" t="str">
        <f ca="1">IFERROR(__xludf.DUMMYFUNCTION("GOOGLETRANSLATE(D:D,""auto"",""en"")"),"The world's oldest person")</f>
        <v>The world's oldest person</v>
      </c>
      <c r="D380" s="5" t="s">
        <v>911</v>
      </c>
      <c r="E380" s="4">
        <v>197397</v>
      </c>
    </row>
    <row r="381" spans="1:5" ht="13.5" hidden="1" customHeight="1">
      <c r="A381" s="4" t="s">
        <v>703</v>
      </c>
      <c r="B381" s="4" t="s">
        <v>704</v>
      </c>
      <c r="C381" s="4" t="str">
        <f ca="1">IFERROR(__xludf.DUMMYFUNCTION("GOOGLETRANSLATE(D:D,""auto"",""en"")"),"Jinfu Jiang Uruguay responded to prosecute ex-girlfriend")</f>
        <v>Jinfu Jiang Uruguay responded to prosecute ex-girlfriend</v>
      </c>
      <c r="D381" s="5" t="s">
        <v>705</v>
      </c>
      <c r="E381" s="4">
        <v>183807</v>
      </c>
    </row>
    <row r="382" spans="1:5" ht="13.5" hidden="1" customHeight="1">
      <c r="A382" s="4" t="s">
        <v>703</v>
      </c>
      <c r="B382" s="4" t="s">
        <v>912</v>
      </c>
      <c r="C382" s="4" t="str">
        <f ca="1">IFERROR(__xludf.DUMMYFUNCTION("GOOGLETRANSLATE(D:D,""auto"",""en"")"),"Pizza backpack")</f>
        <v>Pizza backpack</v>
      </c>
      <c r="D382" s="5" t="s">
        <v>913</v>
      </c>
      <c r="E382" s="4">
        <v>183555</v>
      </c>
    </row>
    <row r="383" spans="1:5" ht="13.5" hidden="1" customHeight="1">
      <c r="A383" s="4" t="s">
        <v>914</v>
      </c>
      <c r="B383" s="4" t="s">
        <v>803</v>
      </c>
      <c r="C383" s="4" t="str">
        <f ca="1">IFERROR(__xludf.DUMMYFUNCTION("GOOGLETRANSLATE(D:D,""auto"",""en"")"),"Iraqi militias raid team was 6 deaths")</f>
        <v>Iraqi militias raid team was 6 deaths</v>
      </c>
      <c r="D383" s="5" t="s">
        <v>915</v>
      </c>
      <c r="E383" s="4">
        <v>171541</v>
      </c>
    </row>
    <row r="384" spans="1:5" ht="13.5" hidden="1" customHeight="1">
      <c r="A384" s="4" t="s">
        <v>916</v>
      </c>
      <c r="B384" s="4" t="s">
        <v>751</v>
      </c>
      <c r="C384" s="4" t="str">
        <f ca="1">IFERROR(__xludf.DUMMYFUNCTION("GOOGLETRANSLATE(D:D,""auto"",""en"")"),"Scottish river frozen pancakes")</f>
        <v>Scottish river frozen pancakes</v>
      </c>
      <c r="D384" s="5" t="s">
        <v>917</v>
      </c>
      <c r="E384" s="4">
        <v>145607</v>
      </c>
    </row>
    <row r="385" spans="1:5" ht="13.5" hidden="1" customHeight="1">
      <c r="A385" s="4" t="s">
        <v>918</v>
      </c>
      <c r="B385" s="4" t="s">
        <v>919</v>
      </c>
      <c r="C385" s="4" t="str">
        <f ca="1">IFERROR(__xludf.DUMMYFUNCTION("GOOGLETRANSLATE(D:D,""auto"",""en"")"),"The village committee to send 1.3 million red envelopes")</f>
        <v>The village committee to send 1.3 million red envelopes</v>
      </c>
      <c r="D385" s="5" t="s">
        <v>920</v>
      </c>
      <c r="E385" s="4">
        <v>126136</v>
      </c>
    </row>
    <row r="386" spans="1:5" ht="13.5" hidden="1" customHeight="1">
      <c r="A386" s="4" t="s">
        <v>921</v>
      </c>
      <c r="B386" s="4" t="s">
        <v>922</v>
      </c>
      <c r="C386" s="4" t="str">
        <f ca="1">IFERROR(__xludf.DUMMYFUNCTION("GOOGLETRANSLATE(D:D,""auto"",""en"")"),"Kiwi Clothing")</f>
        <v>Kiwi Clothing</v>
      </c>
      <c r="D386" s="5" t="s">
        <v>923</v>
      </c>
      <c r="E386" s="4">
        <v>124552</v>
      </c>
    </row>
    <row r="387" spans="1:5" ht="13.5" hidden="1" customHeight="1">
      <c r="A387" s="4" t="s">
        <v>921</v>
      </c>
      <c r="B387" s="4" t="s">
        <v>924</v>
      </c>
      <c r="C387" s="4" t="str">
        <f ca="1">IFERROR(__xludf.DUMMYFUNCTION("GOOGLETRANSLATE(D:D,""auto"",""en"")"),"Australian magpie sounds like a fire siren")</f>
        <v>Australian magpie sounds like a fire siren</v>
      </c>
      <c r="D387" s="5" t="s">
        <v>925</v>
      </c>
      <c r="E387" s="4">
        <v>119461</v>
      </c>
    </row>
    <row r="388" spans="1:5" ht="13.5" hidden="1" customHeight="1">
      <c r="A388" s="4" t="s">
        <v>926</v>
      </c>
      <c r="B388" s="4" t="s">
        <v>803</v>
      </c>
      <c r="C388" s="4" t="str">
        <f ca="1">IFERROR(__xludf.DUMMYFUNCTION("GOOGLETRANSLATE(D:D,""auto"",""en"")"),"Renew kill Eve")</f>
        <v>Renew kill Eve</v>
      </c>
      <c r="D388" s="5" t="s">
        <v>927</v>
      </c>
      <c r="E388" s="4">
        <v>102279</v>
      </c>
    </row>
    <row r="389" spans="1:5" ht="13.5" hidden="1" customHeight="1">
      <c r="A389" s="4" t="s">
        <v>786</v>
      </c>
      <c r="B389" s="4" t="s">
        <v>787</v>
      </c>
      <c r="C389" s="4" t="str">
        <f ca="1">IFERROR(__xludf.DUMMYFUNCTION("GOOGLETRANSLATE(D:D,""auto"",""en"")"),"Gu Ying Lee is now playing the game")</f>
        <v>Gu Ying Lee is now playing the game</v>
      </c>
      <c r="D389" s="5" t="s">
        <v>788</v>
      </c>
      <c r="E389" s="4">
        <v>98538</v>
      </c>
    </row>
    <row r="390" spans="1:5" ht="13.5" hidden="1" customHeight="1">
      <c r="A390" s="4" t="s">
        <v>928</v>
      </c>
      <c r="B390" s="4" t="s">
        <v>903</v>
      </c>
      <c r="C390" s="4" t="str">
        <f ca="1">IFERROR(__xludf.DUMMYFUNCTION("GOOGLETRANSLATE(D:D,""auto"",""en"")"),"The first anti-crime crime scene vlog")</f>
        <v>The first anti-crime crime scene vlog</v>
      </c>
      <c r="D390" s="5" t="s">
        <v>929</v>
      </c>
      <c r="E390" s="4">
        <v>94295</v>
      </c>
    </row>
    <row r="391" spans="1:5" ht="13.5" hidden="1" customHeight="1">
      <c r="A391" s="4" t="s">
        <v>742</v>
      </c>
      <c r="B391" s="4" t="s">
        <v>743</v>
      </c>
      <c r="C391" s="4" t="str">
        <f ca="1">IFERROR(__xludf.DUMMYFUNCTION("GOOGLETRANSLATE(D:D,""auto"",""en"")"),"Jolin Tsai Deng purple chess same stage")</f>
        <v>Jolin Tsai Deng purple chess same stage</v>
      </c>
      <c r="D391" s="5" t="s">
        <v>744</v>
      </c>
      <c r="E391" s="4">
        <v>93997</v>
      </c>
    </row>
    <row r="392" spans="1:5" ht="13.5" hidden="1" customHeight="1">
      <c r="A392" s="4" t="s">
        <v>712</v>
      </c>
      <c r="B392" s="4" t="s">
        <v>930</v>
      </c>
      <c r="C392" s="4" t="str">
        <f ca="1">IFERROR(__xludf.DUMMYFUNCTION("GOOGLETRANSLATE(D:D,""auto"",""en"")"),"South Korea will install three thousand AI cameras predict crime")</f>
        <v>South Korea will install three thousand AI cameras predict crime</v>
      </c>
      <c r="D392" s="5" t="s">
        <v>931</v>
      </c>
      <c r="E392" s="4">
        <v>83901</v>
      </c>
    </row>
    <row r="393" spans="1:5" ht="13.5" hidden="1" customHeight="1">
      <c r="A393" s="4" t="s">
        <v>712</v>
      </c>
      <c r="B393" s="4" t="s">
        <v>713</v>
      </c>
      <c r="C393" s="4" t="str">
        <f ca="1">IFERROR(__xludf.DUMMYFUNCTION("GOOGLETRANSLATE(D:D,""auto"",""en"")"),"Fan Bingbing pink feather cloak")</f>
        <v>Fan Bingbing pink feather cloak</v>
      </c>
      <c r="D393" s="5" t="s">
        <v>714</v>
      </c>
      <c r="E393" s="4">
        <v>83164</v>
      </c>
    </row>
    <row r="394" spans="1:5" ht="13.5" hidden="1" customHeight="1">
      <c r="A394" s="4" t="s">
        <v>760</v>
      </c>
      <c r="B394" s="4" t="s">
        <v>761</v>
      </c>
      <c r="C394" s="4" t="str">
        <f ca="1">IFERROR(__xludf.DUMMYFUNCTION("GOOGLETRANSLATE(D:D,""auto"",""en"")"),"Ha two white cat and his Master")</f>
        <v>Ha two white cat and his Master</v>
      </c>
      <c r="D394" s="5" t="s">
        <v>762</v>
      </c>
      <c r="E394" s="4">
        <v>83013</v>
      </c>
    </row>
    <row r="395" spans="1:5" ht="13.5" hidden="1" customHeight="1">
      <c r="A395" s="4" t="s">
        <v>712</v>
      </c>
      <c r="B395" s="4" t="s">
        <v>847</v>
      </c>
      <c r="C395" s="4" t="str">
        <f ca="1">IFERROR(__xludf.DUMMYFUNCTION("GOOGLETRANSLATE(D:D,""auto"",""en"")"),"Sign the agreement to pay the deposit increase was put on the car show")</f>
        <v>Sign the agreement to pay the deposit increase was put on the car show</v>
      </c>
      <c r="D395" s="5" t="s">
        <v>932</v>
      </c>
      <c r="E395" s="4">
        <v>81193</v>
      </c>
    </row>
    <row r="396" spans="1:5" ht="13.5" hidden="1" customHeight="1">
      <c r="A396" s="4" t="s">
        <v>933</v>
      </c>
      <c r="B396" s="4" t="s">
        <v>934</v>
      </c>
      <c r="C396" s="4" t="str">
        <f ca="1">IFERROR(__xludf.DUMMYFUNCTION("GOOGLETRANSLATE(D:D,""auto"",""en"")"),"Japan proposed the establishment of human milk banks in the country")</f>
        <v>Japan proposed the establishment of human milk banks in the country</v>
      </c>
      <c r="D396" s="5" t="s">
        <v>935</v>
      </c>
      <c r="E396" s="4">
        <v>78505</v>
      </c>
    </row>
    <row r="397" spans="1:5" ht="13.5" hidden="1" customHeight="1">
      <c r="A397" s="4" t="s">
        <v>717</v>
      </c>
      <c r="B397" s="4" t="s">
        <v>718</v>
      </c>
      <c r="C397" s="4" t="str">
        <f ca="1">IFERROR(__xludf.DUMMYFUNCTION("GOOGLETRANSLATE(D:D,""auto"",""en"")"),"2020's first large-scale rain and snow")</f>
        <v>2020's first large-scale rain and snow</v>
      </c>
      <c r="D397" s="5" t="s">
        <v>719</v>
      </c>
      <c r="E397" s="4">
        <v>75392</v>
      </c>
    </row>
    <row r="398" spans="1:5" ht="13.5" hidden="1" customHeight="1">
      <c r="A398" s="4" t="s">
        <v>936</v>
      </c>
      <c r="B398" s="4" t="s">
        <v>937</v>
      </c>
      <c r="C398" s="4" t="str">
        <f ca="1">IFERROR(__xludf.DUMMYFUNCTION("GOOGLETRANSLATE(D:D,""auto"",""en"")"),"Love beans out pink-collar men should aid")</f>
        <v>Love beans out pink-collar men should aid</v>
      </c>
      <c r="D398" s="5" t="s">
        <v>938</v>
      </c>
      <c r="E398" s="4">
        <v>74990</v>
      </c>
    </row>
    <row r="399" spans="1:5" ht="13.5" hidden="1" customHeight="1">
      <c r="A399" s="4" t="s">
        <v>933</v>
      </c>
      <c r="B399" s="4" t="s">
        <v>939</v>
      </c>
      <c r="C399" s="4" t="str">
        <f ca="1">IFERROR(__xludf.DUMMYFUNCTION("GOOGLETRANSLATE(D:D,""auto"",""en"")"),"Tsinghua robots are beginning to set up the band")</f>
        <v>Tsinghua robots are beginning to set up the band</v>
      </c>
      <c r="D399" s="5" t="s">
        <v>940</v>
      </c>
      <c r="E399" s="4">
        <v>74642</v>
      </c>
    </row>
    <row r="400" spans="1:5" ht="13.5" hidden="1" customHeight="1">
      <c r="C400" s="4" t="str">
        <f ca="1">IFERROR(__xludf.DUMMYFUNCTION("GOOGLETRANSLATE(D:D,""auto"",""en"")"),"#VALUE!")</f>
        <v>#VALUE!</v>
      </c>
    </row>
    <row r="401" spans="1:5" ht="13.5" hidden="1" customHeight="1">
      <c r="A401" s="4" t="s">
        <v>941</v>
      </c>
      <c r="B401" s="4" t="s">
        <v>942</v>
      </c>
      <c r="C401" s="4" t="str">
        <f ca="1">IFERROR(__xludf.DUMMYFUNCTION("GOOGLETRANSLATE(D:D,""auto"",""en"")"),"Fu Seoul hate me you put down yet")</f>
        <v>Fu Seoul hate me you put down yet</v>
      </c>
      <c r="D401" s="4" t="s">
        <v>943</v>
      </c>
      <c r="E401" s="4">
        <v>2699011</v>
      </c>
    </row>
    <row r="402" spans="1:5" ht="13.5" hidden="1" customHeight="1">
      <c r="A402" s="4" t="s">
        <v>944</v>
      </c>
      <c r="B402" s="4" t="s">
        <v>945</v>
      </c>
      <c r="C402" s="4" t="str">
        <f ca="1">IFERROR(__xludf.DUMMYFUNCTION("GOOGLETRANSLATE(D:D,""auto"",""en"")"),"Chongqing Bang Bang to carry the goods to carry out a suite")</f>
        <v>Chongqing Bang Bang to carry the goods to carry out a suite</v>
      </c>
      <c r="D402" s="5" t="s">
        <v>946</v>
      </c>
      <c r="E402" s="4">
        <v>1609763</v>
      </c>
    </row>
    <row r="403" spans="1:5" ht="13.5" hidden="1" customHeight="1">
      <c r="A403" s="4" t="s">
        <v>947</v>
      </c>
      <c r="B403" s="4" t="s">
        <v>948</v>
      </c>
      <c r="C403" s="4" t="str">
        <f ca="1">IFERROR(__xludf.DUMMYFUNCTION("GOOGLETRANSLATE(D:D,""auto"",""en"")"),"Li Shamin child performance")</f>
        <v>Li Shamin child performance</v>
      </c>
      <c r="D403" s="5" t="s">
        <v>949</v>
      </c>
      <c r="E403" s="4">
        <v>1478810</v>
      </c>
    </row>
    <row r="404" spans="1:5" ht="13.5" hidden="1" customHeight="1">
      <c r="A404" s="4" t="s">
        <v>950</v>
      </c>
      <c r="B404" s="4" t="s">
        <v>951</v>
      </c>
      <c r="C404" s="4" t="str">
        <f ca="1">IFERROR(__xludf.DUMMYFUNCTION("GOOGLETRANSLATE(D:D,""auto"",""en"")"),"Dubbing Suda Jiang Jia Nailiang")</f>
        <v>Dubbing Suda Jiang Jia Nailiang</v>
      </c>
      <c r="D404" s="5" t="s">
        <v>952</v>
      </c>
      <c r="E404" s="4">
        <v>1416852</v>
      </c>
    </row>
    <row r="405" spans="1:5" ht="13.5" hidden="1" customHeight="1">
      <c r="A405" s="4" t="s">
        <v>953</v>
      </c>
      <c r="B405" s="4" t="s">
        <v>954</v>
      </c>
      <c r="C405" s="4" t="str">
        <f ca="1">IFERROR(__xludf.DUMMYFUNCTION("GOOGLETRANSLATE(D:D,""auto"",""en"")"),"Zhao Liying Tucao fans fart rainbows")</f>
        <v>Zhao Liying Tucao fans fart rainbows</v>
      </c>
      <c r="D405" s="5" t="s">
        <v>955</v>
      </c>
      <c r="E405" s="4">
        <v>1297617</v>
      </c>
    </row>
    <row r="406" spans="1:5" ht="13.5" hidden="1" customHeight="1">
      <c r="A406" s="4" t="s">
        <v>956</v>
      </c>
      <c r="B406" s="4" t="s">
        <v>957</v>
      </c>
      <c r="C406" s="4" t="str">
        <f ca="1">IFERROR(__xludf.DUMMYFUNCTION("GOOGLETRANSLATE(D:D,""auto"",""en"")"),"A brother syrup vs dragon")</f>
        <v>A brother syrup vs dragon</v>
      </c>
      <c r="D406" s="5" t="s">
        <v>958</v>
      </c>
      <c r="E406" s="4">
        <v>952526</v>
      </c>
    </row>
    <row r="407" spans="1:5" ht="13.5" hidden="1" customHeight="1">
      <c r="A407" s="4" t="s">
        <v>959</v>
      </c>
      <c r="B407" s="4" t="s">
        <v>960</v>
      </c>
      <c r="C407" s="4" t="str">
        <f ca="1">IFERROR(__xludf.DUMMYFUNCTION("GOOGLETRANSLATE(D:D,""auto"",""en"")"),"Under Jinyi")</f>
        <v>Under Jinyi</v>
      </c>
      <c r="D407" s="5" t="s">
        <v>961</v>
      </c>
      <c r="E407" s="4">
        <v>768100</v>
      </c>
    </row>
    <row r="408" spans="1:5" ht="13.5" hidden="1" customHeight="1">
      <c r="A408" s="4" t="s">
        <v>962</v>
      </c>
      <c r="B408" s="4" t="s">
        <v>963</v>
      </c>
      <c r="C408" s="4" t="str">
        <f ca="1">IFERROR(__xludf.DUMMYFUNCTION("GOOGLETRANSLATE(D:D,""auto"",""en"")"),"Hong Kong Lantau nearby fishing boat sinking")</f>
        <v>Hong Kong Lantau nearby fishing boat sinking</v>
      </c>
      <c r="D408" s="5" t="s">
        <v>964</v>
      </c>
      <c r="E408" s="4">
        <v>536274</v>
      </c>
    </row>
    <row r="409" spans="1:5" ht="13.5" hidden="1" customHeight="1">
      <c r="A409" s="4" t="s">
        <v>965</v>
      </c>
      <c r="B409" s="4" t="s">
        <v>966</v>
      </c>
      <c r="C409" s="4" t="str">
        <f ca="1">IFERROR(__xludf.DUMMYFUNCTION("GOOGLETRANSLATE(D:D,""auto"",""en"")"),"Major US military attack on Iran was the picture")</f>
        <v>Major US military attack on Iran was the picture</v>
      </c>
      <c r="D409" s="5" t="s">
        <v>967</v>
      </c>
      <c r="E409" s="4">
        <v>529376</v>
      </c>
    </row>
    <row r="410" spans="1:5" ht="13.5" hidden="1" customHeight="1">
      <c r="A410" s="4" t="s">
        <v>968</v>
      </c>
      <c r="B410" s="4" t="s">
        <v>969</v>
      </c>
      <c r="C410" s="4" t="str">
        <f ca="1">IFERROR(__xludf.DUMMYFUNCTION("GOOGLETRANSLATE(D:D,""auto"",""en"")"),"Lee July")</f>
        <v>Lee July</v>
      </c>
      <c r="D410" s="5" t="s">
        <v>970</v>
      </c>
      <c r="E410" s="4">
        <v>529349</v>
      </c>
    </row>
    <row r="411" spans="1:5" ht="13.5" hidden="1" customHeight="1">
      <c r="A411" s="4" t="s">
        <v>971</v>
      </c>
      <c r="B411" s="4" t="s">
        <v>972</v>
      </c>
      <c r="C411" s="4" t="str">
        <f ca="1">IFERROR(__xludf.DUMMYFUNCTION("GOOGLETRANSLATE(D:D,""auto"",""en"")"),"Xiao Cheng Du Haitao imitate Smith")</f>
        <v>Xiao Cheng Du Haitao imitate Smith</v>
      </c>
      <c r="D411" s="5" t="s">
        <v>973</v>
      </c>
      <c r="E411" s="4">
        <v>529345</v>
      </c>
    </row>
    <row r="412" spans="1:5" ht="13.5" hidden="1" customHeight="1">
      <c r="A412" s="4" t="s">
        <v>974</v>
      </c>
      <c r="B412" s="4" t="s">
        <v>975</v>
      </c>
      <c r="C412" s="4" t="str">
        <f ca="1">IFERROR(__xludf.DUMMYFUNCTION("GOOGLETRANSLATE(D:D,""auto"",""en"")"),"Sound clinical environment")</f>
        <v>Sound clinical environment</v>
      </c>
      <c r="D412" s="5" t="s">
        <v>976</v>
      </c>
      <c r="E412" s="4">
        <v>529302</v>
      </c>
    </row>
    <row r="413" spans="1:5" ht="13.5" hidden="1" customHeight="1">
      <c r="A413" s="4" t="s">
        <v>977</v>
      </c>
      <c r="B413" s="4" t="s">
        <v>972</v>
      </c>
      <c r="C413" s="4" t="str">
        <f ca="1">IFERROR(__xludf.DUMMYFUNCTION("GOOGLETRANSLATE(D:D,""auto"",""en"")"),"Dynasty sword finale")</f>
        <v>Dynasty sword finale</v>
      </c>
      <c r="D413" s="5" t="s">
        <v>978</v>
      </c>
      <c r="E413" s="4">
        <v>400290</v>
      </c>
    </row>
    <row r="414" spans="1:5" ht="13.5" hidden="1" customHeight="1">
      <c r="A414" s="4" t="s">
        <v>979</v>
      </c>
      <c r="B414" s="4" t="s">
        <v>980</v>
      </c>
      <c r="C414" s="4" t="str">
        <f ca="1">IFERROR(__xludf.DUMMYFUNCTION("GOOGLETRANSLATE(D:D,""auto"",""en"")"),"The central bank strictly controls the illegal access to personal credit information")</f>
        <v>The central bank strictly controls the illegal access to personal credit information</v>
      </c>
      <c r="D414" s="5" t="s">
        <v>981</v>
      </c>
      <c r="E414" s="4">
        <v>396140</v>
      </c>
    </row>
    <row r="415" spans="1:5" ht="13.5" hidden="1" customHeight="1">
      <c r="A415" s="4" t="s">
        <v>982</v>
      </c>
      <c r="B415" s="4" t="s">
        <v>983</v>
      </c>
      <c r="C415" s="4" t="str">
        <f ca="1">IFERROR(__xludf.DUMMYFUNCTION("GOOGLETRANSLATE(D:D,""auto"",""en"")"),"Potala Palace after snow")</f>
        <v>Potala Palace after snow</v>
      </c>
      <c r="D415" s="5" t="s">
        <v>984</v>
      </c>
      <c r="E415" s="4">
        <v>389236</v>
      </c>
    </row>
    <row r="416" spans="1:5" ht="13.5" hidden="1" customHeight="1">
      <c r="A416" s="4" t="s">
        <v>985</v>
      </c>
      <c r="B416" s="4" t="s">
        <v>986</v>
      </c>
      <c r="C416" s="4" t="str">
        <f ca="1">IFERROR(__xludf.DUMMYFUNCTION("GOOGLETRANSLATE(D:D,""auto"",""en"")"),"Yu Shuxin")</f>
        <v>Yu Shuxin</v>
      </c>
      <c r="D416" s="5" t="s">
        <v>987</v>
      </c>
      <c r="E416" s="4">
        <v>384110</v>
      </c>
    </row>
    <row r="417" spans="1:5" ht="13.5" hidden="1" customHeight="1">
      <c r="A417" s="4" t="s">
        <v>988</v>
      </c>
      <c r="B417" s="4" t="s">
        <v>989</v>
      </c>
      <c r="C417" s="4" t="str">
        <f ca="1">IFERROR(__xludf.DUMMYFUNCTION("GOOGLETRANSLATE(D:D,""auto"",""en"")"),"Bing Gege was scared of driving test")</f>
        <v>Bing Gege was scared of driving test</v>
      </c>
      <c r="D417" s="5" t="s">
        <v>990</v>
      </c>
      <c r="E417" s="4">
        <v>379036</v>
      </c>
    </row>
    <row r="418" spans="1:5" ht="13.5" hidden="1" customHeight="1">
      <c r="A418" s="4" t="s">
        <v>991</v>
      </c>
      <c r="B418" s="4" t="s">
        <v>992</v>
      </c>
      <c r="C418" s="4" t="str">
        <f ca="1">IFERROR(__xludf.DUMMYFUNCTION("GOOGLETRANSLATE(D:D,""auto"",""en"")"),"Heard very crooked word Three Views")</f>
        <v>Heard very crooked word Three Views</v>
      </c>
      <c r="D418" s="5" t="s">
        <v>993</v>
      </c>
      <c r="E418" s="4">
        <v>368210</v>
      </c>
    </row>
    <row r="419" spans="1:5" ht="13.5" hidden="1" customHeight="1">
      <c r="A419" s="4" t="s">
        <v>994</v>
      </c>
      <c r="B419" s="4" t="s">
        <v>954</v>
      </c>
      <c r="C419" s="4" t="str">
        <f ca="1">IFERROR(__xludf.DUMMYFUNCTION("GOOGLETRANSLATE(D:D,""auto"",""en"")"),"Recruitment for the freshman daughter mother nanny")</f>
        <v>Recruitment for the freshman daughter mother nanny</v>
      </c>
      <c r="D419" s="5" t="s">
        <v>995</v>
      </c>
      <c r="E419" s="4">
        <v>368016</v>
      </c>
    </row>
    <row r="420" spans="1:5" ht="13.5" hidden="1" customHeight="1">
      <c r="A420" s="4" t="s">
        <v>996</v>
      </c>
      <c r="B420" s="4" t="s">
        <v>997</v>
      </c>
      <c r="C420" s="4" t="str">
        <f ca="1">IFERROR(__xludf.DUMMYFUNCTION("GOOGLETRANSLATE(D:D,""auto"",""en"")"),"Australia wildfire out of control")</f>
        <v>Australia wildfire out of control</v>
      </c>
      <c r="D420" s="5" t="s">
        <v>998</v>
      </c>
      <c r="E420" s="4">
        <v>359582</v>
      </c>
    </row>
    <row r="421" spans="1:5" ht="13.5" hidden="1" customHeight="1">
      <c r="A421" s="4" t="s">
        <v>999</v>
      </c>
      <c r="B421" s="4" t="s">
        <v>1000</v>
      </c>
      <c r="C421" s="4" t="str">
        <f ca="1">IFERROR(__xludf.DUMMYFUNCTION("GOOGLETRANSLATE(D:D,""auto"",""en"")"),"Pombo according to Tucao hot rolling")</f>
        <v>Pombo according to Tucao hot rolling</v>
      </c>
      <c r="D421" s="5" t="s">
        <v>1001</v>
      </c>
      <c r="E421" s="4">
        <v>358796</v>
      </c>
    </row>
    <row r="422" spans="1:5" ht="13.5" hidden="1" customHeight="1">
      <c r="A422" s="4" t="s">
        <v>1002</v>
      </c>
      <c r="B422" s="4" t="s">
        <v>1003</v>
      </c>
      <c r="C422" s="4" t="str">
        <f ca="1">IFERROR(__xludf.DUMMYFUNCTION("GOOGLETRANSLATE(D:D,""auto"",""en"")"),"American and Iran")</f>
        <v>American and Iran</v>
      </c>
      <c r="D422" s="5" t="s">
        <v>1004</v>
      </c>
      <c r="E422" s="4">
        <v>349145</v>
      </c>
    </row>
    <row r="423" spans="1:5" ht="13.5" hidden="1" customHeight="1">
      <c r="A423" s="4" t="s">
        <v>953</v>
      </c>
      <c r="B423" s="4" t="s">
        <v>1005</v>
      </c>
      <c r="C423" s="4" t="str">
        <f ca="1">IFERROR(__xludf.DUMMYFUNCTION("GOOGLETRANSLATE(D:D,""auto"",""en"")"),"What is the harbinger of a couple breaking up")</f>
        <v>What is the harbinger of a couple breaking up</v>
      </c>
      <c r="D423" s="5" t="s">
        <v>1006</v>
      </c>
      <c r="E423" s="4">
        <v>314933</v>
      </c>
    </row>
    <row r="424" spans="1:5" ht="13.5" hidden="1" customHeight="1">
      <c r="A424" s="4" t="s">
        <v>1007</v>
      </c>
      <c r="B424" s="4" t="s">
        <v>916</v>
      </c>
      <c r="C424" s="4" t="str">
        <f ca="1">IFERROR(__xludf.DUMMYFUNCTION("GOOGLETRANSLATE(D:D,""auto"",""en"")"),"Girls of how long it takes full makeup")</f>
        <v>Girls of how long it takes full makeup</v>
      </c>
      <c r="D424" s="5" t="s">
        <v>1008</v>
      </c>
      <c r="E424" s="4">
        <v>279398</v>
      </c>
    </row>
    <row r="425" spans="1:5" ht="13.5" hidden="1" customHeight="1">
      <c r="A425" s="4" t="s">
        <v>953</v>
      </c>
      <c r="B425" s="4" t="s">
        <v>1009</v>
      </c>
      <c r="C425" s="4" t="str">
        <f ca="1">IFERROR(__xludf.DUMMYFUNCTION("GOOGLETRANSLATE(D:D,""auto"",""en"")"),"What is the longer the good-looking experience")</f>
        <v>What is the longer the good-looking experience</v>
      </c>
      <c r="D425" s="5" t="s">
        <v>1010</v>
      </c>
      <c r="E425" s="4">
        <v>271602</v>
      </c>
    </row>
    <row r="426" spans="1:5" ht="13.5" hidden="1" customHeight="1">
      <c r="A426" s="4" t="s">
        <v>1011</v>
      </c>
      <c r="B426" s="4" t="s">
        <v>1012</v>
      </c>
      <c r="C426" s="4" t="str">
        <f ca="1">IFERROR(__xludf.DUMMYFUNCTION("GOOGLETRANSLATE(D:D,""auto"",""en"")"),"Farewell My Concubine Yu Hao Ming Hu Jun")</f>
        <v>Farewell My Concubine Yu Hao Ming Hu Jun</v>
      </c>
      <c r="D426" s="5" t="s">
        <v>1013</v>
      </c>
      <c r="E426" s="4">
        <v>267184</v>
      </c>
    </row>
    <row r="427" spans="1:5" ht="13.5" hidden="1" customHeight="1">
      <c r="A427" s="4" t="s">
        <v>1014</v>
      </c>
      <c r="B427" s="4" t="s">
        <v>1015</v>
      </c>
      <c r="C427" s="4" t="str">
        <f ca="1">IFERROR(__xludf.DUMMYFUNCTION("GOOGLETRANSLATE(D:D,""auto"",""en"")"),"Ren Jialun nose-rubbing kill")</f>
        <v>Ren Jialun nose-rubbing kill</v>
      </c>
      <c r="D427" s="5" t="s">
        <v>1016</v>
      </c>
      <c r="E427" s="4">
        <v>263317</v>
      </c>
    </row>
    <row r="428" spans="1:5" ht="13.5" hidden="1" customHeight="1">
      <c r="A428" s="4" t="s">
        <v>1017</v>
      </c>
      <c r="B428" s="4" t="s">
        <v>1018</v>
      </c>
      <c r="C428" s="4" t="str">
        <f ca="1">IFERROR(__xludf.DUMMYFUNCTION("GOOGLETRANSLATE(D:D,""auto"",""en"")"),"Lisa under the domestic scene")</f>
        <v>Lisa under the domestic scene</v>
      </c>
      <c r="D428" s="5" t="s">
        <v>1019</v>
      </c>
      <c r="E428" s="4">
        <v>257670</v>
      </c>
    </row>
    <row r="429" spans="1:5" ht="13.5" hidden="1" customHeight="1">
      <c r="A429" s="4" t="s">
        <v>1020</v>
      </c>
      <c r="B429" s="4" t="s">
        <v>1021</v>
      </c>
      <c r="C429" s="4" t="str">
        <f ca="1">IFERROR(__xludf.DUMMYFUNCTION("GOOGLETRANSLATE(D:D,""auto"",""en"")"),"Showed reporters outside the lens of Western Xinjiang")</f>
        <v>Showed reporters outside the lens of Western Xinjiang</v>
      </c>
      <c r="D429" s="5" t="s">
        <v>1022</v>
      </c>
      <c r="E429" s="4">
        <v>250804</v>
      </c>
    </row>
    <row r="430" spans="1:5" ht="13.5" hidden="1" customHeight="1">
      <c r="A430" s="4" t="s">
        <v>1023</v>
      </c>
      <c r="B430" s="4" t="s">
        <v>1024</v>
      </c>
      <c r="C430" s="4" t="str">
        <f ca="1">IFERROR(__xludf.DUMMYFUNCTION("GOOGLETRANSLATE(D:D,""auto"",""en"")"),"Leadership was urging people to drink alcohol poisoning caused death")</f>
        <v>Leadership was urging people to drink alcohol poisoning caused death</v>
      </c>
      <c r="D430" s="5" t="s">
        <v>1025</v>
      </c>
      <c r="E430" s="4">
        <v>246332</v>
      </c>
    </row>
    <row r="431" spans="1:5" ht="13.5" hidden="1" customHeight="1">
      <c r="A431" s="4" t="s">
        <v>953</v>
      </c>
      <c r="B431" s="4" t="s">
        <v>1026</v>
      </c>
      <c r="C431" s="4" t="str">
        <f ca="1">IFERROR(__xludf.DUMMYFUNCTION("GOOGLETRANSLATE(D:D,""auto"",""en"")"),"Xiaozhan cat hair loss")</f>
        <v>Xiaozhan cat hair loss</v>
      </c>
      <c r="D431" s="5" t="s">
        <v>1027</v>
      </c>
      <c r="E431" s="4">
        <v>239543</v>
      </c>
    </row>
    <row r="432" spans="1:5" ht="13.5" hidden="1" customHeight="1">
      <c r="A432" s="4" t="s">
        <v>570</v>
      </c>
      <c r="B432" s="4" t="s">
        <v>571</v>
      </c>
      <c r="C432" s="4" t="str">
        <f ca="1">IFERROR(__xludf.DUMMYFUNCTION("GOOGLETRANSLATE(D:D,""auto"",""en"")"),"Wonderful say")</f>
        <v>Wonderful say</v>
      </c>
      <c r="D432" s="5" t="s">
        <v>572</v>
      </c>
      <c r="E432" s="4">
        <v>227950</v>
      </c>
    </row>
    <row r="433" spans="1:5" ht="13.5" hidden="1" customHeight="1">
      <c r="A433" s="4" t="s">
        <v>1028</v>
      </c>
      <c r="B433" s="4" t="s">
        <v>992</v>
      </c>
      <c r="C433" s="4" t="str">
        <f ca="1">IFERROR(__xludf.DUMMYFUNCTION("GOOGLETRANSLATE(D:D,""auto"",""en"")"),"Evenly matched love how sweet")</f>
        <v>Evenly matched love how sweet</v>
      </c>
      <c r="D433" s="5" t="s">
        <v>1029</v>
      </c>
      <c r="E433" s="4">
        <v>221551</v>
      </c>
    </row>
    <row r="434" spans="1:5" ht="13.5" hidden="1" customHeight="1">
      <c r="A434" s="4" t="s">
        <v>1030</v>
      </c>
      <c r="B434" s="4" t="s">
        <v>1031</v>
      </c>
      <c r="C434" s="4" t="str">
        <f ca="1">IFERROR(__xludf.DUMMYFUNCTION("GOOGLETRANSLATE(D:D,""auto"",""en"")"),"Sulejmani's funeral was held in Baghdad")</f>
        <v>Sulejmani's funeral was held in Baghdad</v>
      </c>
      <c r="D434" s="5" t="s">
        <v>1032</v>
      </c>
      <c r="E434" s="4">
        <v>208533</v>
      </c>
    </row>
    <row r="435" spans="1:5" ht="13.5" hidden="1" customHeight="1">
      <c r="A435" s="4" t="s">
        <v>1033</v>
      </c>
      <c r="B435" s="4" t="s">
        <v>1034</v>
      </c>
      <c r="C435" s="4" t="str">
        <f ca="1">IFERROR(__xludf.DUMMYFUNCTION("GOOGLETRANSLATE(D:D,""auto"",""en"")"),"6 slip late winter feeding station invention artifact milk")</f>
        <v>6 slip late winter feeding station invention artifact milk</v>
      </c>
      <c r="D435" s="5" t="s">
        <v>1035</v>
      </c>
      <c r="E435" s="4">
        <v>205643</v>
      </c>
    </row>
    <row r="436" spans="1:5" ht="13.5" hidden="1" customHeight="1">
      <c r="A436" s="4" t="s">
        <v>1036</v>
      </c>
      <c r="B436" s="4" t="s">
        <v>963</v>
      </c>
      <c r="C436" s="4" t="str">
        <f ca="1">IFERROR(__xludf.DUMMYFUNCTION("GOOGLETRANSLATE(D:D,""auto"",""en"")"),"Liu Hao Ran analytical skills")</f>
        <v>Liu Hao Ran analytical skills</v>
      </c>
      <c r="D436" s="5" t="s">
        <v>1037</v>
      </c>
      <c r="E436" s="4">
        <v>198056</v>
      </c>
    </row>
    <row r="437" spans="1:5" ht="13.5" hidden="1" customHeight="1">
      <c r="A437" s="4" t="s">
        <v>1038</v>
      </c>
      <c r="B437" s="4" t="s">
        <v>951</v>
      </c>
      <c r="C437" s="4" t="str">
        <f ca="1">IFERROR(__xludf.DUMMYFUNCTION("GOOGLETRANSLATE(D:D,""auto"",""en"")"),"Ronghao Foshan Pinyin")</f>
        <v>Ronghao Foshan Pinyin</v>
      </c>
      <c r="D437" s="5" t="s">
        <v>1039</v>
      </c>
      <c r="E437" s="4">
        <v>194824</v>
      </c>
    </row>
    <row r="438" spans="1:5" ht="13.5" hidden="1" customHeight="1">
      <c r="A438" s="4" t="s">
        <v>1040</v>
      </c>
      <c r="B438" s="4" t="s">
        <v>1041</v>
      </c>
      <c r="C438" s="4" t="str">
        <f ca="1">IFERROR(__xludf.DUMMYFUNCTION("GOOGLETRANSLATE(D:D,""auto"",""en"")"),"Host competition")</f>
        <v>Host competition</v>
      </c>
      <c r="D438" s="5" t="s">
        <v>1042</v>
      </c>
      <c r="E438" s="4">
        <v>177917</v>
      </c>
    </row>
    <row r="439" spans="1:5" ht="13.5" hidden="1" customHeight="1">
      <c r="A439" s="4" t="s">
        <v>1043</v>
      </c>
      <c r="B439" s="4" t="s">
        <v>1044</v>
      </c>
      <c r="C439" s="4" t="str">
        <f ca="1">IFERROR(__xludf.DUMMYFUNCTION("GOOGLETRANSLATE(D:D,""auto"",""en"")"),"Chinatown Holmes network drama")</f>
        <v>Chinatown Holmes network drama</v>
      </c>
      <c r="D439" s="5" t="s">
        <v>1045</v>
      </c>
      <c r="E439" s="4">
        <v>171754</v>
      </c>
    </row>
    <row r="440" spans="1:5" ht="13.5" hidden="1" customHeight="1">
      <c r="A440" s="4" t="s">
        <v>1043</v>
      </c>
      <c r="B440" s="4" t="s">
        <v>1046</v>
      </c>
      <c r="C440" s="4" t="str">
        <f ca="1">IFERROR(__xludf.DUMMYFUNCTION("GOOGLETRANSLATE(D:D,""auto"",""en"")"),"You will not mind the other half shorter than you do")</f>
        <v>You will not mind the other half shorter than you do</v>
      </c>
      <c r="D440" s="5" t="s">
        <v>1047</v>
      </c>
      <c r="E440" s="4">
        <v>168873</v>
      </c>
    </row>
    <row r="441" spans="1:5" ht="13.5" hidden="1" customHeight="1">
      <c r="A441" s="4" t="s">
        <v>1048</v>
      </c>
      <c r="B441" s="4" t="s">
        <v>1049</v>
      </c>
      <c r="C441" s="4" t="str">
        <f ca="1">IFERROR(__xludf.DUMMYFUNCTION("GOOGLETRANSLATE(D:D,""auto"",""en"")"),"Dong and Wang Hailin Lin Tucao")</f>
        <v>Dong and Wang Hailin Lin Tucao</v>
      </c>
      <c r="D441" s="5" t="s">
        <v>1050</v>
      </c>
      <c r="E441" s="4">
        <v>163969</v>
      </c>
    </row>
    <row r="442" spans="1:5" ht="13.5" hidden="1" customHeight="1">
      <c r="A442" s="4" t="s">
        <v>1051</v>
      </c>
      <c r="B442" s="4" t="s">
        <v>1052</v>
      </c>
      <c r="C442" s="4" t="str">
        <f ca="1">IFERROR(__xludf.DUMMYFUNCTION("GOOGLETRANSLATE(D:D,""auto"",""en"")"),"William Chan wax play scared mom")</f>
        <v>William Chan wax play scared mom</v>
      </c>
      <c r="D442" s="5" t="s">
        <v>1053</v>
      </c>
      <c r="E442" s="4">
        <v>161965</v>
      </c>
    </row>
    <row r="443" spans="1:5" ht="13.5" hidden="1" customHeight="1">
      <c r="A443" s="4" t="s">
        <v>1054</v>
      </c>
      <c r="B443" s="4" t="s">
        <v>1055</v>
      </c>
      <c r="C443" s="4" t="str">
        <f ca="1">IFERROR(__xludf.DUMMYFUNCTION("GOOGLETRANSLATE(D:D,""auto"",""en"")"),"Cam to send Zhang Shaogang Nang")</f>
        <v>Cam to send Zhang Shaogang Nang</v>
      </c>
      <c r="D443" s="5" t="s">
        <v>1056</v>
      </c>
      <c r="E443" s="4">
        <v>157570</v>
      </c>
    </row>
    <row r="444" spans="1:5" ht="13.5" hidden="1" customHeight="1">
      <c r="A444" s="4" t="s">
        <v>1048</v>
      </c>
      <c r="B444" s="4" t="s">
        <v>1057</v>
      </c>
      <c r="C444" s="4" t="str">
        <f ca="1">IFERROR(__xludf.DUMMYFUNCTION("GOOGLETRANSLATE(D:D,""auto"",""en"")"),"The best food is what stuffing dumplings")</f>
        <v>The best food is what stuffing dumplings</v>
      </c>
      <c r="D444" s="5" t="s">
        <v>1058</v>
      </c>
      <c r="E444" s="4">
        <v>152354</v>
      </c>
    </row>
    <row r="445" spans="1:5" ht="13.5" hidden="1" customHeight="1">
      <c r="A445" s="4" t="s">
        <v>1059</v>
      </c>
      <c r="B445" s="4" t="s">
        <v>972</v>
      </c>
      <c r="C445" s="4" t="str">
        <f ca="1">IFERROR(__xludf.DUMMYFUNCTION("GOOGLETRANSLATE(D:D,""auto"",""en"")"),"You Are the One tenth anniversary")</f>
        <v>You Are the One tenth anniversary</v>
      </c>
      <c r="D445" s="5" t="s">
        <v>1060</v>
      </c>
      <c r="E445" s="4">
        <v>134835</v>
      </c>
    </row>
    <row r="446" spans="1:5" ht="13.5" hidden="1" customHeight="1">
      <c r="A446" s="4" t="s">
        <v>1061</v>
      </c>
      <c r="B446" s="4" t="s">
        <v>908</v>
      </c>
      <c r="C446" s="4" t="str">
        <f ca="1">IFERROR(__xludf.DUMMYFUNCTION("GOOGLETRANSLATE(D:D,""auto"",""en"")"),"Should couples living together renting AA")</f>
        <v>Should couples living together renting AA</v>
      </c>
      <c r="D446" s="5" t="s">
        <v>1062</v>
      </c>
      <c r="E446" s="4">
        <v>131849</v>
      </c>
    </row>
    <row r="447" spans="1:5" ht="13.5" hidden="1" customHeight="1">
      <c r="A447" s="4" t="s">
        <v>1063</v>
      </c>
      <c r="B447" s="4" t="s">
        <v>855</v>
      </c>
      <c r="C447" s="4" t="str">
        <f ca="1">IFERROR(__xludf.DUMMYFUNCTION("GOOGLETRANSLATE(D:D,""auto"",""en"")"),"Indonesia, the world's largest flower found")</f>
        <v>Indonesia, the world's largest flower found</v>
      </c>
      <c r="D447" s="5" t="s">
        <v>1064</v>
      </c>
      <c r="E447" s="4">
        <v>130680</v>
      </c>
    </row>
    <row r="448" spans="1:5" ht="13.5" hidden="1" customHeight="1">
      <c r="A448" s="4" t="s">
        <v>1065</v>
      </c>
      <c r="B448" s="4" t="s">
        <v>916</v>
      </c>
      <c r="C448" s="4" t="str">
        <f ca="1">IFERROR(__xludf.DUMMYFUNCTION("GOOGLETRANSLATE(D:D,""auto"",""en"")"),"80,000 pounds of fish fishing Lake Joy")</f>
        <v>80,000 pounds of fish fishing Lake Joy</v>
      </c>
      <c r="D448" s="5" t="s">
        <v>1066</v>
      </c>
      <c r="E448" s="4">
        <v>128724</v>
      </c>
    </row>
    <row r="449" spans="1:6" ht="13.5" hidden="1" customHeight="1">
      <c r="A449" s="4" t="s">
        <v>1023</v>
      </c>
      <c r="B449" s="4" t="s">
        <v>1067</v>
      </c>
      <c r="C449" s="4" t="str">
        <f ca="1">IFERROR(__xludf.DUMMYFUNCTION("GOOGLETRANSLATE(D:D,""auto"",""en"")"),"How to treat adult giant baby")</f>
        <v>How to treat adult giant baby</v>
      </c>
      <c r="D449" s="5" t="s">
        <v>1068</v>
      </c>
      <c r="E449" s="4">
        <v>126522</v>
      </c>
    </row>
    <row r="450" spans="1:6" ht="13.5" hidden="1" customHeight="1">
      <c r="A450" s="4" t="s">
        <v>1069</v>
      </c>
      <c r="B450" s="4" t="s">
        <v>1070</v>
      </c>
      <c r="C450" s="4" t="str">
        <f ca="1">IFERROR(__xludf.DUMMYFUNCTION("GOOGLETRANSLATE(D:D,""auto"",""en"")"),"HPV vaccine")</f>
        <v>HPV vaccine</v>
      </c>
      <c r="D450" s="5" t="s">
        <v>1071</v>
      </c>
      <c r="E450" s="4">
        <v>65540</v>
      </c>
      <c r="F450">
        <v>0</v>
      </c>
    </row>
    <row r="451" spans="1:6" ht="13.5" hidden="1" customHeight="1">
      <c r="C451" s="4" t="str">
        <f ca="1">IFERROR(__xludf.DUMMYFUNCTION("GOOGLETRANSLATE(D:D,""auto"",""en"")"),"#VALUE!")</f>
        <v>#VALUE!</v>
      </c>
    </row>
    <row r="452" spans="1:6" ht="13.5" hidden="1" customHeight="1">
      <c r="A452" s="4" t="s">
        <v>1072</v>
      </c>
      <c r="B452" s="4" t="s">
        <v>1073</v>
      </c>
      <c r="C452" s="4" t="str">
        <f ca="1">IFERROR(__xludf.DUMMYFUNCTION("GOOGLETRANSLATE(D:D,""auto"",""en"")"),"Year of the Rat to be more than a month of classes on")</f>
        <v>Year of the Rat to be more than a month of classes on</v>
      </c>
      <c r="D452" s="4" t="s">
        <v>1074</v>
      </c>
      <c r="E452" s="4">
        <v>2768968</v>
      </c>
    </row>
    <row r="453" spans="1:6" ht="13.5" hidden="1" customHeight="1">
      <c r="A453" s="4" t="s">
        <v>1075</v>
      </c>
      <c r="B453" s="4" t="s">
        <v>1076</v>
      </c>
      <c r="C453" s="4" t="str">
        <f ca="1">IFERROR(__xludf.DUMMYFUNCTION("GOOGLETRANSLATE(D:D,""auto"",""en"")"),"Blizzard blue warning")</f>
        <v>Blizzard blue warning</v>
      </c>
      <c r="D453" s="5" t="s">
        <v>1077</v>
      </c>
      <c r="E453" s="4">
        <v>1782769</v>
      </c>
    </row>
    <row r="454" spans="1:6" ht="13.5" hidden="1" customHeight="1">
      <c r="A454" s="4" t="s">
        <v>1078</v>
      </c>
      <c r="B454" s="4" t="s">
        <v>1079</v>
      </c>
      <c r="C454" s="4" t="str">
        <f ca="1">IFERROR(__xludf.DUMMYFUNCTION("GOOGLETRANSLATE(D:D,""auto"",""en"")"),"Xia Yu Yuan Quan see magic")</f>
        <v>Xia Yu Yuan Quan see magic</v>
      </c>
      <c r="D454" s="5" t="s">
        <v>1080</v>
      </c>
      <c r="E454" s="4">
        <v>1228812</v>
      </c>
    </row>
    <row r="455" spans="1:6" ht="13.5" hidden="1" customHeight="1">
      <c r="A455" s="4" t="s">
        <v>1081</v>
      </c>
      <c r="B455" s="4" t="s">
        <v>1082</v>
      </c>
      <c r="C455" s="4" t="str">
        <f ca="1">IFERROR(__xludf.DUMMYFUNCTION("GOOGLETRANSLATE(D:D,""auto"",""en"")"),"In fact, this circle of friends can play")</f>
        <v>In fact, this circle of friends can play</v>
      </c>
      <c r="D455" s="5" t="s">
        <v>1083</v>
      </c>
      <c r="E455" s="4">
        <v>1157355</v>
      </c>
    </row>
    <row r="456" spans="1:6" ht="13.5" hidden="1" customHeight="1">
      <c r="A456" s="4" t="s">
        <v>1084</v>
      </c>
      <c r="B456" s="4" t="s">
        <v>1085</v>
      </c>
      <c r="C456" s="4" t="str">
        <f ca="1">IFERROR(__xludf.DUMMYFUNCTION("GOOGLETRANSLATE(D:D,""auto"",""en"")"),"Zheng Shuang Review")</f>
        <v>Zheng Shuang Review</v>
      </c>
      <c r="D456" s="5" t="s">
        <v>1086</v>
      </c>
      <c r="E456" s="4">
        <v>1067203</v>
      </c>
    </row>
    <row r="457" spans="1:6" ht="13.5" hidden="1" customHeight="1">
      <c r="A457" s="4" t="s">
        <v>1087</v>
      </c>
      <c r="B457" s="4" t="s">
        <v>1088</v>
      </c>
      <c r="C457" s="4" t="str">
        <f ca="1">IFERROR(__xludf.DUMMYFUNCTION("GOOGLETRANSLATE(D:D,""auto"",""en"")"),"Wang Yaoqing expression")</f>
        <v>Wang Yaoqing expression</v>
      </c>
      <c r="D457" s="5" t="s">
        <v>1089</v>
      </c>
      <c r="E457" s="4">
        <v>883082</v>
      </c>
    </row>
    <row r="458" spans="1:6" ht="13.5" hidden="1" customHeight="1">
      <c r="A458" s="4" t="s">
        <v>1090</v>
      </c>
      <c r="B458" s="4" t="s">
        <v>1073</v>
      </c>
      <c r="C458" s="4" t="str">
        <f ca="1">IFERROR(__xludf.DUMMYFUNCTION("GOOGLETRANSLATE(D:D,""auto"",""en"")"),"Chinese American engineer was robbed and killed")</f>
        <v>Chinese American engineer was robbed and killed</v>
      </c>
      <c r="D458" s="5" t="s">
        <v>1091</v>
      </c>
      <c r="E458" s="4">
        <v>754476</v>
      </c>
    </row>
    <row r="459" spans="1:6" ht="13.5" hidden="1" customHeight="1">
      <c r="A459" s="4" t="s">
        <v>1092</v>
      </c>
      <c r="B459" s="4" t="s">
        <v>1093</v>
      </c>
      <c r="C459" s="4" t="str">
        <f ca="1">IFERROR(__xludf.DUMMYFUNCTION("GOOGLETRANSLATE(D:D,""auto"",""en"")"),"Embassy reminded Chinese citizens in the United States pay attention to safety")</f>
        <v>Embassy reminded Chinese citizens in the United States pay attention to safety</v>
      </c>
      <c r="D459" s="5" t="s">
        <v>1094</v>
      </c>
      <c r="E459" s="4">
        <v>545489</v>
      </c>
    </row>
    <row r="460" spans="1:6" ht="13.5" hidden="1" customHeight="1">
      <c r="A460" s="4" t="s">
        <v>1095</v>
      </c>
      <c r="B460" s="4" t="s">
        <v>1048</v>
      </c>
      <c r="C460" s="4" t="str">
        <f ca="1">IFERROR(__xludf.DUMMYFUNCTION("GOOGLETRANSLATE(D:D,""auto"",""en"")"),"Wu Lei goals")</f>
        <v>Wu Lei goals</v>
      </c>
      <c r="D460" s="5" t="s">
        <v>1096</v>
      </c>
      <c r="E460" s="4">
        <v>424791</v>
      </c>
    </row>
    <row r="461" spans="1:6" ht="13.5" hidden="1" customHeight="1">
      <c r="A461" s="4" t="s">
        <v>1097</v>
      </c>
      <c r="B461" s="4" t="s">
        <v>1093</v>
      </c>
      <c r="C461" s="4" t="str">
        <f ca="1">IFERROR(__xludf.DUMMYFUNCTION("GOOGLETRANSLATE(D:D,""auto"",""en"")"),"Sudden discomfort passenger aircraft turned back")</f>
        <v>Sudden discomfort passenger aircraft turned back</v>
      </c>
      <c r="D461" s="5" t="s">
        <v>1098</v>
      </c>
      <c r="E461" s="4">
        <v>412203</v>
      </c>
    </row>
    <row r="462" spans="1:6" ht="13.5" hidden="1" customHeight="1">
      <c r="A462" s="4" t="s">
        <v>1099</v>
      </c>
      <c r="B462" s="4" t="s">
        <v>1100</v>
      </c>
      <c r="C462" s="4" t="str">
        <f ca="1">IFERROR(__xludf.DUMMYFUNCTION("GOOGLETRANSLATE(D:D,""auto"",""en"")"),"Adele lost")</f>
        <v>Adele lost</v>
      </c>
      <c r="D462" s="5" t="s">
        <v>1101</v>
      </c>
      <c r="E462" s="4">
        <v>402045</v>
      </c>
    </row>
    <row r="463" spans="1:6" ht="13.5" hidden="1" customHeight="1">
      <c r="A463" s="4" t="s">
        <v>1102</v>
      </c>
      <c r="B463" s="4" t="s">
        <v>1103</v>
      </c>
      <c r="C463" s="4" t="str">
        <f ca="1">IFERROR(__xludf.DUMMYFUNCTION("GOOGLETRANSLATE(D:D,""auto"",""en"")"),"US embassy in Iraq and nearby air base attacked")</f>
        <v>US embassy in Iraq and nearby air base attacked</v>
      </c>
      <c r="D463" s="5" t="s">
        <v>1104</v>
      </c>
      <c r="E463" s="4">
        <v>333783</v>
      </c>
    </row>
    <row r="464" spans="1:6" ht="13.5" hidden="1" customHeight="1">
      <c r="A464" s="4" t="s">
        <v>1105</v>
      </c>
      <c r="B464" s="4" t="s">
        <v>1106</v>
      </c>
      <c r="C464" s="4" t="str">
        <f ca="1">IFERROR(__xludf.DUMMYFUNCTION("GOOGLETRANSLATE(D:D,""auto"",""en"")"),"Carrefour hit the ball to Osman")</f>
        <v>Carrefour hit the ball to Osman</v>
      </c>
      <c r="D464" s="5" t="s">
        <v>1107</v>
      </c>
      <c r="E464" s="4">
        <v>326012</v>
      </c>
    </row>
    <row r="465" spans="1:5" ht="13.5" hidden="1" customHeight="1">
      <c r="A465" s="4" t="s">
        <v>1108</v>
      </c>
      <c r="B465" s="4" t="s">
        <v>1109</v>
      </c>
      <c r="C465" s="4" t="str">
        <f ca="1">IFERROR(__xludf.DUMMYFUNCTION("GOOGLETRANSLATE(D:D,""auto"",""en"")"),"Pet box office breaking 400 million")</f>
        <v>Pet box office breaking 400 million</v>
      </c>
      <c r="D465" s="5" t="s">
        <v>1110</v>
      </c>
      <c r="E465" s="4">
        <v>325767</v>
      </c>
    </row>
    <row r="466" spans="1:5" ht="13.5" hidden="1" customHeight="1">
      <c r="A466" s="4" t="s">
        <v>956</v>
      </c>
      <c r="B466" s="4" t="s">
        <v>957</v>
      </c>
      <c r="C466" s="4" t="str">
        <f ca="1">IFERROR(__xludf.DUMMYFUNCTION("GOOGLETRANSLATE(D:D,""auto"",""en"")"),"A brother syrup vs dragon")</f>
        <v>A brother syrup vs dragon</v>
      </c>
      <c r="D466" s="5" t="s">
        <v>958</v>
      </c>
      <c r="E466" s="4">
        <v>314400</v>
      </c>
    </row>
    <row r="467" spans="1:5" ht="13.5" hidden="1" customHeight="1">
      <c r="A467" s="4" t="s">
        <v>1111</v>
      </c>
      <c r="B467" s="4" t="s">
        <v>1112</v>
      </c>
      <c r="C467" s="4" t="str">
        <f ca="1">IFERROR(__xludf.DUMMYFUNCTION("GOOGLETRANSLATE(D:D,""auto"",""en"")"),"Minors stop sexual assault evidence collection")</f>
        <v>Minors stop sexual assault evidence collection</v>
      </c>
      <c r="D467" s="5" t="s">
        <v>1113</v>
      </c>
      <c r="E467" s="4">
        <v>308728</v>
      </c>
    </row>
    <row r="468" spans="1:5" ht="13.5" hidden="1" customHeight="1">
      <c r="A468" s="4" t="s">
        <v>1102</v>
      </c>
      <c r="B468" s="4" t="s">
        <v>1114</v>
      </c>
      <c r="C468" s="4" t="str">
        <f ca="1">IFERROR(__xludf.DUMMYFUNCTION("GOOGLETRANSLATE(D:D,""auto"",""en"")"),"Junior boys side edge fluids homework")</f>
        <v>Junior boys side edge fluids homework</v>
      </c>
      <c r="D468" s="5" t="s">
        <v>1115</v>
      </c>
      <c r="E468" s="4">
        <v>305356</v>
      </c>
    </row>
    <row r="469" spans="1:5" ht="13.5" hidden="1" customHeight="1">
      <c r="A469" s="4" t="s">
        <v>1116</v>
      </c>
      <c r="B469" s="4" t="s">
        <v>1117</v>
      </c>
      <c r="C469" s="4" t="str">
        <f ca="1">IFERROR(__xludf.DUMMYFUNCTION("GOOGLETRANSLATE(D:D,""auto"",""en"")"),"Ishihara Satomi mate selection criteria")</f>
        <v>Ishihara Satomi mate selection criteria</v>
      </c>
      <c r="D469" s="5" t="s">
        <v>1118</v>
      </c>
      <c r="E469" s="4">
        <v>300509</v>
      </c>
    </row>
    <row r="470" spans="1:5" ht="13.5" hidden="1" customHeight="1">
      <c r="A470" s="4" t="s">
        <v>1119</v>
      </c>
      <c r="B470" s="4" t="s">
        <v>1028</v>
      </c>
      <c r="C470" s="4" t="str">
        <f ca="1">IFERROR(__xludf.DUMMYFUNCTION("GOOGLETRANSLATE(D:D,""auto"",""en"")"),"Yan side can be more handsome boys")</f>
        <v>Yan side can be more handsome boys</v>
      </c>
      <c r="D470" s="5" t="s">
        <v>1120</v>
      </c>
      <c r="E470" s="4">
        <v>291995</v>
      </c>
    </row>
    <row r="471" spans="1:5" ht="13.5" hidden="1" customHeight="1">
      <c r="A471" s="4" t="s">
        <v>1020</v>
      </c>
      <c r="B471" s="4" t="s">
        <v>977</v>
      </c>
      <c r="C471" s="4" t="str">
        <f ca="1">IFERROR(__xludf.DUMMYFUNCTION("GOOGLETRANSLATE(D:D,""auto"",""en"")"),"Parents know the stars")</f>
        <v>Parents know the stars</v>
      </c>
      <c r="D471" s="5" t="s">
        <v>1121</v>
      </c>
      <c r="E471" s="4">
        <v>289251</v>
      </c>
    </row>
    <row r="472" spans="1:5" ht="13.5" hidden="1" customHeight="1">
      <c r="A472" s="4" t="s">
        <v>985</v>
      </c>
      <c r="B472" s="4" t="s">
        <v>986</v>
      </c>
      <c r="C472" s="4" t="str">
        <f ca="1">IFERROR(__xludf.DUMMYFUNCTION("GOOGLETRANSLATE(D:D,""auto"",""en"")"),"Yu Shuxin")</f>
        <v>Yu Shuxin</v>
      </c>
      <c r="D472" s="5" t="s">
        <v>987</v>
      </c>
      <c r="E472" s="4">
        <v>285365</v>
      </c>
    </row>
    <row r="473" spans="1:5" ht="13.5" hidden="1" customHeight="1">
      <c r="A473" s="4" t="s">
        <v>1122</v>
      </c>
      <c r="B473" s="4" t="s">
        <v>1123</v>
      </c>
      <c r="C473" s="4" t="str">
        <f ca="1">IFERROR(__xludf.DUMMYFUNCTION("GOOGLETRANSLATE(D:D,""auto"",""en"")"),"Girls psychological drama when shopping")</f>
        <v>Girls psychological drama when shopping</v>
      </c>
      <c r="D473" s="5" t="s">
        <v>1124</v>
      </c>
      <c r="E473" s="4">
        <v>281691</v>
      </c>
    </row>
    <row r="474" spans="1:5" ht="13.5" hidden="1" customHeight="1">
      <c r="A474" s="4" t="s">
        <v>1125</v>
      </c>
      <c r="B474" s="4" t="s">
        <v>1079</v>
      </c>
      <c r="C474" s="4" t="str">
        <f ca="1">IFERROR(__xludf.DUMMYFUNCTION("GOOGLETRANSLATE(D:D,""auto"",""en"")"),"Northeast ski slopes in physical education students")</f>
        <v>Northeast ski slopes in physical education students</v>
      </c>
      <c r="D474" s="5" t="s">
        <v>1126</v>
      </c>
      <c r="E474" s="4">
        <v>264491</v>
      </c>
    </row>
    <row r="475" spans="1:5" ht="13.5" hidden="1" customHeight="1">
      <c r="A475" s="4" t="s">
        <v>1002</v>
      </c>
      <c r="B475" s="4" t="s">
        <v>1003</v>
      </c>
      <c r="C475" s="4" t="str">
        <f ca="1">IFERROR(__xludf.DUMMYFUNCTION("GOOGLETRANSLATE(D:D,""auto"",""en"")"),"American and Iran")</f>
        <v>American and Iran</v>
      </c>
      <c r="D475" s="5" t="s">
        <v>1004</v>
      </c>
      <c r="E475" s="4">
        <v>234058</v>
      </c>
    </row>
    <row r="476" spans="1:5" ht="13.5" hidden="1" customHeight="1">
      <c r="A476" s="4" t="s">
        <v>1127</v>
      </c>
      <c r="B476" s="4" t="s">
        <v>1128</v>
      </c>
      <c r="C476" s="4" t="str">
        <f ca="1">IFERROR(__xludf.DUMMYFUNCTION("GOOGLETRANSLATE(D:D,""auto"",""en"")"),"When you are looking for objects to his mother")</f>
        <v>When you are looking for objects to his mother</v>
      </c>
      <c r="D476" s="5" t="s">
        <v>1129</v>
      </c>
      <c r="E476" s="4">
        <v>227194</v>
      </c>
    </row>
    <row r="477" spans="1:5" ht="13.5" hidden="1" customHeight="1">
      <c r="A477" s="4" t="s">
        <v>1130</v>
      </c>
      <c r="B477" s="4" t="s">
        <v>1106</v>
      </c>
      <c r="C477" s="4" t="str">
        <f ca="1">IFERROR(__xludf.DUMMYFUNCTION("GOOGLETRANSLATE(D:D,""auto"",""en"")"),"White sturgeon specimen preparation witness")</f>
        <v>White sturgeon specimen preparation witness</v>
      </c>
      <c r="D477" s="5" t="s">
        <v>1131</v>
      </c>
      <c r="E477" s="4">
        <v>211132</v>
      </c>
    </row>
    <row r="478" spans="1:5" ht="13.5" hidden="1" customHeight="1">
      <c r="A478" s="4" t="s">
        <v>988</v>
      </c>
      <c r="B478" s="4" t="s">
        <v>989</v>
      </c>
      <c r="C478" s="4" t="str">
        <f ca="1">IFERROR(__xludf.DUMMYFUNCTION("GOOGLETRANSLATE(D:D,""auto"",""en"")"),"Bing Gege was scared of driving test")</f>
        <v>Bing Gege was scared of driving test</v>
      </c>
      <c r="D478" s="5" t="s">
        <v>990</v>
      </c>
      <c r="E478" s="4">
        <v>192417</v>
      </c>
    </row>
    <row r="479" spans="1:5" ht="13.5" hidden="1" customHeight="1">
      <c r="A479" s="4" t="s">
        <v>1132</v>
      </c>
      <c r="B479" s="4" t="s">
        <v>1133</v>
      </c>
      <c r="C479" s="4" t="str">
        <f ca="1">IFERROR(__xludf.DUMMYFUNCTION("GOOGLETRANSLATE(D:D,""auto"",""en"")"),"Shenzhen felt")</f>
        <v>Shenzhen felt</v>
      </c>
      <c r="D479" s="5" t="s">
        <v>1134</v>
      </c>
      <c r="E479" s="4">
        <v>191711</v>
      </c>
    </row>
    <row r="480" spans="1:5" ht="13.5" hidden="1" customHeight="1">
      <c r="A480" s="4" t="s">
        <v>1135</v>
      </c>
      <c r="B480" s="4" t="s">
        <v>979</v>
      </c>
      <c r="C480" s="4" t="str">
        <f ca="1">IFERROR(__xludf.DUMMYFUNCTION("GOOGLETRANSLATE(D:D,""auto"",""en"")"),"Fayi 23-year-old player died in a car accident")</f>
        <v>Fayi 23-year-old player died in a car accident</v>
      </c>
      <c r="D480" s="5" t="s">
        <v>1136</v>
      </c>
      <c r="E480" s="4">
        <v>179331</v>
      </c>
    </row>
    <row r="481" spans="1:5" ht="13.5" hidden="1" customHeight="1">
      <c r="A481" s="4" t="s">
        <v>991</v>
      </c>
      <c r="B481" s="4" t="s">
        <v>992</v>
      </c>
      <c r="C481" s="4" t="str">
        <f ca="1">IFERROR(__xludf.DUMMYFUNCTION("GOOGLETRANSLATE(D:D,""auto"",""en"")"),"Heard very crooked word Three Views")</f>
        <v>Heard very crooked word Three Views</v>
      </c>
      <c r="D481" s="5" t="s">
        <v>993</v>
      </c>
      <c r="E481" s="4">
        <v>172839</v>
      </c>
    </row>
    <row r="482" spans="1:5" ht="13.5" hidden="1" customHeight="1">
      <c r="A482" s="4" t="s">
        <v>1137</v>
      </c>
      <c r="B482" s="4" t="s">
        <v>941</v>
      </c>
      <c r="C482" s="4" t="str">
        <f ca="1">IFERROR(__xludf.DUMMYFUNCTION("GOOGLETRANSLATE(D:D,""auto"",""en"")"),"Han Celina Jade wedding venue")</f>
        <v>Han Celina Jade wedding venue</v>
      </c>
      <c r="D482" s="5" t="s">
        <v>1138</v>
      </c>
      <c r="E482" s="4">
        <v>168585</v>
      </c>
    </row>
    <row r="483" spans="1:5" ht="13.5" hidden="1" customHeight="1">
      <c r="A483" s="4" t="s">
        <v>1139</v>
      </c>
      <c r="B483" s="4" t="s">
        <v>1093</v>
      </c>
      <c r="C483" s="4" t="str">
        <f ca="1">IFERROR(__xludf.DUMMYFUNCTION("GOOGLETRANSLATE(D:D,""auto"",""en"")"),"Zhengzhou snow")</f>
        <v>Zhengzhou snow</v>
      </c>
      <c r="D483" s="5" t="s">
        <v>1140</v>
      </c>
      <c r="E483" s="4">
        <v>162761</v>
      </c>
    </row>
    <row r="484" spans="1:5" ht="13.5" hidden="1" customHeight="1">
      <c r="A484" s="4" t="s">
        <v>1141</v>
      </c>
      <c r="B484" s="4" t="s">
        <v>1085</v>
      </c>
      <c r="C484" s="4" t="str">
        <f ca="1">IFERROR(__xludf.DUMMYFUNCTION("GOOGLETRANSLATE(D:D,""auto"",""en"")"),"Your dorm bed is like")</f>
        <v>Your dorm bed is like</v>
      </c>
      <c r="D484" s="5" t="s">
        <v>1142</v>
      </c>
      <c r="E484" s="4">
        <v>152039</v>
      </c>
    </row>
    <row r="485" spans="1:5" ht="13.5" hidden="1" customHeight="1">
      <c r="A485" s="4" t="s">
        <v>1020</v>
      </c>
      <c r="B485" s="4" t="s">
        <v>1021</v>
      </c>
      <c r="C485" s="4" t="str">
        <f ca="1">IFERROR(__xludf.DUMMYFUNCTION("GOOGLETRANSLATE(D:D,""auto"",""en"")"),"Showed reporters outside the lens of Western Xinjiang")</f>
        <v>Showed reporters outside the lens of Western Xinjiang</v>
      </c>
      <c r="D485" s="5" t="s">
        <v>1022</v>
      </c>
      <c r="E485" s="4">
        <v>147885</v>
      </c>
    </row>
    <row r="486" spans="1:5" ht="13.5" hidden="1" customHeight="1">
      <c r="A486" s="4" t="s">
        <v>950</v>
      </c>
      <c r="B486" s="4" t="s">
        <v>951</v>
      </c>
      <c r="C486" s="4" t="str">
        <f ca="1">IFERROR(__xludf.DUMMYFUNCTION("GOOGLETRANSLATE(D:D,""auto"",""en"")"),"Dubbing Suda Jiang Jia Nailiang")</f>
        <v>Dubbing Suda Jiang Jia Nailiang</v>
      </c>
      <c r="D486" s="5" t="s">
        <v>952</v>
      </c>
      <c r="E486" s="4">
        <v>146787</v>
      </c>
    </row>
    <row r="487" spans="1:5" ht="13.5" hidden="1" customHeight="1">
      <c r="A487" s="4" t="s">
        <v>1143</v>
      </c>
      <c r="B487" s="4" t="s">
        <v>1144</v>
      </c>
      <c r="C487" s="4" t="str">
        <f ca="1">IFERROR(__xludf.DUMMYFUNCTION("GOOGLETRANSLATE(D:D,""auto"",""en"")"),"China's big beautiful snow")</f>
        <v>China's big beautiful snow</v>
      </c>
      <c r="D487" s="5" t="s">
        <v>1145</v>
      </c>
      <c r="E487" s="4">
        <v>135573</v>
      </c>
    </row>
    <row r="488" spans="1:5" ht="13.5" hidden="1" customHeight="1">
      <c r="A488" s="4" t="s">
        <v>1146</v>
      </c>
      <c r="B488" s="4" t="s">
        <v>1076</v>
      </c>
      <c r="C488" s="4" t="str">
        <f ca="1">IFERROR(__xludf.DUMMYFUNCTION("GOOGLETRANSLATE(D:D,""auto"",""en"")"),"Latin dance out of momentum martial arts")</f>
        <v>Latin dance out of momentum martial arts</v>
      </c>
      <c r="D488" s="5" t="s">
        <v>1147</v>
      </c>
      <c r="E488" s="4">
        <v>133785</v>
      </c>
    </row>
    <row r="489" spans="1:5" ht="13.5" hidden="1" customHeight="1">
      <c r="A489" s="4" t="s">
        <v>1148</v>
      </c>
      <c r="B489" s="4" t="s">
        <v>1065</v>
      </c>
      <c r="C489" s="4" t="str">
        <f ca="1">IFERROR(__xludf.DUMMYFUNCTION("GOOGLETRANSLATE(D:D,""auto"",""en"")"),"If you wake up back in high school")</f>
        <v>If you wake up back in high school</v>
      </c>
      <c r="D489" s="5" t="s">
        <v>1149</v>
      </c>
      <c r="E489" s="4">
        <v>129600</v>
      </c>
    </row>
    <row r="490" spans="1:5" ht="13.5" hidden="1" customHeight="1">
      <c r="A490" s="4" t="s">
        <v>959</v>
      </c>
      <c r="B490" s="4" t="s">
        <v>960</v>
      </c>
      <c r="C490" s="4" t="str">
        <f ca="1">IFERROR(__xludf.DUMMYFUNCTION("GOOGLETRANSLATE(D:D,""auto"",""en"")"),"Under Jinyi")</f>
        <v>Under Jinyi</v>
      </c>
      <c r="D490" s="5" t="s">
        <v>961</v>
      </c>
      <c r="E490" s="4">
        <v>127855</v>
      </c>
    </row>
    <row r="491" spans="1:5" ht="13.5" hidden="1" customHeight="1">
      <c r="A491" s="4" t="s">
        <v>999</v>
      </c>
      <c r="B491" s="4" t="s">
        <v>1000</v>
      </c>
      <c r="C491" s="4" t="str">
        <f ca="1">IFERROR(__xludf.DUMMYFUNCTION("GOOGLETRANSLATE(D:D,""auto"",""en"")"),"Pombo according to Tucao hot rolling")</f>
        <v>Pombo according to Tucao hot rolling</v>
      </c>
      <c r="D491" s="5" t="s">
        <v>1001</v>
      </c>
      <c r="E491" s="4">
        <v>120560</v>
      </c>
    </row>
    <row r="492" spans="1:5" ht="13.5" hidden="1" customHeight="1">
      <c r="A492" s="4" t="s">
        <v>1150</v>
      </c>
      <c r="B492" s="4" t="s">
        <v>1151</v>
      </c>
      <c r="C492" s="4" t="str">
        <f ca="1">IFERROR(__xludf.DUMMYFUNCTION("GOOGLETRANSLATE(D:D,""auto"",""en"")"),"Like most of the first time you start makeup")</f>
        <v>Like most of the first time you start makeup</v>
      </c>
      <c r="D492" s="5" t="s">
        <v>1152</v>
      </c>
      <c r="E492" s="4">
        <v>118449</v>
      </c>
    </row>
    <row r="493" spans="1:5" ht="13.5" hidden="1" customHeight="1">
      <c r="A493" s="4" t="s">
        <v>947</v>
      </c>
      <c r="B493" s="4" t="s">
        <v>948</v>
      </c>
      <c r="C493" s="4" t="str">
        <f ca="1">IFERROR(__xludf.DUMMYFUNCTION("GOOGLETRANSLATE(D:D,""auto"",""en"")"),"Li Shamin child performance")</f>
        <v>Li Shamin child performance</v>
      </c>
      <c r="D493" s="5" t="s">
        <v>949</v>
      </c>
      <c r="E493" s="4">
        <v>117075</v>
      </c>
    </row>
    <row r="494" spans="1:5" ht="13.5" hidden="1" customHeight="1">
      <c r="A494" s="4" t="s">
        <v>1153</v>
      </c>
      <c r="B494" s="4" t="s">
        <v>1093</v>
      </c>
      <c r="C494" s="4" t="str">
        <f ca="1">IFERROR(__xludf.DUMMYFUNCTION("GOOGLETRANSLATE(D:D,""auto"",""en"")"),"Qaidam Basin is now the magic ring of Saturn")</f>
        <v>Qaidam Basin is now the magic ring of Saturn</v>
      </c>
      <c r="D494" s="5" t="s">
        <v>1154</v>
      </c>
      <c r="E494" s="4">
        <v>116446</v>
      </c>
    </row>
    <row r="495" spans="1:5" ht="13.5" hidden="1" customHeight="1">
      <c r="A495" s="4" t="s">
        <v>1155</v>
      </c>
      <c r="B495" s="4" t="s">
        <v>1156</v>
      </c>
      <c r="C495" s="4" t="str">
        <f ca="1">IFERROR(__xludf.DUMMYFUNCTION("GOOGLETRANSLATE(D:D,""auto"",""en"")"),"Happy Camp")</f>
        <v>Happy Camp</v>
      </c>
      <c r="D495" s="5" t="s">
        <v>1157</v>
      </c>
      <c r="E495" s="4">
        <v>115581</v>
      </c>
    </row>
    <row r="496" spans="1:5" ht="13.5" hidden="1" customHeight="1">
      <c r="A496" s="4" t="s">
        <v>1158</v>
      </c>
      <c r="B496" s="4" t="s">
        <v>1159</v>
      </c>
      <c r="C496" s="4" t="str">
        <f ca="1">IFERROR(__xludf.DUMMYFUNCTION("GOOGLETRANSLATE(D:D,""auto"",""en"")"),"Mirror and the camera in my difference")</f>
        <v>Mirror and the camera in my difference</v>
      </c>
      <c r="D496" s="5" t="s">
        <v>1160</v>
      </c>
      <c r="E496" s="4">
        <v>106138</v>
      </c>
    </row>
    <row r="497" spans="1:6" ht="13.5" hidden="1" customHeight="1">
      <c r="A497" s="4" t="s">
        <v>1038</v>
      </c>
      <c r="B497" s="4" t="s">
        <v>951</v>
      </c>
      <c r="C497" s="4" t="str">
        <f ca="1">IFERROR(__xludf.DUMMYFUNCTION("GOOGLETRANSLATE(D:D,""auto"",""en"")"),"Ronghao Foshan Pinyin")</f>
        <v>Ronghao Foshan Pinyin</v>
      </c>
      <c r="D497" s="5" t="s">
        <v>1039</v>
      </c>
      <c r="E497" s="4">
        <v>100851</v>
      </c>
    </row>
    <row r="498" spans="1:6" ht="13.5" hidden="1" customHeight="1">
      <c r="A498" s="4" t="s">
        <v>971</v>
      </c>
      <c r="B498" s="4" t="s">
        <v>972</v>
      </c>
      <c r="C498" s="4" t="str">
        <f ca="1">IFERROR(__xludf.DUMMYFUNCTION("GOOGLETRANSLATE(D:D,""auto"",""en"")"),"Xiao Cheng Du Haitao imitate Smith")</f>
        <v>Xiao Cheng Du Haitao imitate Smith</v>
      </c>
      <c r="D498" s="5" t="s">
        <v>973</v>
      </c>
      <c r="E498" s="4">
        <v>97556</v>
      </c>
    </row>
    <row r="499" spans="1:6" ht="13.5" hidden="1" customHeight="1">
      <c r="A499" s="4" t="s">
        <v>1161</v>
      </c>
      <c r="B499" s="4" t="s">
        <v>1159</v>
      </c>
      <c r="C499" s="4" t="str">
        <f ca="1">IFERROR(__xludf.DUMMYFUNCTION("GOOGLETRANSLATE(D:D,""auto"",""en"")"),"Your favorite smell strange taste")</f>
        <v>Your favorite smell strange taste</v>
      </c>
      <c r="D499" s="5" t="s">
        <v>1162</v>
      </c>
      <c r="E499" s="4">
        <v>92510</v>
      </c>
    </row>
    <row r="500" spans="1:6" ht="13.5" hidden="1" customHeight="1">
      <c r="A500" s="4" t="s">
        <v>1011</v>
      </c>
      <c r="B500" s="4" t="s">
        <v>1012</v>
      </c>
      <c r="C500" s="4" t="str">
        <f ca="1">IFERROR(__xludf.DUMMYFUNCTION("GOOGLETRANSLATE(D:D,""auto"",""en"")"),"Farewell My Concubine Yu Hao Ming Hu Jun")</f>
        <v>Farewell My Concubine Yu Hao Ming Hu Jun</v>
      </c>
      <c r="D500" s="5" t="s">
        <v>1013</v>
      </c>
      <c r="E500" s="4">
        <v>91223</v>
      </c>
    </row>
    <row r="501" spans="1:6" ht="13.5" hidden="1" customHeight="1">
      <c r="C501" s="4" t="str">
        <f ca="1">IFERROR(__xludf.DUMMYFUNCTION("GOOGLETRANSLATE(D:D,""auto"",""en"")"),"#VALUE!")</f>
        <v>#VALUE!</v>
      </c>
    </row>
    <row r="502" spans="1:6" ht="13.5" hidden="1" customHeight="1">
      <c r="A502" s="4" t="s">
        <v>1163</v>
      </c>
      <c r="B502" s="4" t="s">
        <v>1164</v>
      </c>
      <c r="C502" s="4" t="str">
        <f ca="1">IFERROR(__xludf.DUMMYFUNCTION("GOOGLETRANSLATE(D:D,""auto"",""en"")"),"ZhouDongYu finished pulling wisdom teeth swollen face")</f>
        <v>ZhouDongYu finished pulling wisdom teeth swollen face</v>
      </c>
      <c r="D502" s="4" t="s">
        <v>1165</v>
      </c>
      <c r="E502" s="4">
        <v>3484674</v>
      </c>
    </row>
    <row r="503" spans="1:6" ht="13.5" hidden="1" customHeight="1">
      <c r="A503" s="4" t="s">
        <v>1166</v>
      </c>
      <c r="B503" s="4" t="s">
        <v>1167</v>
      </c>
      <c r="C503" s="4" t="str">
        <f ca="1">IFERROR(__xludf.DUMMYFUNCTION("GOOGLETRANSLATE(D:D,""auto"",""en"")"),"Iran says no intention to go to war with the United States")</f>
        <v>Iran says no intention to go to war with the United States</v>
      </c>
      <c r="D503" s="5" t="s">
        <v>1168</v>
      </c>
      <c r="E503" s="4">
        <v>2071197</v>
      </c>
    </row>
    <row r="504" spans="1:6" ht="13.5" hidden="1" customHeight="1">
      <c r="A504" s="4" t="s">
        <v>1169</v>
      </c>
      <c r="B504" s="4" t="s">
        <v>1170</v>
      </c>
      <c r="C504" s="4" t="str">
        <f ca="1">IFERROR(__xludf.DUMMYFUNCTION("GOOGLETRANSLATE(D:D,""auto"",""en"")"),"want to see you")</f>
        <v>want to see you</v>
      </c>
      <c r="D504" s="5" t="s">
        <v>1171</v>
      </c>
      <c r="E504" s="4">
        <v>2050764</v>
      </c>
    </row>
    <row r="505" spans="1:6" ht="13.5" hidden="1" customHeight="1">
      <c r="A505" s="4" t="s">
        <v>1172</v>
      </c>
      <c r="B505" s="4" t="s">
        <v>1173</v>
      </c>
      <c r="C505" s="4" t="str">
        <f ca="1">IFERROR(__xludf.DUMMYFUNCTION("GOOGLETRANSLATE(D:D,""auto"",""en"")"),"Ming Fang responded brother committed suicide")</f>
        <v>Ming Fang responded brother committed suicide</v>
      </c>
      <c r="D505" s="5" t="s">
        <v>1174</v>
      </c>
      <c r="E505" s="4">
        <v>1783176</v>
      </c>
    </row>
    <row r="506" spans="1:6" ht="13.5" hidden="1" customHeight="1">
      <c r="A506" s="4" t="s">
        <v>1175</v>
      </c>
      <c r="B506" s="4" t="s">
        <v>1176</v>
      </c>
      <c r="C506" s="4" t="str">
        <f ca="1">IFERROR(__xludf.DUMMYFUNCTION("GOOGLETRANSLATE(D:D,""auto"",""en"")"),"Celina Jade sidelines Han kissing scenes")</f>
        <v>Celina Jade sidelines Han kissing scenes</v>
      </c>
      <c r="D506" s="5" t="s">
        <v>1177</v>
      </c>
      <c r="E506" s="4">
        <v>1284718</v>
      </c>
    </row>
    <row r="507" spans="1:6" ht="13.5" customHeight="1">
      <c r="A507" s="4" t="s">
        <v>1178</v>
      </c>
      <c r="B507" s="4" t="s">
        <v>1179</v>
      </c>
      <c r="C507" s="4" t="str">
        <f ca="1">IFERROR(__xludf.DUMMYFUNCTION("GOOGLETRANSLATE(D:D,""auto"",""en"")"),"Wuhan pneumonia of unknown causes have been ruled out SARS pathogen")</f>
        <v>Wuhan pneumonia of unknown causes have been ruled out SARS pathogen</v>
      </c>
      <c r="D507" s="5" t="s">
        <v>1180</v>
      </c>
      <c r="E507" s="4">
        <v>877527</v>
      </c>
      <c r="F507">
        <v>1</v>
      </c>
    </row>
    <row r="508" spans="1:6" ht="13.5" hidden="1" customHeight="1">
      <c r="A508" s="4" t="s">
        <v>1181</v>
      </c>
      <c r="B508" s="4" t="s">
        <v>1182</v>
      </c>
      <c r="C508" s="4" t="str">
        <f ca="1">IFERROR(__xludf.DUMMYFUNCTION("GOOGLETRANSLATE(D:D,""auto"",""en"")"),"our song")</f>
        <v>our song</v>
      </c>
      <c r="D508" s="5" t="s">
        <v>1183</v>
      </c>
      <c r="E508" s="4">
        <v>791903</v>
      </c>
    </row>
    <row r="509" spans="1:6" ht="13.5" hidden="1" customHeight="1">
      <c r="A509" s="4" t="s">
        <v>1184</v>
      </c>
      <c r="B509" s="4" t="s">
        <v>1185</v>
      </c>
      <c r="C509" s="4" t="str">
        <f ca="1">IFERROR(__xludf.DUMMYFUNCTION("GOOGLETRANSLATE(D:D,""auto"",""en"")"),"Spirited Away to the original King Snow")</f>
        <v>Spirited Away to the original King Snow</v>
      </c>
      <c r="D509" s="5" t="s">
        <v>1186</v>
      </c>
      <c r="E509" s="4">
        <v>775203</v>
      </c>
    </row>
    <row r="510" spans="1:6" ht="13.5" hidden="1" customHeight="1">
      <c r="A510" s="4" t="s">
        <v>1187</v>
      </c>
      <c r="B510" s="4" t="s">
        <v>1188</v>
      </c>
      <c r="C510" s="4" t="str">
        <f ca="1">IFERROR(__xludf.DUMMYFUNCTION("GOOGLETRANSLATE(D:D,""auto"",""en"")"),"Iran will finalize a new agreement to exit the Iranian nuclear program")</f>
        <v>Iran will finalize a new agreement to exit the Iranian nuclear program</v>
      </c>
      <c r="D510" s="5" t="s">
        <v>1189</v>
      </c>
      <c r="E510" s="4">
        <v>774427</v>
      </c>
    </row>
    <row r="511" spans="1:6" ht="13.5" hidden="1" customHeight="1">
      <c r="A511" s="4" t="s">
        <v>1184</v>
      </c>
      <c r="B511" s="4" t="s">
        <v>1190</v>
      </c>
      <c r="C511" s="4" t="str">
        <f ca="1">IFERROR(__xludf.DUMMYFUNCTION("GOOGLETRANSLATE(D:D,""auto"",""en"")"),"Zhang Daisen most popular anchor")</f>
        <v>Zhang Daisen most popular anchor</v>
      </c>
      <c r="D511" s="5" t="s">
        <v>1191</v>
      </c>
      <c r="E511" s="4">
        <v>765848</v>
      </c>
    </row>
    <row r="512" spans="1:6" ht="13.5" hidden="1" customHeight="1">
      <c r="A512" s="4" t="s">
        <v>1192</v>
      </c>
      <c r="B512" s="4" t="s">
        <v>1193</v>
      </c>
      <c r="C512" s="4" t="str">
        <f ca="1">IFERROR(__xludf.DUMMYFUNCTION("GOOGLETRANSLATE(D:D,""auto"",""en"")"),"Xiaozhan Angela cry")</f>
        <v>Xiaozhan Angela cry</v>
      </c>
      <c r="D512" s="5" t="s">
        <v>1194</v>
      </c>
      <c r="E512" s="4">
        <v>757816</v>
      </c>
    </row>
    <row r="513" spans="1:5" ht="13.5" hidden="1" customHeight="1">
      <c r="A513" s="4" t="s">
        <v>1195</v>
      </c>
      <c r="B513" s="4" t="s">
        <v>1196</v>
      </c>
      <c r="C513" s="4" t="str">
        <f ca="1">IFERROR(__xludf.DUMMYFUNCTION("GOOGLETRANSLATE(D:D,""auto"",""en"")"),"2020 The first snow")</f>
        <v>2020 The first snow</v>
      </c>
      <c r="D513" s="5" t="s">
        <v>1197</v>
      </c>
      <c r="E513" s="4">
        <v>745633</v>
      </c>
    </row>
    <row r="514" spans="1:5" ht="13.5" hidden="1" customHeight="1">
      <c r="A514" s="4" t="s">
        <v>1198</v>
      </c>
      <c r="B514" s="4" t="s">
        <v>1199</v>
      </c>
      <c r="C514" s="4" t="str">
        <f ca="1">IFERROR(__xludf.DUMMYFUNCTION("GOOGLETRANSLATE(D:D,""auto"",""en"")"),"Major General body was transported back to Iran")</f>
        <v>Major General body was transported back to Iran</v>
      </c>
      <c r="D514" s="5" t="s">
        <v>1200</v>
      </c>
      <c r="E514" s="4">
        <v>740320</v>
      </c>
    </row>
    <row r="515" spans="1:5" ht="13.5" hidden="1" customHeight="1">
      <c r="A515" s="4" t="s">
        <v>1075</v>
      </c>
      <c r="B515" s="4" t="s">
        <v>1076</v>
      </c>
      <c r="C515" s="4" t="str">
        <f ca="1">IFERROR(__xludf.DUMMYFUNCTION("GOOGLETRANSLATE(D:D,""auto"",""en"")"),"Blizzard blue warning")</f>
        <v>Blizzard blue warning</v>
      </c>
      <c r="D515" s="5" t="s">
        <v>1077</v>
      </c>
      <c r="E515" s="4">
        <v>731521</v>
      </c>
    </row>
    <row r="516" spans="1:5" ht="13.5" hidden="1" customHeight="1">
      <c r="A516" s="4" t="s">
        <v>1201</v>
      </c>
      <c r="B516" s="4" t="s">
        <v>1119</v>
      </c>
      <c r="C516" s="4" t="str">
        <f ca="1">IFERROR(__xludf.DUMMYFUNCTION("GOOGLETRANSLATE(D:D,""auto"",""en"")"),"Iran submitted a letter of protest to the United Nations")</f>
        <v>Iran submitted a letter of protest to the United Nations</v>
      </c>
      <c r="D516" s="5" t="s">
        <v>1202</v>
      </c>
      <c r="E516" s="4">
        <v>717635</v>
      </c>
    </row>
    <row r="517" spans="1:5" ht="13.5" hidden="1" customHeight="1">
      <c r="A517" s="4" t="s">
        <v>1203</v>
      </c>
      <c r="B517" s="4" t="s">
        <v>1204</v>
      </c>
      <c r="C517" s="4" t="str">
        <f ca="1">IFERROR(__xludf.DUMMYFUNCTION("GOOGLETRANSLATE(D:D,""auto"",""en"")"),"Tsai S to send small baskets")</f>
        <v>Tsai S to send small baskets</v>
      </c>
      <c r="D517" s="5" t="s">
        <v>1205</v>
      </c>
      <c r="E517" s="4">
        <v>716178</v>
      </c>
    </row>
    <row r="518" spans="1:5" ht="13.5" hidden="1" customHeight="1">
      <c r="A518" s="4" t="s">
        <v>1206</v>
      </c>
      <c r="B518" s="4" t="s">
        <v>1207</v>
      </c>
      <c r="C518" s="4" t="str">
        <f ca="1">IFERROR(__xludf.DUMMYFUNCTION("GOOGLETRANSLATE(D:D,""auto"",""en"")"),"Graduate accidental death briefing NUPT")</f>
        <v>Graduate accidental death briefing NUPT</v>
      </c>
      <c r="D518" s="5" t="s">
        <v>1208</v>
      </c>
      <c r="E518" s="4">
        <v>711930</v>
      </c>
    </row>
    <row r="519" spans="1:5" ht="13.5" hidden="1" customHeight="1">
      <c r="A519" s="4" t="s">
        <v>1209</v>
      </c>
      <c r="B519" s="4" t="s">
        <v>1210</v>
      </c>
      <c r="C519" s="4" t="str">
        <f ca="1">IFERROR(__xludf.DUMMYFUNCTION("GOOGLETRANSLATE(D:D,""auto"",""en"")"),"Every day")</f>
        <v>Every day</v>
      </c>
      <c r="D519" s="5" t="s">
        <v>1211</v>
      </c>
      <c r="E519" s="4">
        <v>682798</v>
      </c>
    </row>
    <row r="520" spans="1:5" ht="13.5" hidden="1" customHeight="1">
      <c r="A520" s="4" t="s">
        <v>1212</v>
      </c>
      <c r="B520" s="4" t="s">
        <v>1213</v>
      </c>
      <c r="C520" s="4" t="str">
        <f ca="1">IFERROR(__xludf.DUMMYFUNCTION("GOOGLETRANSLATE(D:D,""auto"",""en"")"),"The most offensive expression emoji")</f>
        <v>The most offensive expression emoji</v>
      </c>
      <c r="D520" s="5" t="s">
        <v>1214</v>
      </c>
      <c r="E520" s="4">
        <v>568520</v>
      </c>
    </row>
    <row r="521" spans="1:5" ht="13.5" hidden="1" customHeight="1">
      <c r="A521" s="4" t="s">
        <v>1215</v>
      </c>
      <c r="B521" s="4" t="s">
        <v>1216</v>
      </c>
      <c r="C521" s="4" t="str">
        <f ca="1">IFERROR(__xludf.DUMMYFUNCTION("GOOGLETRANSLATE(D:D,""auto"",""en"")"),"Guangzhou, a private car traveling on the way spontaneous combustion")</f>
        <v>Guangzhou, a private car traveling on the way spontaneous combustion</v>
      </c>
      <c r="D521" s="5" t="s">
        <v>1217</v>
      </c>
      <c r="E521" s="4">
        <v>370652</v>
      </c>
    </row>
    <row r="522" spans="1:5" ht="13.5" hidden="1" customHeight="1">
      <c r="A522" s="4" t="s">
        <v>1218</v>
      </c>
      <c r="B522" s="4" t="s">
        <v>1219</v>
      </c>
      <c r="C522" s="4" t="str">
        <f ca="1">IFERROR(__xludf.DUMMYFUNCTION("GOOGLETRANSLATE(D:D,""auto"",""en"")"),"Jordan Chan filter under beauty")</f>
        <v>Jordan Chan filter under beauty</v>
      </c>
      <c r="D522" s="5" t="s">
        <v>1220</v>
      </c>
      <c r="E522" s="4">
        <v>368486</v>
      </c>
    </row>
    <row r="523" spans="1:5" ht="13.5" hidden="1" customHeight="1">
      <c r="A523" s="4" t="s">
        <v>1221</v>
      </c>
      <c r="B523" s="4" t="s">
        <v>1222</v>
      </c>
      <c r="C523" s="4" t="str">
        <f ca="1">IFERROR(__xludf.DUMMYFUNCTION("GOOGLETRANSLATE(D:D,""auto"",""en"")"),"Elite Lawyer")</f>
        <v>Elite Lawyer</v>
      </c>
      <c r="D523" s="5" t="s">
        <v>1223</v>
      </c>
      <c r="E523" s="4">
        <v>357592</v>
      </c>
    </row>
    <row r="524" spans="1:5" ht="13.5" hidden="1" customHeight="1">
      <c r="A524" s="4" t="s">
        <v>1224</v>
      </c>
      <c r="B524" s="4" t="s">
        <v>1225</v>
      </c>
      <c r="C524" s="4" t="str">
        <f ca="1">IFERROR(__xludf.DUMMYFUNCTION("GOOGLETRANSLATE(D:D,""auto"",""en"")"),"Daming Fenghua")</f>
        <v>Daming Fenghua</v>
      </c>
      <c r="D524" s="5" t="s">
        <v>1226</v>
      </c>
      <c r="E524" s="4">
        <v>278495</v>
      </c>
    </row>
    <row r="525" spans="1:5" ht="13.5" hidden="1" customHeight="1">
      <c r="A525" s="4" t="s">
        <v>1227</v>
      </c>
      <c r="B525" s="4" t="s">
        <v>1228</v>
      </c>
      <c r="C525" s="4" t="str">
        <f ca="1">IFERROR(__xludf.DUMMYFUNCTION("GOOGLETRANSLATE(D:D,""auto"",""en"")"),"The difference between you and Dad did not signal")</f>
        <v>The difference between you and Dad did not signal</v>
      </c>
      <c r="D525" s="5" t="s">
        <v>1229</v>
      </c>
      <c r="E525" s="4">
        <v>263446</v>
      </c>
    </row>
    <row r="526" spans="1:5" ht="13.5" hidden="1" customHeight="1">
      <c r="A526" s="4" t="s">
        <v>1230</v>
      </c>
      <c r="B526" s="4" t="s">
        <v>1231</v>
      </c>
      <c r="C526" s="4" t="str">
        <f ca="1">IFERROR(__xludf.DUMMYFUNCTION("GOOGLETRANSLATE(D:D,""auto"",""en"")"),"Face Phone Case")</f>
        <v>Face Phone Case</v>
      </c>
      <c r="D526" s="5" t="s">
        <v>1232</v>
      </c>
      <c r="E526" s="4">
        <v>262794</v>
      </c>
    </row>
    <row r="527" spans="1:5" ht="13.5" hidden="1" customHeight="1">
      <c r="A527" s="4" t="s">
        <v>1233</v>
      </c>
      <c r="B527" s="4" t="s">
        <v>1164</v>
      </c>
      <c r="C527" s="4" t="str">
        <f ca="1">IFERROR(__xludf.DUMMYFUNCTION("GOOGLETRANSLATE(D:D,""auto"",""en"")"),"Zhou deep Hacken Lee lovers the world")</f>
        <v>Zhou deep Hacken Lee lovers the world</v>
      </c>
      <c r="D527" s="5" t="s">
        <v>1234</v>
      </c>
      <c r="E527" s="4">
        <v>256839</v>
      </c>
    </row>
    <row r="528" spans="1:5" ht="13.5" hidden="1" customHeight="1">
      <c r="A528" s="4" t="s">
        <v>1235</v>
      </c>
      <c r="B528" s="4" t="s">
        <v>1236</v>
      </c>
      <c r="C528" s="4" t="str">
        <f ca="1">IFERROR(__xludf.DUMMYFUNCTION("GOOGLETRANSLATE(D:D,""auto"",""en"")"),"Do not ask seniors called Wu Lei Shige")</f>
        <v>Do not ask seniors called Wu Lei Shige</v>
      </c>
      <c r="D528" s="5" t="s">
        <v>1237</v>
      </c>
      <c r="E528" s="4">
        <v>255653</v>
      </c>
    </row>
    <row r="529" spans="1:5" ht="13.5" hidden="1" customHeight="1">
      <c r="A529" s="4" t="s">
        <v>1238</v>
      </c>
      <c r="B529" s="4" t="s">
        <v>1239</v>
      </c>
      <c r="C529" s="4" t="str">
        <f ca="1">IFERROR(__xludf.DUMMYFUNCTION("GOOGLETRANSLATE(D:D,""auto"",""en"")"),"VS Bing Gege ordinary driving test driving test")</f>
        <v>VS Bing Gege ordinary driving test driving test</v>
      </c>
      <c r="D529" s="5" t="s">
        <v>1240</v>
      </c>
      <c r="E529" s="4">
        <v>250385</v>
      </c>
    </row>
    <row r="530" spans="1:5" ht="13.5" hidden="1" customHeight="1">
      <c r="A530" s="4" t="s">
        <v>1241</v>
      </c>
      <c r="B530" s="4" t="s">
        <v>1242</v>
      </c>
      <c r="C530" s="4" t="str">
        <f ca="1">IFERROR(__xludf.DUMMYFUNCTION("GOOGLETRANSLATE(D:D,""auto"",""en"")"),"Stolen most silent thing")</f>
        <v>Stolen most silent thing</v>
      </c>
      <c r="D530" s="5" t="s">
        <v>1243</v>
      </c>
      <c r="E530" s="4">
        <v>213231</v>
      </c>
    </row>
    <row r="531" spans="1:5" ht="13.5" hidden="1" customHeight="1">
      <c r="A531" s="4" t="s">
        <v>1244</v>
      </c>
      <c r="B531" s="4" t="s">
        <v>1245</v>
      </c>
      <c r="C531" s="4" t="str">
        <f ca="1">IFERROR(__xludf.DUMMYFUNCTION("GOOGLETRANSLATE(D:D,""auto"",""en"")"),"Eyes bright girl")</f>
        <v>Eyes bright girl</v>
      </c>
      <c r="D531" s="5" t="s">
        <v>1246</v>
      </c>
      <c r="E531" s="4">
        <v>202170</v>
      </c>
    </row>
    <row r="532" spans="1:5" ht="13.5" hidden="1" customHeight="1">
      <c r="A532" s="4" t="s">
        <v>1215</v>
      </c>
      <c r="B532" s="4" t="s">
        <v>1247</v>
      </c>
      <c r="C532" s="4" t="str">
        <f ca="1">IFERROR(__xludf.DUMMYFUNCTION("GOOGLETRANSLATE(D:D,""auto"",""en"")"),"Lisa blue eye shadow")</f>
        <v>Lisa blue eye shadow</v>
      </c>
      <c r="D532" s="5" t="s">
        <v>1248</v>
      </c>
      <c r="E532" s="4">
        <v>201925</v>
      </c>
    </row>
    <row r="533" spans="1:5" ht="13.5" hidden="1" customHeight="1">
      <c r="A533" s="4" t="s">
        <v>1249</v>
      </c>
      <c r="B533" s="4" t="s">
        <v>1250</v>
      </c>
      <c r="C533" s="4" t="str">
        <f ca="1">IFERROR(__xludf.DUMMYFUNCTION("GOOGLETRANSLATE(D:D,""auto"",""en"")"),"Because of the drama starring give up")</f>
        <v>Because of the drama starring give up</v>
      </c>
      <c r="D533" s="5" t="s">
        <v>1251</v>
      </c>
      <c r="E533" s="4">
        <v>199667</v>
      </c>
    </row>
    <row r="534" spans="1:5" ht="13.5" hidden="1" customHeight="1">
      <c r="A534" s="4" t="s">
        <v>1252</v>
      </c>
      <c r="B534" s="4" t="s">
        <v>1253</v>
      </c>
      <c r="C534" s="4" t="str">
        <f ca="1">IFERROR(__xludf.DUMMYFUNCTION("GOOGLETRANSLATE(D:D,""auto"",""en"")"),"When the maid of honor to unfamiliar people")</f>
        <v>When the maid of honor to unfamiliar people</v>
      </c>
      <c r="D534" s="5" t="s">
        <v>1254</v>
      </c>
      <c r="E534" s="4">
        <v>171800</v>
      </c>
    </row>
    <row r="535" spans="1:5" ht="13.5" hidden="1" customHeight="1">
      <c r="A535" s="4" t="s">
        <v>1215</v>
      </c>
      <c r="B535" s="4" t="s">
        <v>1255</v>
      </c>
      <c r="C535" s="4" t="str">
        <f ca="1">IFERROR(__xludf.DUMMYFUNCTION("GOOGLETRANSLATE(D:D,""auto"",""en"")"),"Spend lots of money to buy things but idle")</f>
        <v>Spend lots of money to buy things but idle</v>
      </c>
      <c r="D535" s="5" t="s">
        <v>1256</v>
      </c>
      <c r="E535" s="4">
        <v>157590</v>
      </c>
    </row>
    <row r="536" spans="1:5" ht="13.5" hidden="1" customHeight="1">
      <c r="A536" s="4" t="s">
        <v>1257</v>
      </c>
      <c r="B536" s="4" t="s">
        <v>1258</v>
      </c>
      <c r="C536" s="4" t="str">
        <f ca="1">IFERROR(__xludf.DUMMYFUNCTION("GOOGLETRANSLATE(D:D,""auto"",""en"")"),"Under silk clothing expression package contest")</f>
        <v>Under silk clothing expression package contest</v>
      </c>
      <c r="D536" s="5" t="s">
        <v>1259</v>
      </c>
      <c r="E536" s="4">
        <v>155778</v>
      </c>
    </row>
    <row r="537" spans="1:5" ht="13.5" hidden="1" customHeight="1">
      <c r="A537" s="4" t="s">
        <v>1178</v>
      </c>
      <c r="B537" s="4" t="s">
        <v>1231</v>
      </c>
      <c r="C537" s="4" t="str">
        <f ca="1">IFERROR(__xludf.DUMMYFUNCTION("GOOGLETRANSLATE(D:D,""auto"",""en"")"),"Jane Zhang red origami style dress concealed")</f>
        <v>Jane Zhang red origami style dress concealed</v>
      </c>
      <c r="D537" s="5" t="s">
        <v>1260</v>
      </c>
      <c r="E537" s="4">
        <v>152012</v>
      </c>
    </row>
    <row r="538" spans="1:5" ht="13.5" hidden="1" customHeight="1">
      <c r="A538" s="4" t="s">
        <v>1261</v>
      </c>
      <c r="B538" s="4" t="s">
        <v>1262</v>
      </c>
      <c r="C538" s="4" t="str">
        <f ca="1">IFERROR(__xludf.DUMMYFUNCTION("GOOGLETRANSLATE(D:D,""auto"",""en"")"),"Middle School teacher students' daily video recording")</f>
        <v>Middle School teacher students' daily video recording</v>
      </c>
      <c r="D538" s="5" t="s">
        <v>1263</v>
      </c>
      <c r="E538" s="4">
        <v>140453</v>
      </c>
    </row>
    <row r="539" spans="1:5" ht="13.5" hidden="1" customHeight="1">
      <c r="A539" s="4" t="s">
        <v>1264</v>
      </c>
      <c r="B539" s="4" t="s">
        <v>1092</v>
      </c>
      <c r="C539" s="4" t="str">
        <f ca="1">IFERROR(__xludf.DUMMYFUNCTION("GOOGLETRANSLATE(D:D,""auto"",""en"")"),"Eating hot pot side tours snow")</f>
        <v>Eating hot pot side tours snow</v>
      </c>
      <c r="D539" s="5" t="s">
        <v>1265</v>
      </c>
      <c r="E539" s="4">
        <v>127115</v>
      </c>
    </row>
    <row r="540" spans="1:5" ht="13.5" hidden="1" customHeight="1">
      <c r="A540" s="4" t="s">
        <v>1266</v>
      </c>
      <c r="B540" s="4" t="s">
        <v>1267</v>
      </c>
      <c r="C540" s="4" t="str">
        <f ca="1">IFERROR(__xludf.DUMMYFUNCTION("GOOGLETRANSLATE(D:D,""auto"",""en"")"),"Private cars 45 degrees to make way for fire engines")</f>
        <v>Private cars 45 degrees to make way for fire engines</v>
      </c>
      <c r="D540" s="5" t="s">
        <v>1268</v>
      </c>
      <c r="E540" s="4">
        <v>126620</v>
      </c>
    </row>
    <row r="541" spans="1:5" ht="13.5" hidden="1" customHeight="1">
      <c r="A541" s="4" t="s">
        <v>1269</v>
      </c>
      <c r="B541" s="4" t="s">
        <v>1270</v>
      </c>
      <c r="C541" s="4" t="str">
        <f ca="1">IFERROR(__xludf.DUMMYFUNCTION("GOOGLETRANSLATE(D:D,""auto"",""en"")"),"Liuzhi Xuan push the referee expelled")</f>
        <v>Liuzhi Xuan push the referee expelled</v>
      </c>
      <c r="D541" s="5" t="s">
        <v>1271</v>
      </c>
      <c r="E541" s="4">
        <v>119202</v>
      </c>
    </row>
    <row r="542" spans="1:5" ht="13.5" hidden="1" customHeight="1">
      <c r="A542" s="4" t="s">
        <v>1272</v>
      </c>
      <c r="B542" s="4" t="s">
        <v>1273</v>
      </c>
      <c r="C542" s="4" t="str">
        <f ca="1">IFERROR(__xludf.DUMMYFUNCTION("GOOGLETRANSLATE(D:D,""auto"",""en"")"),"Ricky Garcia")</f>
        <v>Ricky Garcia</v>
      </c>
      <c r="D542" s="5" t="s">
        <v>1274</v>
      </c>
      <c r="E542" s="4">
        <v>117163</v>
      </c>
    </row>
    <row r="543" spans="1:5" ht="13.5" hidden="1" customHeight="1">
      <c r="A543" s="4" t="s">
        <v>1275</v>
      </c>
      <c r="B543" s="4" t="s">
        <v>1276</v>
      </c>
      <c r="C543" s="4" t="str">
        <f ca="1">IFERROR(__xludf.DUMMYFUNCTION("GOOGLETRANSLATE(D:D,""auto"",""en"")"),"Dr. Self re nine diploma")</f>
        <v>Dr. Self re nine diploma</v>
      </c>
      <c r="D543" s="5" t="s">
        <v>1277</v>
      </c>
      <c r="E543" s="4">
        <v>114250</v>
      </c>
    </row>
    <row r="544" spans="1:5" ht="13.5" hidden="1" customHeight="1">
      <c r="A544" s="4" t="s">
        <v>1278</v>
      </c>
      <c r="B544" s="4" t="s">
        <v>1279</v>
      </c>
      <c r="C544" s="4" t="str">
        <f ca="1">IFERROR(__xludf.DUMMYFUNCTION("GOOGLETRANSLATE(D:D,""auto"",""en"")"),"Gold Record")</f>
        <v>Gold Record</v>
      </c>
      <c r="D544" s="5" t="s">
        <v>1280</v>
      </c>
      <c r="E544" s="4">
        <v>95012</v>
      </c>
    </row>
    <row r="545" spans="1:5" ht="13.5" hidden="1" customHeight="1">
      <c r="A545" s="4" t="s">
        <v>1281</v>
      </c>
      <c r="B545" s="4" t="s">
        <v>1150</v>
      </c>
      <c r="C545" s="4" t="str">
        <f ca="1">IFERROR(__xludf.DUMMYFUNCTION("GOOGLETRANSLATE(D:D,""auto"",""en"")"),"King of glory winter crown reunion night")</f>
        <v>King of glory winter crown reunion night</v>
      </c>
      <c r="D545" s="5" t="s">
        <v>1282</v>
      </c>
      <c r="E545" s="4">
        <v>92372</v>
      </c>
    </row>
    <row r="546" spans="1:5" ht="13.5" hidden="1" customHeight="1">
      <c r="A546" s="4" t="s">
        <v>1275</v>
      </c>
      <c r="B546" s="4" t="s">
        <v>1283</v>
      </c>
      <c r="C546" s="4" t="str">
        <f ca="1">IFERROR(__xludf.DUMMYFUNCTION("GOOGLETRANSLATE(D:D,""auto"",""en"")"),"Bijie change Cloud City")</f>
        <v>Bijie change Cloud City</v>
      </c>
      <c r="D546" s="5" t="s">
        <v>1284</v>
      </c>
      <c r="E546" s="4">
        <v>85874</v>
      </c>
    </row>
    <row r="547" spans="1:5" ht="13.5" hidden="1" customHeight="1">
      <c r="A547" s="4" t="s">
        <v>1072</v>
      </c>
      <c r="B547" s="4" t="s">
        <v>1285</v>
      </c>
      <c r="C547" s="4" t="str">
        <f ca="1">IFERROR(__xludf.DUMMYFUNCTION("GOOGLETRANSLATE(D:D,""auto"",""en"")"),"Jennie double tail")</f>
        <v>Jennie double tail</v>
      </c>
      <c r="D547" s="5" t="s">
        <v>1286</v>
      </c>
      <c r="E547" s="4">
        <v>79530</v>
      </c>
    </row>
    <row r="548" spans="1:5" ht="13.5" hidden="1" customHeight="1">
      <c r="A548" s="4" t="s">
        <v>1072</v>
      </c>
      <c r="B548" s="4" t="s">
        <v>1287</v>
      </c>
      <c r="C548" s="4" t="str">
        <f ca="1">IFERROR(__xludf.DUMMYFUNCTION("GOOGLETRANSLATE(D:D,""auto"",""en"")"),"Abstract direct drilling too troublesome baggage screening machine")</f>
        <v>Abstract direct drilling too troublesome baggage screening machine</v>
      </c>
      <c r="D548" s="5" t="s">
        <v>1288</v>
      </c>
      <c r="E548" s="4">
        <v>79211</v>
      </c>
    </row>
    <row r="549" spans="1:5" ht="13.5" hidden="1" customHeight="1">
      <c r="A549" s="4" t="s">
        <v>1289</v>
      </c>
      <c r="B549" s="4" t="s">
        <v>1290</v>
      </c>
      <c r="C549" s="4" t="str">
        <f ca="1">IFERROR(__xludf.DUMMYFUNCTION("GOOGLETRANSLATE(D:D,""auto"",""en"")"),"The oldest pyramid in Egypt will officially open restarted")</f>
        <v>The oldest pyramid in Egypt will officially open restarted</v>
      </c>
      <c r="D549" s="5" t="s">
        <v>1291</v>
      </c>
      <c r="E549" s="4">
        <v>78684</v>
      </c>
    </row>
    <row r="550" spans="1:5" ht="13.5" hidden="1" customHeight="1">
      <c r="A550" s="4" t="s">
        <v>1081</v>
      </c>
      <c r="B550" s="4" t="s">
        <v>1082</v>
      </c>
      <c r="C550" s="4" t="str">
        <f ca="1">IFERROR(__xludf.DUMMYFUNCTION("GOOGLETRANSLATE(D:D,""auto"",""en"")"),"In fact, this circle of friends can play")</f>
        <v>In fact, this circle of friends can play</v>
      </c>
      <c r="D550" s="5" t="s">
        <v>1083</v>
      </c>
      <c r="E550" s="4">
        <v>67448</v>
      </c>
    </row>
    <row r="551" spans="1:5" ht="13.5" hidden="1" customHeight="1">
      <c r="C551" s="4" t="str">
        <f ca="1">IFERROR(__xludf.DUMMYFUNCTION("GOOGLETRANSLATE(D:D,""auto"",""en"")"),"#VALUE!")</f>
        <v>#VALUE!</v>
      </c>
    </row>
    <row r="552" spans="1:5" ht="13.5" hidden="1" customHeight="1">
      <c r="A552" s="4" t="s">
        <v>1292</v>
      </c>
      <c r="B552" s="4" t="s">
        <v>1293</v>
      </c>
      <c r="C552" s="4" t="str">
        <f ca="1">IFERROR(__xludf.DUMMYFUNCTION("GOOGLETRANSLATE(D:D,""auto"",""en"")"),"Positive seconds to delete")</f>
        <v>Positive seconds to delete</v>
      </c>
      <c r="D552" s="4" t="s">
        <v>1294</v>
      </c>
      <c r="E552" s="4">
        <v>4046928</v>
      </c>
    </row>
    <row r="553" spans="1:5" ht="13.5" hidden="1" customHeight="1">
      <c r="A553" s="4" t="s">
        <v>1295</v>
      </c>
      <c r="B553" s="4" t="s">
        <v>1296</v>
      </c>
      <c r="C553" s="4" t="str">
        <f ca="1">IFERROR(__xludf.DUMMYFUNCTION("GOOGLETRANSLATE(D:D,""auto"",""en"")"),"Alipay annual bill")</f>
        <v>Alipay annual bill</v>
      </c>
      <c r="D553" s="5" t="s">
        <v>1297</v>
      </c>
      <c r="E553" s="4">
        <v>2142035</v>
      </c>
    </row>
    <row r="554" spans="1:5" ht="13.5" hidden="1" customHeight="1">
      <c r="A554" s="4" t="s">
        <v>1298</v>
      </c>
      <c r="B554" s="4" t="s">
        <v>1299</v>
      </c>
      <c r="C554" s="4" t="str">
        <f ca="1">IFERROR(__xludf.DUMMYFUNCTION("GOOGLETRANSLATE(D:D,""auto"",""en"")"),"MOMO 发文")</f>
        <v>MOMO 发文</v>
      </c>
      <c r="D554" s="5" t="s">
        <v>1300</v>
      </c>
      <c r="E554" s="4">
        <v>1923312</v>
      </c>
    </row>
    <row r="555" spans="1:5" ht="13.5" hidden="1" customHeight="1">
      <c r="A555" s="4" t="s">
        <v>1301</v>
      </c>
      <c r="B555" s="4" t="s">
        <v>1302</v>
      </c>
      <c r="C555" s="4" t="str">
        <f ca="1">IFERROR(__xludf.DUMMYFUNCTION("GOOGLETRANSLATE(D:D,""auto"",""en"")"),"Mobile QQ can display real-time charge each other")</f>
        <v>Mobile QQ can display real-time charge each other</v>
      </c>
      <c r="D555" s="5" t="s">
        <v>1303</v>
      </c>
      <c r="E555" s="4">
        <v>1776604</v>
      </c>
    </row>
    <row r="556" spans="1:5" ht="13.5" hidden="1" customHeight="1">
      <c r="A556" s="4" t="s">
        <v>1304</v>
      </c>
      <c r="B556" s="4" t="s">
        <v>1305</v>
      </c>
      <c r="C556" s="4" t="str">
        <f ca="1">IFERROR(__xludf.DUMMYFUNCTION("GOOGLETRANSLATE(D:D,""auto"",""en"")"),"8888 No. 28 yuan is pretty less need to reinstall the pin number 192000")</f>
        <v>8888 No. 28 yuan is pretty less need to reinstall the pin number 192000</v>
      </c>
      <c r="D556" s="5" t="s">
        <v>1306</v>
      </c>
      <c r="E556" s="4">
        <v>1003911</v>
      </c>
    </row>
    <row r="557" spans="1:5" ht="13.5" hidden="1" customHeight="1">
      <c r="A557" s="4" t="s">
        <v>1307</v>
      </c>
      <c r="B557" s="4" t="s">
        <v>1308</v>
      </c>
      <c r="C557" s="4" t="str">
        <f ca="1">IFERROR(__xludf.DUMMYFUNCTION("GOOGLETRANSLATE(D:D,""auto"",""en"")"),"Jolin Tsai concert liable drunk man downtown market")</f>
        <v>Jolin Tsai concert liable drunk man downtown market</v>
      </c>
      <c r="D557" s="5" t="s">
        <v>1309</v>
      </c>
      <c r="E557" s="4">
        <v>996283</v>
      </c>
    </row>
    <row r="558" spans="1:5" ht="13.5" hidden="1" customHeight="1">
      <c r="A558" s="4" t="s">
        <v>1310</v>
      </c>
      <c r="B558" s="4" t="s">
        <v>1184</v>
      </c>
      <c r="C558" s="4" t="str">
        <f ca="1">IFERROR(__xludf.DUMMYFUNCTION("GOOGLETRANSLATE(D:D,""auto"",""en"")"),"Dear military uniform boot")</f>
        <v>Dear military uniform boot</v>
      </c>
      <c r="D558" s="5" t="s">
        <v>1311</v>
      </c>
      <c r="E558" s="4">
        <v>743388</v>
      </c>
    </row>
    <row r="559" spans="1:5" ht="13.5" hidden="1" customHeight="1">
      <c r="A559" s="4" t="s">
        <v>1312</v>
      </c>
      <c r="B559" s="4" t="s">
        <v>1227</v>
      </c>
      <c r="C559" s="4" t="str">
        <f ca="1">IFERROR(__xludf.DUMMYFUNCTION("GOOGLETRANSLATE(D:D,""auto"",""en"")"),"Trump US troops will not leave Iraq")</f>
        <v>Trump US troops will not leave Iraq</v>
      </c>
      <c r="D559" s="5" t="s">
        <v>1313</v>
      </c>
      <c r="E559" s="4">
        <v>626410</v>
      </c>
    </row>
    <row r="560" spans="1:5" ht="13.5" hidden="1" customHeight="1">
      <c r="A560" s="4" t="s">
        <v>1314</v>
      </c>
      <c r="B560" s="4" t="s">
        <v>1315</v>
      </c>
      <c r="C560" s="4" t="str">
        <f ca="1">IFERROR(__xludf.DUMMYFUNCTION("GOOGLETRANSLATE(D:D,""auto"",""en"")"),"Girls school principals responded snow frostbite")</f>
        <v>Girls school principals responded snow frostbite</v>
      </c>
      <c r="D560" s="5" t="s">
        <v>1316</v>
      </c>
      <c r="E560" s="4">
        <v>581024</v>
      </c>
    </row>
    <row r="561" spans="1:5" ht="13.5" hidden="1" customHeight="1">
      <c r="A561" s="4" t="s">
        <v>1317</v>
      </c>
      <c r="B561" s="4" t="s">
        <v>1318</v>
      </c>
      <c r="C561" s="4" t="str">
        <f ca="1">IFERROR(__xludf.DUMMYFUNCTION("GOOGLETRANSLATE(D:D,""auto"",""en"")"),"Iran announced its withdrawal from the Iranian nuclear deal")</f>
        <v>Iran announced its withdrawal from the Iranian nuclear deal</v>
      </c>
      <c r="D561" s="5" t="s">
        <v>1319</v>
      </c>
      <c r="E561" s="4">
        <v>474741</v>
      </c>
    </row>
    <row r="562" spans="1:5" ht="13.5" hidden="1" customHeight="1">
      <c r="A562" s="4" t="s">
        <v>1320</v>
      </c>
      <c r="B562" s="4" t="s">
        <v>1321</v>
      </c>
      <c r="C562" s="4" t="str">
        <f ca="1">IFERROR(__xludf.DUMMYFUNCTION("GOOGLETRANSLATE(D:D,""auto"",""en"")"),"Why always closed on the eve of snow in the Forbidden City")</f>
        <v>Why always closed on the eve of snow in the Forbidden City</v>
      </c>
      <c r="D562" s="5" t="s">
        <v>1322</v>
      </c>
      <c r="E562" s="4">
        <v>472268</v>
      </c>
    </row>
    <row r="563" spans="1:5" ht="13.5" hidden="1" customHeight="1">
      <c r="A563" s="4" t="s">
        <v>1323</v>
      </c>
      <c r="B563" s="4" t="s">
        <v>1324</v>
      </c>
      <c r="C563" s="4" t="str">
        <f ca="1">IFERROR(__xludf.DUMMYFUNCTION("GOOGLETRANSLATE(D:D,""auto"",""en"")"),"Golden Globe")</f>
        <v>Golden Globe</v>
      </c>
      <c r="D563" s="5" t="s">
        <v>1325</v>
      </c>
      <c r="E563" s="4">
        <v>453575</v>
      </c>
    </row>
    <row r="564" spans="1:5" ht="13.5" hidden="1" customHeight="1">
      <c r="A564" s="4" t="s">
        <v>1326</v>
      </c>
      <c r="B564" s="4" t="s">
        <v>1327</v>
      </c>
      <c r="C564" s="4" t="str">
        <f ca="1">IFERROR(__xludf.DUMMYFUNCTION("GOOGLETRANSLATE(D:D,""auto"",""en"")"),"Mold mildew print dress")</f>
        <v>Mold mildew print dress</v>
      </c>
      <c r="D564" s="5" t="s">
        <v>1328</v>
      </c>
      <c r="E564" s="4">
        <v>444978</v>
      </c>
    </row>
    <row r="565" spans="1:5" ht="13.5" hidden="1" customHeight="1">
      <c r="A565" s="4" t="s">
        <v>1329</v>
      </c>
      <c r="B565" s="4" t="s">
        <v>1330</v>
      </c>
      <c r="C565" s="4" t="str">
        <f ca="1">IFERROR(__xludf.DUMMYFUNCTION("GOOGLETRANSLATE(D:D,""auto"",""en"")"),"White little sister to save myself legend")</f>
        <v>White little sister to save myself legend</v>
      </c>
      <c r="D565" s="5" t="s">
        <v>1331</v>
      </c>
      <c r="E565" s="4">
        <v>373418</v>
      </c>
    </row>
    <row r="566" spans="1:5" ht="13.5" hidden="1" customHeight="1">
      <c r="A566" s="4" t="s">
        <v>1163</v>
      </c>
      <c r="B566" s="4" t="s">
        <v>1302</v>
      </c>
      <c r="C566" s="4" t="str">
        <f ca="1">IFERROR(__xludf.DUMMYFUNCTION("GOOGLETRANSLATE(D:D,""auto"",""en"")"),"Kim was hospitalized in hand")</f>
        <v>Kim was hospitalized in hand</v>
      </c>
      <c r="D566" s="5" t="s">
        <v>1332</v>
      </c>
      <c r="E566" s="4">
        <v>370765</v>
      </c>
    </row>
    <row r="567" spans="1:5" ht="13.5" hidden="1" customHeight="1">
      <c r="A567" s="4" t="s">
        <v>1333</v>
      </c>
      <c r="B567" s="4" t="s">
        <v>1334</v>
      </c>
      <c r="C567" s="4" t="str">
        <f ca="1">IFERROR(__xludf.DUMMYFUNCTION("GOOGLETRANSLATE(D:D,""auto"",""en"")"),"After reading your bill")</f>
        <v>After reading your bill</v>
      </c>
      <c r="D567" s="5" t="s">
        <v>1335</v>
      </c>
      <c r="E567" s="4">
        <v>363685</v>
      </c>
    </row>
    <row r="568" spans="1:5" ht="13.5" hidden="1" customHeight="1">
      <c r="A568" s="4" t="s">
        <v>1336</v>
      </c>
      <c r="B568" s="4" t="s">
        <v>1212</v>
      </c>
      <c r="C568" s="4" t="str">
        <f ca="1">IFERROR(__xludf.DUMMYFUNCTION("GOOGLETRANSLATE(D:D,""auto"",""en"")"),"Tangshan new house can not be sold within 42 months")</f>
        <v>Tangshan new house can not be sold within 42 months</v>
      </c>
      <c r="D568" s="5" t="s">
        <v>1337</v>
      </c>
      <c r="E568" s="4">
        <v>360783</v>
      </c>
    </row>
    <row r="569" spans="1:5" ht="13.5" hidden="1" customHeight="1">
      <c r="A569" s="4" t="s">
        <v>1338</v>
      </c>
      <c r="B569" s="4" t="s">
        <v>1302</v>
      </c>
      <c r="C569" s="4" t="str">
        <f ca="1">IFERROR(__xludf.DUMMYFUNCTION("GOOGLETRANSLATE(D:D,""auto"",""en"")"),"Pitaya lipstick")</f>
        <v>Pitaya lipstick</v>
      </c>
      <c r="D569" s="5" t="s">
        <v>1339</v>
      </c>
      <c r="E569" s="4">
        <v>359948</v>
      </c>
    </row>
    <row r="570" spans="1:5" ht="13.5" hidden="1" customHeight="1">
      <c r="A570" s="4" t="s">
        <v>1340</v>
      </c>
      <c r="B570" s="4" t="s">
        <v>1272</v>
      </c>
      <c r="C570" s="4" t="str">
        <f ca="1">IFERROR(__xludf.DUMMYFUNCTION("GOOGLETRANSLATE(D:D,""auto"",""en"")"),"US military to suspend the fight against IS in Iraq and Syria")</f>
        <v>US military to suspend the fight against IS in Iraq and Syria</v>
      </c>
      <c r="D570" s="5" t="s">
        <v>1341</v>
      </c>
      <c r="E570" s="4">
        <v>350957</v>
      </c>
    </row>
    <row r="571" spans="1:5" ht="13.5" hidden="1" customHeight="1">
      <c r="A571" s="4" t="s">
        <v>1342</v>
      </c>
      <c r="B571" s="4" t="s">
        <v>1343</v>
      </c>
      <c r="C571" s="4" t="str">
        <f ca="1">IFERROR(__xludf.DUMMYFUNCTION("GOOGLETRANSLATE(D:D,""auto"",""en"")"),"Sellers feel sad")</f>
        <v>Sellers feel sad</v>
      </c>
      <c r="D571" s="5" t="s">
        <v>1344</v>
      </c>
      <c r="E571" s="4">
        <v>326965</v>
      </c>
    </row>
    <row r="572" spans="1:5" ht="13.5" hidden="1" customHeight="1">
      <c r="A572" s="4" t="s">
        <v>1345</v>
      </c>
      <c r="B572" s="4" t="s">
        <v>1346</v>
      </c>
      <c r="C572" s="4" t="str">
        <f ca="1">IFERROR(__xludf.DUMMYFUNCTION("GOOGLETRANSLATE(D:D,""auto"",""en"")"),"Best Western sheet parasites Golden Globe")</f>
        <v>Best Western sheet parasites Golden Globe</v>
      </c>
      <c r="D572" s="5" t="s">
        <v>1347</v>
      </c>
      <c r="E572" s="4">
        <v>300638</v>
      </c>
    </row>
    <row r="573" spans="1:5" ht="13.5" hidden="1" customHeight="1">
      <c r="A573" s="4" t="s">
        <v>1348</v>
      </c>
      <c r="B573" s="4" t="s">
        <v>1349</v>
      </c>
      <c r="C573" s="4" t="str">
        <f ca="1">IFERROR(__xludf.DUMMYFUNCTION("GOOGLETRANSLATE(D:D,""auto"",""en"")"),"Suzhou Shiquan Street collapse")</f>
        <v>Suzhou Shiquan Street collapse</v>
      </c>
      <c r="D573" s="5" t="s">
        <v>1350</v>
      </c>
      <c r="E573" s="4">
        <v>289286</v>
      </c>
    </row>
    <row r="574" spans="1:5" ht="13.5" hidden="1" customHeight="1">
      <c r="A574" s="4" t="s">
        <v>1351</v>
      </c>
      <c r="B574" s="4" t="s">
        <v>1352</v>
      </c>
      <c r="C574" s="4" t="str">
        <f ca="1">IFERROR(__xludf.DUMMYFUNCTION("GOOGLETRANSLATE(D:D,""auto"",""en"")"),"Deng purple chess deep V dress")</f>
        <v>Deng purple chess deep V dress</v>
      </c>
      <c r="D574" s="5" t="s">
        <v>1353</v>
      </c>
      <c r="E574" s="4">
        <v>282968</v>
      </c>
    </row>
    <row r="575" spans="1:5" ht="13.5" hidden="1" customHeight="1">
      <c r="A575" s="4" t="s">
        <v>1333</v>
      </c>
      <c r="B575" s="4" t="s">
        <v>1354</v>
      </c>
      <c r="C575" s="4" t="str">
        <f ca="1">IFERROR(__xludf.DUMMYFUNCTION("GOOGLETRANSLATE(D:D,""auto"",""en"")"),"Osamu")</f>
        <v>Osamu</v>
      </c>
      <c r="D575" s="5" t="s">
        <v>1355</v>
      </c>
      <c r="E575" s="4">
        <v>280423</v>
      </c>
    </row>
    <row r="576" spans="1:5" ht="13.5" hidden="1" customHeight="1">
      <c r="A576" s="4" t="s">
        <v>1163</v>
      </c>
      <c r="B576" s="4" t="s">
        <v>1164</v>
      </c>
      <c r="C576" s="4" t="str">
        <f ca="1">IFERROR(__xludf.DUMMYFUNCTION("GOOGLETRANSLATE(D:D,""auto"",""en"")"),"ZhouDongYu finished pulling wisdom teeth swollen face")</f>
        <v>ZhouDongYu finished pulling wisdom teeth swollen face</v>
      </c>
      <c r="D576" s="5" t="s">
        <v>1165</v>
      </c>
      <c r="E576" s="4">
        <v>265396</v>
      </c>
    </row>
    <row r="577" spans="1:5" ht="13.5" hidden="1" customHeight="1">
      <c r="A577" s="4" t="s">
        <v>1356</v>
      </c>
      <c r="B577" s="4" t="s">
        <v>1352</v>
      </c>
      <c r="C577" s="4" t="str">
        <f ca="1">IFERROR(__xludf.DUMMYFUNCTION("GOOGLETRANSLATE(D:D,""auto"",""en"")"),"Bottle marry")</f>
        <v>Bottle marry</v>
      </c>
      <c r="D577" s="5" t="s">
        <v>1357</v>
      </c>
      <c r="E577" s="4">
        <v>240679</v>
      </c>
    </row>
    <row r="578" spans="1:5" ht="13.5" hidden="1" customHeight="1">
      <c r="A578" s="4" t="s">
        <v>1358</v>
      </c>
      <c r="B578" s="4" t="s">
        <v>1359</v>
      </c>
      <c r="C578" s="4" t="str">
        <f ca="1">IFERROR(__xludf.DUMMYFUNCTION("GOOGLETRANSLATE(D:D,""auto"",""en"")"),"Iraq's parliament decided to end the US military presence")</f>
        <v>Iraq's parliament decided to end the US military presence</v>
      </c>
      <c r="D578" s="5" t="s">
        <v>1360</v>
      </c>
      <c r="E578" s="4">
        <v>225930</v>
      </c>
    </row>
    <row r="579" spans="1:5" ht="13.5" hidden="1" customHeight="1">
      <c r="A579" s="4" t="s">
        <v>1361</v>
      </c>
      <c r="B579" s="4" t="s">
        <v>1362</v>
      </c>
      <c r="C579" s="4" t="str">
        <f ca="1">IFERROR(__xludf.DUMMYFUNCTION("GOOGLETRANSLATE(D:D,""auto"",""en"")"),"What experience is good-looking girlfriends")</f>
        <v>What experience is good-looking girlfriends</v>
      </c>
      <c r="D579" s="5" t="s">
        <v>1363</v>
      </c>
      <c r="E579" s="4">
        <v>189034</v>
      </c>
    </row>
    <row r="580" spans="1:5" ht="13.5" hidden="1" customHeight="1">
      <c r="A580" s="4" t="s">
        <v>1195</v>
      </c>
      <c r="B580" s="4" t="s">
        <v>1196</v>
      </c>
      <c r="C580" s="4" t="str">
        <f ca="1">IFERROR(__xludf.DUMMYFUNCTION("GOOGLETRANSLATE(D:D,""auto"",""en"")"),"2020 The first snow")</f>
        <v>2020 The first snow</v>
      </c>
      <c r="D580" s="5" t="s">
        <v>1197</v>
      </c>
      <c r="E580" s="4">
        <v>187400</v>
      </c>
    </row>
    <row r="581" spans="1:5" ht="13.5" hidden="1" customHeight="1">
      <c r="A581" s="4" t="s">
        <v>1172</v>
      </c>
      <c r="B581" s="4" t="s">
        <v>1364</v>
      </c>
      <c r="C581" s="4" t="str">
        <f ca="1">IFERROR(__xludf.DUMMYFUNCTION("GOOGLETRANSLATE(D:D,""auto"",""en"")"),"92-year-old physician week to see 600 patients")</f>
        <v>92-year-old physician week to see 600 patients</v>
      </c>
      <c r="D581" s="5" t="s">
        <v>1365</v>
      </c>
      <c r="E581" s="4">
        <v>187125</v>
      </c>
    </row>
    <row r="582" spans="1:5" ht="13.5" hidden="1" customHeight="1">
      <c r="A582" s="4" t="s">
        <v>1366</v>
      </c>
      <c r="B582" s="4" t="s">
        <v>1367</v>
      </c>
      <c r="C582" s="4" t="str">
        <f ca="1">IFERROR(__xludf.DUMMYFUNCTION("GOOGLETRANSLATE(D:D,""auto"",""en"")"),"Female nurse rescue save counterparts questioned unprofessional")</f>
        <v>Female nurse rescue save counterparts questioned unprofessional</v>
      </c>
      <c r="D582" s="5" t="s">
        <v>1368</v>
      </c>
      <c r="E582" s="4">
        <v>176380</v>
      </c>
    </row>
    <row r="583" spans="1:5" ht="13.5" hidden="1" customHeight="1">
      <c r="A583" s="4" t="s">
        <v>1369</v>
      </c>
      <c r="B583" s="4" t="s">
        <v>1370</v>
      </c>
      <c r="C583" s="4" t="str">
        <f ca="1">IFERROR(__xludf.DUMMYFUNCTION("GOOGLETRANSLATE(D:D,""auto"",""en"")"),"Hengshui High School opened Snow Games")</f>
        <v>Hengshui High School opened Snow Games</v>
      </c>
      <c r="D583" s="5" t="s">
        <v>1371</v>
      </c>
      <c r="E583" s="4">
        <v>169119</v>
      </c>
    </row>
    <row r="584" spans="1:5" ht="13.5" hidden="1" customHeight="1">
      <c r="A584" s="4" t="s">
        <v>1366</v>
      </c>
      <c r="B584" s="4" t="s">
        <v>1372</v>
      </c>
      <c r="C584" s="4" t="str">
        <f ca="1">IFERROR(__xludf.DUMMYFUNCTION("GOOGLETRANSLATE(D:D,""auto"",""en"")"),"North to south classmate classmates snowman")</f>
        <v>North to south classmate classmates snowman</v>
      </c>
      <c r="D584" s="5" t="s">
        <v>1373</v>
      </c>
      <c r="E584" s="4">
        <v>151139</v>
      </c>
    </row>
    <row r="585" spans="1:5" ht="13.5" hidden="1" customHeight="1">
      <c r="A585" s="4" t="s">
        <v>1172</v>
      </c>
      <c r="B585" s="4" t="s">
        <v>1173</v>
      </c>
      <c r="C585" s="4" t="str">
        <f ca="1">IFERROR(__xludf.DUMMYFUNCTION("GOOGLETRANSLATE(D:D,""auto"",""en"")"),"Ming Fang responded brother committed suicide")</f>
        <v>Ming Fang responded brother committed suicide</v>
      </c>
      <c r="D585" s="5" t="s">
        <v>1174</v>
      </c>
      <c r="E585" s="4">
        <v>139806</v>
      </c>
    </row>
    <row r="586" spans="1:5" ht="13.5" hidden="1" customHeight="1">
      <c r="A586" s="4" t="s">
        <v>1374</v>
      </c>
      <c r="B586" s="4" t="s">
        <v>1375</v>
      </c>
      <c r="C586" s="4" t="str">
        <f ca="1">IFERROR(__xludf.DUMMYFUNCTION("GOOGLETRANSLATE(D:D,""auto"",""en"")"),"Chinese players for archives")</f>
        <v>Chinese players for archives</v>
      </c>
      <c r="D586" s="5" t="s">
        <v>1376</v>
      </c>
      <c r="E586" s="4">
        <v>134346</v>
      </c>
    </row>
    <row r="587" spans="1:5" ht="13.5" hidden="1" customHeight="1">
      <c r="A587" s="4" t="s">
        <v>1169</v>
      </c>
      <c r="B587" s="4" t="s">
        <v>1170</v>
      </c>
      <c r="C587" s="4" t="str">
        <f ca="1">IFERROR(__xludf.DUMMYFUNCTION("GOOGLETRANSLATE(D:D,""auto"",""en"")"),"want to see you")</f>
        <v>want to see you</v>
      </c>
      <c r="D587" s="5" t="s">
        <v>1171</v>
      </c>
      <c r="E587" s="4">
        <v>132072</v>
      </c>
    </row>
    <row r="588" spans="1:5" ht="13.5" hidden="1" customHeight="1">
      <c r="A588" s="4" t="s">
        <v>1377</v>
      </c>
      <c r="B588" s="4" t="s">
        <v>1378</v>
      </c>
      <c r="C588" s="4" t="str">
        <f ca="1">IFERROR(__xludf.DUMMYFUNCTION("GOOGLETRANSLATE(D:D,""auto"",""en"")"),"Command tug of war let the other party 30 seconds")</f>
        <v>Command tug of war let the other party 30 seconds</v>
      </c>
      <c r="D588" s="5" t="s">
        <v>1379</v>
      </c>
      <c r="E588" s="4">
        <v>128862</v>
      </c>
    </row>
    <row r="589" spans="1:5" ht="13.5" hidden="1" customHeight="1">
      <c r="A589" s="4" t="s">
        <v>1380</v>
      </c>
      <c r="B589" s="4" t="s">
        <v>1381</v>
      </c>
      <c r="C589" s="4" t="str">
        <f ca="1">IFERROR(__xludf.DUMMYFUNCTION("GOOGLETRANSLATE(D:D,""auto"",""en"")"),"Sakura picturesque beauty of Winter")</f>
        <v>Sakura picturesque beauty of Winter</v>
      </c>
      <c r="D589" s="5" t="s">
        <v>1382</v>
      </c>
      <c r="E589" s="4">
        <v>128068</v>
      </c>
    </row>
    <row r="590" spans="1:5" ht="13.5" hidden="1" customHeight="1">
      <c r="A590" s="4" t="s">
        <v>1374</v>
      </c>
      <c r="B590" s="4" t="s">
        <v>1362</v>
      </c>
      <c r="C590" s="4" t="str">
        <f ca="1">IFERROR(__xludf.DUMMYFUNCTION("GOOGLETRANSLATE(D:D,""auto"",""en"")"),"Inferiority of people is what")</f>
        <v>Inferiority of people is what</v>
      </c>
      <c r="D590" s="5" t="s">
        <v>1383</v>
      </c>
      <c r="E590" s="4">
        <v>111060</v>
      </c>
    </row>
    <row r="591" spans="1:5" ht="13.5" hidden="1" customHeight="1">
      <c r="A591" s="4" t="s">
        <v>1384</v>
      </c>
      <c r="B591" s="4" t="s">
        <v>1272</v>
      </c>
      <c r="C591" s="4" t="str">
        <f ca="1">IFERROR(__xludf.DUMMYFUNCTION("GOOGLETRANSLATE(D:D,""auto"",""en"")"),"Reality version of 45 degrees to make way law")</f>
        <v>Reality version of 45 degrees to make way law</v>
      </c>
      <c r="D591" s="5" t="s">
        <v>1385</v>
      </c>
      <c r="E591" s="4">
        <v>101872</v>
      </c>
    </row>
    <row r="592" spans="1:5" ht="13.5" hidden="1" customHeight="1">
      <c r="A592" s="4" t="s">
        <v>1386</v>
      </c>
      <c r="B592" s="4" t="s">
        <v>1349</v>
      </c>
      <c r="C592" s="4" t="str">
        <f ca="1">IFERROR(__xludf.DUMMYFUNCTION("GOOGLETRANSLATE(D:D,""auto"",""en"")"),"Li Tie has no selfish players in the national team position")</f>
        <v>Li Tie has no selfish players in the national team position</v>
      </c>
      <c r="D592" s="5" t="s">
        <v>1387</v>
      </c>
      <c r="E592" s="4">
        <v>99784</v>
      </c>
    </row>
    <row r="593" spans="1:6" ht="13.5" hidden="1" customHeight="1">
      <c r="A593" s="4" t="s">
        <v>1192</v>
      </c>
      <c r="B593" s="4" t="s">
        <v>1193</v>
      </c>
      <c r="C593" s="4" t="str">
        <f ca="1">IFERROR(__xludf.DUMMYFUNCTION("GOOGLETRANSLATE(D:D,""auto"",""en"")"),"Xiaozhan Angela cry")</f>
        <v>Xiaozhan Angela cry</v>
      </c>
      <c r="D593" s="5" t="s">
        <v>1194</v>
      </c>
      <c r="E593" s="4">
        <v>96150</v>
      </c>
    </row>
    <row r="594" spans="1:6" ht="13.5" hidden="1" customHeight="1">
      <c r="A594" s="4" t="s">
        <v>1388</v>
      </c>
      <c r="B594" s="4" t="s">
        <v>1372</v>
      </c>
      <c r="C594" s="4" t="str">
        <f ca="1">IFERROR(__xludf.DUMMYFUNCTION("GOOGLETRANSLATE(D:D,""auto"",""en"")"),"Jingshan snow")</f>
        <v>Jingshan snow</v>
      </c>
      <c r="D594" s="5" t="s">
        <v>1389</v>
      </c>
      <c r="E594" s="4">
        <v>91888</v>
      </c>
    </row>
    <row r="595" spans="1:6" ht="13.5" hidden="1" customHeight="1">
      <c r="A595" s="4" t="s">
        <v>1192</v>
      </c>
      <c r="B595" s="4" t="s">
        <v>1390</v>
      </c>
      <c r="C595" s="4" t="str">
        <f ca="1">IFERROR(__xludf.DUMMYFUNCTION("GOOGLETRANSLATE(D:D,""auto"",""en"")"),"That make you worry about the sleep thing")</f>
        <v>That make you worry about the sleep thing</v>
      </c>
      <c r="D595" s="5" t="s">
        <v>1391</v>
      </c>
      <c r="E595" s="4">
        <v>89767</v>
      </c>
    </row>
    <row r="596" spans="1:6" ht="13.5" hidden="1" customHeight="1">
      <c r="A596" s="4" t="s">
        <v>1166</v>
      </c>
      <c r="B596" s="4" t="s">
        <v>1167</v>
      </c>
      <c r="C596" s="4" t="str">
        <f ca="1">IFERROR(__xludf.DUMMYFUNCTION("GOOGLETRANSLATE(D:D,""auto"",""en"")"),"Iran says no intention to go to war with the United States")</f>
        <v>Iran says no intention to go to war with the United States</v>
      </c>
      <c r="D596" s="5" t="s">
        <v>1168</v>
      </c>
      <c r="E596" s="4">
        <v>89110</v>
      </c>
    </row>
    <row r="597" spans="1:6" ht="13.5" hidden="1" customHeight="1">
      <c r="A597" s="4" t="s">
        <v>1224</v>
      </c>
      <c r="B597" s="4" t="s">
        <v>1225</v>
      </c>
      <c r="C597" s="4" t="str">
        <f ca="1">IFERROR(__xludf.DUMMYFUNCTION("GOOGLETRANSLATE(D:D,""auto"",""en"")"),"Daming Fenghua")</f>
        <v>Daming Fenghua</v>
      </c>
      <c r="D597" s="5" t="s">
        <v>1226</v>
      </c>
      <c r="E597" s="4">
        <v>83679</v>
      </c>
    </row>
    <row r="598" spans="1:6" ht="13.5" hidden="1" customHeight="1">
      <c r="A598" s="4" t="s">
        <v>1392</v>
      </c>
      <c r="B598" s="4" t="s">
        <v>1393</v>
      </c>
      <c r="C598" s="4" t="str">
        <f ca="1">IFERROR(__xludf.DUMMYFUNCTION("GOOGLETRANSLATE(D:D,""auto"",""en"")"),"Hunan shared bicycle lost hundreds of vehicles")</f>
        <v>Hunan shared bicycle lost hundreds of vehicles</v>
      </c>
      <c r="D598" s="5" t="s">
        <v>1394</v>
      </c>
      <c r="E598" s="4">
        <v>75525</v>
      </c>
    </row>
    <row r="599" spans="1:6" ht="13.5" hidden="1" customHeight="1">
      <c r="A599" s="4" t="s">
        <v>1166</v>
      </c>
      <c r="B599" s="4" t="s">
        <v>1372</v>
      </c>
      <c r="C599" s="4" t="str">
        <f ca="1">IFERROR(__xludf.DUMMYFUNCTION("GOOGLETRANSLATE(D:D,""auto"",""en"")"),"The United States and more than 70 anti-war demonstrations held in the city")</f>
        <v>The United States and more than 70 anti-war demonstrations held in the city</v>
      </c>
      <c r="D599" s="5" t="s">
        <v>1395</v>
      </c>
      <c r="E599" s="4">
        <v>74838</v>
      </c>
    </row>
    <row r="600" spans="1:6" ht="13.5" hidden="1" customHeight="1">
      <c r="A600" s="4" t="s">
        <v>1218</v>
      </c>
      <c r="B600" s="4" t="s">
        <v>1219</v>
      </c>
      <c r="C600" s="4" t="str">
        <f ca="1">IFERROR(__xludf.DUMMYFUNCTION("GOOGLETRANSLATE(D:D,""auto"",""en"")"),"Jordan Chan filter under beauty")</f>
        <v>Jordan Chan filter under beauty</v>
      </c>
      <c r="D600" s="5" t="s">
        <v>1220</v>
      </c>
      <c r="E600" s="4">
        <v>57865</v>
      </c>
    </row>
    <row r="601" spans="1:6" ht="13.5" hidden="1" customHeight="1">
      <c r="C601" s="4" t="str">
        <f ca="1">IFERROR(__xludf.DUMMYFUNCTION("GOOGLETRANSLATE(D:D,""auto"",""en"")"),"#VALUE!")</f>
        <v>#VALUE!</v>
      </c>
    </row>
    <row r="602" spans="1:6" ht="13.5" hidden="1" customHeight="1">
      <c r="A602" s="4" t="s">
        <v>1396</v>
      </c>
      <c r="B602" s="4" t="s">
        <v>1397</v>
      </c>
      <c r="C602" s="4" t="str">
        <f ca="1">IFERROR(__xludf.DUMMYFUNCTION("GOOGLETRANSLATE(D:D,""auto"",""en"")"),"Xiao Zhan Wang Kai Zhang Ruoyun asleep")</f>
        <v>Xiao Zhan Wang Kai Zhang Ruoyun asleep</v>
      </c>
      <c r="D602" s="4" t="s">
        <v>1398</v>
      </c>
      <c r="E602" s="4">
        <v>2862424</v>
      </c>
    </row>
    <row r="603" spans="1:6" ht="13.5" hidden="1" customHeight="1">
      <c r="A603" s="4" t="s">
        <v>1399</v>
      </c>
      <c r="B603" s="4" t="s">
        <v>1400</v>
      </c>
      <c r="C603" s="4" t="str">
        <f ca="1">IFERROR(__xludf.DUMMYFUNCTION("GOOGLETRANSLATE(D:D,""auto"",""en"")"),"Iran's supreme leader, Major General crying on funeral")</f>
        <v>Iran's supreme leader, Major General crying on funeral</v>
      </c>
      <c r="D603" s="5" t="s">
        <v>1401</v>
      </c>
      <c r="E603" s="4">
        <v>2051064</v>
      </c>
    </row>
    <row r="604" spans="1:6" ht="13.5" hidden="1" customHeight="1">
      <c r="A604" s="4" t="s">
        <v>1402</v>
      </c>
      <c r="B604" s="4" t="s">
        <v>1403</v>
      </c>
      <c r="C604" s="4" t="str">
        <f ca="1">IFERROR(__xludf.DUMMYFUNCTION("GOOGLETRANSLATE(D:D,""auto"",""en"")"),"Luhan live to eat hot pot")</f>
        <v>Luhan live to eat hot pot</v>
      </c>
      <c r="D604" s="5" t="s">
        <v>1404</v>
      </c>
      <c r="E604" s="4">
        <v>1732917</v>
      </c>
    </row>
    <row r="605" spans="1:6" ht="13.5" hidden="1" customHeight="1">
      <c r="A605" s="4" t="s">
        <v>1405</v>
      </c>
      <c r="B605" s="4" t="s">
        <v>1406</v>
      </c>
      <c r="C605" s="4" t="str">
        <f ca="1">IFERROR(__xludf.DUMMYFUNCTION("GOOGLETRANSLATE(D:D,""auto"",""en"")"),"Zhu Di offline")</f>
        <v>Zhu Di offline</v>
      </c>
      <c r="D605" s="5" t="s">
        <v>1407</v>
      </c>
      <c r="E605" s="4">
        <v>1283187</v>
      </c>
    </row>
    <row r="606" spans="1:6" ht="13.5" hidden="1" customHeight="1">
      <c r="A606" s="4" t="s">
        <v>1408</v>
      </c>
      <c r="B606" s="4" t="s">
        <v>1409</v>
      </c>
      <c r="C606" s="4" t="str">
        <f ca="1">IFERROR(__xludf.DUMMYFUNCTION("GOOGLETRANSLATE(D:D,""auto"",""en"")"),"Nazha read my annual bill")</f>
        <v>Nazha read my annual bill</v>
      </c>
      <c r="D606" s="5" t="s">
        <v>1410</v>
      </c>
      <c r="E606" s="4">
        <v>1074946</v>
      </c>
    </row>
    <row r="607" spans="1:6" ht="13.5" hidden="1" customHeight="1">
      <c r="A607" s="4" t="s">
        <v>1411</v>
      </c>
      <c r="B607" s="4" t="s">
        <v>1412</v>
      </c>
      <c r="C607" s="4" t="str">
        <f ca="1">IFERROR(__xludf.DUMMYFUNCTION("GOOGLETRANSLATE(D:D,""auto"",""en"")"),"Wuhan caused by a construction site collapse occurred 6 dead 5 injured")</f>
        <v>Wuhan caused by a construction site collapse occurred 6 dead 5 injured</v>
      </c>
      <c r="D607" s="5" t="s">
        <v>1413</v>
      </c>
      <c r="E607" s="4">
        <v>833332</v>
      </c>
      <c r="F607">
        <v>0</v>
      </c>
    </row>
    <row r="608" spans="1:6" ht="13.5" hidden="1" customHeight="1">
      <c r="A608" s="4" t="s">
        <v>1414</v>
      </c>
      <c r="B608" s="4" t="s">
        <v>1415</v>
      </c>
      <c r="C608" s="4" t="str">
        <f ca="1">IFERROR(__xludf.DUMMYFUNCTION("GOOGLETRANSLATE(D:D,""auto"",""en"")"),"Ministry of Foreign Affairs to respond to the US-Iraq escalation of conflict")</f>
        <v>Ministry of Foreign Affairs to respond to the US-Iraq escalation of conflict</v>
      </c>
      <c r="D608" s="5" t="s">
        <v>1416</v>
      </c>
      <c r="E608" s="4">
        <v>800471</v>
      </c>
    </row>
    <row r="609" spans="1:5" ht="13.5" hidden="1" customHeight="1">
      <c r="A609" s="4" t="s">
        <v>959</v>
      </c>
      <c r="B609" s="4" t="s">
        <v>960</v>
      </c>
      <c r="C609" s="4" t="str">
        <f ca="1">IFERROR(__xludf.DUMMYFUNCTION("GOOGLETRANSLATE(D:D,""auto"",""en"")"),"Under Jinyi")</f>
        <v>Under Jinyi</v>
      </c>
      <c r="D609" s="5" t="s">
        <v>961</v>
      </c>
      <c r="E609" s="4">
        <v>770837</v>
      </c>
    </row>
    <row r="610" spans="1:5" ht="13.5" hidden="1" customHeight="1">
      <c r="A610" s="4" t="s">
        <v>1417</v>
      </c>
      <c r="B610" s="4" t="s">
        <v>1418</v>
      </c>
      <c r="C610" s="4" t="str">
        <f ca="1">IFERROR(__xludf.DUMMYFUNCTION("GOOGLETRANSLATE(D:D,""auto"",""en"")"),"Dai Xi who set")</f>
        <v>Dai Xi who set</v>
      </c>
      <c r="D610" s="5" t="s">
        <v>1419</v>
      </c>
      <c r="E610" s="4">
        <v>770352</v>
      </c>
    </row>
    <row r="611" spans="1:5" ht="13.5" hidden="1" customHeight="1">
      <c r="A611" s="4" t="s">
        <v>1420</v>
      </c>
      <c r="B611" s="4" t="s">
        <v>1421</v>
      </c>
      <c r="C611" s="4" t="str">
        <f ca="1">IFERROR(__xludf.DUMMYFUNCTION("GOOGLETRANSLATE(D:D,""auto"",""en"")"),"Fan idle two princes in hand")</f>
        <v>Fan idle two princes in hand</v>
      </c>
      <c r="D611" s="5" t="s">
        <v>1422</v>
      </c>
      <c r="E611" s="4">
        <v>768784</v>
      </c>
    </row>
    <row r="612" spans="1:5" ht="13.5" hidden="1" customHeight="1">
      <c r="A612" s="4" t="s">
        <v>1423</v>
      </c>
      <c r="B612" s="4" t="s">
        <v>1163</v>
      </c>
      <c r="C612" s="4" t="str">
        <f ca="1">IFERROR(__xludf.DUMMYFUNCTION("GOOGLETRANSLATE(D:D,""auto"",""en"")"),"Zhou Erke love")</f>
        <v>Zhou Erke love</v>
      </c>
      <c r="D612" s="5" t="s">
        <v>1424</v>
      </c>
      <c r="E612" s="4">
        <v>766301</v>
      </c>
    </row>
    <row r="613" spans="1:5" ht="13.5" hidden="1" customHeight="1">
      <c r="A613" s="4" t="s">
        <v>1425</v>
      </c>
      <c r="B613" s="4" t="s">
        <v>1426</v>
      </c>
      <c r="C613" s="4" t="str">
        <f ca="1">IFERROR(__xludf.DUMMYFUNCTION("GOOGLETRANSLATE(D:D,""auto"",""en"")"),"Penglai room")</f>
        <v>Penglai room</v>
      </c>
      <c r="D613" s="5" t="s">
        <v>1427</v>
      </c>
      <c r="E613" s="4">
        <v>765408</v>
      </c>
    </row>
    <row r="614" spans="1:5" ht="13.5" hidden="1" customHeight="1">
      <c r="A614" s="4" t="s">
        <v>1428</v>
      </c>
      <c r="B614" s="4" t="s">
        <v>1429</v>
      </c>
      <c r="C614" s="4" t="str">
        <f ca="1">IFERROR(__xludf.DUMMYFUNCTION("GOOGLETRANSLATE(D:D,""auto"",""en"")"),"Shandong ship larger HD")</f>
        <v>Shandong ship larger HD</v>
      </c>
      <c r="D614" s="5" t="s">
        <v>1430</v>
      </c>
      <c r="E614" s="4">
        <v>762704</v>
      </c>
    </row>
    <row r="615" spans="1:5" ht="13.5" hidden="1" customHeight="1">
      <c r="A615" s="4" t="s">
        <v>1431</v>
      </c>
      <c r="B615" s="4" t="s">
        <v>1432</v>
      </c>
      <c r="C615" s="4" t="str">
        <f ca="1">IFERROR(__xludf.DUMMYFUNCTION("GOOGLETRANSLATE(D:D,""auto"",""en"")"),"Snow Golden Pheasant every frame is a painting")</f>
        <v>Snow Golden Pheasant every frame is a painting</v>
      </c>
      <c r="D615" s="5" t="s">
        <v>1433</v>
      </c>
      <c r="E615" s="4">
        <v>761699</v>
      </c>
    </row>
    <row r="616" spans="1:5" ht="13.5" hidden="1" customHeight="1">
      <c r="A616" s="4" t="s">
        <v>1434</v>
      </c>
      <c r="B616" s="4" t="s">
        <v>1435</v>
      </c>
      <c r="C616" s="4" t="str">
        <f ca="1">IFERROR(__xludf.DUMMYFUNCTION("GOOGLETRANSLATE(D:D,""auto"",""en"")"),"Song Yi ice cream green dress")</f>
        <v>Song Yi ice cream green dress</v>
      </c>
      <c r="D616" s="5" t="s">
        <v>1436</v>
      </c>
      <c r="E616" s="4">
        <v>760938</v>
      </c>
    </row>
    <row r="617" spans="1:5" ht="13.5" hidden="1" customHeight="1">
      <c r="A617" s="4" t="s">
        <v>1437</v>
      </c>
      <c r="B617" s="4" t="s">
        <v>1438</v>
      </c>
      <c r="C617" s="4" t="str">
        <f ca="1">IFERROR(__xludf.DUMMYFUNCTION("GOOGLETRANSLATE(D:D,""auto"",""en"")"),"Doctors mistakenly opened epilepsy drug to 6 year-old girl to eat")</f>
        <v>Doctors mistakenly opened epilepsy drug to 6 year-old girl to eat</v>
      </c>
      <c r="D617" s="5" t="s">
        <v>1439</v>
      </c>
      <c r="E617" s="4">
        <v>712335</v>
      </c>
    </row>
    <row r="618" spans="1:5" ht="13.5" hidden="1" customHeight="1">
      <c r="A618" s="4" t="s">
        <v>1440</v>
      </c>
      <c r="B618" s="4" t="s">
        <v>1441</v>
      </c>
      <c r="C618" s="4" t="str">
        <f ca="1">IFERROR(__xludf.DUMMYFUNCTION("GOOGLETRANSLATE(D:D,""auto"",""en"")"),"Korean prosecutors arrested six applications maritime police commander")</f>
        <v>Korean prosecutors arrested six applications maritime police commander</v>
      </c>
      <c r="D618" s="5" t="s">
        <v>1442</v>
      </c>
      <c r="E618" s="4">
        <v>516092</v>
      </c>
    </row>
    <row r="619" spans="1:5" ht="13.5" hidden="1" customHeight="1">
      <c r="A619" s="4" t="s">
        <v>1443</v>
      </c>
      <c r="B619" s="4" t="s">
        <v>1444</v>
      </c>
      <c r="C619" s="4" t="str">
        <f ca="1">IFERROR(__xludf.DUMMYFUNCTION("GOOGLETRANSLATE(D:D,""auto"",""en"")"),"Sulaymaniyah daughter of the US military threat")</f>
        <v>Sulaymaniyah daughter of the US military threat</v>
      </c>
      <c r="D619" s="5" t="s">
        <v>1445</v>
      </c>
      <c r="E619" s="4">
        <v>488053</v>
      </c>
    </row>
    <row r="620" spans="1:5" ht="13.5" hidden="1" customHeight="1">
      <c r="A620" s="4" t="s">
        <v>1446</v>
      </c>
      <c r="B620" s="4" t="s">
        <v>1447</v>
      </c>
      <c r="C620" s="4" t="str">
        <f ca="1">IFERROR(__xludf.DUMMYFUNCTION("GOOGLETRANSLATE(D:D,""auto"",""en"")"),"Australian firefighters rebuked Prime Minister")</f>
        <v>Australian firefighters rebuked Prime Minister</v>
      </c>
      <c r="D620" s="5" t="s">
        <v>1448</v>
      </c>
      <c r="E620" s="4">
        <v>474629</v>
      </c>
    </row>
    <row r="621" spans="1:5" ht="13.5" hidden="1" customHeight="1">
      <c r="A621" s="4" t="s">
        <v>1437</v>
      </c>
      <c r="B621" s="4" t="s">
        <v>1449</v>
      </c>
      <c r="C621" s="4" t="str">
        <f ca="1">IFERROR(__xludf.DUMMYFUNCTION("GOOGLETRANSLATE(D:D,""auto"",""en"")"),"Zhao Liying blue veil")</f>
        <v>Zhao Liying blue veil</v>
      </c>
      <c r="D621" s="5" t="s">
        <v>1450</v>
      </c>
      <c r="E621" s="4">
        <v>464504</v>
      </c>
    </row>
    <row r="622" spans="1:5" ht="13.5" hidden="1" customHeight="1">
      <c r="A622" s="4" t="s">
        <v>1451</v>
      </c>
      <c r="B622" s="4" t="s">
        <v>1452</v>
      </c>
      <c r="C622" s="4" t="str">
        <f ca="1">IFERROR(__xludf.DUMMYFUNCTION("GOOGLETRANSLATE(D:D,""auto"",""en"")"),"Australia Scarlet sky")</f>
        <v>Australia Scarlet sky</v>
      </c>
      <c r="D622" s="5" t="s">
        <v>1453</v>
      </c>
      <c r="E622" s="4">
        <v>426166</v>
      </c>
    </row>
    <row r="623" spans="1:5" ht="13.5" hidden="1" customHeight="1">
      <c r="A623" s="4" t="s">
        <v>1454</v>
      </c>
      <c r="B623" s="4" t="s">
        <v>1455</v>
      </c>
      <c r="C623" s="4" t="str">
        <f ca="1">IFERROR(__xludf.DUMMYFUNCTION("GOOGLETRANSLATE(D:D,""auto"",""en"")"),"Visitors board the Forbidden City Jingshan beat snow")</f>
        <v>Visitors board the Forbidden City Jingshan beat snow</v>
      </c>
      <c r="D623" s="5" t="s">
        <v>1456</v>
      </c>
      <c r="E623" s="4">
        <v>416569</v>
      </c>
    </row>
    <row r="624" spans="1:5" ht="13.5" hidden="1" customHeight="1">
      <c r="A624" s="4" t="s">
        <v>1420</v>
      </c>
      <c r="B624" s="4" t="s">
        <v>1457</v>
      </c>
      <c r="C624" s="4" t="str">
        <f ca="1">IFERROR(__xludf.DUMMYFUNCTION("GOOGLETRANSLATE(D:D,""auto"",""en"")"),"The hardest driving test project")</f>
        <v>The hardest driving test project</v>
      </c>
      <c r="D624" s="5" t="s">
        <v>1458</v>
      </c>
      <c r="E624" s="4">
        <v>396370</v>
      </c>
    </row>
    <row r="625" spans="1:5" ht="13.5" hidden="1" customHeight="1">
      <c r="A625" s="4" t="s">
        <v>1459</v>
      </c>
      <c r="B625" s="4" t="s">
        <v>1460</v>
      </c>
      <c r="C625" s="4" t="str">
        <f ca="1">IFERROR(__xludf.DUMMYFUNCTION("GOOGLETRANSLATE(D:D,""auto"",""en"")"),"Wang Xiaoqin")</f>
        <v>Wang Xiaoqin</v>
      </c>
      <c r="D625" s="5" t="s">
        <v>1461</v>
      </c>
      <c r="E625" s="4">
        <v>370949</v>
      </c>
    </row>
    <row r="626" spans="1:5" ht="13.5" hidden="1" customHeight="1">
      <c r="A626" s="4" t="s">
        <v>1462</v>
      </c>
      <c r="B626" s="4" t="s">
        <v>1195</v>
      </c>
      <c r="C626" s="4" t="str">
        <f ca="1">IFERROR(__xludf.DUMMYFUNCTION("GOOGLETRANSLATE(D:D,""auto"",""en"")"),"权志 Dragon Nana Komatsu")</f>
        <v>权志 Dragon Nana Komatsu</v>
      </c>
      <c r="D626" s="5" t="s">
        <v>1463</v>
      </c>
      <c r="E626" s="4">
        <v>361240</v>
      </c>
    </row>
    <row r="627" spans="1:5" ht="13.5" hidden="1" customHeight="1">
      <c r="A627" s="4" t="s">
        <v>1464</v>
      </c>
      <c r="B627" s="4" t="s">
        <v>1465</v>
      </c>
      <c r="C627" s="4" t="str">
        <f ca="1">IFERROR(__xludf.DUMMYFUNCTION("GOOGLETRANSLATE(D:D,""auto"",""en"")"),"Most can not understand what behavior roommate")</f>
        <v>Most can not understand what behavior roommate</v>
      </c>
      <c r="D627" s="5" t="s">
        <v>1466</v>
      </c>
      <c r="E627" s="4">
        <v>303555</v>
      </c>
    </row>
    <row r="628" spans="1:5" ht="13.5" hidden="1" customHeight="1">
      <c r="A628" s="4" t="s">
        <v>1440</v>
      </c>
      <c r="B628" s="4" t="s">
        <v>1329</v>
      </c>
      <c r="C628" s="4" t="str">
        <f ca="1">IFERROR(__xludf.DUMMYFUNCTION("GOOGLETRANSLATE(D:D,""auto"",""en"")"),"You can not understand the net red snack")</f>
        <v>You can not understand the net red snack</v>
      </c>
      <c r="D628" s="5" t="s">
        <v>1467</v>
      </c>
      <c r="E628" s="4">
        <v>290263</v>
      </c>
    </row>
    <row r="629" spans="1:5" ht="13.5" hidden="1" customHeight="1">
      <c r="A629" s="4" t="s">
        <v>1468</v>
      </c>
      <c r="B629" s="4" t="s">
        <v>1469</v>
      </c>
      <c r="C629" s="4" t="str">
        <f ca="1">IFERROR(__xludf.DUMMYFUNCTION("GOOGLETRANSLATE(D:D,""auto"",""en"")"),"Muji China, the first drop in profits in eight years")</f>
        <v>Muji China, the first drop in profits in eight years</v>
      </c>
      <c r="D629" s="5" t="s">
        <v>1470</v>
      </c>
      <c r="E629" s="4">
        <v>280446</v>
      </c>
    </row>
    <row r="630" spans="1:5" ht="13.5" hidden="1" customHeight="1">
      <c r="A630" s="4" t="s">
        <v>1471</v>
      </c>
      <c r="B630" s="4" t="s">
        <v>1472</v>
      </c>
      <c r="C630" s="4" t="str">
        <f ca="1">IFERROR(__xludf.DUMMYFUNCTION("GOOGLETRANSLATE(D:D,""auto"",""en"")"),"Read the text Festival")</f>
        <v>Read the text Festival</v>
      </c>
      <c r="D630" s="5" t="s">
        <v>1473</v>
      </c>
      <c r="E630" s="4">
        <v>273005</v>
      </c>
    </row>
    <row r="631" spans="1:5" ht="13.5" hidden="1" customHeight="1">
      <c r="A631" s="4" t="s">
        <v>1474</v>
      </c>
      <c r="B631" s="4" t="s">
        <v>1475</v>
      </c>
      <c r="C631" s="4" t="str">
        <f ca="1">IFERROR(__xludf.DUMMYFUNCTION("GOOGLETRANSLATE(D:D,""auto"",""en"")"),"The boys had been praised around perfume")</f>
        <v>The boys had been praised around perfume</v>
      </c>
      <c r="D631" s="5" t="s">
        <v>1476</v>
      </c>
      <c r="E631" s="4">
        <v>264733</v>
      </c>
    </row>
    <row r="632" spans="1:5" ht="13.5" hidden="1" customHeight="1">
      <c r="A632" s="4" t="s">
        <v>1402</v>
      </c>
      <c r="B632" s="4" t="s">
        <v>1477</v>
      </c>
      <c r="C632" s="4" t="str">
        <f ca="1">IFERROR(__xludf.DUMMYFUNCTION("GOOGLETRANSLATE(D:D,""auto"",""en"")"),"Lin Yun children Chinese Intermediate examination")</f>
        <v>Lin Yun children Chinese Intermediate examination</v>
      </c>
      <c r="D632" s="5" t="s">
        <v>1478</v>
      </c>
      <c r="E632" s="4">
        <v>230435</v>
      </c>
    </row>
    <row r="633" spans="1:5" ht="13.5" hidden="1" customHeight="1">
      <c r="A633" s="4" t="s">
        <v>1479</v>
      </c>
      <c r="B633" s="4" t="s">
        <v>1480</v>
      </c>
      <c r="C633" s="4" t="str">
        <f ca="1">IFERROR(__xludf.DUMMYFUNCTION("GOOGLETRANSLATE(D:D,""auto"",""en"")"),"What are some ways of fast sleep")</f>
        <v>What are some ways of fast sleep</v>
      </c>
      <c r="D633" s="5" t="s">
        <v>1481</v>
      </c>
      <c r="E633" s="4">
        <v>220642</v>
      </c>
    </row>
    <row r="634" spans="1:5" ht="13.5" hidden="1" customHeight="1">
      <c r="A634" s="4" t="s">
        <v>1428</v>
      </c>
      <c r="B634" s="4" t="s">
        <v>1482</v>
      </c>
      <c r="C634" s="4" t="str">
        <f ca="1">IFERROR(__xludf.DUMMYFUNCTION("GOOGLETRANSLATE(D:D,""auto"",""en"")"),"Japanese woman with a knife chopped Chinese tourists")</f>
        <v>Japanese woman with a knife chopped Chinese tourists</v>
      </c>
      <c r="D634" s="5" t="s">
        <v>1483</v>
      </c>
      <c r="E634" s="4">
        <v>201863</v>
      </c>
    </row>
    <row r="635" spans="1:5" ht="13.5" hidden="1" customHeight="1">
      <c r="A635" s="4" t="s">
        <v>1484</v>
      </c>
      <c r="B635" s="4" t="s">
        <v>1485</v>
      </c>
      <c r="C635" s="4" t="str">
        <f ca="1">IFERROR(__xludf.DUMMYFUNCTION("GOOGLETRANSLATE(D:D,""auto"",""en"")"),"Reporters real shot scene of tragic fires in Australia")</f>
        <v>Reporters real shot scene of tragic fires in Australia</v>
      </c>
      <c r="D635" s="5" t="s">
        <v>1486</v>
      </c>
      <c r="E635" s="4">
        <v>192125</v>
      </c>
    </row>
    <row r="636" spans="1:5" ht="13.5" hidden="1" customHeight="1">
      <c r="A636" s="4" t="s">
        <v>1487</v>
      </c>
      <c r="B636" s="4" t="s">
        <v>1488</v>
      </c>
      <c r="C636" s="4" t="str">
        <f ca="1">IFERROR(__xludf.DUMMYFUNCTION("GOOGLETRANSLATE(D:D,""auto"",""en"")"),"The first lipstick you")</f>
        <v>The first lipstick you</v>
      </c>
      <c r="D636" s="5" t="s">
        <v>1489</v>
      </c>
      <c r="E636" s="4">
        <v>189085</v>
      </c>
    </row>
    <row r="637" spans="1:5" ht="13.5" hidden="1" customHeight="1">
      <c r="A637" s="4" t="s">
        <v>1490</v>
      </c>
      <c r="B637" s="4" t="s">
        <v>1491</v>
      </c>
      <c r="C637" s="4" t="str">
        <f ca="1">IFERROR(__xludf.DUMMYFUNCTION("GOOGLETRANSLATE(D:D,""auto"",""en"")"),"Shanxi Jinzhong 3.7 earthquake")</f>
        <v>Shanxi Jinzhong 3.7 earthquake</v>
      </c>
      <c r="D637" s="5" t="s">
        <v>1492</v>
      </c>
      <c r="E637" s="4">
        <v>185234</v>
      </c>
    </row>
    <row r="638" spans="1:5" ht="13.5" hidden="1" customHeight="1">
      <c r="A638" s="4" t="s">
        <v>1468</v>
      </c>
      <c r="B638" s="4" t="s">
        <v>1493</v>
      </c>
      <c r="C638" s="4" t="str">
        <f ca="1">IFERROR(__xludf.DUMMYFUNCTION("GOOGLETRANSLATE(D:D,""auto"",""en"")"),"Hao clothing line")</f>
        <v>Hao clothing line</v>
      </c>
      <c r="D638" s="5" t="s">
        <v>1494</v>
      </c>
      <c r="E638" s="4">
        <v>184081</v>
      </c>
    </row>
    <row r="639" spans="1:5" ht="13.5" hidden="1" customHeight="1">
      <c r="A639" s="4" t="s">
        <v>1428</v>
      </c>
      <c r="B639" s="4" t="s">
        <v>1438</v>
      </c>
      <c r="C639" s="4" t="str">
        <f ca="1">IFERROR(__xludf.DUMMYFUNCTION("GOOGLETRANSLATE(D:D,""auto"",""en"")"),"Seven Devils office colleagues")</f>
        <v>Seven Devils office colleagues</v>
      </c>
      <c r="D639" s="5" t="s">
        <v>1495</v>
      </c>
      <c r="E639" s="4">
        <v>168149</v>
      </c>
    </row>
    <row r="640" spans="1:5" ht="13.5" hidden="1" customHeight="1">
      <c r="A640" s="4" t="s">
        <v>1496</v>
      </c>
      <c r="B640" s="4" t="s">
        <v>1452</v>
      </c>
      <c r="C640" s="4" t="str">
        <f ca="1">IFERROR(__xludf.DUMMYFUNCTION("GOOGLETRANSLATE(D:D,""auto"",""en"")"),"To love people and spend their own money difference")</f>
        <v>To love people and spend their own money difference</v>
      </c>
      <c r="D640" s="5" t="s">
        <v>1497</v>
      </c>
      <c r="E640" s="4">
        <v>165016</v>
      </c>
    </row>
    <row r="641" spans="1:5" ht="13.5" hidden="1" customHeight="1">
      <c r="A641" s="4" t="s">
        <v>1496</v>
      </c>
      <c r="B641" s="4" t="s">
        <v>1498</v>
      </c>
      <c r="C641" s="4" t="str">
        <f ca="1">IFERROR(__xludf.DUMMYFUNCTION("GOOGLETRANSLATE(D:D,""auto"",""en"")"),"Police Ju Zi's death")</f>
        <v>Police Ju Zi's death</v>
      </c>
      <c r="D641" s="5" t="s">
        <v>1499</v>
      </c>
      <c r="E641" s="4">
        <v>158425</v>
      </c>
    </row>
    <row r="642" spans="1:5" ht="13.5" hidden="1" customHeight="1">
      <c r="A642" s="4" t="s">
        <v>1500</v>
      </c>
      <c r="B642" s="4" t="s">
        <v>1172</v>
      </c>
      <c r="C642" s="4" t="str">
        <f ca="1">IFERROR(__xludf.DUMMYFUNCTION("GOOGLETRANSLATE(D:D,""auto"",""en"")"),"Zhou Zhennan wearing glasses eyelid")</f>
        <v>Zhou Zhennan wearing glasses eyelid</v>
      </c>
      <c r="D642" s="5" t="s">
        <v>1501</v>
      </c>
      <c r="E642" s="4">
        <v>144621</v>
      </c>
    </row>
    <row r="643" spans="1:5" ht="13.5" hidden="1" customHeight="1">
      <c r="A643" s="4" t="s">
        <v>1464</v>
      </c>
      <c r="B643" s="4" t="s">
        <v>1502</v>
      </c>
      <c r="C643" s="4" t="str">
        <f ca="1">IFERROR(__xludf.DUMMYFUNCTION("GOOGLETRANSLATE(D:D,""auto"",""en"")"),"Effort too people how to get along")</f>
        <v>Effort too people how to get along</v>
      </c>
      <c r="D643" s="5" t="s">
        <v>1503</v>
      </c>
      <c r="E643" s="4">
        <v>143826</v>
      </c>
    </row>
    <row r="644" spans="1:5" ht="13.5" hidden="1" customHeight="1">
      <c r="A644" s="4" t="s">
        <v>1468</v>
      </c>
      <c r="B644" s="4" t="s">
        <v>1504</v>
      </c>
      <c r="C644" s="4" t="str">
        <f ca="1">IFERROR(__xludf.DUMMYFUNCTION("GOOGLETRANSLATE(D:D,""auto"",""en"")"),"91 years teaching girls 2000 meters mountains five years")</f>
        <v>91 years teaching girls 2000 meters mountains five years</v>
      </c>
      <c r="D644" s="5" t="s">
        <v>1505</v>
      </c>
      <c r="E644" s="4">
        <v>140788</v>
      </c>
    </row>
    <row r="645" spans="1:5" ht="13.5" hidden="1" customHeight="1">
      <c r="A645" s="4" t="s">
        <v>1479</v>
      </c>
      <c r="B645" s="4" t="s">
        <v>1506</v>
      </c>
      <c r="C645" s="4" t="str">
        <f ca="1">IFERROR(__xludf.DUMMYFUNCTION("GOOGLETRANSLATE(D:D,""auto"",""en"")"),"Girlfriend angry mystery")</f>
        <v>Girlfriend angry mystery</v>
      </c>
      <c r="D645" s="5" t="s">
        <v>1507</v>
      </c>
      <c r="E645" s="4">
        <v>135586</v>
      </c>
    </row>
    <row r="646" spans="1:5" ht="13.5" hidden="1" customHeight="1">
      <c r="A646" s="4" t="s">
        <v>1508</v>
      </c>
      <c r="B646" s="4" t="s">
        <v>1472</v>
      </c>
      <c r="C646" s="4" t="str">
        <f ca="1">IFERROR(__xludf.DUMMYFUNCTION("GOOGLETRANSLATE(D:D,""auto"",""en"")"),"Tsinghua Academy boys heap thinker snowman")</f>
        <v>Tsinghua Academy boys heap thinker snowman</v>
      </c>
      <c r="D646" s="5" t="s">
        <v>1509</v>
      </c>
      <c r="E646" s="4">
        <v>123723</v>
      </c>
    </row>
    <row r="647" spans="1:5" ht="13.5" hidden="1" customHeight="1">
      <c r="A647" s="4" t="s">
        <v>1484</v>
      </c>
      <c r="B647" s="4" t="s">
        <v>1406</v>
      </c>
      <c r="C647" s="4" t="str">
        <f ca="1">IFERROR(__xludf.DUMMYFUNCTION("GOOGLETRANSLATE(D:D,""auto"",""en"")"),"Snow Mountain Resort")</f>
        <v>Snow Mountain Resort</v>
      </c>
      <c r="D647" s="5" t="s">
        <v>1510</v>
      </c>
      <c r="E647" s="4">
        <v>123592</v>
      </c>
    </row>
    <row r="648" spans="1:5" ht="13.5" hidden="1" customHeight="1">
      <c r="A648" s="4" t="s">
        <v>1511</v>
      </c>
      <c r="B648" s="4" t="s">
        <v>1512</v>
      </c>
      <c r="C648" s="4" t="str">
        <f ca="1">IFERROR(__xludf.DUMMYFUNCTION("GOOGLETRANSLATE(D:D,""auto"",""en"")"),"Thousands of years ago the underground drainage system long-sawed")</f>
        <v>Thousands of years ago the underground drainage system long-sawed</v>
      </c>
      <c r="D648" s="5" t="s">
        <v>1513</v>
      </c>
      <c r="E648" s="4">
        <v>119084</v>
      </c>
    </row>
    <row r="649" spans="1:5" ht="13.5" hidden="1" customHeight="1">
      <c r="A649" s="4" t="s">
        <v>1317</v>
      </c>
      <c r="B649" s="4" t="s">
        <v>1351</v>
      </c>
      <c r="C649" s="4" t="str">
        <f ca="1">IFERROR(__xludf.DUMMYFUNCTION("GOOGLETRANSLATE(D:D,""auto"",""en"")"),"Dicey Huating finale")</f>
        <v>Dicey Huating finale</v>
      </c>
      <c r="D649" s="5" t="s">
        <v>1514</v>
      </c>
      <c r="E649" s="4">
        <v>92925</v>
      </c>
    </row>
    <row r="650" spans="1:5" ht="13.5" hidden="1" customHeight="1">
      <c r="A650" s="4" t="s">
        <v>1295</v>
      </c>
      <c r="B650" s="4" t="s">
        <v>1296</v>
      </c>
      <c r="C650" s="4" t="str">
        <f ca="1">IFERROR(__xludf.DUMMYFUNCTION("GOOGLETRANSLATE(D:D,""auto"",""en"")"),"Alipay annual bill")</f>
        <v>Alipay annual bill</v>
      </c>
      <c r="D650" s="5" t="s">
        <v>1297</v>
      </c>
      <c r="E650" s="4">
        <v>68298</v>
      </c>
    </row>
    <row r="651" spans="1:5" ht="13.5" hidden="1" customHeight="1">
      <c r="C651" s="4" t="str">
        <f ca="1">IFERROR(__xludf.DUMMYFUNCTION("GOOGLETRANSLATE(D:D,""auto"",""en"")"),"#VALUE!")</f>
        <v>#VALUE!</v>
      </c>
    </row>
    <row r="652" spans="1:5" ht="13.5" hidden="1" customHeight="1">
      <c r="A652" s="4" t="s">
        <v>1515</v>
      </c>
      <c r="B652" s="4" t="s">
        <v>1516</v>
      </c>
      <c r="C652" s="4" t="str">
        <f ca="1">IFERROR(__xludf.DUMMYFUNCTION("GOOGLETRANSLATE(D:D,""auto"",""en"")"),"Song Joey Ethan")</f>
        <v>Song Joey Ethan</v>
      </c>
      <c r="D652" s="4" t="s">
        <v>1517</v>
      </c>
      <c r="E652" s="4">
        <v>3651650</v>
      </c>
    </row>
    <row r="653" spans="1:5" ht="13.5" hidden="1" customHeight="1">
      <c r="A653" s="4" t="s">
        <v>1518</v>
      </c>
      <c r="B653" s="4" t="s">
        <v>1519</v>
      </c>
      <c r="C653" s="4" t="str">
        <f ca="1">IFERROR(__xludf.DUMMYFUNCTION("GOOGLETRANSLATE(D:D,""auto"",""en"")"),"7-year-old grandson of the old man with a rope hanging down to save the cat")</f>
        <v>7-year-old grandson of the old man with a rope hanging down to save the cat</v>
      </c>
      <c r="D653" s="5" t="s">
        <v>1520</v>
      </c>
      <c r="E653" s="4">
        <v>2029362</v>
      </c>
    </row>
    <row r="654" spans="1:5" ht="13.5" hidden="1" customHeight="1">
      <c r="A654" s="4" t="s">
        <v>1521</v>
      </c>
      <c r="B654" s="4" t="s">
        <v>1522</v>
      </c>
      <c r="C654" s="4" t="str">
        <f ca="1">IFERROR(__xludf.DUMMYFUNCTION("GOOGLETRANSLATE(D:D,""auto"",""en"")"),"Song Joey party denied the affair with Ethan")</f>
        <v>Song Joey party denied the affair with Ethan</v>
      </c>
      <c r="D654" s="5" t="s">
        <v>1523</v>
      </c>
      <c r="E654" s="4">
        <v>2009689</v>
      </c>
    </row>
    <row r="655" spans="1:5" ht="13.5" hidden="1" customHeight="1">
      <c r="A655" s="4" t="s">
        <v>1524</v>
      </c>
      <c r="B655" s="4" t="s">
        <v>1525</v>
      </c>
      <c r="C655" s="4" t="str">
        <f ca="1">IFERROR(__xludf.DUMMYFUNCTION("GOOGLETRANSLATE(D:D,""auto"",""en"")"),"Mei Ting foot aircraft display")</f>
        <v>Mei Ting foot aircraft display</v>
      </c>
      <c r="D655" s="5" t="s">
        <v>1526</v>
      </c>
      <c r="E655" s="4">
        <v>1657500</v>
      </c>
    </row>
    <row r="656" spans="1:5" ht="13.5" hidden="1" customHeight="1">
      <c r="A656" s="4" t="s">
        <v>1527</v>
      </c>
      <c r="B656" s="4" t="s">
        <v>1528</v>
      </c>
      <c r="C656" s="4" t="str">
        <f ca="1">IFERROR(__xludf.DUMMYFUNCTION("GOOGLETRANSLATE(D:D,""auto"",""en"")"),"The positive thought of that time to write two")</f>
        <v>The positive thought of that time to write two</v>
      </c>
      <c r="D656" s="5" t="s">
        <v>1529</v>
      </c>
      <c r="E656" s="4">
        <v>887525</v>
      </c>
    </row>
    <row r="657" spans="1:5" ht="13.5" hidden="1" customHeight="1">
      <c r="A657" s="4" t="s">
        <v>1530</v>
      </c>
      <c r="B657" s="4" t="s">
        <v>1443</v>
      </c>
      <c r="C657" s="4" t="str">
        <f ca="1">IFERROR(__xludf.DUMMYFUNCTION("GOOGLETRANSLATE(D:D,""auto"",""en"")"),"20,000 tons of frozen pork will be put on the central reserve")</f>
        <v>20,000 tons of frozen pork will be put on the central reserve</v>
      </c>
      <c r="D657" s="5" t="s">
        <v>1531</v>
      </c>
      <c r="E657" s="4">
        <v>698772</v>
      </c>
    </row>
    <row r="658" spans="1:5" ht="13.5" hidden="1" customHeight="1">
      <c r="A658" s="4" t="s">
        <v>1532</v>
      </c>
      <c r="B658" s="4" t="s">
        <v>1533</v>
      </c>
      <c r="C658" s="4" t="str">
        <f ca="1">IFERROR(__xludf.DUMMYFUNCTION("GOOGLETRANSLATE(D:D,""auto"",""en"")"),"Over 20,000 deaths in fires koala")</f>
        <v>Over 20,000 deaths in fires koala</v>
      </c>
      <c r="D658" s="5" t="s">
        <v>1534</v>
      </c>
      <c r="E658" s="4">
        <v>697010</v>
      </c>
    </row>
    <row r="659" spans="1:5" ht="13.5" hidden="1" customHeight="1">
      <c r="A659" s="4" t="s">
        <v>1535</v>
      </c>
      <c r="B659" s="4" t="s">
        <v>1536</v>
      </c>
      <c r="C659" s="4" t="str">
        <f ca="1">IFERROR(__xludf.DUMMYFUNCTION("GOOGLETRANSLATE(D:D,""auto"",""en"")"),"Dongfeng Express fireworks show")</f>
        <v>Dongfeng Express fireworks show</v>
      </c>
      <c r="D659" s="5" t="s">
        <v>1537</v>
      </c>
      <c r="E659" s="4">
        <v>459868</v>
      </c>
    </row>
    <row r="660" spans="1:5" ht="13.5" hidden="1" customHeight="1">
      <c r="A660" s="4" t="s">
        <v>1538</v>
      </c>
      <c r="B660" s="4" t="s">
        <v>1539</v>
      </c>
      <c r="C660" s="4" t="str">
        <f ca="1">IFERROR(__xludf.DUMMYFUNCTION("GOOGLETRANSLATE(D:D,""auto"",""en"")"),"Trump said that Iran will never possess nuclear weapons")</f>
        <v>Trump said that Iran will never possess nuclear weapons</v>
      </c>
      <c r="D660" s="5" t="s">
        <v>1540</v>
      </c>
      <c r="E660" s="4">
        <v>458801</v>
      </c>
    </row>
    <row r="661" spans="1:5" ht="13.5" hidden="1" customHeight="1">
      <c r="A661" s="4" t="s">
        <v>1541</v>
      </c>
      <c r="B661" s="4" t="s">
        <v>1542</v>
      </c>
      <c r="C661" s="4" t="str">
        <f ca="1">IFERROR(__xludf.DUMMYFUNCTION("GOOGLETRANSLATE(D:D,""auto"",""en"")"),"Luhan eat hot pot shabu grapes")</f>
        <v>Luhan eat hot pot shabu grapes</v>
      </c>
      <c r="D661" s="5" t="s">
        <v>1543</v>
      </c>
      <c r="E661" s="4">
        <v>457075</v>
      </c>
    </row>
    <row r="662" spans="1:5" ht="13.5" hidden="1" customHeight="1">
      <c r="A662" s="4" t="s">
        <v>1544</v>
      </c>
      <c r="B662" s="4" t="s">
        <v>1545</v>
      </c>
      <c r="C662" s="4" t="str">
        <f ca="1">IFERROR(__xludf.DUMMYFUNCTION("GOOGLETRANSLATE(D:D,""auto"",""en"")"),"Dali 500 trees were blown off in a couple")</f>
        <v>Dali 500 trees were blown off in a couple</v>
      </c>
      <c r="D662" s="5" t="s">
        <v>1546</v>
      </c>
      <c r="E662" s="4">
        <v>452611</v>
      </c>
    </row>
    <row r="663" spans="1:5" ht="13.5" hidden="1" customHeight="1">
      <c r="A663" s="4" t="s">
        <v>1547</v>
      </c>
      <c r="B663" s="4" t="s">
        <v>1443</v>
      </c>
      <c r="C663" s="4" t="str">
        <f ca="1">IFERROR(__xludf.DUMMYFUNCTION("GOOGLETRANSLATE(D:D,""auto"",""en"")"),"Iran's presidential adviser hinted attack Trump property")</f>
        <v>Iran's presidential adviser hinted attack Trump property</v>
      </c>
      <c r="D663" s="5" t="s">
        <v>1548</v>
      </c>
      <c r="E663" s="4">
        <v>447269</v>
      </c>
    </row>
    <row r="664" spans="1:5" ht="13.5" hidden="1" customHeight="1">
      <c r="A664" s="4" t="s">
        <v>1530</v>
      </c>
      <c r="B664" s="4" t="s">
        <v>1549</v>
      </c>
      <c r="C664" s="4" t="str">
        <f ca="1">IFERROR(__xludf.DUMMYFUNCTION("GOOGLETRANSLATE(D:D,""auto"",""en"")"),"Australian fire smoke spread to South America")</f>
        <v>Australian fire smoke spread to South America</v>
      </c>
      <c r="D664" s="5" t="s">
        <v>1550</v>
      </c>
      <c r="E664" s="4">
        <v>344980</v>
      </c>
    </row>
    <row r="665" spans="1:5" ht="13.5" hidden="1" customHeight="1">
      <c r="A665" s="4" t="s">
        <v>1551</v>
      </c>
      <c r="B665" s="4" t="s">
        <v>1552</v>
      </c>
      <c r="C665" s="4" t="str">
        <f ca="1">IFERROR(__xludf.DUMMYFUNCTION("GOOGLETRANSLATE(D:D,""auto"",""en"")"),"If you wake up back to college")</f>
        <v>If you wake up back to college</v>
      </c>
      <c r="D665" s="5" t="s">
        <v>1553</v>
      </c>
      <c r="E665" s="4">
        <v>344576</v>
      </c>
    </row>
    <row r="666" spans="1:5" ht="13.5" hidden="1" customHeight="1">
      <c r="A666" s="4" t="s">
        <v>1554</v>
      </c>
      <c r="B666" s="4" t="s">
        <v>1555</v>
      </c>
      <c r="C666" s="4" t="str">
        <f ca="1">IFERROR(__xludf.DUMMYFUNCTION("GOOGLETRANSLATE(D:D,""auto"",""en"")"),"Concert will realize brush scan code entry face")</f>
        <v>Concert will realize brush scan code entry face</v>
      </c>
      <c r="D666" s="5" t="s">
        <v>1556</v>
      </c>
      <c r="E666" s="4">
        <v>342957</v>
      </c>
    </row>
    <row r="667" spans="1:5" ht="13.5" hidden="1" customHeight="1">
      <c r="A667" s="4" t="s">
        <v>1557</v>
      </c>
      <c r="B667" s="4" t="s">
        <v>1558</v>
      </c>
      <c r="C667" s="4" t="str">
        <f ca="1">IFERROR(__xludf.DUMMYFUNCTION("GOOGLETRANSLATE(D:D,""auto"",""en"")"),"Esther Liu")</f>
        <v>Esther Liu</v>
      </c>
      <c r="D667" s="5" t="s">
        <v>1559</v>
      </c>
      <c r="E667" s="4">
        <v>341894</v>
      </c>
    </row>
    <row r="668" spans="1:5" ht="13.5" hidden="1" customHeight="1">
      <c r="A668" s="4" t="s">
        <v>1560</v>
      </c>
      <c r="B668" s="4" t="s">
        <v>1561</v>
      </c>
      <c r="C668" s="4" t="str">
        <f ca="1">IFERROR(__xludf.DUMMYFUNCTION("GOOGLETRANSLATE(D:D,""auto"",""en"")"),"Chairman of the Board to respond to one day out of 100 design")</f>
        <v>Chairman of the Board to respond to one day out of 100 design</v>
      </c>
      <c r="D668" s="5" t="s">
        <v>1562</v>
      </c>
      <c r="E668" s="4">
        <v>341522</v>
      </c>
    </row>
    <row r="669" spans="1:5" ht="13.5" hidden="1" customHeight="1">
      <c r="A669" s="4" t="s">
        <v>1563</v>
      </c>
      <c r="B669" s="4" t="s">
        <v>1564</v>
      </c>
      <c r="C669" s="4" t="str">
        <f ca="1">IFERROR(__xludf.DUMMYFUNCTION("GOOGLETRANSLATE(D:D,""auto"",""en"")"),"Pills earrings")</f>
        <v>Pills earrings</v>
      </c>
      <c r="D669" s="5" t="s">
        <v>1565</v>
      </c>
      <c r="E669" s="4">
        <v>339858</v>
      </c>
    </row>
    <row r="670" spans="1:5" ht="13.5" hidden="1" customHeight="1">
      <c r="A670" s="4" t="s">
        <v>1566</v>
      </c>
      <c r="B670" s="4" t="s">
        <v>1567</v>
      </c>
      <c r="C670" s="4" t="str">
        <f ca="1">IFERROR(__xludf.DUMMYFUNCTION("GOOGLETRANSLATE(D:D,""auto"",""en"")"),"Shop with annual sales of 2 million pairs of shoes fake certificate")</f>
        <v>Shop with annual sales of 2 million pairs of shoes fake certificate</v>
      </c>
      <c r="D670" s="5" t="s">
        <v>1568</v>
      </c>
      <c r="E670" s="4">
        <v>339223</v>
      </c>
    </row>
    <row r="671" spans="1:5" ht="13.5" hidden="1" customHeight="1">
      <c r="A671" s="4" t="s">
        <v>1569</v>
      </c>
      <c r="B671" s="4" t="s">
        <v>1570</v>
      </c>
      <c r="C671" s="4" t="str">
        <f ca="1">IFERROR(__xludf.DUMMYFUNCTION("GOOGLETRANSLATE(D:D,""auto"",""en"")"),"I am not envious Ren Jialun wife")</f>
        <v>I am not envious Ren Jialun wife</v>
      </c>
      <c r="D671" s="5" t="s">
        <v>1571</v>
      </c>
      <c r="E671" s="4">
        <v>337888</v>
      </c>
    </row>
    <row r="672" spans="1:5" ht="13.5" hidden="1" customHeight="1">
      <c r="A672" s="4" t="s">
        <v>1572</v>
      </c>
      <c r="B672" s="4" t="s">
        <v>1443</v>
      </c>
      <c r="C672" s="4" t="str">
        <f ca="1">IFERROR(__xludf.DUMMYFUNCTION("GOOGLETRANSLATE(D:D,""auto"",""en"")"),"Very sick but also really funny")</f>
        <v>Very sick but also really funny</v>
      </c>
      <c r="D672" s="5" t="s">
        <v>1573</v>
      </c>
      <c r="E672" s="4">
        <v>337142</v>
      </c>
    </row>
    <row r="673" spans="1:5" ht="13.5" hidden="1" customHeight="1">
      <c r="A673" s="4" t="s">
        <v>1574</v>
      </c>
      <c r="B673" s="4" t="s">
        <v>1575</v>
      </c>
      <c r="C673" s="4" t="str">
        <f ca="1">IFERROR(__xludf.DUMMYFUNCTION("GOOGLETRANSLATE(D:D,""auto"",""en"")"),"Wedding moved into the kindergarten teacher")</f>
        <v>Wedding moved into the kindergarten teacher</v>
      </c>
      <c r="D673" s="5" t="s">
        <v>1576</v>
      </c>
      <c r="E673" s="4">
        <v>334598</v>
      </c>
    </row>
    <row r="674" spans="1:5" ht="13.5" hidden="1" customHeight="1">
      <c r="A674" s="4" t="s">
        <v>1577</v>
      </c>
      <c r="B674" s="4" t="s">
        <v>1545</v>
      </c>
      <c r="C674" s="4" t="str">
        <f ca="1">IFERROR(__xludf.DUMMYFUNCTION("GOOGLETRANSLATE(D:D,""auto"",""en"")"),"Not enough sleep more likely to cause abdominal obesity")</f>
        <v>Not enough sleep more likely to cause abdominal obesity</v>
      </c>
      <c r="D674" s="5" t="s">
        <v>1578</v>
      </c>
      <c r="E674" s="4">
        <v>316691</v>
      </c>
    </row>
    <row r="675" spans="1:5" ht="13.5" hidden="1" customHeight="1">
      <c r="A675" s="4" t="s">
        <v>1579</v>
      </c>
      <c r="B675" s="4" t="s">
        <v>1580</v>
      </c>
      <c r="C675" s="4" t="str">
        <f ca="1">IFERROR(__xludf.DUMMYFUNCTION("GOOGLETRANSLATE(D:D,""auto"",""en"")"),"After the Spring Festival travel over half of 90")</f>
        <v>After the Spring Festival travel over half of 90</v>
      </c>
      <c r="D675" s="5" t="s">
        <v>1581</v>
      </c>
      <c r="E675" s="4">
        <v>258094</v>
      </c>
    </row>
    <row r="676" spans="1:5" ht="13.5" hidden="1" customHeight="1">
      <c r="A676" s="4" t="s">
        <v>1582</v>
      </c>
      <c r="B676" s="4" t="s">
        <v>1575</v>
      </c>
      <c r="C676" s="4" t="str">
        <f ca="1">IFERROR(__xludf.DUMMYFUNCTION("GOOGLETRANSLATE(D:D,""auto"",""en"")"),"Nie Huan")</f>
        <v>Nie Huan</v>
      </c>
      <c r="D676" s="5" t="s">
        <v>1583</v>
      </c>
      <c r="E676" s="4">
        <v>248475</v>
      </c>
    </row>
    <row r="677" spans="1:5" ht="13.5" hidden="1" customHeight="1">
      <c r="A677" s="4" t="s">
        <v>1584</v>
      </c>
      <c r="B677" s="4" t="s">
        <v>1585</v>
      </c>
      <c r="C677" s="4" t="str">
        <f ca="1">IFERROR(__xludf.DUMMYFUNCTION("GOOGLETRANSLATE(D:D,""auto"",""en"")"),"Xiaozhan Bazaar")</f>
        <v>Xiaozhan Bazaar</v>
      </c>
      <c r="D677" s="5" t="s">
        <v>1586</v>
      </c>
      <c r="E677" s="4">
        <v>247534</v>
      </c>
    </row>
    <row r="678" spans="1:5" ht="13.5" hidden="1" customHeight="1">
      <c r="A678" s="4" t="s">
        <v>1587</v>
      </c>
      <c r="B678" s="4" t="s">
        <v>1588</v>
      </c>
      <c r="C678" s="4" t="str">
        <f ca="1">IFERROR(__xludf.DUMMYFUNCTION("GOOGLETRANSLATE(D:D,""auto"",""en"")"),"China snow tourism amounted to 224 million passengers")</f>
        <v>China snow tourism amounted to 224 million passengers</v>
      </c>
      <c r="D678" s="5" t="s">
        <v>1589</v>
      </c>
      <c r="E678" s="4">
        <v>238507</v>
      </c>
    </row>
    <row r="679" spans="1:5" ht="13.5" hidden="1" customHeight="1">
      <c r="A679" s="4" t="s">
        <v>1590</v>
      </c>
      <c r="B679" s="4" t="s">
        <v>1564</v>
      </c>
      <c r="C679" s="4" t="str">
        <f ca="1">IFERROR(__xludf.DUMMYFUNCTION("GOOGLETRANSLATE(D:D,""auto"",""en"")"),"Hamburger bikini")</f>
        <v>Hamburger bikini</v>
      </c>
      <c r="D679" s="5" t="s">
        <v>1591</v>
      </c>
      <c r="E679" s="4">
        <v>218759</v>
      </c>
    </row>
    <row r="680" spans="1:5" ht="13.5" hidden="1" customHeight="1">
      <c r="A680" s="4" t="s">
        <v>1592</v>
      </c>
      <c r="B680" s="4" t="s">
        <v>1593</v>
      </c>
      <c r="C680" s="4" t="str">
        <f ca="1">IFERROR(__xludf.DUMMYFUNCTION("GOOGLETRANSLATE(D:D,""auto"",""en"")"),"Iranian President hit back at Trump threat tweets")</f>
        <v>Iranian President hit back at Trump threat tweets</v>
      </c>
      <c r="D680" s="5" t="s">
        <v>1594</v>
      </c>
      <c r="E680" s="4">
        <v>205828</v>
      </c>
    </row>
    <row r="681" spans="1:5" ht="13.5" hidden="1" customHeight="1">
      <c r="A681" s="4" t="s">
        <v>1590</v>
      </c>
      <c r="B681" s="4" t="s">
        <v>1434</v>
      </c>
      <c r="C681" s="4" t="str">
        <f ca="1">IFERROR(__xludf.DUMMYFUNCTION("GOOGLETRANSLATE(D:D,""auto"",""en"")"),"Zhao Wei tears mole makeup")</f>
        <v>Zhao Wei tears mole makeup</v>
      </c>
      <c r="D681" s="5" t="s">
        <v>1595</v>
      </c>
      <c r="E681" s="4">
        <v>205384</v>
      </c>
    </row>
    <row r="682" spans="1:5" ht="13.5" hidden="1" customHeight="1">
      <c r="A682" s="4" t="s">
        <v>1596</v>
      </c>
      <c r="B682" s="4" t="s">
        <v>1597</v>
      </c>
      <c r="C682" s="4" t="str">
        <f ca="1">IFERROR(__xludf.DUMMYFUNCTION("GOOGLETRANSLATE(D:D,""auto"",""en"")"),"Zhu Yilong who have exclamation point")</f>
        <v>Zhu Yilong who have exclamation point</v>
      </c>
      <c r="D682" s="5" t="s">
        <v>1598</v>
      </c>
      <c r="E682" s="4">
        <v>204365</v>
      </c>
    </row>
    <row r="683" spans="1:5" ht="13.5" hidden="1" customHeight="1">
      <c r="A683" s="4" t="s">
        <v>1599</v>
      </c>
      <c r="B683" s="4" t="s">
        <v>1600</v>
      </c>
      <c r="C683" s="4" t="str">
        <f ca="1">IFERROR(__xludf.DUMMYFUNCTION("GOOGLETRANSLATE(D:D,""auto"",""en"")"),"How to review your circle of friends of my parents")</f>
        <v>How to review your circle of friends of my parents</v>
      </c>
      <c r="D683" s="5" t="s">
        <v>1601</v>
      </c>
      <c r="E683" s="4">
        <v>199642</v>
      </c>
    </row>
    <row r="684" spans="1:5" ht="13.5" hidden="1" customHeight="1">
      <c r="A684" s="4" t="s">
        <v>1599</v>
      </c>
      <c r="B684" s="4" t="s">
        <v>1522</v>
      </c>
      <c r="C684" s="4" t="str">
        <f ca="1">IFERROR(__xludf.DUMMYFUNCTION("GOOGLETRANSLATE(D:D,""auto"",""en"")"),"Howard returned to dunk contest")</f>
        <v>Howard returned to dunk contest</v>
      </c>
      <c r="D684" s="5" t="s">
        <v>1602</v>
      </c>
      <c r="E684" s="4">
        <v>195531</v>
      </c>
    </row>
    <row r="685" spans="1:5" ht="13.5" hidden="1" customHeight="1">
      <c r="A685" s="4" t="s">
        <v>1599</v>
      </c>
      <c r="B685" s="4" t="s">
        <v>1585</v>
      </c>
      <c r="C685" s="4" t="str">
        <f ca="1">IFERROR(__xludf.DUMMYFUNCTION("GOOGLETRANSLATE(D:D,""auto"",""en"")"),"Guizhou MAMMATUS wonders")</f>
        <v>Guizhou MAMMATUS wonders</v>
      </c>
      <c r="D685" s="5" t="s">
        <v>1603</v>
      </c>
      <c r="E685" s="4">
        <v>190266</v>
      </c>
    </row>
    <row r="686" spans="1:5" ht="13.5" hidden="1" customHeight="1">
      <c r="A686" s="4" t="s">
        <v>1604</v>
      </c>
      <c r="B686" s="4" t="s">
        <v>1593</v>
      </c>
      <c r="C686" s="4" t="str">
        <f ca="1">IFERROR(__xludf.DUMMYFUNCTION("GOOGLETRANSLATE(D:D,""auto"",""en"")"),"Xiao Zhan Zhang Yun Huang Xiaoming if preparing for Spring Festival")</f>
        <v>Xiao Zhan Zhang Yun Huang Xiaoming if preparing for Spring Festival</v>
      </c>
      <c r="D686" s="5" t="s">
        <v>1605</v>
      </c>
      <c r="E686" s="4">
        <v>188600</v>
      </c>
    </row>
    <row r="687" spans="1:5" ht="13.5" hidden="1" customHeight="1">
      <c r="A687" s="4" t="s">
        <v>1606</v>
      </c>
      <c r="B687" s="4" t="s">
        <v>1522</v>
      </c>
      <c r="C687" s="4" t="str">
        <f ca="1">IFERROR(__xludf.DUMMYFUNCTION("GOOGLETRANSLATE(D:D,""auto"",""en"")"),"Anatomy necklace")</f>
        <v>Anatomy necklace</v>
      </c>
      <c r="D687" s="5" t="s">
        <v>1607</v>
      </c>
      <c r="E687" s="4">
        <v>187218</v>
      </c>
    </row>
    <row r="688" spans="1:5" ht="13.5" hidden="1" customHeight="1">
      <c r="A688" s="4" t="s">
        <v>1608</v>
      </c>
      <c r="B688" s="4" t="s">
        <v>1609</v>
      </c>
      <c r="C688" s="4" t="str">
        <f ca="1">IFERROR(__xludf.DUMMYFUNCTION("GOOGLETRANSLATE(D:D,""auto"",""en"")"),"Textbook publishing may not entrained commercials")</f>
        <v>Textbook publishing may not entrained commercials</v>
      </c>
      <c r="D688" s="5" t="s">
        <v>1610</v>
      </c>
      <c r="E688" s="4">
        <v>186672</v>
      </c>
    </row>
    <row r="689" spans="1:5" ht="13.5" hidden="1" customHeight="1">
      <c r="A689" s="4" t="s">
        <v>1611</v>
      </c>
      <c r="B689" s="4" t="s">
        <v>1609</v>
      </c>
      <c r="C689" s="4" t="str">
        <f ca="1">IFERROR(__xludf.DUMMYFUNCTION("GOOGLETRANSLATE(D:D,""auto"",""en"")"),"Ganzi take protected species white-lipped deer")</f>
        <v>Ganzi take protected species white-lipped deer</v>
      </c>
      <c r="D689" s="5" t="s">
        <v>1612</v>
      </c>
      <c r="E689" s="4">
        <v>183516</v>
      </c>
    </row>
    <row r="690" spans="1:5" ht="13.5" hidden="1" customHeight="1">
      <c r="A690" s="4" t="s">
        <v>1613</v>
      </c>
      <c r="B690" s="4" t="s">
        <v>1593</v>
      </c>
      <c r="C690" s="4" t="str">
        <f ca="1">IFERROR(__xludf.DUMMYFUNCTION("GOOGLETRANSLATE(D:D,""auto"",""en"")"),"Most stories have a sense of drama eyes")</f>
        <v>Most stories have a sense of drama eyes</v>
      </c>
      <c r="D690" s="5" t="s">
        <v>1614</v>
      </c>
      <c r="E690" s="4">
        <v>181799</v>
      </c>
    </row>
    <row r="691" spans="1:5" ht="13.5" hidden="1" customHeight="1">
      <c r="A691" s="4" t="s">
        <v>1615</v>
      </c>
      <c r="B691" s="4" t="s">
        <v>1451</v>
      </c>
      <c r="C691" s="4" t="str">
        <f ca="1">IFERROR(__xludf.DUMMYFUNCTION("GOOGLETRANSLATE(D:D,""auto"",""en"")"),"Liu Hao Ran is called her husband male powder")</f>
        <v>Liu Hao Ran is called her husband male powder</v>
      </c>
      <c r="D691" s="5" t="s">
        <v>1616</v>
      </c>
      <c r="E691" s="4">
        <v>181103</v>
      </c>
    </row>
    <row r="692" spans="1:5" ht="13.5" hidden="1" customHeight="1">
      <c r="A692" s="4" t="s">
        <v>1617</v>
      </c>
      <c r="B692" s="4" t="s">
        <v>1533</v>
      </c>
      <c r="C692" s="4" t="str">
        <f ca="1">IFERROR(__xludf.DUMMYFUNCTION("GOOGLETRANSLATE(D:D,""auto"",""en"")"),"Let row compaction line with no penalty")</f>
        <v>Let row compaction line with no penalty</v>
      </c>
      <c r="D692" s="5" t="s">
        <v>1618</v>
      </c>
      <c r="E692" s="4">
        <v>178464</v>
      </c>
    </row>
    <row r="693" spans="1:5" ht="13.5" hidden="1" customHeight="1">
      <c r="A693" s="4" t="s">
        <v>1619</v>
      </c>
      <c r="B693" s="4" t="s">
        <v>1620</v>
      </c>
      <c r="C693" s="4" t="str">
        <f ca="1">IFERROR(__xludf.DUMMYFUNCTION("GOOGLETRANSLATE(D:D,""auto"",""en"")"),"You do not go to reunions of reason")</f>
        <v>You do not go to reunions of reason</v>
      </c>
      <c r="D693" s="5" t="s">
        <v>1621</v>
      </c>
      <c r="E693" s="4">
        <v>176743</v>
      </c>
    </row>
    <row r="694" spans="1:5" ht="13.5" hidden="1" customHeight="1">
      <c r="A694" s="4" t="s">
        <v>1622</v>
      </c>
      <c r="B694" s="4" t="s">
        <v>1623</v>
      </c>
      <c r="C694" s="4" t="str">
        <f ca="1">IFERROR(__xludf.DUMMYFUNCTION("GOOGLETRANSLATE(D:D,""auto"",""en"")"),"Cross-border electricity supplier goods purchased can be returned")</f>
        <v>Cross-border electricity supplier goods purchased can be returned</v>
      </c>
      <c r="D694" s="5" t="s">
        <v>1624</v>
      </c>
      <c r="E694" s="4">
        <v>174736</v>
      </c>
    </row>
    <row r="695" spans="1:5" ht="13.5" hidden="1" customHeight="1">
      <c r="A695" s="4" t="s">
        <v>1530</v>
      </c>
      <c r="B695" s="4" t="s">
        <v>1606</v>
      </c>
      <c r="C695" s="4" t="str">
        <f ca="1">IFERROR(__xludf.DUMMYFUNCTION("GOOGLETRANSLATE(D:D,""auto"",""en"")"),"The ever-popular but now things disappear")</f>
        <v>The ever-popular but now things disappear</v>
      </c>
      <c r="D695" s="5" t="s">
        <v>1625</v>
      </c>
      <c r="E695" s="4">
        <v>172889</v>
      </c>
    </row>
    <row r="696" spans="1:5" ht="13.5" hidden="1" customHeight="1">
      <c r="A696" s="4" t="s">
        <v>1626</v>
      </c>
      <c r="B696" s="4" t="s">
        <v>1620</v>
      </c>
      <c r="C696" s="4" t="str">
        <f ca="1">IFERROR(__xludf.DUMMYFUNCTION("GOOGLETRANSLATE(D:D,""auto"",""en"")"),"How rational use of mobile phones")</f>
        <v>How rational use of mobile phones</v>
      </c>
      <c r="D696" s="5" t="s">
        <v>1627</v>
      </c>
      <c r="E696" s="4">
        <v>172179</v>
      </c>
    </row>
    <row r="697" spans="1:5" ht="13.5" hidden="1" customHeight="1">
      <c r="A697" s="4" t="s">
        <v>1628</v>
      </c>
      <c r="B697" s="4" t="s">
        <v>1629</v>
      </c>
      <c r="C697" s="4" t="str">
        <f ca="1">IFERROR(__xludf.DUMMYFUNCTION("GOOGLETRANSLATE(D:D,""auto"",""en"")"),"Zhang Yishan rabbit ears hairpin")</f>
        <v>Zhang Yishan rabbit ears hairpin</v>
      </c>
      <c r="D697" s="5" t="s">
        <v>1630</v>
      </c>
      <c r="E697" s="4">
        <v>169686</v>
      </c>
    </row>
    <row r="698" spans="1:5" ht="13.5" hidden="1" customHeight="1">
      <c r="A698" s="4" t="s">
        <v>1631</v>
      </c>
      <c r="B698" s="4" t="s">
        <v>1632</v>
      </c>
      <c r="C698" s="4" t="str">
        <f ca="1">IFERROR(__xludf.DUMMYFUNCTION("GOOGLETRANSLATE(D:D,""auto"",""en"")"),"Lin update to the active head like a powder")</f>
        <v>Lin update to the active head like a powder</v>
      </c>
      <c r="D698" s="5" t="s">
        <v>1633</v>
      </c>
      <c r="E698" s="4">
        <v>168818</v>
      </c>
    </row>
    <row r="699" spans="1:5" ht="13.5" hidden="1" customHeight="1">
      <c r="A699" s="4" t="s">
        <v>1606</v>
      </c>
      <c r="B699" s="4" t="s">
        <v>1634</v>
      </c>
      <c r="C699" s="4" t="str">
        <f ca="1">IFERROR(__xludf.DUMMYFUNCTION("GOOGLETRANSLATE(D:D,""auto"",""en"")"),"Wang Hailin do not know who is Wu Xuan instrument")</f>
        <v>Wang Hailin do not know who is Wu Xuan instrument</v>
      </c>
      <c r="D699" s="5" t="s">
        <v>1635</v>
      </c>
      <c r="E699" s="4">
        <v>166249</v>
      </c>
    </row>
    <row r="700" spans="1:5" ht="13.5" hidden="1" customHeight="1">
      <c r="A700" s="4" t="s">
        <v>1599</v>
      </c>
      <c r="B700" s="4" t="s">
        <v>1636</v>
      </c>
      <c r="C700" s="4" t="str">
        <f ca="1">IFERROR(__xludf.DUMMYFUNCTION("GOOGLETRANSLATE(D:D,""auto"",""en"")"),"The reason to wake up at night to see the phone")</f>
        <v>The reason to wake up at night to see the phone</v>
      </c>
      <c r="D700" s="5" t="s">
        <v>1637</v>
      </c>
      <c r="E700" s="4">
        <v>165361</v>
      </c>
    </row>
    <row r="701" spans="1:5" ht="13.5" hidden="1" customHeight="1">
      <c r="C701" s="4" t="str">
        <f ca="1">IFERROR(__xludf.DUMMYFUNCTION("GOOGLETRANSLATE(D:D,""auto"",""en"")"),"#VALUE!")</f>
        <v>#VALUE!</v>
      </c>
    </row>
    <row r="702" spans="1:5" ht="13.5" hidden="1" customHeight="1">
      <c r="A702" s="4" t="s">
        <v>1638</v>
      </c>
      <c r="B702" s="4" t="s">
        <v>1639</v>
      </c>
      <c r="C702" s="4" t="str">
        <f ca="1">IFERROR(__xludf.DUMMYFUNCTION("GOOGLETRANSLATE(D:D,""auto"",""en"")"),"ZhouDongYu wearing masks to accept the award")</f>
        <v>ZhouDongYu wearing masks to accept the award</v>
      </c>
      <c r="D702" s="4" t="s">
        <v>1640</v>
      </c>
      <c r="E702" s="4">
        <v>2518409</v>
      </c>
    </row>
    <row r="703" spans="1:5" ht="13.5" hidden="1" customHeight="1">
      <c r="A703" s="4" t="s">
        <v>1641</v>
      </c>
      <c r="B703" s="4" t="s">
        <v>1642</v>
      </c>
      <c r="C703" s="4" t="str">
        <f ca="1">IFERROR(__xludf.DUMMYFUNCTION("GOOGLETRANSLATE(D:D,""auto"",""en"")"),"Iran is prepared 13 kinds of retaliation the US scheme")</f>
        <v>Iran is prepared 13 kinds of retaliation the US scheme</v>
      </c>
      <c r="D703" s="5" t="s">
        <v>1643</v>
      </c>
      <c r="E703" s="4">
        <v>1905881</v>
      </c>
    </row>
    <row r="704" spans="1:5" ht="13.5" hidden="1" customHeight="1">
      <c r="A704" s="4" t="s">
        <v>1644</v>
      </c>
      <c r="B704" s="4" t="s">
        <v>1645</v>
      </c>
      <c r="C704" s="4" t="str">
        <f ca="1">IFERROR(__xludf.DUMMYFUNCTION("GOOGLETRANSLATE(D:D,""auto"",""en"")"),"Lee Jackson Wang Wei Taixun embarrassed dance now")</f>
        <v>Lee Jackson Wang Wei Taixun embarrassed dance now</v>
      </c>
      <c r="D704" s="5" t="s">
        <v>1646</v>
      </c>
      <c r="E704" s="4">
        <v>1627950</v>
      </c>
    </row>
    <row r="705" spans="1:5" ht="13.5" hidden="1" customHeight="1">
      <c r="A705" s="4" t="s">
        <v>1647</v>
      </c>
      <c r="B705" s="4" t="s">
        <v>1648</v>
      </c>
      <c r="C705" s="4" t="str">
        <f ca="1">IFERROR(__xludf.DUMMYFUNCTION("GOOGLETRANSLATE(D:D,""auto"",""en"")"),"Sweet Hope singing fireflies")</f>
        <v>Sweet Hope singing fireflies</v>
      </c>
      <c r="D705" s="5" t="s">
        <v>1649</v>
      </c>
      <c r="E705" s="4">
        <v>1299374</v>
      </c>
    </row>
    <row r="706" spans="1:5" ht="13.5" hidden="1" customHeight="1">
      <c r="A706" s="4" t="s">
        <v>1650</v>
      </c>
      <c r="B706" s="4" t="s">
        <v>1651</v>
      </c>
      <c r="C706" s="4" t="str">
        <f ca="1">IFERROR(__xludf.DUMMYFUNCTION("GOOGLETRANSLATE(D:D,""auto"",""en"")"),"State test scores")</f>
        <v>State test scores</v>
      </c>
      <c r="D706" s="5" t="s">
        <v>1652</v>
      </c>
      <c r="E706" s="4">
        <v>815790</v>
      </c>
    </row>
    <row r="707" spans="1:5" ht="13.5" hidden="1" customHeight="1">
      <c r="A707" s="4" t="s">
        <v>1653</v>
      </c>
      <c r="B707" s="4" t="s">
        <v>1654</v>
      </c>
      <c r="C707" s="4" t="str">
        <f ca="1">IFERROR(__xludf.DUMMYFUNCTION("GOOGLETRANSLATE(D:D,""auto"",""en"")"),"Love apartment there will be no sequel")</f>
        <v>Love apartment there will be no sequel</v>
      </c>
      <c r="D707" s="5" t="s">
        <v>1655</v>
      </c>
      <c r="E707" s="4">
        <v>814960</v>
      </c>
    </row>
    <row r="708" spans="1:5" ht="13.5" hidden="1" customHeight="1">
      <c r="A708" s="4" t="s">
        <v>1656</v>
      </c>
      <c r="B708" s="4" t="s">
        <v>1657</v>
      </c>
      <c r="C708" s="4" t="str">
        <f ca="1">IFERROR(__xludf.DUMMYFUNCTION("GOOGLETRANSLATE(D:D,""auto"",""en"")"),"Iran's agreement to suspend the Iranian nuclear measures are reversible")</f>
        <v>Iran's agreement to suspend the Iranian nuclear measures are reversible</v>
      </c>
      <c r="D708" s="5" t="s">
        <v>1658</v>
      </c>
      <c r="E708" s="4">
        <v>801428</v>
      </c>
    </row>
    <row r="709" spans="1:5" ht="13.5" hidden="1" customHeight="1">
      <c r="A709" s="4" t="s">
        <v>1659</v>
      </c>
      <c r="B709" s="4" t="s">
        <v>1660</v>
      </c>
      <c r="C709" s="4" t="str">
        <f ca="1">IFERROR(__xludf.DUMMYFUNCTION("GOOGLETRANSLATE(D:D,""auto"",""en"")"),"The Chinese side refused to respond to the US visa Iranian Foreign Minister")</f>
        <v>The Chinese side refused to respond to the US visa Iranian Foreign Minister</v>
      </c>
      <c r="D709" s="5" t="s">
        <v>1661</v>
      </c>
      <c r="E709" s="4">
        <v>796202</v>
      </c>
    </row>
    <row r="710" spans="1:5" ht="13.5" hidden="1" customHeight="1">
      <c r="A710" s="4" t="s">
        <v>1662</v>
      </c>
      <c r="B710" s="4" t="s">
        <v>1663</v>
      </c>
      <c r="C710" s="4" t="str">
        <f ca="1">IFERROR(__xludf.DUMMYFUNCTION("GOOGLETRANSLATE(D:D,""auto"",""en"")"),"Snow Mountain Blue met Erhai")</f>
        <v>Snow Mountain Blue met Erhai</v>
      </c>
      <c r="D710" s="5" t="s">
        <v>1664</v>
      </c>
      <c r="E710" s="4">
        <v>790247</v>
      </c>
    </row>
    <row r="711" spans="1:5" ht="13.5" hidden="1" customHeight="1">
      <c r="A711" s="4" t="s">
        <v>1665</v>
      </c>
      <c r="B711" s="4" t="s">
        <v>1666</v>
      </c>
      <c r="C711" s="4" t="str">
        <f ca="1">IFERROR(__xludf.DUMMYFUNCTION("GOOGLETRANSLATE(D:D,""auto"",""en"")"),"Yi Xi smelt one thousand, but to take the trophy")</f>
        <v>Yi Xi smelt one thousand, but to take the trophy</v>
      </c>
      <c r="D711" s="5" t="s">
        <v>1667</v>
      </c>
      <c r="E711" s="4">
        <v>784796</v>
      </c>
    </row>
    <row r="712" spans="1:5" ht="13.5" hidden="1" customHeight="1">
      <c r="A712" s="4" t="s">
        <v>1668</v>
      </c>
      <c r="B712" s="4" t="s">
        <v>1669</v>
      </c>
      <c r="C712" s="4" t="str">
        <f ca="1">IFERROR(__xludf.DUMMYFUNCTION("GOOGLETRANSLATE(D:D,""auto"",""en"")"),"Modern version Qingyu years")</f>
        <v>Modern version Qingyu years</v>
      </c>
      <c r="D712" s="5" t="s">
        <v>1670</v>
      </c>
      <c r="E712" s="4">
        <v>775961</v>
      </c>
    </row>
    <row r="713" spans="1:5" ht="13.5" hidden="1" customHeight="1">
      <c r="A713" s="4" t="s">
        <v>1671</v>
      </c>
      <c r="B713" s="4" t="s">
        <v>1672</v>
      </c>
      <c r="C713" s="4" t="str">
        <f ca="1">IFERROR(__xludf.DUMMYFUNCTION("GOOGLETRANSLATE(D:D,""auto"",""en"")"),"Beijing University self-study five schools closed")</f>
        <v>Beijing University self-study five schools closed</v>
      </c>
      <c r="D713" s="5" t="s">
        <v>1673</v>
      </c>
      <c r="E713" s="4">
        <v>766294</v>
      </c>
    </row>
    <row r="714" spans="1:5" ht="13.5" hidden="1" customHeight="1">
      <c r="A714" s="4" t="s">
        <v>1674</v>
      </c>
      <c r="B714" s="4" t="s">
        <v>1675</v>
      </c>
      <c r="C714" s="4" t="str">
        <f ca="1">IFERROR(__xludf.DUMMYFUNCTION("GOOGLETRANSLATE(D:D,""auto"",""en"")"),"Germany announced that it would partially troops leave Iraq")</f>
        <v>Germany announced that it would partially troops leave Iraq</v>
      </c>
      <c r="D714" s="5" t="s">
        <v>1676</v>
      </c>
      <c r="E714" s="4">
        <v>761011</v>
      </c>
    </row>
    <row r="715" spans="1:5" ht="13.5" hidden="1" customHeight="1">
      <c r="A715" s="4" t="s">
        <v>1677</v>
      </c>
      <c r="B715" s="4" t="s">
        <v>1678</v>
      </c>
      <c r="C715" s="4" t="str">
        <f ca="1">IFERROR(__xludf.DUMMYFUNCTION("GOOGLETRANSLATE(D:D,""auto"",""en"")"),"Sexual assault cases involving minors one-stop forensics")</f>
        <v>Sexual assault cases involving minors one-stop forensics</v>
      </c>
      <c r="D715" s="5" t="s">
        <v>1679</v>
      </c>
      <c r="E715" s="4">
        <v>749840</v>
      </c>
    </row>
    <row r="716" spans="1:5" ht="13.5" hidden="1" customHeight="1">
      <c r="A716" s="4" t="s">
        <v>1532</v>
      </c>
      <c r="B716" s="4" t="s">
        <v>1680</v>
      </c>
      <c r="C716" s="4" t="str">
        <f ca="1">IFERROR(__xludf.DUMMYFUNCTION("GOOGLETRANSLATE(D:D,""auto"",""en"")"),"Liang ID No. 2 and the composition 0")</f>
        <v>Liang ID No. 2 and the composition 0</v>
      </c>
      <c r="D716" s="5" t="s">
        <v>1681</v>
      </c>
      <c r="E716" s="4">
        <v>736319</v>
      </c>
    </row>
    <row r="717" spans="1:5" ht="13.5" hidden="1" customHeight="1">
      <c r="A717" s="4" t="s">
        <v>1682</v>
      </c>
      <c r="B717" s="4" t="s">
        <v>1683</v>
      </c>
      <c r="C717" s="4" t="str">
        <f ca="1">IFERROR(__xludf.DUMMYFUNCTION("GOOGLETRANSLATE(D:D,""auto"",""en"")"),"When the amount of fat and more people are hot wool roll")</f>
        <v>When the amount of fat and more people are hot wool roll</v>
      </c>
      <c r="D717" s="5" t="s">
        <v>1684</v>
      </c>
      <c r="E717" s="4">
        <v>726509</v>
      </c>
    </row>
    <row r="718" spans="1:5" ht="13.5" hidden="1" customHeight="1">
      <c r="A718" s="4" t="s">
        <v>1685</v>
      </c>
      <c r="B718" s="4" t="s">
        <v>1686</v>
      </c>
      <c r="C718" s="4" t="str">
        <f ca="1">IFERROR(__xludf.DUMMYFUNCTION("GOOGLETRANSLATE(D:D,""auto"",""en"")"),"Mars CD published romance")</f>
        <v>Mars CD published romance</v>
      </c>
      <c r="D718" s="5" t="s">
        <v>1687</v>
      </c>
      <c r="E718" s="4">
        <v>722111</v>
      </c>
    </row>
    <row r="719" spans="1:5" ht="13.5" hidden="1" customHeight="1">
      <c r="A719" s="4" t="s">
        <v>1688</v>
      </c>
      <c r="B719" s="4" t="s">
        <v>1689</v>
      </c>
      <c r="C719" s="4" t="str">
        <f ca="1">IFERROR(__xludf.DUMMYFUNCTION("GOOGLETRANSLATE(D:D,""auto"",""en"")"),"The color value variation remove the glasses")</f>
        <v>The color value variation remove the glasses</v>
      </c>
      <c r="D719" s="5" t="s">
        <v>1690</v>
      </c>
      <c r="E719" s="4">
        <v>661309</v>
      </c>
    </row>
    <row r="720" spans="1:5" ht="13.5" hidden="1" customHeight="1">
      <c r="A720" s="4" t="s">
        <v>1691</v>
      </c>
      <c r="B720" s="4" t="s">
        <v>1692</v>
      </c>
      <c r="C720" s="4" t="str">
        <f ca="1">IFERROR(__xludf.DUMMYFUNCTION("GOOGLETRANSLATE(D:D,""auto"",""en"")"),"Slaughtered cows kneel users buy release")</f>
        <v>Slaughtered cows kneel users buy release</v>
      </c>
      <c r="D720" s="5" t="s">
        <v>1693</v>
      </c>
      <c r="E720" s="4">
        <v>589778</v>
      </c>
    </row>
    <row r="721" spans="1:5" ht="13.5" hidden="1" customHeight="1">
      <c r="A721" s="4" t="s">
        <v>1694</v>
      </c>
      <c r="B721" s="4" t="s">
        <v>1695</v>
      </c>
      <c r="C721" s="4" t="str">
        <f ca="1">IFERROR(__xludf.DUMMYFUNCTION("GOOGLETRANSLATE(D:D,""auto"",""en"")"),"Zheng Shuang studio Statement")</f>
        <v>Zheng Shuang studio Statement</v>
      </c>
      <c r="D721" s="5" t="s">
        <v>1696</v>
      </c>
      <c r="E721" s="4">
        <v>511466</v>
      </c>
    </row>
    <row r="722" spans="1:5" ht="13.5" hidden="1" customHeight="1">
      <c r="A722" s="4" t="s">
        <v>1697</v>
      </c>
      <c r="B722" s="4" t="s">
        <v>1698</v>
      </c>
      <c r="C722" s="4" t="str">
        <f ca="1">IFERROR(__xludf.DUMMYFUNCTION("GOOGLETRANSLATE(D:D,""auto"",""en"")"),"Shiba Inu ass hairpin")</f>
        <v>Shiba Inu ass hairpin</v>
      </c>
      <c r="D722" s="5" t="s">
        <v>1699</v>
      </c>
      <c r="E722" s="4">
        <v>507672</v>
      </c>
    </row>
    <row r="723" spans="1:5" ht="13.5" hidden="1" customHeight="1">
      <c r="A723" s="4" t="s">
        <v>1700</v>
      </c>
      <c r="B723" s="4" t="s">
        <v>1645</v>
      </c>
      <c r="C723" s="4" t="str">
        <f ca="1">IFERROR(__xludf.DUMMYFUNCTION("GOOGLETRANSLATE(D:D,""auto"",""en"")"),"Girls do not dress up what experience")</f>
        <v>Girls do not dress up what experience</v>
      </c>
      <c r="D723" s="5" t="s">
        <v>1701</v>
      </c>
      <c r="E723" s="4">
        <v>501305</v>
      </c>
    </row>
    <row r="724" spans="1:5" ht="13.5" hidden="1" customHeight="1">
      <c r="A724" s="4" t="s">
        <v>1702</v>
      </c>
      <c r="B724" s="4" t="s">
        <v>1703</v>
      </c>
      <c r="C724" s="4" t="str">
        <f ca="1">IFERROR(__xludf.DUMMYFUNCTION("GOOGLETRANSLATE(D:D,""auto"",""en"")"),"Australia welcomed the timely rain")</f>
        <v>Australia welcomed the timely rain</v>
      </c>
      <c r="D724" s="5" t="s">
        <v>1704</v>
      </c>
      <c r="E724" s="4">
        <v>462034</v>
      </c>
    </row>
    <row r="725" spans="1:5" ht="13.5" hidden="1" customHeight="1">
      <c r="A725" s="4" t="s">
        <v>1705</v>
      </c>
      <c r="B725" s="4" t="s">
        <v>1706</v>
      </c>
      <c r="C725" s="4" t="str">
        <f ca="1">IFERROR(__xludf.DUMMYFUNCTION("GOOGLETRANSLATE(D:D,""auto"",""en"")"),"The thief is leaving no footprints sit move forward")</f>
        <v>The thief is leaving no footprints sit move forward</v>
      </c>
      <c r="D725" s="5" t="s">
        <v>1707</v>
      </c>
      <c r="E725" s="4">
        <v>411120</v>
      </c>
    </row>
    <row r="726" spans="1:5" ht="13.5" hidden="1" customHeight="1">
      <c r="A726" s="4" t="s">
        <v>1708</v>
      </c>
      <c r="B726" s="4" t="s">
        <v>1709</v>
      </c>
      <c r="C726" s="4" t="str">
        <f ca="1">IFERROR(__xludf.DUMMYFUNCTION("GOOGLETRANSLATE(D:D,""auto"",""en"")"),"HyunA clavicle nail")</f>
        <v>HyunA clavicle nail</v>
      </c>
      <c r="D726" s="5" t="s">
        <v>1710</v>
      </c>
      <c r="E726" s="4">
        <v>331241</v>
      </c>
    </row>
    <row r="727" spans="1:5" ht="13.5" hidden="1" customHeight="1">
      <c r="A727" s="4" t="s">
        <v>1711</v>
      </c>
      <c r="B727" s="4" t="s">
        <v>1712</v>
      </c>
      <c r="C727" s="4" t="str">
        <f ca="1">IFERROR(__xludf.DUMMYFUNCTION("GOOGLETRANSLATE(D:D,""auto"",""en"")"),"This circle is too small how to find the object")</f>
        <v>This circle is too small how to find the object</v>
      </c>
      <c r="D727" s="5" t="s">
        <v>1713</v>
      </c>
      <c r="E727" s="4">
        <v>316074</v>
      </c>
    </row>
    <row r="728" spans="1:5" ht="13.5" hidden="1" customHeight="1">
      <c r="A728" s="4" t="s">
        <v>1714</v>
      </c>
      <c r="B728" s="4" t="s">
        <v>1715</v>
      </c>
      <c r="C728" s="4" t="str">
        <f ca="1">IFERROR(__xludf.DUMMYFUNCTION("GOOGLETRANSLATE(D:D,""auto"",""en"")"),"Visitors are forced to take photos of you")</f>
        <v>Visitors are forced to take photos of you</v>
      </c>
      <c r="D728" s="5" t="s">
        <v>1716</v>
      </c>
      <c r="E728" s="4">
        <v>312619</v>
      </c>
    </row>
    <row r="729" spans="1:5" ht="13.5" hidden="1" customHeight="1">
      <c r="A729" s="4" t="s">
        <v>1705</v>
      </c>
      <c r="B729" s="4" t="s">
        <v>1645</v>
      </c>
      <c r="C729" s="4" t="str">
        <f ca="1">IFERROR(__xludf.DUMMYFUNCTION("GOOGLETRANSLATE(D:D,""auto"",""en"")"),"I'm good to people like me open")</f>
        <v>I'm good to people like me open</v>
      </c>
      <c r="D729" s="5" t="s">
        <v>1717</v>
      </c>
      <c r="E729" s="4">
        <v>292854</v>
      </c>
    </row>
    <row r="730" spans="1:5" ht="13.5" hidden="1" customHeight="1">
      <c r="A730" s="4" t="s">
        <v>1718</v>
      </c>
      <c r="B730" s="4" t="s">
        <v>1719</v>
      </c>
      <c r="C730" s="4" t="str">
        <f ca="1">IFERROR(__xludf.DUMMYFUNCTION("GOOGLETRANSLATE(D:D,""auto"",""en"")"),"You are asked to do 100 designer one day to leave Figure")</f>
        <v>You are asked to do 100 designer one day to leave Figure</v>
      </c>
      <c r="D730" s="5" t="s">
        <v>1720</v>
      </c>
      <c r="E730" s="4">
        <v>243918</v>
      </c>
    </row>
    <row r="731" spans="1:5" ht="13.5" hidden="1" customHeight="1">
      <c r="A731" s="4" t="s">
        <v>1721</v>
      </c>
      <c r="B731" s="4" t="s">
        <v>1722</v>
      </c>
      <c r="C731" s="4" t="str">
        <f ca="1">IFERROR(__xludf.DUMMYFUNCTION("GOOGLETRANSLATE(D:D,""auto"",""en"")"),"Disney Princess Earrings")</f>
        <v>Disney Princess Earrings</v>
      </c>
      <c r="D731" s="5" t="s">
        <v>1723</v>
      </c>
      <c r="E731" s="4">
        <v>225887</v>
      </c>
    </row>
    <row r="732" spans="1:5" ht="13.5" hidden="1" customHeight="1">
      <c r="A732" s="4" t="s">
        <v>1724</v>
      </c>
      <c r="B732" s="4" t="s">
        <v>1725</v>
      </c>
      <c r="C732" s="4" t="str">
        <f ca="1">IFERROR(__xludf.DUMMYFUNCTION("GOOGLETRANSLATE(D:D,""auto"",""en"")"),"Women learn Pa roast leg of lamb turned into hundreds of articles")</f>
        <v>Women learn Pa roast leg of lamb turned into hundreds of articles</v>
      </c>
      <c r="D732" s="5" t="s">
        <v>1726</v>
      </c>
      <c r="E732" s="4">
        <v>217409</v>
      </c>
    </row>
    <row r="733" spans="1:5" ht="13.5" hidden="1" customHeight="1">
      <c r="A733" s="4" t="s">
        <v>1727</v>
      </c>
      <c r="B733" s="4" t="s">
        <v>1728</v>
      </c>
      <c r="C733" s="4" t="str">
        <f ca="1">IFERROR(__xludf.DUMMYFUNCTION("GOOGLETRANSLATE(D:D,""auto"",""en"")"),"Real Estate Agents mother and rain will lose high-speed")</f>
        <v>Real Estate Agents mother and rain will lose high-speed</v>
      </c>
      <c r="D733" s="5" t="s">
        <v>1729</v>
      </c>
      <c r="E733" s="4">
        <v>190853</v>
      </c>
    </row>
    <row r="734" spans="1:5" ht="13.5" hidden="1" customHeight="1">
      <c r="A734" s="4" t="s">
        <v>1730</v>
      </c>
      <c r="B734" s="4" t="s">
        <v>1731</v>
      </c>
      <c r="C734" s="4" t="str">
        <f ca="1">IFERROR(__xludf.DUMMYFUNCTION("GOOGLETRANSLATE(D:D,""auto"",""en"")"),"A recent experience from death")</f>
        <v>A recent experience from death</v>
      </c>
      <c r="D734" s="5" t="s">
        <v>1732</v>
      </c>
      <c r="E734" s="4">
        <v>185886</v>
      </c>
    </row>
    <row r="735" spans="1:5" ht="13.5" hidden="1" customHeight="1">
      <c r="A735" s="4" t="s">
        <v>1733</v>
      </c>
      <c r="B735" s="4" t="s">
        <v>1734</v>
      </c>
      <c r="C735" s="4" t="str">
        <f ca="1">IFERROR(__xludf.DUMMYFUNCTION("GOOGLETRANSLATE(D:D,""auto"",""en"")"),"Love Apartments 5 conference")</f>
        <v>Love Apartments 5 conference</v>
      </c>
      <c r="D735" s="5" t="s">
        <v>1735</v>
      </c>
      <c r="E735" s="4">
        <v>178833</v>
      </c>
    </row>
    <row r="736" spans="1:5" ht="13.5" hidden="1" customHeight="1">
      <c r="A736" s="4" t="s">
        <v>1714</v>
      </c>
      <c r="B736" s="4" t="s">
        <v>1736</v>
      </c>
      <c r="C736" s="4" t="str">
        <f ca="1">IFERROR(__xludf.DUMMYFUNCTION("GOOGLETRANSLATE(D:D,""auto"",""en"")"),"Female owners of illegally parked Jaguar Lianzhuang under 11")</f>
        <v>Female owners of illegally parked Jaguar Lianzhuang under 11</v>
      </c>
      <c r="D736" s="5" t="s">
        <v>1737</v>
      </c>
      <c r="E736" s="4">
        <v>176698</v>
      </c>
    </row>
    <row r="737" spans="1:5" ht="13.5" hidden="1" customHeight="1">
      <c r="A737" s="4" t="s">
        <v>1738</v>
      </c>
      <c r="B737" s="4" t="s">
        <v>1739</v>
      </c>
      <c r="C737" s="4" t="str">
        <f ca="1">IFERROR(__xludf.DUMMYFUNCTION("GOOGLETRANSLATE(D:D,""auto"",""en"")"),"Girls only have eyes for four categories of boys")</f>
        <v>Girls only have eyes for four categories of boys</v>
      </c>
      <c r="D737" s="5" t="s">
        <v>1740</v>
      </c>
      <c r="E737" s="4">
        <v>170633</v>
      </c>
    </row>
    <row r="738" spans="1:5" ht="13.5" hidden="1" customHeight="1">
      <c r="A738" s="4" t="s">
        <v>1741</v>
      </c>
      <c r="B738" s="4" t="s">
        <v>1648</v>
      </c>
      <c r="C738" s="4" t="str">
        <f ca="1">IFERROR(__xludf.DUMMYFUNCTION("GOOGLETRANSLATE(D:D,""auto"",""en"")"),"Easy fat physique is what girls experience")</f>
        <v>Easy fat physique is what girls experience</v>
      </c>
      <c r="D738" s="5" t="s">
        <v>1742</v>
      </c>
      <c r="E738" s="4">
        <v>163891</v>
      </c>
    </row>
    <row r="739" spans="1:5" ht="13.5" hidden="1" customHeight="1">
      <c r="A739" s="4" t="s">
        <v>1743</v>
      </c>
      <c r="B739" s="4" t="s">
        <v>1535</v>
      </c>
      <c r="C739" s="4" t="str">
        <f ca="1">IFERROR(__xludf.DUMMYFUNCTION("GOOGLETRANSLATE(D:D,""auto"",""en"")"),"Australia will shoot 10,000 camels")</f>
        <v>Australia will shoot 10,000 camels</v>
      </c>
      <c r="D739" s="5" t="s">
        <v>1744</v>
      </c>
      <c r="E739" s="4">
        <v>156174</v>
      </c>
    </row>
    <row r="740" spans="1:5" ht="13.5" hidden="1" customHeight="1">
      <c r="A740" s="4" t="s">
        <v>1745</v>
      </c>
      <c r="B740" s="4" t="s">
        <v>1746</v>
      </c>
      <c r="C740" s="4" t="str">
        <f ca="1">IFERROR(__xludf.DUMMYFUNCTION("GOOGLETRANSLATE(D:D,""auto"",""en"")"),"Sun Jing")</f>
        <v>Sun Jing</v>
      </c>
      <c r="D740" s="5" t="s">
        <v>1747</v>
      </c>
      <c r="E740" s="4">
        <v>153525</v>
      </c>
    </row>
    <row r="741" spans="1:5" ht="13.5" hidden="1" customHeight="1">
      <c r="A741" s="4" t="s">
        <v>1748</v>
      </c>
      <c r="B741" s="4" t="s">
        <v>1725</v>
      </c>
      <c r="C741" s="4" t="str">
        <f ca="1">IFERROR(__xludf.DUMMYFUNCTION("GOOGLETRANSLATE(D:D,""auto"",""en"")"),"Abstinence wind perfume")</f>
        <v>Abstinence wind perfume</v>
      </c>
      <c r="D741" s="5" t="s">
        <v>1749</v>
      </c>
      <c r="E741" s="4">
        <v>152946</v>
      </c>
    </row>
    <row r="742" spans="1:5" ht="13.5" hidden="1" customHeight="1">
      <c r="A742" s="4" t="s">
        <v>1750</v>
      </c>
      <c r="B742" s="4" t="s">
        <v>1751</v>
      </c>
      <c r="C742" s="4" t="str">
        <f ca="1">IFERROR(__xludf.DUMMYFUNCTION("GOOGLETRANSLATE(D:D,""auto"",""en"")"),"LOS White Paper")</f>
        <v>LOS White Paper</v>
      </c>
      <c r="D742" s="5" t="s">
        <v>1752</v>
      </c>
      <c r="E742" s="4">
        <v>147672</v>
      </c>
    </row>
    <row r="743" spans="1:5" ht="13.5" hidden="1" customHeight="1">
      <c r="A743" s="4" t="s">
        <v>1753</v>
      </c>
      <c r="B743" s="4" t="s">
        <v>1754</v>
      </c>
      <c r="C743" s="4" t="str">
        <f ca="1">IFERROR(__xludf.DUMMYFUNCTION("GOOGLETRANSLATE(D:D,""auto"",""en"")"),"Avatar conceptual diagram 2")</f>
        <v>Avatar conceptual diagram 2</v>
      </c>
      <c r="D743" s="5" t="s">
        <v>1755</v>
      </c>
      <c r="E743" s="4">
        <v>125425</v>
      </c>
    </row>
    <row r="744" spans="1:5" ht="13.5" hidden="1" customHeight="1">
      <c r="A744" s="4" t="s">
        <v>1750</v>
      </c>
      <c r="B744" s="4" t="s">
        <v>1756</v>
      </c>
      <c r="C744" s="4" t="str">
        <f ca="1">IFERROR(__xludf.DUMMYFUNCTION("GOOGLETRANSLATE(D:D,""auto"",""en"")"),"Animation touching moment")</f>
        <v>Animation touching moment</v>
      </c>
      <c r="D744" s="5" t="s">
        <v>1757</v>
      </c>
      <c r="E744" s="4">
        <v>106109</v>
      </c>
    </row>
    <row r="745" spans="1:5" ht="13.5" hidden="1" customHeight="1">
      <c r="A745" s="4" t="s">
        <v>1758</v>
      </c>
      <c r="B745" s="4" t="s">
        <v>1544</v>
      </c>
      <c r="C745" s="4" t="str">
        <f ca="1">IFERROR(__xludf.DUMMYFUNCTION("GOOGLETRANSLATE(D:D,""auto"",""en"")"),"The first habitable planet may be found in a large asteroid")</f>
        <v>The first habitable planet may be found in a large asteroid</v>
      </c>
      <c r="D745" s="5" t="s">
        <v>1759</v>
      </c>
      <c r="E745" s="4">
        <v>95623</v>
      </c>
    </row>
    <row r="746" spans="1:5" ht="13.5" hidden="1" customHeight="1">
      <c r="A746" s="4" t="s">
        <v>1760</v>
      </c>
      <c r="B746" s="4" t="s">
        <v>1761</v>
      </c>
      <c r="C746" s="4" t="str">
        <f ca="1">IFERROR(__xludf.DUMMYFUNCTION("GOOGLETRANSLATE(D:D,""auto"",""en"")"),"Messenger Bag luggage")</f>
        <v>Messenger Bag luggage</v>
      </c>
      <c r="D746" s="5" t="s">
        <v>1762</v>
      </c>
      <c r="E746" s="4">
        <v>81965</v>
      </c>
    </row>
    <row r="747" spans="1:5" ht="13.5" hidden="1" customHeight="1">
      <c r="A747" s="4" t="s">
        <v>1753</v>
      </c>
      <c r="B747" s="4" t="s">
        <v>1763</v>
      </c>
      <c r="C747" s="4" t="str">
        <f ca="1">IFERROR(__xludf.DUMMYFUNCTION("GOOGLETRANSLATE(D:D,""auto"",""en"")"),"Xiaozhan best performances trailer")</f>
        <v>Xiaozhan best performances trailer</v>
      </c>
      <c r="D747" s="5" t="s">
        <v>1764</v>
      </c>
      <c r="E747" s="4">
        <v>77719</v>
      </c>
    </row>
    <row r="748" spans="1:5" ht="13.5" hidden="1" customHeight="1">
      <c r="A748" s="4" t="s">
        <v>1532</v>
      </c>
      <c r="B748" s="4" t="s">
        <v>1533</v>
      </c>
      <c r="C748" s="4" t="str">
        <f ca="1">IFERROR(__xludf.DUMMYFUNCTION("GOOGLETRANSLATE(D:D,""auto"",""en"")"),"Over 20,000 deaths in fires koala")</f>
        <v>Over 20,000 deaths in fires koala</v>
      </c>
      <c r="D748" s="5" t="s">
        <v>1534</v>
      </c>
      <c r="E748" s="4">
        <v>74029</v>
      </c>
    </row>
    <row r="749" spans="1:5" ht="13.5" hidden="1" customHeight="1">
      <c r="A749" s="4" t="s">
        <v>1765</v>
      </c>
      <c r="B749" s="4" t="s">
        <v>1766</v>
      </c>
      <c r="C749" s="4" t="str">
        <f ca="1">IFERROR(__xludf.DUMMYFUNCTION("GOOGLETRANSLATE(D:D,""auto"",""en"")"),"Ministry of Education issued Chinese college entrance examination evaluation system")</f>
        <v>Ministry of Education issued Chinese college entrance examination evaluation system</v>
      </c>
      <c r="D749" s="5" t="s">
        <v>1767</v>
      </c>
      <c r="E749" s="4">
        <v>40672</v>
      </c>
    </row>
    <row r="750" spans="1:5" ht="13.5" hidden="1" customHeight="1">
      <c r="A750" s="4" t="s">
        <v>1768</v>
      </c>
      <c r="B750" s="4" t="s">
        <v>1769</v>
      </c>
      <c r="C750" s="4" t="str">
        <f ca="1">IFERROR(__xludf.DUMMYFUNCTION("GOOGLETRANSLATE(D:D,""auto"",""en"")"),"Kyoto Animation demolished today")</f>
        <v>Kyoto Animation demolished today</v>
      </c>
      <c r="D750" s="5" t="s">
        <v>1770</v>
      </c>
      <c r="E750" s="4">
        <v>36204</v>
      </c>
    </row>
    <row r="751" spans="1:5" ht="13.5" hidden="1" customHeight="1">
      <c r="C751" s="4" t="str">
        <f ca="1">IFERROR(__xludf.DUMMYFUNCTION("GOOGLETRANSLATE(D:D,""auto"",""en"")"),"#VALUE!")</f>
        <v>#VALUE!</v>
      </c>
    </row>
    <row r="752" spans="1:5" ht="13.5" hidden="1" customHeight="1">
      <c r="A752" s="4" t="s">
        <v>1771</v>
      </c>
      <c r="B752" s="4" t="s">
        <v>1772</v>
      </c>
      <c r="C752" s="4" t="str">
        <f ca="1">IFERROR(__xludf.DUMMYFUNCTION("GOOGLETRANSLATE(D:D,""auto"",""en"")"),"Michelle Chen Chen with box")</f>
        <v>Michelle Chen Chen with box</v>
      </c>
      <c r="D752" s="4" t="s">
        <v>1773</v>
      </c>
      <c r="E752" s="4">
        <v>3389269</v>
      </c>
    </row>
    <row r="753" spans="1:5" ht="13.5" hidden="1" customHeight="1">
      <c r="A753" s="4" t="s">
        <v>1774</v>
      </c>
      <c r="B753" s="4" t="s">
        <v>1775</v>
      </c>
      <c r="C753" s="4" t="str">
        <f ca="1">IFERROR(__xludf.DUMMYFUNCTION("GOOGLETRANSLATE(D:D,""auto"",""en"")"),"US forces in Iraq, the attack on air base")</f>
        <v>US forces in Iraq, the attack on air base</v>
      </c>
      <c r="D753" s="5" t="s">
        <v>1776</v>
      </c>
      <c r="E753" s="4">
        <v>1921309</v>
      </c>
    </row>
    <row r="754" spans="1:5" ht="13.5" hidden="1" customHeight="1">
      <c r="A754" s="4" t="s">
        <v>1777</v>
      </c>
      <c r="B754" s="4" t="s">
        <v>1778</v>
      </c>
      <c r="C754" s="4" t="str">
        <f ca="1">IFERROR(__xludf.DUMMYFUNCTION("GOOGLETRANSLATE(D:D,""auto"",""en"")"),"Trump responded Iranian missile attack")</f>
        <v>Trump responded Iranian missile attack</v>
      </c>
      <c r="D754" s="5" t="s">
        <v>1779</v>
      </c>
      <c r="E754" s="4">
        <v>1597388</v>
      </c>
    </row>
    <row r="755" spans="1:5" ht="13.5" hidden="1" customHeight="1">
      <c r="A755" s="4" t="s">
        <v>1780</v>
      </c>
      <c r="B755" s="4" t="s">
        <v>1781</v>
      </c>
      <c r="C755" s="4" t="str">
        <f ca="1">IFERROR(__xludf.DUMMYFUNCTION("GOOGLETRANSLATE(D:D,""auto"",""en"")"),"Dilly Reba Huang Jingyu")</f>
        <v>Dilly Reba Huang Jingyu</v>
      </c>
      <c r="D755" s="5" t="s">
        <v>1782</v>
      </c>
      <c r="E755" s="4">
        <v>1593855</v>
      </c>
    </row>
    <row r="756" spans="1:5" ht="13.5" hidden="1" customHeight="1">
      <c r="A756" s="4" t="s">
        <v>1783</v>
      </c>
      <c r="B756" s="4" t="s">
        <v>1784</v>
      </c>
      <c r="C756" s="4" t="str">
        <f ca="1">IFERROR(__xludf.DUMMYFUNCTION("GOOGLETRANSLATE(D:D,""auto"",""en"")"),"Ukrainian passenger plane crashed in Iran")</f>
        <v>Ukrainian passenger plane crashed in Iran</v>
      </c>
      <c r="D756" s="5" t="s">
        <v>1785</v>
      </c>
      <c r="E756" s="4">
        <v>1497568</v>
      </c>
    </row>
    <row r="757" spans="1:5" ht="13.5" hidden="1" customHeight="1">
      <c r="A757" s="4" t="s">
        <v>1786</v>
      </c>
      <c r="B757" s="4" t="s">
        <v>1787</v>
      </c>
      <c r="C757" s="4" t="str">
        <f ca="1">IFERROR(__xludf.DUMMYFUNCTION("GOOGLETRANSLATE(D:D,""auto"",""en"")"),"Li Yan Street beat winter wear suspenders")</f>
        <v>Li Yan Street beat winter wear suspenders</v>
      </c>
      <c r="D757" s="5" t="s">
        <v>1788</v>
      </c>
      <c r="E757" s="4">
        <v>1250549</v>
      </c>
    </row>
    <row r="758" spans="1:5" ht="13.5" hidden="1" customHeight="1">
      <c r="A758" s="4" t="s">
        <v>1789</v>
      </c>
      <c r="B758" s="4" t="s">
        <v>1790</v>
      </c>
      <c r="C758" s="4" t="str">
        <f ca="1">IFERROR(__xludf.DUMMYFUNCTION("GOOGLETRANSLATE(D:D,""auto"",""en"")"),"Iran declared the attack was revenge for the Soule Manila")</f>
        <v>Iran declared the attack was revenge for the Soule Manila</v>
      </c>
      <c r="D758" s="5" t="s">
        <v>1791</v>
      </c>
      <c r="E758" s="4">
        <v>1077219</v>
      </c>
    </row>
    <row r="759" spans="1:5" ht="13.5" hidden="1" customHeight="1">
      <c r="A759" s="4" t="s">
        <v>1789</v>
      </c>
      <c r="B759" s="4" t="s">
        <v>1792</v>
      </c>
      <c r="C759" s="4" t="str">
        <f ca="1">IFERROR(__xludf.DUMMYFUNCTION("GOOGLETRANSLATE(D:D,""auto"",""en"")"),"Iran to launch a second round of attacks")</f>
        <v>Iran to launch a second round of attacks</v>
      </c>
      <c r="D759" s="5" t="s">
        <v>1793</v>
      </c>
      <c r="E759" s="4">
        <v>854230</v>
      </c>
    </row>
    <row r="760" spans="1:5" ht="13.5" hidden="1" customHeight="1">
      <c r="A760" s="4" t="s">
        <v>1794</v>
      </c>
      <c r="B760" s="4" t="s">
        <v>1733</v>
      </c>
      <c r="C760" s="4" t="str">
        <f ca="1">IFERROR(__xludf.DUMMYFUNCTION("GOOGLETRANSLATE(D:D,""auto"",""en"")"),"Iranian Foreign Minister said that self-defense is over")</f>
        <v>Iranian Foreign Minister said that self-defense is over</v>
      </c>
      <c r="D760" s="5" t="s">
        <v>1795</v>
      </c>
      <c r="E760" s="4">
        <v>821040</v>
      </c>
    </row>
    <row r="761" spans="1:5" ht="13.5" hidden="1" customHeight="1">
      <c r="A761" s="4" t="s">
        <v>1796</v>
      </c>
      <c r="B761" s="4" t="s">
        <v>1797</v>
      </c>
      <c r="C761" s="4" t="str">
        <f ca="1">IFERROR(__xludf.DUMMYFUNCTION("GOOGLETRANSLATE(D:D,""auto"",""en"")"),"Nigel Amat help make-up artist Lee now Starchaser")</f>
        <v>Nigel Amat help make-up artist Lee now Starchaser</v>
      </c>
      <c r="D761" s="5" t="s">
        <v>1798</v>
      </c>
      <c r="E761" s="4">
        <v>725552</v>
      </c>
    </row>
    <row r="762" spans="1:5" ht="13.5" hidden="1" customHeight="1">
      <c r="A762" s="4" t="s">
        <v>1799</v>
      </c>
      <c r="B762" s="4" t="s">
        <v>1800</v>
      </c>
      <c r="C762" s="4" t="str">
        <f ca="1">IFERROR(__xludf.DUMMYFUNCTION("GOOGLETRANSLATE(D:D,""auto"",""en"")"),"Soule Manila funeral procession of more than 50 people were killed during a stampede")</f>
        <v>Soule Manila funeral procession of more than 50 people were killed during a stampede</v>
      </c>
      <c r="D762" s="5" t="s">
        <v>1801</v>
      </c>
      <c r="E762" s="4">
        <v>725532</v>
      </c>
    </row>
    <row r="763" spans="1:5" ht="13.5" hidden="1" customHeight="1">
      <c r="A763" s="4" t="s">
        <v>1802</v>
      </c>
      <c r="B763" s="4" t="s">
        <v>1662</v>
      </c>
      <c r="C763" s="4" t="str">
        <f ca="1">IFERROR(__xludf.DUMMYFUNCTION("GOOGLETRANSLATE(D:D,""auto"",""en"")"),"The Federal Aviation Administration issued a no-fly command")</f>
        <v>The Federal Aviation Administration issued a no-fly command</v>
      </c>
      <c r="D763" s="5" t="s">
        <v>1803</v>
      </c>
      <c r="E763" s="4">
        <v>725441</v>
      </c>
    </row>
    <row r="764" spans="1:5" ht="13.5" hidden="1" customHeight="1">
      <c r="A764" s="4" t="s">
        <v>1804</v>
      </c>
      <c r="B764" s="4" t="s">
        <v>1805</v>
      </c>
      <c r="C764" s="4" t="str">
        <f ca="1">IFERROR(__xludf.DUMMYFUNCTION("GOOGLETRANSLATE(D:D,""auto"",""en"")"),"Anthony lore")</f>
        <v>Anthony lore</v>
      </c>
      <c r="D764" s="5" t="s">
        <v>1806</v>
      </c>
      <c r="E764" s="4">
        <v>725375</v>
      </c>
    </row>
    <row r="765" spans="1:5" ht="13.5" hidden="1" customHeight="1">
      <c r="A765" s="4" t="s">
        <v>1807</v>
      </c>
      <c r="B765" s="4" t="s">
        <v>1808</v>
      </c>
      <c r="C765" s="4" t="str">
        <f ca="1">IFERROR(__xludf.DUMMYFUNCTION("GOOGLETRANSLATE(D:D,""auto"",""en"")"),"Bing Gege snow swept into the Great Wall")</f>
        <v>Bing Gege snow swept into the Great Wall</v>
      </c>
      <c r="D765" s="5" t="s">
        <v>1809</v>
      </c>
      <c r="E765" s="4">
        <v>725221</v>
      </c>
    </row>
    <row r="766" spans="1:5" ht="13.5" hidden="1" customHeight="1">
      <c r="A766" s="4" t="s">
        <v>1810</v>
      </c>
      <c r="B766" s="4" t="s">
        <v>1811</v>
      </c>
      <c r="C766" s="4" t="str">
        <f ca="1">IFERROR(__xludf.DUMMYFUNCTION("GOOGLETRANSLATE(D:D,""auto"",""en"")"),"Putin's visit to Syria")</f>
        <v>Putin's visit to Syria</v>
      </c>
      <c r="D766" s="5" t="s">
        <v>1812</v>
      </c>
      <c r="E766" s="4">
        <v>725193</v>
      </c>
    </row>
    <row r="767" spans="1:5" ht="13.5" hidden="1" customHeight="1">
      <c r="A767" s="4" t="s">
        <v>1813</v>
      </c>
      <c r="B767" s="4" t="s">
        <v>1805</v>
      </c>
      <c r="C767" s="4" t="str">
        <f ca="1">IFERROR(__xludf.DUMMYFUNCTION("GOOGLETRANSLATE(D:D,""auto"",""en"")"),"肖战 Cover")</f>
        <v>肖战 Cover</v>
      </c>
      <c r="D767" s="5" t="s">
        <v>1814</v>
      </c>
      <c r="E767" s="4">
        <v>725114</v>
      </c>
    </row>
    <row r="768" spans="1:5" ht="13.5" hidden="1" customHeight="1">
      <c r="A768" s="4" t="s">
        <v>1815</v>
      </c>
      <c r="B768" s="4" t="s">
        <v>1738</v>
      </c>
      <c r="C768" s="4" t="str">
        <f ca="1">IFERROR(__xludf.DUMMYFUNCTION("GOOGLETRANSLATE(D:D,""auto"",""en"")"),"Ikea chest of drawers boys killed 320 million compensation")</f>
        <v>Ikea chest of drawers boys killed 320 million compensation</v>
      </c>
      <c r="D768" s="5" t="s">
        <v>1816</v>
      </c>
      <c r="E768" s="4">
        <v>694306</v>
      </c>
    </row>
    <row r="769" spans="1:5" ht="13.5" hidden="1" customHeight="1">
      <c r="A769" s="4" t="s">
        <v>1817</v>
      </c>
      <c r="B769" s="4" t="s">
        <v>1700</v>
      </c>
      <c r="C769" s="4" t="str">
        <f ca="1">IFERROR(__xludf.DUMMYFUNCTION("GOOGLETRANSLATE(D:D,""auto"",""en"")"),"Boyfriend is not in the VS boyfriend")</f>
        <v>Boyfriend is not in the VS boyfriend</v>
      </c>
      <c r="D769" s="5" t="s">
        <v>1818</v>
      </c>
      <c r="E769" s="4">
        <v>606543</v>
      </c>
    </row>
    <row r="770" spans="1:5" ht="13.5" hidden="1" customHeight="1">
      <c r="A770" s="4" t="s">
        <v>1819</v>
      </c>
      <c r="B770" s="4" t="s">
        <v>1820</v>
      </c>
      <c r="C770" s="4" t="str">
        <f ca="1">IFERROR(__xludf.DUMMYFUNCTION("GOOGLETRANSLATE(D:D,""auto"",""en"")"),"I can afford to eat hot pot")</f>
        <v>I can afford to eat hot pot</v>
      </c>
      <c r="D770" s="5" t="s">
        <v>1821</v>
      </c>
      <c r="E770" s="4">
        <v>555642</v>
      </c>
    </row>
    <row r="771" spans="1:5" ht="13.5" hidden="1" customHeight="1">
      <c r="A771" s="4" t="s">
        <v>1822</v>
      </c>
      <c r="B771" s="4" t="s">
        <v>1823</v>
      </c>
      <c r="C771" s="4" t="str">
        <f ca="1">IFERROR(__xludf.DUMMYFUNCTION("GOOGLETRANSLATE(D:D,""auto"",""en"")"),"Micro letter friends to borrow new routines")</f>
        <v>Micro letter friends to borrow new routines</v>
      </c>
      <c r="D771" s="5" t="s">
        <v>1824</v>
      </c>
      <c r="E771" s="4">
        <v>533913</v>
      </c>
    </row>
    <row r="772" spans="1:5" ht="13.5" hidden="1" customHeight="1">
      <c r="A772" s="4" t="s">
        <v>1825</v>
      </c>
      <c r="B772" s="4" t="s">
        <v>1826</v>
      </c>
      <c r="C772" s="4" t="str">
        <f ca="1">IFERROR(__xludf.DUMMYFUNCTION("GOOGLETRANSLATE(D:D,""auto"",""en"")"),"Iran Embassy")</f>
        <v>Iran Embassy</v>
      </c>
      <c r="D772" s="5" t="s">
        <v>1827</v>
      </c>
      <c r="E772" s="4">
        <v>522862</v>
      </c>
    </row>
    <row r="773" spans="1:5" ht="13.5" hidden="1" customHeight="1">
      <c r="A773" s="4" t="s">
        <v>1828</v>
      </c>
      <c r="B773" s="4" t="s">
        <v>1829</v>
      </c>
      <c r="C773" s="4" t="str">
        <f ca="1">IFERROR(__xludf.DUMMYFUNCTION("GOOGLETRANSLATE(D:D,""auto"",""en"")"),"Henry Lau abdominal muscles")</f>
        <v>Henry Lau abdominal muscles</v>
      </c>
      <c r="D773" s="5" t="s">
        <v>1830</v>
      </c>
      <c r="E773" s="4">
        <v>501365</v>
      </c>
    </row>
    <row r="774" spans="1:5" ht="13.5" hidden="1" customHeight="1">
      <c r="A774" s="4" t="s">
        <v>1831</v>
      </c>
      <c r="B774" s="4" t="s">
        <v>1832</v>
      </c>
      <c r="C774" s="4" t="str">
        <f ca="1">IFERROR(__xludf.DUMMYFUNCTION("GOOGLETRANSLATE(D:D,""auto"",""en"")"),"Sushi canvas shoes")</f>
        <v>Sushi canvas shoes</v>
      </c>
      <c r="D774" s="5" t="s">
        <v>1833</v>
      </c>
      <c r="E774" s="4">
        <v>480164</v>
      </c>
    </row>
    <row r="775" spans="1:5" ht="13.5" hidden="1" customHeight="1">
      <c r="A775" s="4" t="s">
        <v>1828</v>
      </c>
      <c r="B775" s="4" t="s">
        <v>1834</v>
      </c>
      <c r="C775" s="4" t="str">
        <f ca="1">IFERROR(__xludf.DUMMYFUNCTION("GOOGLETRANSLATE(D:D,""auto"",""en"")"),"If the stars addicted earthy how terrible")</f>
        <v>If the stars addicted earthy how terrible</v>
      </c>
      <c r="D775" s="5" t="s">
        <v>1835</v>
      </c>
      <c r="E775" s="4">
        <v>475998</v>
      </c>
    </row>
    <row r="776" spans="1:5" ht="13.5" hidden="1" customHeight="1">
      <c r="A776" s="4" t="s">
        <v>1828</v>
      </c>
      <c r="B776" s="4" t="s">
        <v>1836</v>
      </c>
      <c r="C776" s="4" t="str">
        <f ca="1">IFERROR(__xludf.DUMMYFUNCTION("GOOGLETRANSLATE(D:D,""auto"",""en"")"),"Looks too tender to be reported underage driving")</f>
        <v>Looks too tender to be reported underage driving</v>
      </c>
      <c r="D776" s="5" t="s">
        <v>1837</v>
      </c>
      <c r="E776" s="4">
        <v>414855</v>
      </c>
    </row>
    <row r="777" spans="1:5" ht="13.5" hidden="1" customHeight="1">
      <c r="A777" s="4" t="s">
        <v>1838</v>
      </c>
      <c r="B777" s="4" t="s">
        <v>1647</v>
      </c>
      <c r="C777" s="4" t="str">
        <f ca="1">IFERROR(__xludf.DUMMYFUNCTION("GOOGLETRANSLATE(D:D,""auto"",""en"")"),"State examination interview list")</f>
        <v>State examination interview list</v>
      </c>
      <c r="D777" s="5" t="s">
        <v>1839</v>
      </c>
      <c r="E777" s="4">
        <v>322308</v>
      </c>
    </row>
    <row r="778" spans="1:5" ht="13.5" hidden="1" customHeight="1">
      <c r="A778" s="4" t="s">
        <v>1840</v>
      </c>
      <c r="B778" s="4" t="s">
        <v>1836</v>
      </c>
      <c r="C778" s="4" t="str">
        <f ca="1">IFERROR(__xludf.DUMMYFUNCTION("GOOGLETRANSLATE(D:D,""auto"",""en"")"),"Crude oil rose gold")</f>
        <v>Crude oil rose gold</v>
      </c>
      <c r="D778" s="5" t="s">
        <v>1841</v>
      </c>
      <c r="E778" s="4">
        <v>251679</v>
      </c>
    </row>
    <row r="779" spans="1:5" ht="13.5" hidden="1" customHeight="1">
      <c r="A779" s="4" t="s">
        <v>1807</v>
      </c>
      <c r="B779" s="4" t="s">
        <v>1842</v>
      </c>
      <c r="C779" s="4" t="str">
        <f ca="1">IFERROR(__xludf.DUMMYFUNCTION("GOOGLETRANSLATE(D:D,""auto"",""en"")"),"44 anniversary of the death of Zhou Enlai")</f>
        <v>44 anniversary of the death of Zhou Enlai</v>
      </c>
      <c r="D779" s="5" t="s">
        <v>1843</v>
      </c>
      <c r="E779" s="4">
        <v>212090</v>
      </c>
    </row>
    <row r="780" spans="1:5" ht="13.5" hidden="1" customHeight="1">
      <c r="A780" s="4" t="s">
        <v>1682</v>
      </c>
      <c r="B780" s="4" t="s">
        <v>1683</v>
      </c>
      <c r="C780" s="4" t="str">
        <f ca="1">IFERROR(__xludf.DUMMYFUNCTION("GOOGLETRANSLATE(D:D,""auto"",""en"")"),"When the amount of fat and more people are hot wool roll")</f>
        <v>When the amount of fat and more people are hot wool roll</v>
      </c>
      <c r="D780" s="5" t="s">
        <v>1684</v>
      </c>
      <c r="E780" s="4">
        <v>210295</v>
      </c>
    </row>
    <row r="781" spans="1:5" ht="13.5" hidden="1" customHeight="1">
      <c r="A781" s="4" t="s">
        <v>1799</v>
      </c>
      <c r="B781" s="4" t="s">
        <v>1778</v>
      </c>
      <c r="C781" s="4" t="str">
        <f ca="1">IFERROR(__xludf.DUMMYFUNCTION("GOOGLETRANSLATE(D:D,""auto"",""en"")"),"Takuya Kimura song MV")</f>
        <v>Takuya Kimura song MV</v>
      </c>
      <c r="D781" s="5" t="s">
        <v>1844</v>
      </c>
      <c r="E781" s="4">
        <v>189567</v>
      </c>
    </row>
    <row r="782" spans="1:5" ht="13.5" hidden="1" customHeight="1">
      <c r="A782" s="4" t="s">
        <v>1702</v>
      </c>
      <c r="B782" s="4" t="s">
        <v>1738</v>
      </c>
      <c r="C782" s="4" t="str">
        <f ca="1">IFERROR(__xludf.DUMMYFUNCTION("GOOGLETRANSLATE(D:D,""auto"",""en"")"),"One day appear five kinds of weather landscape")</f>
        <v>One day appear five kinds of weather landscape</v>
      </c>
      <c r="D782" s="5" t="s">
        <v>1845</v>
      </c>
      <c r="E782" s="4">
        <v>187921</v>
      </c>
    </row>
    <row r="783" spans="1:5" ht="13.5" hidden="1" customHeight="1">
      <c r="A783" s="4" t="s">
        <v>1846</v>
      </c>
      <c r="B783" s="4" t="s">
        <v>1847</v>
      </c>
      <c r="C783" s="4" t="str">
        <f ca="1">IFERROR(__xludf.DUMMYFUNCTION("GOOGLETRANSLATE(D:D,""auto"",""en"")"),"Drag-meter Gemini")</f>
        <v>Drag-meter Gemini</v>
      </c>
      <c r="D783" s="5" t="s">
        <v>1848</v>
      </c>
      <c r="E783" s="4">
        <v>161032</v>
      </c>
    </row>
    <row r="784" spans="1:5" ht="13.5" hidden="1" customHeight="1">
      <c r="A784" s="4" t="s">
        <v>1688</v>
      </c>
      <c r="B784" s="4" t="s">
        <v>1689</v>
      </c>
      <c r="C784" s="4" t="str">
        <f ca="1">IFERROR(__xludf.DUMMYFUNCTION("GOOGLETRANSLATE(D:D,""auto"",""en"")"),"The color value variation remove the glasses")</f>
        <v>The color value variation remove the glasses</v>
      </c>
      <c r="D784" s="5" t="s">
        <v>1690</v>
      </c>
      <c r="E784" s="4">
        <v>160911</v>
      </c>
    </row>
    <row r="785" spans="1:5" ht="13.5" hidden="1" customHeight="1">
      <c r="A785" s="4" t="s">
        <v>1802</v>
      </c>
      <c r="B785" s="4" t="s">
        <v>1849</v>
      </c>
      <c r="C785" s="4" t="str">
        <f ca="1">IFERROR(__xludf.DUMMYFUNCTION("GOOGLETRANSLATE(D:D,""auto"",""en"")"),"The right to health companies and other organizational leadership pyramid schemes sentencing")</f>
        <v>The right to health companies and other organizational leadership pyramid schemes sentencing</v>
      </c>
      <c r="D785" s="5" t="s">
        <v>1850</v>
      </c>
      <c r="E785" s="4">
        <v>157462</v>
      </c>
    </row>
    <row r="786" spans="1:5" ht="13.5" hidden="1" customHeight="1">
      <c r="A786" s="4" t="s">
        <v>1851</v>
      </c>
      <c r="B786" s="4" t="s">
        <v>1852</v>
      </c>
      <c r="C786" s="4" t="str">
        <f ca="1">IFERROR(__xludf.DUMMYFUNCTION("GOOGLETRANSLATE(D:D,""auto"",""en"")"),"To what extent you have been careless")</f>
        <v>To what extent you have been careless</v>
      </c>
      <c r="D786" s="5" t="s">
        <v>1853</v>
      </c>
      <c r="E786" s="4">
        <v>157026</v>
      </c>
    </row>
    <row r="787" spans="1:5" ht="13.5" hidden="1" customHeight="1">
      <c r="A787" s="4" t="s">
        <v>1638</v>
      </c>
      <c r="B787" s="4" t="s">
        <v>1639</v>
      </c>
      <c r="C787" s="4" t="str">
        <f ca="1">IFERROR(__xludf.DUMMYFUNCTION("GOOGLETRANSLATE(D:D,""auto"",""en"")"),"ZhouDongYu wearing masks to accept the award")</f>
        <v>ZhouDongYu wearing masks to accept the award</v>
      </c>
      <c r="D787" s="5" t="s">
        <v>1640</v>
      </c>
      <c r="E787" s="4">
        <v>151603</v>
      </c>
    </row>
    <row r="788" spans="1:5" ht="13.5" hidden="1" customHeight="1">
      <c r="A788" s="4" t="s">
        <v>1854</v>
      </c>
      <c r="B788" s="4" t="s">
        <v>1650</v>
      </c>
      <c r="C788" s="4" t="str">
        <f ca="1">IFERROR(__xludf.DUMMYFUNCTION("GOOGLETRANSLATE(D:D,""auto"",""en"")"),"Tianci added INTZ")</f>
        <v>Tianci added INTZ</v>
      </c>
      <c r="D788" s="5" t="s">
        <v>1855</v>
      </c>
      <c r="E788" s="4">
        <v>150518</v>
      </c>
    </row>
    <row r="789" spans="1:5" ht="13.5" hidden="1" customHeight="1">
      <c r="A789" s="4" t="s">
        <v>1702</v>
      </c>
      <c r="B789" s="4" t="s">
        <v>1703</v>
      </c>
      <c r="C789" s="4" t="str">
        <f ca="1">IFERROR(__xludf.DUMMYFUNCTION("GOOGLETRANSLATE(D:D,""auto"",""en"")"),"Australia welcomed the timely rain")</f>
        <v>Australia welcomed the timely rain</v>
      </c>
      <c r="D789" s="5" t="s">
        <v>1704</v>
      </c>
      <c r="E789" s="4">
        <v>133206</v>
      </c>
    </row>
    <row r="790" spans="1:5" ht="13.5" hidden="1" customHeight="1">
      <c r="A790" s="4" t="s">
        <v>1856</v>
      </c>
      <c r="B790" s="4" t="s">
        <v>1857</v>
      </c>
      <c r="C790" s="4" t="str">
        <f ca="1">IFERROR(__xludf.DUMMYFUNCTION("GOOGLETRANSLATE(D:D,""auto"",""en"")"),"BES express violence sorting")</f>
        <v>BES express violence sorting</v>
      </c>
      <c r="D790" s="5" t="s">
        <v>1858</v>
      </c>
      <c r="E790" s="4">
        <v>130367</v>
      </c>
    </row>
    <row r="791" spans="1:5" ht="13.5" hidden="1" customHeight="1">
      <c r="A791" s="4" t="s">
        <v>1859</v>
      </c>
      <c r="B791" s="4" t="s">
        <v>1860</v>
      </c>
      <c r="C791" s="4" t="str">
        <f ca="1">IFERROR(__xludf.DUMMYFUNCTION("GOOGLETRANSLATE(D:D,""auto"",""en"")"),"Domestic Tesla formally delivered")</f>
        <v>Domestic Tesla formally delivered</v>
      </c>
      <c r="D791" s="5" t="s">
        <v>1861</v>
      </c>
      <c r="E791" s="4">
        <v>128897</v>
      </c>
    </row>
    <row r="792" spans="1:5" ht="13.5" hidden="1" customHeight="1">
      <c r="A792" s="4" t="s">
        <v>1691</v>
      </c>
      <c r="B792" s="4" t="s">
        <v>1692</v>
      </c>
      <c r="C792" s="4" t="str">
        <f ca="1">IFERROR(__xludf.DUMMYFUNCTION("GOOGLETRANSLATE(D:D,""auto"",""en"")"),"Slaughtered cows kneel users buy release")</f>
        <v>Slaughtered cows kneel users buy release</v>
      </c>
      <c r="D792" s="5" t="s">
        <v>1693</v>
      </c>
      <c r="E792" s="4">
        <v>124300</v>
      </c>
    </row>
    <row r="793" spans="1:5" ht="13.5" hidden="1" customHeight="1">
      <c r="A793" s="4" t="s">
        <v>1862</v>
      </c>
      <c r="B793" s="4" t="s">
        <v>1863</v>
      </c>
      <c r="C793" s="4" t="str">
        <f ca="1">IFERROR(__xludf.DUMMYFUNCTION("GOOGLETRANSLATE(D:D,""auto"",""en"")"),"Wage arrears for migrant rural workers compensation above plus Fuwu Cheng")</f>
        <v>Wage arrears for migrant rural workers compensation above plus Fuwu Cheng</v>
      </c>
      <c r="D793" s="5" t="s">
        <v>1864</v>
      </c>
      <c r="E793" s="4">
        <v>121075</v>
      </c>
    </row>
    <row r="794" spans="1:5" ht="13.5" hidden="1" customHeight="1">
      <c r="A794" s="4" t="s">
        <v>1688</v>
      </c>
      <c r="B794" s="4" t="s">
        <v>1865</v>
      </c>
      <c r="C794" s="4" t="str">
        <f ca="1">IFERROR(__xludf.DUMMYFUNCTION("GOOGLETRANSLATE(D:D,""auto"",""en"")"),"Confuse the bag acts Awards")</f>
        <v>Confuse the bag acts Awards</v>
      </c>
      <c r="D794" s="5" t="s">
        <v>1866</v>
      </c>
      <c r="E794" s="4">
        <v>120526</v>
      </c>
    </row>
    <row r="795" spans="1:5" ht="13.5" hidden="1" customHeight="1">
      <c r="A795" s="4" t="s">
        <v>1867</v>
      </c>
      <c r="B795" s="4" t="s">
        <v>1730</v>
      </c>
      <c r="C795" s="4" t="str">
        <f ca="1">IFERROR(__xludf.DUMMYFUNCTION("GOOGLETRANSLATE(D:D,""auto"",""en"")"),"In the end how difficult college exam week")</f>
        <v>In the end how difficult college exam week</v>
      </c>
      <c r="D795" s="5" t="s">
        <v>1868</v>
      </c>
      <c r="E795" s="4">
        <v>117113</v>
      </c>
    </row>
    <row r="796" spans="1:5" ht="13.5" hidden="1" customHeight="1">
      <c r="A796" s="4" t="s">
        <v>1869</v>
      </c>
      <c r="B796" s="4" t="s">
        <v>1711</v>
      </c>
      <c r="C796" s="4" t="str">
        <f ca="1">IFERROR(__xludf.DUMMYFUNCTION("GOOGLETRANSLATE(D:D,""auto"",""en"")"),"Company annual meeting in what you prize")</f>
        <v>Company annual meeting in what you prize</v>
      </c>
      <c r="D796" s="5" t="s">
        <v>1870</v>
      </c>
      <c r="E796" s="4">
        <v>115911</v>
      </c>
    </row>
    <row r="797" spans="1:5" ht="13.5" hidden="1" customHeight="1">
      <c r="A797" s="4" t="s">
        <v>1871</v>
      </c>
      <c r="B797" s="4" t="s">
        <v>1662</v>
      </c>
      <c r="C797" s="4" t="str">
        <f ca="1">IFERROR(__xludf.DUMMYFUNCTION("GOOGLETRANSLATE(D:D,""auto"",""en"")"),"Local travel for the New Year")</f>
        <v>Local travel for the New Year</v>
      </c>
      <c r="D797" s="5" t="s">
        <v>1872</v>
      </c>
      <c r="E797" s="4">
        <v>115271</v>
      </c>
    </row>
    <row r="798" spans="1:5" ht="13.5" hidden="1" customHeight="1">
      <c r="A798" s="4" t="s">
        <v>1873</v>
      </c>
      <c r="B798" s="4" t="s">
        <v>1711</v>
      </c>
      <c r="C798" s="4" t="str">
        <f ca="1">IFERROR(__xludf.DUMMYFUNCTION("GOOGLETRANSLATE(D:D,""auto"",""en"")"),"2020 can do good to me")</f>
        <v>2020 can do good to me</v>
      </c>
      <c r="D798" s="5" t="s">
        <v>1874</v>
      </c>
      <c r="E798" s="4">
        <v>115111</v>
      </c>
    </row>
    <row r="799" spans="1:5" ht="13.5" hidden="1" customHeight="1">
      <c r="A799" s="4" t="s">
        <v>1875</v>
      </c>
      <c r="B799" s="4" t="s">
        <v>1876</v>
      </c>
      <c r="C799" s="4" t="str">
        <f ca="1">IFERROR(__xludf.DUMMYFUNCTION("GOOGLETRANSLATE(D:D,""auto"",""en"")"),"The new mobile phone battery charge once cruising 5 days")</f>
        <v>The new mobile phone battery charge once cruising 5 days</v>
      </c>
      <c r="D799" s="5" t="s">
        <v>1877</v>
      </c>
      <c r="E799" s="4">
        <v>115003</v>
      </c>
    </row>
    <row r="800" spans="1:5" ht="13.5" hidden="1" customHeight="1">
      <c r="C800" s="4" t="str">
        <f ca="1">IFERROR(__xludf.DUMMYFUNCTION("GOOGLETRANSLATE(D:D,""auto"",""en"")"),"#VALUE!")</f>
        <v>#VALUE!</v>
      </c>
    </row>
    <row r="801" spans="1:6" ht="13.5" hidden="1" customHeight="1">
      <c r="A801" s="4" t="s">
        <v>1878</v>
      </c>
      <c r="B801" s="4" t="s">
        <v>1879</v>
      </c>
      <c r="C801" s="4" t="str">
        <f ca="1">IFERROR(__xludf.DUMMYFUNCTION("GOOGLETRANSLATE(D:D,""auto"",""en"")"),"Zhu Dan Ma Sichun called the wrong name")</f>
        <v>Zhu Dan Ma Sichun called the wrong name</v>
      </c>
      <c r="D801" s="4" t="s">
        <v>1880</v>
      </c>
      <c r="E801" s="4">
        <v>1816006</v>
      </c>
    </row>
    <row r="802" spans="1:6" ht="13.5" hidden="1" customHeight="1">
      <c r="A802" s="4" t="s">
        <v>1881</v>
      </c>
      <c r="B802" s="4" t="s">
        <v>1882</v>
      </c>
      <c r="C802" s="4" t="str">
        <f ca="1">IFERROR(__xludf.DUMMYFUNCTION("GOOGLETRANSLATE(D:D,""auto"",""en"")"),"Flights to avoid the multinational announced the Iran-Iraq airspace")</f>
        <v>Flights to avoid the multinational announced the Iran-Iraq airspace</v>
      </c>
      <c r="D802" s="5" t="s">
        <v>1883</v>
      </c>
      <c r="E802" s="4">
        <v>1330385</v>
      </c>
    </row>
    <row r="803" spans="1:6" ht="13.5" hidden="1" customHeight="1">
      <c r="A803" s="4" t="s">
        <v>1884</v>
      </c>
      <c r="B803" s="4" t="s">
        <v>1885</v>
      </c>
      <c r="C803" s="4" t="str">
        <f ca="1">IFERROR(__xludf.DUMMYFUNCTION("GOOGLETRANSLATE(D:D,""auto"",""en"")"),"Court accepted the appeal Zheng Shuang Zhang Heng loan dispute")</f>
        <v>Court accepted the appeal Zheng Shuang Zhang Heng loan dispute</v>
      </c>
      <c r="D803" s="5" t="s">
        <v>1886</v>
      </c>
      <c r="E803" s="4">
        <v>1309146</v>
      </c>
    </row>
    <row r="804" spans="1:6" ht="13.5" hidden="1" customHeight="1">
      <c r="A804" s="4" t="s">
        <v>1887</v>
      </c>
      <c r="B804" s="4" t="s">
        <v>1888</v>
      </c>
      <c r="C804" s="4" t="str">
        <f ca="1">IFERROR(__xludf.DUMMYFUNCTION("GOOGLETRANSLATE(D:D,""auto"",""en"")"),"Natalie self-review type micro-Bo")</f>
        <v>Natalie self-review type micro-Bo</v>
      </c>
      <c r="D804" s="5" t="s">
        <v>1889</v>
      </c>
      <c r="E804" s="4">
        <v>1146636</v>
      </c>
    </row>
    <row r="805" spans="1:6" ht="13.5" hidden="1" customHeight="1">
      <c r="A805" s="4" t="s">
        <v>1890</v>
      </c>
      <c r="B805" s="4" t="s">
        <v>1891</v>
      </c>
      <c r="C805" s="4" t="str">
        <f ca="1">IFERROR(__xludf.DUMMYFUNCTION("GOOGLETRANSLATE(D:D,""auto"",""en"")"),"Taizi Ye offline")</f>
        <v>Taizi Ye offline</v>
      </c>
      <c r="D805" s="5" t="s">
        <v>1892</v>
      </c>
      <c r="E805" s="4">
        <v>955295</v>
      </c>
    </row>
    <row r="806" spans="1:6" ht="13.5" hidden="1" customHeight="1">
      <c r="A806" s="4" t="s">
        <v>1893</v>
      </c>
      <c r="B806" s="4" t="s">
        <v>1894</v>
      </c>
      <c r="C806" s="4" t="str">
        <f ca="1">IFERROR(__xludf.DUMMYFUNCTION("GOOGLETRANSLATE(D:D,""auto"",""en"")"),"CNN said the Iranian missile hit the area without the Americans")</f>
        <v>CNN said the Iranian missile hit the area without the Americans</v>
      </c>
      <c r="D806" s="5" t="s">
        <v>1895</v>
      </c>
      <c r="E806" s="4">
        <v>703072</v>
      </c>
    </row>
    <row r="807" spans="1:6" ht="13.5" customHeight="1">
      <c r="A807" s="4" t="s">
        <v>1896</v>
      </c>
      <c r="B807" s="4" t="s">
        <v>1897</v>
      </c>
      <c r="C807" s="4" t="str">
        <f ca="1">IFERROR(__xludf.DUMMYFUNCTION("GOOGLETRANSLATE(D:D,""auto"",""en"")"),"Wuhan eight unexplained pneumonia patients discharged from hospital")</f>
        <v>Wuhan eight unexplained pneumonia patients discharged from hospital</v>
      </c>
      <c r="D807" s="5" t="s">
        <v>1898</v>
      </c>
      <c r="E807" s="4">
        <v>622301</v>
      </c>
      <c r="F807">
        <v>1</v>
      </c>
    </row>
    <row r="808" spans="1:6" ht="13.5" hidden="1" customHeight="1">
      <c r="A808" s="4" t="s">
        <v>1899</v>
      </c>
      <c r="B808" s="4" t="s">
        <v>1900</v>
      </c>
      <c r="C808" s="4" t="str">
        <f ca="1">IFERROR(__xludf.DUMMYFUNCTION("GOOGLETRANSLATE(D:D,""auto"",""en"")"),"Cao Chan's death")</f>
        <v>Cao Chan's death</v>
      </c>
      <c r="D808" s="5" t="s">
        <v>1901</v>
      </c>
      <c r="E808" s="4">
        <v>534412</v>
      </c>
    </row>
    <row r="809" spans="1:6" ht="13.5" hidden="1" customHeight="1">
      <c r="A809" s="4" t="s">
        <v>1902</v>
      </c>
      <c r="B809" s="4" t="s">
        <v>1903</v>
      </c>
      <c r="C809" s="4" t="str">
        <f ca="1">IFERROR(__xludf.DUMMYFUNCTION("GOOGLETRANSLATE(D:D,""auto"",""en"")"),"Godfrey brother issued a statement")</f>
        <v>Godfrey brother issued a statement</v>
      </c>
      <c r="D809" s="5" t="s">
        <v>1904</v>
      </c>
      <c r="E809" s="4">
        <v>524184</v>
      </c>
    </row>
    <row r="810" spans="1:6" ht="13.5" hidden="1" customHeight="1">
      <c r="A810" s="4" t="s">
        <v>1905</v>
      </c>
      <c r="B810" s="4" t="s">
        <v>1906</v>
      </c>
      <c r="C810" s="4" t="str">
        <f ca="1">IFERROR(__xludf.DUMMYFUNCTION("GOOGLETRANSLATE(D:D,""auto"",""en"")"),"Recent advances one minute to understand US-Iraq conflict")</f>
        <v>Recent advances one minute to understand US-Iraq conflict</v>
      </c>
      <c r="D810" s="5" t="s">
        <v>1907</v>
      </c>
      <c r="E810" s="4">
        <v>500502</v>
      </c>
    </row>
    <row r="811" spans="1:6" ht="13.5" hidden="1" customHeight="1">
      <c r="A811" s="4" t="s">
        <v>1908</v>
      </c>
      <c r="B811" s="4" t="s">
        <v>1856</v>
      </c>
      <c r="C811" s="4" t="str">
        <f ca="1">IFERROR(__xludf.DUMMYFUNCTION("GOOGLETRANSLATE(D:D,""auto"",""en"")"),"Lan Lan who set")</f>
        <v>Lan Lan who set</v>
      </c>
      <c r="D811" s="5" t="s">
        <v>1909</v>
      </c>
      <c r="E811" s="4">
        <v>399822</v>
      </c>
    </row>
    <row r="812" spans="1:6" ht="13.5" hidden="1" customHeight="1">
      <c r="A812" s="4" t="s">
        <v>1910</v>
      </c>
      <c r="B812" s="4" t="s">
        <v>1911</v>
      </c>
      <c r="C812" s="4" t="str">
        <f ca="1">IFERROR(__xludf.DUMMYFUNCTION("GOOGLETRANSLATE(D:D,""auto"",""en"")"),"Mountain girl murder case, the defendant eligible for the death penalty")</f>
        <v>Mountain girl murder case, the defendant eligible for the death penalty</v>
      </c>
      <c r="D812" s="5" t="s">
        <v>1912</v>
      </c>
      <c r="E812" s="4">
        <v>378647</v>
      </c>
    </row>
    <row r="813" spans="1:6" ht="13.5" hidden="1" customHeight="1">
      <c r="A813" s="4" t="s">
        <v>1913</v>
      </c>
      <c r="B813" s="4" t="s">
        <v>1914</v>
      </c>
      <c r="C813" s="4" t="str">
        <f ca="1">IFERROR(__xludf.DUMMYFUNCTION("GOOGLETRANSLATE(D:D,""auto"",""en"")"),"Iraq says Iran attack notification ago")</f>
        <v>Iraq says Iran attack notification ago</v>
      </c>
      <c r="D813" s="5" t="s">
        <v>1915</v>
      </c>
      <c r="E813" s="4">
        <v>378517</v>
      </c>
    </row>
    <row r="814" spans="1:6" ht="13.5" hidden="1" customHeight="1">
      <c r="A814" s="4" t="s">
        <v>1916</v>
      </c>
      <c r="B814" s="4" t="s">
        <v>1917</v>
      </c>
      <c r="C814" s="4" t="str">
        <f ca="1">IFERROR(__xludf.DUMMYFUNCTION("GOOGLETRANSLATE(D:D,""auto"",""en"")"),"Chinese men's volleyball team 3 to 2 Chinese Taipei")</f>
        <v>Chinese men's volleyball team 3 to 2 Chinese Taipei</v>
      </c>
      <c r="D814" s="5" t="s">
        <v>1918</v>
      </c>
      <c r="E814" s="4">
        <v>376466</v>
      </c>
    </row>
    <row r="815" spans="1:6" ht="13.5" hidden="1" customHeight="1">
      <c r="A815" s="4" t="s">
        <v>1919</v>
      </c>
      <c r="B815" s="4" t="s">
        <v>1920</v>
      </c>
      <c r="C815" s="4" t="str">
        <f ca="1">IFERROR(__xludf.DUMMYFUNCTION("GOOGLETRANSLATE(D:D,""auto"",""en"")"),"Geng Shuang said the Chinese consulate increase is necessary")</f>
        <v>Geng Shuang said the Chinese consulate increase is necessary</v>
      </c>
      <c r="D815" s="5" t="s">
        <v>1921</v>
      </c>
      <c r="E815" s="4">
        <v>375803</v>
      </c>
    </row>
    <row r="816" spans="1:6" ht="13.5" hidden="1" customHeight="1">
      <c r="A816" s="4" t="s">
        <v>1922</v>
      </c>
      <c r="B816" s="4" t="s">
        <v>1923</v>
      </c>
      <c r="C816" s="4" t="str">
        <f ca="1">IFERROR(__xludf.DUMMYFUNCTION("GOOGLETRANSLATE(D:D,""auto"",""en"")"),"Deng purple chess eating hot pot singing")</f>
        <v>Deng purple chess eating hot pot singing</v>
      </c>
      <c r="D816" s="5" t="s">
        <v>1924</v>
      </c>
      <c r="E816" s="4">
        <v>373465</v>
      </c>
    </row>
    <row r="817" spans="1:5" ht="13.5" hidden="1" customHeight="1">
      <c r="A817" s="4" t="s">
        <v>1925</v>
      </c>
      <c r="B817" s="4" t="s">
        <v>1926</v>
      </c>
      <c r="C817" s="4" t="str">
        <f ca="1">IFERROR(__xludf.DUMMYFUNCTION("GOOGLETRANSLATE(D:D,""auto"",""en"")"),"Nanjing snow")</f>
        <v>Nanjing snow</v>
      </c>
      <c r="D817" s="5" t="s">
        <v>1927</v>
      </c>
      <c r="E817" s="4">
        <v>372583</v>
      </c>
    </row>
    <row r="818" spans="1:5" ht="13.5" hidden="1" customHeight="1">
      <c r="A818" s="4" t="s">
        <v>1928</v>
      </c>
      <c r="B818" s="4" t="s">
        <v>1929</v>
      </c>
      <c r="C818" s="4" t="str">
        <f ca="1">IFERROR(__xludf.DUMMYFUNCTION("GOOGLETRANSLATE(D:D,""auto"",""en"")"),"Sprite lipstick")</f>
        <v>Sprite lipstick</v>
      </c>
      <c r="D818" s="5" t="s">
        <v>1930</v>
      </c>
      <c r="E818" s="4">
        <v>370967</v>
      </c>
    </row>
    <row r="819" spans="1:5" ht="13.5" hidden="1" customHeight="1">
      <c r="A819" s="4" t="s">
        <v>1931</v>
      </c>
      <c r="B819" s="4" t="s">
        <v>1932</v>
      </c>
      <c r="C819" s="4" t="str">
        <f ca="1">IFERROR(__xludf.DUMMYFUNCTION("GOOGLETRANSLATE(D:D,""auto"",""en"")"),"Zhang Jun Ning rose red dress")</f>
        <v>Zhang Jun Ning rose red dress</v>
      </c>
      <c r="D819" s="5" t="s">
        <v>1933</v>
      </c>
      <c r="E819" s="4">
        <v>369606</v>
      </c>
    </row>
    <row r="820" spans="1:5" ht="13.5" hidden="1" customHeight="1">
      <c r="A820" s="4" t="s">
        <v>1934</v>
      </c>
      <c r="B820" s="4" t="s">
        <v>1935</v>
      </c>
      <c r="C820" s="4" t="str">
        <f ca="1">IFERROR(__xludf.DUMMYFUNCTION("GOOGLETRANSLATE(D:D,""auto"",""en"")"),"Suddenly not fire network terrier")</f>
        <v>Suddenly not fire network terrier</v>
      </c>
      <c r="D820" s="5" t="s">
        <v>1936</v>
      </c>
      <c r="E820" s="4">
        <v>368844</v>
      </c>
    </row>
    <row r="821" spans="1:5" ht="13.5" hidden="1" customHeight="1">
      <c r="A821" s="4" t="s">
        <v>1937</v>
      </c>
      <c r="B821" s="4" t="s">
        <v>1938</v>
      </c>
      <c r="C821" s="4" t="str">
        <f ca="1">IFERROR(__xludf.DUMMYFUNCTION("GOOGLETRANSLATE(D:D,""auto"",""en"")"),"Koala charred from the fire escape")</f>
        <v>Koala charred from the fire escape</v>
      </c>
      <c r="D821" s="5" t="s">
        <v>1939</v>
      </c>
      <c r="E821" s="4">
        <v>368082</v>
      </c>
    </row>
    <row r="822" spans="1:5" ht="13.5" hidden="1" customHeight="1">
      <c r="A822" s="4" t="s">
        <v>1940</v>
      </c>
      <c r="B822" s="4" t="s">
        <v>1941</v>
      </c>
      <c r="C822" s="4" t="str">
        <f ca="1">IFERROR(__xludf.DUMMYFUNCTION("GOOGLETRANSLATE(D:D,""auto"",""en"")"),"Boys vs girls before going to bed before going to bed")</f>
        <v>Boys vs girls before going to bed before going to bed</v>
      </c>
      <c r="D822" s="5" t="s">
        <v>1942</v>
      </c>
      <c r="E822" s="4">
        <v>340315</v>
      </c>
    </row>
    <row r="823" spans="1:5" ht="13.5" hidden="1" customHeight="1">
      <c r="A823" s="4" t="s">
        <v>1943</v>
      </c>
      <c r="B823" s="4" t="s">
        <v>1944</v>
      </c>
      <c r="C823" s="4" t="str">
        <f ca="1">IFERROR(__xludf.DUMMYFUNCTION("GOOGLETRANSLATE(D:D,""auto"",""en"")"),"Most want to not think about the salary the work")</f>
        <v>Most want to not think about the salary the work</v>
      </c>
      <c r="D823" s="5" t="s">
        <v>1945</v>
      </c>
      <c r="E823" s="4">
        <v>336980</v>
      </c>
    </row>
    <row r="824" spans="1:5" ht="13.5" hidden="1" customHeight="1">
      <c r="A824" s="4" t="s">
        <v>1946</v>
      </c>
      <c r="B824" s="4" t="s">
        <v>1947</v>
      </c>
      <c r="C824" s="4" t="str">
        <f ca="1">IFERROR(__xludf.DUMMYFUNCTION("GOOGLETRANSLATE(D:D,""auto"",""en"")"),"University of ending in the end how awful")</f>
        <v>University of ending in the end how awful</v>
      </c>
      <c r="D824" s="5" t="s">
        <v>1948</v>
      </c>
      <c r="E824" s="4">
        <v>324237</v>
      </c>
    </row>
    <row r="825" spans="1:5" ht="13.5" hidden="1" customHeight="1">
      <c r="A825" s="4" t="s">
        <v>1934</v>
      </c>
      <c r="B825" s="4" t="s">
        <v>1949</v>
      </c>
      <c r="C825" s="4" t="str">
        <f ca="1">IFERROR(__xludf.DUMMYFUNCTION("GOOGLETRANSLATE(D:D,""auto"",""en"")"),"Grand Prize will be 360 ​​years to avoid cutting coupons")</f>
        <v>Grand Prize will be 360 ​​years to avoid cutting coupons</v>
      </c>
      <c r="D825" s="5" t="s">
        <v>1950</v>
      </c>
      <c r="E825" s="4">
        <v>291675</v>
      </c>
    </row>
    <row r="826" spans="1:5" ht="13.5" hidden="1" customHeight="1">
      <c r="A826" s="4" t="s">
        <v>1951</v>
      </c>
      <c r="B826" s="4" t="s">
        <v>1952</v>
      </c>
      <c r="C826" s="4" t="str">
        <f ca="1">IFERROR(__xludf.DUMMYFUNCTION("GOOGLETRANSLATE(D:D,""auto"",""en"")"),"Real Ting Miriam Yeung as do concert")</f>
        <v>Real Ting Miriam Yeung as do concert</v>
      </c>
      <c r="D826" s="5" t="s">
        <v>1953</v>
      </c>
      <c r="E826" s="4">
        <v>254917</v>
      </c>
    </row>
    <row r="827" spans="1:5" ht="13.5" hidden="1" customHeight="1">
      <c r="A827" s="4" t="s">
        <v>1954</v>
      </c>
      <c r="B827" s="4" t="s">
        <v>1955</v>
      </c>
      <c r="C827" s="4" t="str">
        <f ca="1">IFERROR(__xludf.DUMMYFUNCTION("GOOGLETRANSLATE(D:D,""auto"",""en"")"),"Psyduck guard coat")</f>
        <v>Psyduck guard coat</v>
      </c>
      <c r="D827" s="5" t="s">
        <v>1956</v>
      </c>
      <c r="E827" s="4">
        <v>241259</v>
      </c>
    </row>
    <row r="828" spans="1:5" ht="13.5" hidden="1" customHeight="1">
      <c r="A828" s="4" t="s">
        <v>1957</v>
      </c>
      <c r="B828" s="4" t="s">
        <v>1906</v>
      </c>
      <c r="C828" s="4" t="str">
        <f ca="1">IFERROR(__xludf.DUMMYFUNCTION("GOOGLETRANSLATE(D:D,""auto"",""en"")"),"Nine feature contemporary middle-aged girls")</f>
        <v>Nine feature contemporary middle-aged girls</v>
      </c>
      <c r="D828" s="5" t="s">
        <v>1958</v>
      </c>
      <c r="E828" s="4">
        <v>219443</v>
      </c>
    </row>
    <row r="829" spans="1:5" ht="13.5" hidden="1" customHeight="1">
      <c r="A829" s="4" t="s">
        <v>1959</v>
      </c>
      <c r="B829" s="4" t="s">
        <v>1920</v>
      </c>
      <c r="C829" s="4" t="str">
        <f ca="1">IFERROR(__xludf.DUMMYFUNCTION("GOOGLETRANSLATE(D:D,""auto"",""en"")"),"Women's complaints courier door was beaten")</f>
        <v>Women's complaints courier door was beaten</v>
      </c>
      <c r="D829" s="5" t="s">
        <v>1960</v>
      </c>
      <c r="E829" s="4">
        <v>218291</v>
      </c>
    </row>
    <row r="830" spans="1:5" ht="13.5" hidden="1" customHeight="1">
      <c r="A830" s="4" t="s">
        <v>1961</v>
      </c>
      <c r="B830" s="4" t="s">
        <v>1962</v>
      </c>
      <c r="C830" s="4" t="str">
        <f ca="1">IFERROR(__xludf.DUMMYFUNCTION("GOOGLETRANSLATE(D:D,""auto"",""en"")"),"22 tourist attractions identified as Class 5A area")</f>
        <v>22 tourist attractions identified as Class 5A area</v>
      </c>
      <c r="D830" s="5" t="s">
        <v>1963</v>
      </c>
      <c r="E830" s="4">
        <v>217616</v>
      </c>
    </row>
    <row r="831" spans="1:5" ht="13.5" hidden="1" customHeight="1">
      <c r="A831" s="4" t="s">
        <v>1964</v>
      </c>
      <c r="B831" s="4" t="s">
        <v>1965</v>
      </c>
      <c r="C831" s="4" t="str">
        <f ca="1">IFERROR(__xludf.DUMMYFUNCTION("GOOGLETRANSLATE(D:D,""auto"",""en"")"),"What kind of girls are too sensitive experience")</f>
        <v>What kind of girls are too sensitive experience</v>
      </c>
      <c r="D831" s="5" t="s">
        <v>1966</v>
      </c>
      <c r="E831" s="4">
        <v>202906</v>
      </c>
    </row>
    <row r="832" spans="1:5" ht="13.5" hidden="1" customHeight="1">
      <c r="A832" s="4" t="s">
        <v>1967</v>
      </c>
      <c r="B832" s="4" t="s">
        <v>1968</v>
      </c>
      <c r="C832" s="4" t="str">
        <f ca="1">IFERROR(__xludf.DUMMYFUNCTION("GOOGLETRANSLATE(D:D,""auto"",""en"")"),"Asked Wang Junkai final exam")</f>
        <v>Asked Wang Junkai final exam</v>
      </c>
      <c r="D832" s="5" t="s">
        <v>1969</v>
      </c>
      <c r="E832" s="4">
        <v>202013</v>
      </c>
    </row>
    <row r="833" spans="1:5" ht="13.5" hidden="1" customHeight="1">
      <c r="A833" s="4" t="s">
        <v>1970</v>
      </c>
      <c r="B833" s="4" t="s">
        <v>1971</v>
      </c>
      <c r="C833" s="4" t="str">
        <f ca="1">IFERROR(__xludf.DUMMYFUNCTION("GOOGLETRANSLATE(D:D,""auto"",""en"")"),"Ukraine modify crash statement")</f>
        <v>Ukraine modify crash statement</v>
      </c>
      <c r="D833" s="5" t="s">
        <v>1972</v>
      </c>
      <c r="E833" s="4">
        <v>200069</v>
      </c>
    </row>
    <row r="834" spans="1:5" ht="13.5" hidden="1" customHeight="1">
      <c r="A834" s="4" t="s">
        <v>1973</v>
      </c>
      <c r="B834" s="4" t="s">
        <v>1974</v>
      </c>
      <c r="C834" s="4" t="str">
        <f ca="1">IFERROR(__xludf.DUMMYFUNCTION("GOOGLETRANSLATE(D:D,""auto"",""en"")"),"You first make-up")</f>
        <v>You first make-up</v>
      </c>
      <c r="D834" s="5" t="s">
        <v>1975</v>
      </c>
      <c r="E834" s="4">
        <v>175878</v>
      </c>
    </row>
    <row r="835" spans="1:5" ht="13.5" hidden="1" customHeight="1">
      <c r="A835" s="4" t="s">
        <v>1976</v>
      </c>
      <c r="B835" s="4" t="s">
        <v>1977</v>
      </c>
      <c r="C835" s="4" t="str">
        <f ca="1">IFERROR(__xludf.DUMMYFUNCTION("GOOGLETRANSLATE(D:D,""auto"",""en"")"),"Iran says it will not negotiate with the United States")</f>
        <v>Iran says it will not negotiate with the United States</v>
      </c>
      <c r="D835" s="5" t="s">
        <v>1978</v>
      </c>
      <c r="E835" s="4">
        <v>175153</v>
      </c>
    </row>
    <row r="836" spans="1:5" ht="13.5" hidden="1" customHeight="1">
      <c r="A836" s="4" t="s">
        <v>1916</v>
      </c>
      <c r="B836" s="4" t="s">
        <v>1979</v>
      </c>
      <c r="C836" s="4" t="str">
        <f ca="1">IFERROR(__xludf.DUMMYFUNCTION("GOOGLETRANSLATE(D:D,""auto"",""en"")"),"Wallet earrings")</f>
        <v>Wallet earrings</v>
      </c>
      <c r="D836" s="5" t="s">
        <v>1980</v>
      </c>
      <c r="E836" s="4">
        <v>163534</v>
      </c>
    </row>
    <row r="837" spans="1:5" ht="13.5" hidden="1" customHeight="1">
      <c r="A837" s="4" t="s">
        <v>1961</v>
      </c>
      <c r="B837" s="4" t="s">
        <v>1981</v>
      </c>
      <c r="C837" s="4" t="str">
        <f ca="1">IFERROR(__xludf.DUMMYFUNCTION("GOOGLETRANSLATE(D:D,""auto"",""en"")"),"Fortunately, the Swiss coffee against 15 of the APP user rights")</f>
        <v>Fortunately, the Swiss coffee against 15 of the APP user rights</v>
      </c>
      <c r="D837" s="5" t="s">
        <v>1982</v>
      </c>
      <c r="E837" s="4">
        <v>160676</v>
      </c>
    </row>
    <row r="838" spans="1:5" ht="13.5" hidden="1" customHeight="1">
      <c r="A838" s="4" t="s">
        <v>1976</v>
      </c>
      <c r="B838" s="4" t="s">
        <v>1983</v>
      </c>
      <c r="C838" s="4" t="str">
        <f ca="1">IFERROR(__xludf.DUMMYFUNCTION("GOOGLETRANSLATE(D:D,""auto"",""en"")"),"Yan people value love at first sight")</f>
        <v>Yan people value love at first sight</v>
      </c>
      <c r="D838" s="5" t="s">
        <v>1984</v>
      </c>
      <c r="E838" s="4">
        <v>152961</v>
      </c>
    </row>
    <row r="839" spans="1:5" ht="13.5" hidden="1" customHeight="1">
      <c r="A839" s="4" t="s">
        <v>1893</v>
      </c>
      <c r="B839" s="4" t="s">
        <v>1985</v>
      </c>
      <c r="C839" s="4" t="str">
        <f ca="1">IFERROR(__xludf.DUMMYFUNCTION("GOOGLETRANSLATE(D:D,""auto"",""en"")"),"Long did not experience what is good-looking mother")</f>
        <v>Long did not experience what is good-looking mother</v>
      </c>
      <c r="D839" s="5" t="s">
        <v>1986</v>
      </c>
      <c r="E839" s="4">
        <v>144804</v>
      </c>
    </row>
    <row r="840" spans="1:5" ht="13.5" hidden="1" customHeight="1">
      <c r="A840" s="4" t="s">
        <v>1919</v>
      </c>
      <c r="B840" s="4" t="s">
        <v>1987</v>
      </c>
      <c r="C840" s="4" t="str">
        <f ca="1">IFERROR(__xludf.DUMMYFUNCTION("GOOGLETRANSLATE(D:D,""auto"",""en"")"),"Australian Prime Minister called on the people to donate cash relief")</f>
        <v>Australian Prime Minister called on the people to donate cash relief</v>
      </c>
      <c r="D840" s="5" t="s">
        <v>1988</v>
      </c>
      <c r="E840" s="4">
        <v>144421</v>
      </c>
    </row>
    <row r="841" spans="1:5" ht="13.5" hidden="1" customHeight="1">
      <c r="A841" s="4" t="s">
        <v>1989</v>
      </c>
      <c r="B841" s="4" t="s">
        <v>1990</v>
      </c>
      <c r="C841" s="4" t="str">
        <f ca="1">IFERROR(__xludf.DUMMYFUNCTION("GOOGLETRANSLATE(D:D,""auto"",""en"")"),"After contracting 90 cartoon childhood")</f>
        <v>After contracting 90 cartoon childhood</v>
      </c>
      <c r="D841" s="5" t="s">
        <v>1991</v>
      </c>
      <c r="E841" s="4">
        <v>137013</v>
      </c>
    </row>
    <row r="842" spans="1:5" ht="13.5" hidden="1" customHeight="1">
      <c r="A842" s="4" t="s">
        <v>1992</v>
      </c>
      <c r="B842" s="4" t="s">
        <v>1993</v>
      </c>
      <c r="C842" s="4" t="str">
        <f ca="1">IFERROR(__xludf.DUMMYFUNCTION("GOOGLETRANSLATE(D:D,""auto"",""en"")"),"Animation tear fragment")</f>
        <v>Animation tear fragment</v>
      </c>
      <c r="D842" s="5" t="s">
        <v>1994</v>
      </c>
      <c r="E842" s="4">
        <v>135618</v>
      </c>
    </row>
    <row r="843" spans="1:5" ht="13.5" hidden="1" customHeight="1">
      <c r="A843" s="4" t="s">
        <v>1995</v>
      </c>
      <c r="B843" s="4" t="s">
        <v>1996</v>
      </c>
      <c r="C843" s="4" t="str">
        <f ca="1">IFERROR(__xludf.DUMMYFUNCTION("GOOGLETRANSLATE(D:D,""auto"",""en"")"),"Du Jiang Huo Siyan you are my sun")</f>
        <v>Du Jiang Huo Siyan you are my sun</v>
      </c>
      <c r="D843" s="5" t="s">
        <v>1997</v>
      </c>
      <c r="E843" s="4">
        <v>130056</v>
      </c>
    </row>
    <row r="844" spans="1:5" ht="13.5" hidden="1" customHeight="1">
      <c r="A844" s="4" t="s">
        <v>1998</v>
      </c>
      <c r="B844" s="4" t="s">
        <v>1999</v>
      </c>
      <c r="C844" s="4" t="str">
        <f ca="1">IFERROR(__xludf.DUMMYFUNCTION("GOOGLETRANSLATE(D:D,""auto"",""en"")"),"Students dormitory balcony open barber shop")</f>
        <v>Students dormitory balcony open barber shop</v>
      </c>
      <c r="D844" s="5" t="s">
        <v>2000</v>
      </c>
      <c r="E844" s="4">
        <v>127641</v>
      </c>
    </row>
    <row r="845" spans="1:5" ht="13.5" hidden="1" customHeight="1">
      <c r="A845" s="4" t="s">
        <v>2001</v>
      </c>
      <c r="B845" s="4" t="s">
        <v>2002</v>
      </c>
      <c r="C845" s="4" t="str">
        <f ca="1">IFERROR(__xludf.DUMMYFUNCTION("GOOGLETRANSLATE(D:D,""auto"",""en"")"),"Bugler in the armed forces for the first time enabled the zipper")</f>
        <v>Bugler in the armed forces for the first time enabled the zipper</v>
      </c>
      <c r="D845" s="5" t="s">
        <v>2003</v>
      </c>
      <c r="E845" s="4">
        <v>120653</v>
      </c>
    </row>
    <row r="846" spans="1:5" ht="13.5" hidden="1" customHeight="1">
      <c r="A846" s="4" t="s">
        <v>2004</v>
      </c>
      <c r="B846" s="4" t="s">
        <v>1813</v>
      </c>
      <c r="C846" s="4" t="str">
        <f ca="1">IFERROR(__xludf.DUMMYFUNCTION("GOOGLETRANSLATE(D:D,""auto"",""en"")"),"Ukraine announced the list of victims of plane crash")</f>
        <v>Ukraine announced the list of victims of plane crash</v>
      </c>
      <c r="D846" s="5" t="s">
        <v>2005</v>
      </c>
      <c r="E846" s="4">
        <v>119974</v>
      </c>
    </row>
    <row r="847" spans="1:5" ht="13.5" hidden="1" customHeight="1">
      <c r="A847" s="4" t="s">
        <v>2006</v>
      </c>
      <c r="B847" s="4" t="s">
        <v>1965</v>
      </c>
      <c r="C847" s="4" t="str">
        <f ca="1">IFERROR(__xludf.DUMMYFUNCTION("GOOGLETRANSLATE(D:D,""auto"",""en"")"),"Couples should share maternity leave do")</f>
        <v>Couples should share maternity leave do</v>
      </c>
      <c r="D847" s="5" t="s">
        <v>2007</v>
      </c>
      <c r="E847" s="4">
        <v>116344</v>
      </c>
    </row>
    <row r="848" spans="1:5" ht="13.5" hidden="1" customHeight="1">
      <c r="A848" s="4" t="s">
        <v>2008</v>
      </c>
      <c r="B848" s="4" t="s">
        <v>2009</v>
      </c>
      <c r="C848" s="4" t="str">
        <f ca="1">IFERROR(__xludf.DUMMYFUNCTION("GOOGLETRANSLATE(D:D,""auto"",""en"")"),"Shi, pink skirt stars")</f>
        <v>Shi, pink skirt stars</v>
      </c>
      <c r="D848" s="5" t="s">
        <v>2010</v>
      </c>
      <c r="E848" s="4">
        <v>100156</v>
      </c>
    </row>
    <row r="849" spans="1:6" ht="13.5" hidden="1" customHeight="1">
      <c r="A849" s="4" t="s">
        <v>2011</v>
      </c>
      <c r="B849" s="4" t="s">
        <v>1983</v>
      </c>
      <c r="C849" s="4" t="str">
        <f ca="1">IFERROR(__xludf.DUMMYFUNCTION("GOOGLETRANSLATE(D:D,""auto"",""en"")"),"Xiaozhan little brother play take-away")</f>
        <v>Xiaozhan little brother play take-away</v>
      </c>
      <c r="D849" s="5" t="s">
        <v>2012</v>
      </c>
      <c r="E849" s="4">
        <v>78991</v>
      </c>
    </row>
    <row r="850" spans="1:6" ht="13.5" hidden="1" customHeight="1">
      <c r="C850" s="4" t="str">
        <f ca="1">IFERROR(__xludf.DUMMYFUNCTION("GOOGLETRANSLATE(D:D,""auto"",""en"")"),"#VALUE!")</f>
        <v>#VALUE!</v>
      </c>
    </row>
    <row r="851" spans="1:6" ht="13.5" hidden="1" customHeight="1">
      <c r="A851" s="4" t="s">
        <v>2013</v>
      </c>
      <c r="B851" s="4" t="s">
        <v>2014</v>
      </c>
      <c r="C851" s="4" t="str">
        <f ca="1">IFERROR(__xludf.DUMMYFUNCTION("GOOGLETRANSLATE(D:D,""auto"",""en"")"),"Hanamaki Hanamaki Shen Teng Tao points points")</f>
        <v>Hanamaki Hanamaki Shen Teng Tao points points</v>
      </c>
      <c r="D851" s="4" t="s">
        <v>2015</v>
      </c>
      <c r="E851" s="4">
        <v>3324457</v>
      </c>
    </row>
    <row r="852" spans="1:6" ht="13.5" hidden="1" customHeight="1">
      <c r="A852" s="4" t="s">
        <v>2016</v>
      </c>
      <c r="B852" s="4" t="s">
        <v>2017</v>
      </c>
      <c r="C852" s="4" t="str">
        <f ca="1">IFERROR(__xludf.DUMMYFUNCTION("GOOGLETRANSLATE(D:D,""auto"",""en"")"),"Hali Mei root announced its withdrawal from the royal family")</f>
        <v>Hali Mei root announced its withdrawal from the royal family</v>
      </c>
      <c r="D852" s="5" t="s">
        <v>2018</v>
      </c>
      <c r="E852" s="4">
        <v>1554231</v>
      </c>
    </row>
    <row r="853" spans="1:6" ht="13.5" hidden="1" customHeight="1">
      <c r="A853" s="4" t="s">
        <v>2019</v>
      </c>
      <c r="B853" s="4" t="s">
        <v>2020</v>
      </c>
      <c r="C853" s="4" t="str">
        <f ca="1">IFERROR(__xludf.DUMMYFUNCTION("GOOGLETRANSLATE(D:D,""auto"",""en"")"),"Wang Junkai inside the pants to wear jeans")</f>
        <v>Wang Junkai inside the pants to wear jeans</v>
      </c>
      <c r="D853" s="5" t="s">
        <v>2021</v>
      </c>
      <c r="E853" s="4">
        <v>1528757</v>
      </c>
    </row>
    <row r="854" spans="1:6" ht="13.5" hidden="1" customHeight="1">
      <c r="A854" s="4" t="s">
        <v>2022</v>
      </c>
      <c r="B854" s="4" t="s">
        <v>2023</v>
      </c>
      <c r="C854" s="4" t="str">
        <f ca="1">IFERROR(__xludf.DUMMYFUNCTION("GOOGLETRANSLATE(D:D,""auto"",""en"")"),"Celina Jade short hair")</f>
        <v>Celina Jade short hair</v>
      </c>
      <c r="D854" s="5" t="s">
        <v>2024</v>
      </c>
      <c r="E854" s="4">
        <v>1310751</v>
      </c>
    </row>
    <row r="855" spans="1:6" ht="13.5" hidden="1" customHeight="1">
      <c r="A855" s="4" t="s">
        <v>2025</v>
      </c>
      <c r="B855" s="4" t="s">
        <v>1893</v>
      </c>
      <c r="C855" s="4" t="str">
        <f ca="1">IFERROR(__xludf.DUMMYFUNCTION("GOOGLETRANSLATE(D:D,""auto"",""en"")"),"Two rockets landed near the US embassy in Iraq")</f>
        <v>Two rockets landed near the US embassy in Iraq</v>
      </c>
      <c r="D855" s="5" t="s">
        <v>2026</v>
      </c>
      <c r="E855" s="4">
        <v>772885</v>
      </c>
    </row>
    <row r="856" spans="1:6" ht="13.5" hidden="1" customHeight="1">
      <c r="A856" s="4" t="s">
        <v>2027</v>
      </c>
      <c r="B856" s="4" t="s">
        <v>2028</v>
      </c>
      <c r="C856" s="4" t="str">
        <f ca="1">IFERROR(__xludf.DUMMYFUNCTION("GOOGLETRANSLATE(D:D,""auto"",""en"")"),"Oscar does not host again")</f>
        <v>Oscar does not host again</v>
      </c>
      <c r="D856" s="5" t="s">
        <v>2029</v>
      </c>
      <c r="E856" s="4">
        <v>634262</v>
      </c>
    </row>
    <row r="857" spans="1:6" ht="13.5" customHeight="1">
      <c r="A857" s="4" t="s">
        <v>2030</v>
      </c>
      <c r="B857" s="4" t="s">
        <v>2031</v>
      </c>
      <c r="C857" s="4" t="str">
        <f ca="1">IFERROR(__xludf.DUMMYFUNCTION("GOOGLETRANSLATE(D:D,""auto"",""en"")"),"Wuhan unexplained pneumonia pathogen is novel coronavirus")</f>
        <v>Wuhan unexplained pneumonia pathogen is novel coronavirus</v>
      </c>
      <c r="D857" s="5" t="s">
        <v>2032</v>
      </c>
      <c r="E857" s="4">
        <v>548808</v>
      </c>
      <c r="F857">
        <v>1</v>
      </c>
    </row>
    <row r="858" spans="1:6" ht="13.5" hidden="1" customHeight="1">
      <c r="A858" s="4" t="s">
        <v>2033</v>
      </c>
      <c r="B858" s="4" t="s">
        <v>2034</v>
      </c>
      <c r="C858" s="4" t="str">
        <f ca="1">IFERROR(__xludf.DUMMYFUNCTION("GOOGLETRANSLATE(D:D,""auto"",""en"")"),"Hundreds of thousands of home camera has been cracked")</f>
        <v>Hundreds of thousands of home camera has been cracked</v>
      </c>
      <c r="D858" s="5" t="s">
        <v>2035</v>
      </c>
      <c r="E858" s="4">
        <v>419088</v>
      </c>
    </row>
    <row r="859" spans="1:6" ht="13.5" hidden="1" customHeight="1">
      <c r="A859" s="4" t="s">
        <v>2036</v>
      </c>
      <c r="B859" s="4" t="s">
        <v>2037</v>
      </c>
      <c r="C859" s="4" t="str">
        <f ca="1">IFERROR(__xludf.DUMMYFUNCTION("GOOGLETRANSLATE(D:D,""auto"",""en"")"),"Nearly 7 percent of the country less than one year of driving experience drivers")</f>
        <v>Nearly 7 percent of the country less than one year of driving experience drivers</v>
      </c>
      <c r="D859" s="5" t="s">
        <v>2038</v>
      </c>
      <c r="E859" s="4">
        <v>373120</v>
      </c>
    </row>
    <row r="860" spans="1:6" ht="13.5" hidden="1" customHeight="1">
      <c r="A860" s="4" t="s">
        <v>2039</v>
      </c>
      <c r="B860" s="4" t="s">
        <v>1928</v>
      </c>
      <c r="C860" s="4" t="str">
        <f ca="1">IFERROR(__xludf.DUMMYFUNCTION("GOOGLETRANSLATE(D:D,""auto"",""en"")"),"Xiang thumbs up")</f>
        <v>Xiang thumbs up</v>
      </c>
      <c r="D860" s="5" t="s">
        <v>2040</v>
      </c>
      <c r="E860" s="4">
        <v>361137</v>
      </c>
    </row>
    <row r="861" spans="1:6" ht="13.5" hidden="1" customHeight="1">
      <c r="A861" s="4" t="s">
        <v>2041</v>
      </c>
      <c r="B861" s="4" t="s">
        <v>1998</v>
      </c>
      <c r="C861" s="4" t="str">
        <f ca="1">IFERROR(__xludf.DUMMYFUNCTION("GOOGLETRANSLATE(D:D,""auto"",""en"")"),"US new economic sanctions against Iran")</f>
        <v>US new economic sanctions against Iran</v>
      </c>
      <c r="D861" s="5" t="s">
        <v>2042</v>
      </c>
      <c r="E861" s="4">
        <v>345745</v>
      </c>
    </row>
    <row r="862" spans="1:6" ht="13.5" hidden="1" customHeight="1">
      <c r="A862" s="4" t="s">
        <v>2043</v>
      </c>
      <c r="B862" s="4" t="s">
        <v>2001</v>
      </c>
      <c r="C862" s="4" t="str">
        <f ca="1">IFERROR(__xludf.DUMMYFUNCTION("GOOGLETRANSLATE(D:D,""auto"",""en"")"),"Trump delivered a speech on Iran attack")</f>
        <v>Trump delivered a speech on Iran attack</v>
      </c>
      <c r="D862" s="5" t="s">
        <v>2044</v>
      </c>
      <c r="E862" s="4">
        <v>291480</v>
      </c>
    </row>
    <row r="863" spans="1:6" ht="13.5" hidden="1" customHeight="1">
      <c r="A863" s="4" t="s">
        <v>2036</v>
      </c>
      <c r="B863" s="4" t="s">
        <v>2045</v>
      </c>
      <c r="C863" s="4" t="str">
        <f ca="1">IFERROR(__xludf.DUMMYFUNCTION("GOOGLETRANSLATE(D:D,""auto"",""en"")"),"Ukrainian airliner crash scene aerial picture")</f>
        <v>Ukrainian airliner crash scene aerial picture</v>
      </c>
      <c r="D863" s="5" t="s">
        <v>2046</v>
      </c>
      <c r="E863" s="4">
        <v>275390</v>
      </c>
    </row>
    <row r="864" spans="1:6" ht="13.5" hidden="1" customHeight="1">
      <c r="A864" s="4" t="s">
        <v>2047</v>
      </c>
      <c r="B864" s="4" t="s">
        <v>2048</v>
      </c>
      <c r="C864" s="4" t="str">
        <f ca="1">IFERROR(__xludf.DUMMYFUNCTION("GOOGLETRANSLATE(D:D,""auto"",""en"")"),"Ottawa shooting incident")</f>
        <v>Ottawa shooting incident</v>
      </c>
      <c r="D864" s="5" t="s">
        <v>2049</v>
      </c>
      <c r="E864" s="4">
        <v>262269</v>
      </c>
    </row>
    <row r="865" spans="1:6" ht="13.5" hidden="1" customHeight="1">
      <c r="A865" s="4" t="s">
        <v>2050</v>
      </c>
      <c r="B865" s="4" t="s">
        <v>1902</v>
      </c>
      <c r="C865" s="4" t="str">
        <f ca="1">IFERROR(__xludf.DUMMYFUNCTION("GOOGLETRANSLATE(D:D,""auto"",""en"")"),"Alan Tan Ban Chen Qiao En")</f>
        <v>Alan Tan Ban Chen Qiao En</v>
      </c>
      <c r="D865" s="5" t="s">
        <v>2051</v>
      </c>
      <c r="E865" s="4">
        <v>261485</v>
      </c>
    </row>
    <row r="866" spans="1:6" ht="13.5" hidden="1" customHeight="1">
      <c r="A866" s="4" t="s">
        <v>2052</v>
      </c>
      <c r="B866" s="4" t="s">
        <v>2053</v>
      </c>
      <c r="C866" s="4" t="str">
        <f ca="1">IFERROR(__xludf.DUMMYFUNCTION("GOOGLETRANSLATE(D:D,""auto"",""en"")"),"Have you seen the makeup most people can play")</f>
        <v>Have you seen the makeup most people can play</v>
      </c>
      <c r="D866" s="5" t="s">
        <v>2054</v>
      </c>
      <c r="E866" s="4">
        <v>260562</v>
      </c>
    </row>
    <row r="867" spans="1:6" ht="13.5" hidden="1" customHeight="1">
      <c r="A867" s="4" t="s">
        <v>2055</v>
      </c>
      <c r="B867" s="4" t="s">
        <v>2056</v>
      </c>
      <c r="C867" s="4" t="str">
        <f ca="1">IFERROR(__xludf.DUMMYFUNCTION("GOOGLETRANSLATE(D:D,""auto"",""en"")"),"Groom the next of kin is IELTS Listening")</f>
        <v>Groom the next of kin is IELTS Listening</v>
      </c>
      <c r="D867" s="5" t="s">
        <v>2057</v>
      </c>
      <c r="E867" s="4">
        <v>259474</v>
      </c>
    </row>
    <row r="868" spans="1:6" ht="13.5" hidden="1" customHeight="1">
      <c r="A868" s="4" t="s">
        <v>2058</v>
      </c>
      <c r="B868" s="4" t="s">
        <v>1943</v>
      </c>
      <c r="C868" s="4" t="str">
        <f ca="1">IFERROR(__xludf.DUMMYFUNCTION("GOOGLETRANSLATE(D:D,""auto"",""en"")"),"After working as a teacher 90")</f>
        <v>After working as a teacher 90</v>
      </c>
      <c r="D868" s="5" t="s">
        <v>2059</v>
      </c>
      <c r="E868" s="4">
        <v>258524</v>
      </c>
    </row>
    <row r="869" spans="1:6" ht="13.5" hidden="1" customHeight="1">
      <c r="A869" s="4" t="s">
        <v>2060</v>
      </c>
      <c r="B869" s="4" t="s">
        <v>2061</v>
      </c>
      <c r="C869" s="4" t="str">
        <f ca="1">IFERROR(__xludf.DUMMYFUNCTION("GOOGLETRANSLATE(D:D,""auto"",""en"")"),"Needless seat uncle was rated good in Dalian")</f>
        <v>Needless seat uncle was rated good in Dalian</v>
      </c>
      <c r="D869" s="5" t="s">
        <v>2062</v>
      </c>
      <c r="E869" s="4">
        <v>257857</v>
      </c>
    </row>
    <row r="870" spans="1:6" ht="13.5" hidden="1" customHeight="1">
      <c r="A870" s="4" t="s">
        <v>2063</v>
      </c>
      <c r="B870" s="4" t="s">
        <v>2064</v>
      </c>
      <c r="C870" s="4" t="str">
        <f ca="1">IFERROR(__xludf.DUMMYFUNCTION("GOOGLETRANSLATE(D:D,""auto"",""en"")"),"But just failed to get out of the star")</f>
        <v>But just failed to get out of the star</v>
      </c>
      <c r="D870" s="5" t="s">
        <v>2065</v>
      </c>
      <c r="E870" s="4">
        <v>256801</v>
      </c>
    </row>
    <row r="871" spans="1:6" ht="13.5" hidden="1" customHeight="1">
      <c r="A871" s="4" t="s">
        <v>2066</v>
      </c>
      <c r="B871" s="4" t="s">
        <v>2020</v>
      </c>
      <c r="C871" s="4" t="str">
        <f ca="1">IFERROR(__xludf.DUMMYFUNCTION("GOOGLETRANSLATE(D:D,""auto"",""en"")"),"When the fall in through the ice to save her children goodbye firefighters")</f>
        <v>When the fall in through the ice to save her children goodbye firefighters</v>
      </c>
      <c r="D871" s="5" t="s">
        <v>2067</v>
      </c>
      <c r="E871" s="4">
        <v>256139</v>
      </c>
    </row>
    <row r="872" spans="1:6" ht="13.5" hidden="1" customHeight="1">
      <c r="A872" s="4" t="s">
        <v>2068</v>
      </c>
      <c r="B872" s="4" t="s">
        <v>2069</v>
      </c>
      <c r="C872" s="4" t="str">
        <f ca="1">IFERROR(__xludf.DUMMYFUNCTION("GOOGLETRANSLATE(D:D,""auto"",""en"")"),"King of glory Update")</f>
        <v>King of glory Update</v>
      </c>
      <c r="D872" s="5" t="s">
        <v>2070</v>
      </c>
      <c r="E872" s="4">
        <v>254744</v>
      </c>
    </row>
    <row r="873" spans="1:6" ht="13.5" hidden="1" customHeight="1">
      <c r="A873" s="4" t="s">
        <v>2071</v>
      </c>
      <c r="B873" s="4" t="s">
        <v>2072</v>
      </c>
      <c r="C873" s="4" t="str">
        <f ca="1">IFERROR(__xludf.DUMMYFUNCTION("GOOGLETRANSLATE(D:D,""auto"",""en"")"),"The Ministry of Education Entrance Examination 2020 deployment")</f>
        <v>The Ministry of Education Entrance Examination 2020 deployment</v>
      </c>
      <c r="D873" s="5" t="s">
        <v>2073</v>
      </c>
      <c r="E873" s="4">
        <v>254592</v>
      </c>
    </row>
    <row r="874" spans="1:6" ht="13.5" hidden="1" customHeight="1">
      <c r="A874" s="4" t="s">
        <v>2074</v>
      </c>
      <c r="B874" s="4" t="s">
        <v>2075</v>
      </c>
      <c r="C874" s="4" t="str">
        <f ca="1">IFERROR(__xludf.DUMMYFUNCTION("GOOGLETRANSLATE(D:D,""auto"",""en"")"),"Teacher Registration")</f>
        <v>Teacher Registration</v>
      </c>
      <c r="D874" s="5" t="s">
        <v>2076</v>
      </c>
      <c r="E874" s="4">
        <v>238775</v>
      </c>
    </row>
    <row r="875" spans="1:6" ht="13.5" hidden="1" customHeight="1">
      <c r="A875" s="4" t="s">
        <v>2077</v>
      </c>
      <c r="B875" s="4" t="s">
        <v>2078</v>
      </c>
      <c r="C875" s="4" t="str">
        <f ca="1">IFERROR(__xludf.DUMMYFUNCTION("GOOGLETRANSLATE(D:D,""auto"",""en"")"),"Preferably silver photo elementary school car")</f>
        <v>Preferably silver photo elementary school car</v>
      </c>
      <c r="D875" s="5" t="s">
        <v>2079</v>
      </c>
      <c r="E875" s="4">
        <v>237225</v>
      </c>
    </row>
    <row r="876" spans="1:6" ht="13.5" hidden="1" customHeight="1">
      <c r="A876" s="4" t="s">
        <v>2080</v>
      </c>
      <c r="B876" s="4" t="s">
        <v>2081</v>
      </c>
      <c r="C876" s="4" t="str">
        <f ca="1">IFERROR(__xludf.DUMMYFUNCTION("GOOGLETRANSLATE(D:D,""auto"",""en"")"),"How important contemporary headphones")</f>
        <v>How important contemporary headphones</v>
      </c>
      <c r="D876" s="5" t="s">
        <v>2082</v>
      </c>
      <c r="E876" s="4">
        <v>231010</v>
      </c>
    </row>
    <row r="877" spans="1:6" ht="13.5" hidden="1" customHeight="1">
      <c r="A877" s="4" t="s">
        <v>2083</v>
      </c>
      <c r="B877" s="4" t="s">
        <v>2084</v>
      </c>
      <c r="C877" s="4" t="str">
        <f ca="1">IFERROR(__xludf.DUMMYFUNCTION("GOOGLETRANSLATE(D:D,""auto"",""en"")"),"Wuhan snow")</f>
        <v>Wuhan snow</v>
      </c>
      <c r="D877" s="5" t="s">
        <v>2085</v>
      </c>
      <c r="E877" s="4">
        <v>212133</v>
      </c>
      <c r="F877">
        <v>0</v>
      </c>
    </row>
    <row r="878" spans="1:6" ht="13.5" hidden="1" customHeight="1">
      <c r="A878" s="4" t="s">
        <v>2086</v>
      </c>
      <c r="B878" s="4" t="s">
        <v>2056</v>
      </c>
      <c r="C878" s="4" t="str">
        <f ca="1">IFERROR(__xludf.DUMMYFUNCTION("GOOGLETRANSLATE(D:D,""auto"",""en"")"),"Digimon Movie confirm the introduction of")</f>
        <v>Digimon Movie confirm the introduction of</v>
      </c>
      <c r="D878" s="5" t="s">
        <v>2087</v>
      </c>
      <c r="E878" s="4">
        <v>191654</v>
      </c>
    </row>
    <row r="879" spans="1:6" ht="13.5" hidden="1" customHeight="1">
      <c r="A879" s="4" t="s">
        <v>2088</v>
      </c>
      <c r="B879" s="4" t="s">
        <v>2089</v>
      </c>
      <c r="C879" s="4" t="str">
        <f ca="1">IFERROR(__xludf.DUMMYFUNCTION("GOOGLETRANSLATE(D:D,""auto"",""en"")"),"Butler Warren conflict")</f>
        <v>Butler Warren conflict</v>
      </c>
      <c r="D879" s="5" t="s">
        <v>2090</v>
      </c>
      <c r="E879" s="4">
        <v>190564</v>
      </c>
    </row>
    <row r="880" spans="1:6" ht="13.5" hidden="1" customHeight="1">
      <c r="A880" s="4" t="s">
        <v>2071</v>
      </c>
      <c r="B880" s="4" t="s">
        <v>2091</v>
      </c>
      <c r="C880" s="4" t="str">
        <f ca="1">IFERROR(__xludf.DUMMYFUNCTION("GOOGLETRANSLATE(D:D,""auto"",""en"")"),"High-speed 400 km was 1312 yuan toll collection")</f>
        <v>High-speed 400 km was 1312 yuan toll collection</v>
      </c>
      <c r="D880" s="5" t="s">
        <v>2092</v>
      </c>
      <c r="E880" s="4">
        <v>184076</v>
      </c>
    </row>
    <row r="881" spans="1:5" ht="13.5" hidden="1" customHeight="1">
      <c r="A881" s="4" t="s">
        <v>2093</v>
      </c>
      <c r="B881" s="4" t="s">
        <v>2094</v>
      </c>
      <c r="C881" s="4" t="str">
        <f ca="1">IFERROR(__xludf.DUMMYFUNCTION("GOOGLETRANSLATE(D:D,""auto"",""en"")"),"One hundred students endorsement underground parking")</f>
        <v>One hundred students endorsement underground parking</v>
      </c>
      <c r="D881" s="5" t="s">
        <v>2095</v>
      </c>
      <c r="E881" s="4">
        <v>167673</v>
      </c>
    </row>
    <row r="882" spans="1:5" ht="13.5" hidden="1" customHeight="1">
      <c r="A882" s="4" t="s">
        <v>2096</v>
      </c>
      <c r="B882" s="4" t="s">
        <v>2028</v>
      </c>
      <c r="C882" s="4" t="str">
        <f ca="1">IFERROR(__xludf.DUMMYFUNCTION("GOOGLETRANSLATE(D:D,""auto"",""en"")"),"Beijing Fangshan 3.2 earthquake")</f>
        <v>Beijing Fangshan 3.2 earthquake</v>
      </c>
      <c r="D882" s="5" t="s">
        <v>2097</v>
      </c>
      <c r="E882" s="4">
        <v>163914</v>
      </c>
    </row>
    <row r="883" spans="1:5" ht="13.5" hidden="1" customHeight="1">
      <c r="A883" s="4" t="s">
        <v>2098</v>
      </c>
      <c r="B883" s="4" t="s">
        <v>1957</v>
      </c>
      <c r="C883" s="4" t="str">
        <f ca="1">IFERROR(__xludf.DUMMYFUNCTION("GOOGLETRANSLATE(D:D,""auto"",""en"")"),"What are you most disgusting behavior of friends")</f>
        <v>What are you most disgusting behavior of friends</v>
      </c>
      <c r="D883" s="5" t="s">
        <v>2099</v>
      </c>
      <c r="E883" s="4">
        <v>159286</v>
      </c>
    </row>
    <row r="884" spans="1:5" ht="13.5" hidden="1" customHeight="1">
      <c r="A884" s="4" t="s">
        <v>2100</v>
      </c>
      <c r="B884" s="4" t="s">
        <v>2101</v>
      </c>
      <c r="C884" s="4" t="str">
        <f ca="1">IFERROR(__xludf.DUMMYFUNCTION("GOOGLETRANSLATE(D:D,""auto"",""en"")"),"Walker deported")</f>
        <v>Walker deported</v>
      </c>
      <c r="D884" s="5" t="s">
        <v>2102</v>
      </c>
      <c r="E884" s="4">
        <v>150916</v>
      </c>
    </row>
    <row r="885" spans="1:5" ht="13.5" hidden="1" customHeight="1">
      <c r="A885" s="4" t="s">
        <v>1922</v>
      </c>
      <c r="B885" s="4" t="s">
        <v>1923</v>
      </c>
      <c r="C885" s="4" t="str">
        <f ca="1">IFERROR(__xludf.DUMMYFUNCTION("GOOGLETRANSLATE(D:D,""auto"",""en"")"),"Deng purple chess eating hot pot singing")</f>
        <v>Deng purple chess eating hot pot singing</v>
      </c>
      <c r="D885" s="5" t="s">
        <v>1924</v>
      </c>
      <c r="E885" s="4">
        <v>147690</v>
      </c>
    </row>
    <row r="886" spans="1:5" ht="13.5" hidden="1" customHeight="1">
      <c r="A886" s="4" t="s">
        <v>2103</v>
      </c>
      <c r="B886" s="4" t="s">
        <v>2104</v>
      </c>
      <c r="C886" s="4" t="str">
        <f ca="1">IFERROR(__xludf.DUMMYFUNCTION("GOOGLETRANSLATE(D:D,""auto"",""en"")"),"To Starchaser done stupid things")</f>
        <v>To Starchaser done stupid things</v>
      </c>
      <c r="D886" s="5" t="s">
        <v>2105</v>
      </c>
      <c r="E886" s="4">
        <v>130994</v>
      </c>
    </row>
    <row r="887" spans="1:5" ht="13.5" hidden="1" customHeight="1">
      <c r="A887" s="4" t="s">
        <v>2100</v>
      </c>
      <c r="B887" s="4" t="s">
        <v>2072</v>
      </c>
      <c r="C887" s="4" t="str">
        <f ca="1">IFERROR(__xludf.DUMMYFUNCTION("GOOGLETRANSLATE(D:D,""auto"",""en"")"),"Panzhihua enter EMU era")</f>
        <v>Panzhihua enter EMU era</v>
      </c>
      <c r="D887" s="5" t="s">
        <v>2106</v>
      </c>
      <c r="E887" s="4">
        <v>124253</v>
      </c>
    </row>
    <row r="888" spans="1:5" ht="13.5" hidden="1" customHeight="1">
      <c r="A888" s="4" t="s">
        <v>1925</v>
      </c>
      <c r="B888" s="4" t="s">
        <v>1926</v>
      </c>
      <c r="C888" s="4" t="str">
        <f ca="1">IFERROR(__xludf.DUMMYFUNCTION("GOOGLETRANSLATE(D:D,""auto"",""en"")"),"Nanjing snow")</f>
        <v>Nanjing snow</v>
      </c>
      <c r="D888" s="5" t="s">
        <v>1927</v>
      </c>
      <c r="E888" s="4">
        <v>123264</v>
      </c>
    </row>
    <row r="889" spans="1:5" ht="13.5" hidden="1" customHeight="1">
      <c r="A889" s="4" t="s">
        <v>1887</v>
      </c>
      <c r="B889" s="4" t="s">
        <v>1888</v>
      </c>
      <c r="C889" s="4" t="str">
        <f ca="1">IFERROR(__xludf.DUMMYFUNCTION("GOOGLETRANSLATE(D:D,""auto"",""en"")"),"Natalie self-review type micro-Bo")</f>
        <v>Natalie self-review type micro-Bo</v>
      </c>
      <c r="D889" s="5" t="s">
        <v>1889</v>
      </c>
      <c r="E889" s="4">
        <v>122639</v>
      </c>
    </row>
    <row r="890" spans="1:5" ht="13.5" hidden="1" customHeight="1">
      <c r="A890" s="4" t="s">
        <v>2107</v>
      </c>
      <c r="B890" s="4" t="s">
        <v>2108</v>
      </c>
      <c r="C890" s="4" t="str">
        <f ca="1">IFERROR(__xludf.DUMMYFUNCTION("GOOGLETRANSLATE(D:D,""auto"",""en"")"),"Wu Dahua Branch Self enrollment Stop All")</f>
        <v>Wu Dahua Branch Self enrollment Stop All</v>
      </c>
      <c r="D890" s="5" t="s">
        <v>2109</v>
      </c>
      <c r="E890" s="4">
        <v>122174</v>
      </c>
    </row>
    <row r="891" spans="1:5" ht="13.5" hidden="1" customHeight="1">
      <c r="A891" s="4" t="s">
        <v>2110</v>
      </c>
      <c r="B891" s="4" t="s">
        <v>2045</v>
      </c>
      <c r="C891" s="4" t="str">
        <f ca="1">IFERROR(__xludf.DUMMYFUNCTION("GOOGLETRANSLATE(D:D,""auto"",""en"")"),"Yangzhou snow")</f>
        <v>Yangzhou snow</v>
      </c>
      <c r="D891" s="5" t="s">
        <v>2111</v>
      </c>
      <c r="E891" s="4">
        <v>115706</v>
      </c>
    </row>
    <row r="892" spans="1:5" ht="13.5" hidden="1" customHeight="1">
      <c r="A892" s="4" t="s">
        <v>2112</v>
      </c>
      <c r="B892" s="4" t="s">
        <v>2113</v>
      </c>
      <c r="C892" s="4" t="str">
        <f ca="1">IFERROR(__xludf.DUMMYFUNCTION("GOOGLETRANSLATE(D:D,""auto"",""en"")"),"Ministry then informed 15 of the APP")</f>
        <v>Ministry then informed 15 of the APP</v>
      </c>
      <c r="D892" s="5" t="s">
        <v>2114</v>
      </c>
      <c r="E892" s="4">
        <v>114763</v>
      </c>
    </row>
    <row r="893" spans="1:5" ht="13.5" hidden="1" customHeight="1">
      <c r="A893" s="4" t="s">
        <v>2100</v>
      </c>
      <c r="B893" s="4" t="s">
        <v>1992</v>
      </c>
      <c r="C893" s="4" t="str">
        <f ca="1">IFERROR(__xludf.DUMMYFUNCTION("GOOGLETRANSLATE(D:D,""auto"",""en"")"),"Ukraine basic rule out operator error caused plane crash")</f>
        <v>Ukraine basic rule out operator error caused plane crash</v>
      </c>
      <c r="D893" s="5" t="s">
        <v>2115</v>
      </c>
      <c r="E893" s="4">
        <v>114720</v>
      </c>
    </row>
    <row r="894" spans="1:5" ht="13.5" hidden="1" customHeight="1">
      <c r="A894" s="4" t="s">
        <v>2103</v>
      </c>
      <c r="B894" s="4" t="s">
        <v>2116</v>
      </c>
      <c r="C894" s="4" t="str">
        <f ca="1">IFERROR(__xludf.DUMMYFUNCTION("GOOGLETRANSLATE(D:D,""auto"",""en"")"),"Tattoo students how to look at the phenomenon")</f>
        <v>Tattoo students how to look at the phenomenon</v>
      </c>
      <c r="D894" s="5" t="s">
        <v>2117</v>
      </c>
      <c r="E894" s="4">
        <v>114392</v>
      </c>
    </row>
    <row r="895" spans="1:5" ht="13.5" hidden="1" customHeight="1">
      <c r="A895" s="4" t="s">
        <v>2110</v>
      </c>
      <c r="B895" s="4" t="s">
        <v>2118</v>
      </c>
      <c r="C895" s="4" t="str">
        <f ca="1">IFERROR(__xludf.DUMMYFUNCTION("GOOGLETRANSLATE(D:D,""auto"",""en"")"),"Sand Sculpture Nail confused")</f>
        <v>Sand Sculpture Nail confused</v>
      </c>
      <c r="D895" s="5" t="s">
        <v>2119</v>
      </c>
      <c r="E895" s="4">
        <v>112534</v>
      </c>
    </row>
    <row r="896" spans="1:5" ht="13.5" hidden="1" customHeight="1">
      <c r="A896" s="4" t="s">
        <v>1887</v>
      </c>
      <c r="B896" s="4" t="s">
        <v>1913</v>
      </c>
      <c r="C896" s="4" t="str">
        <f ca="1">IFERROR(__xludf.DUMMYFUNCTION("GOOGLETRANSLATE(D:D,""auto"",""en"")"),"Boys vs girls selfie selfie")</f>
        <v>Boys vs girls selfie selfie</v>
      </c>
      <c r="D896" s="5" t="s">
        <v>2120</v>
      </c>
      <c r="E896" s="4">
        <v>97558</v>
      </c>
    </row>
    <row r="897" spans="1:5" ht="13.5" hidden="1" customHeight="1">
      <c r="A897" s="4" t="s">
        <v>1931</v>
      </c>
      <c r="B897" s="4" t="s">
        <v>1932</v>
      </c>
      <c r="C897" s="4" t="str">
        <f ca="1">IFERROR(__xludf.DUMMYFUNCTION("GOOGLETRANSLATE(D:D,""auto"",""en"")"),"Zhang Jun Ning rose red dress")</f>
        <v>Zhang Jun Ning rose red dress</v>
      </c>
      <c r="D897" s="5" t="s">
        <v>1933</v>
      </c>
      <c r="E897" s="4">
        <v>94548</v>
      </c>
    </row>
    <row r="898" spans="1:5" ht="13.5" hidden="1" customHeight="1">
      <c r="A898" s="4" t="s">
        <v>1884</v>
      </c>
      <c r="B898" s="4" t="s">
        <v>1885</v>
      </c>
      <c r="C898" s="4" t="str">
        <f ca="1">IFERROR(__xludf.DUMMYFUNCTION("GOOGLETRANSLATE(D:D,""auto"",""en"")"),"Court accepted the appeal Zheng Shuang Zhang Heng loan dispute")</f>
        <v>Court accepted the appeal Zheng Shuang Zhang Heng loan dispute</v>
      </c>
      <c r="D898" s="5" t="s">
        <v>1886</v>
      </c>
      <c r="E898" s="4">
        <v>80646</v>
      </c>
    </row>
    <row r="899" spans="1:5" ht="13.5" hidden="1" customHeight="1">
      <c r="A899" s="4" t="s">
        <v>2121</v>
      </c>
      <c r="B899" s="4" t="s">
        <v>2122</v>
      </c>
      <c r="C899" s="4" t="str">
        <f ca="1">IFERROR(__xludf.DUMMYFUNCTION("GOOGLETRANSLATE(D:D,""auto"",""en"")"),"What is most suitable for winter eating")</f>
        <v>What is most suitable for winter eating</v>
      </c>
      <c r="D899" s="5" t="s">
        <v>2123</v>
      </c>
      <c r="E899" s="4">
        <v>70004</v>
      </c>
    </row>
    <row r="900" spans="1:5" ht="13.5" hidden="1" customHeight="1">
      <c r="C900" s="4" t="str">
        <f ca="1">IFERROR(__xludf.DUMMYFUNCTION("GOOGLETRANSLATE(D:D,""auto"",""en"")"),"#VALUE!")</f>
        <v>#VALUE!</v>
      </c>
    </row>
    <row r="901" spans="1:5" ht="13.5" hidden="1" customHeight="1">
      <c r="A901" s="4" t="s">
        <v>2124</v>
      </c>
      <c r="B901" s="4" t="s">
        <v>2125</v>
      </c>
      <c r="C901" s="4" t="str">
        <f ca="1">IFERROR(__xludf.DUMMYFUNCTION("GOOGLETRANSLATE(D:D,""auto"",""en"")"),"US ready to negotiate unconditionally with Iran")</f>
        <v>US ready to negotiate unconditionally with Iran</v>
      </c>
      <c r="D901" s="4" t="s">
        <v>2126</v>
      </c>
      <c r="E901" s="4">
        <v>1813525</v>
      </c>
    </row>
    <row r="902" spans="1:5" ht="13.5" hidden="1" customHeight="1">
      <c r="A902" s="4" t="s">
        <v>2127</v>
      </c>
      <c r="B902" s="4" t="s">
        <v>2128</v>
      </c>
      <c r="C902" s="4" t="str">
        <f ca="1">IFERROR(__xludf.DUMMYFUNCTION("GOOGLETRANSLATE(D:D,""auto"",""en"")"),"Zhan Qingyun mother to do what Superman")</f>
        <v>Zhan Qingyun mother to do what Superman</v>
      </c>
      <c r="D902" s="5" t="s">
        <v>2129</v>
      </c>
      <c r="E902" s="4">
        <v>1519707</v>
      </c>
    </row>
    <row r="903" spans="1:5" ht="13.5" hidden="1" customHeight="1">
      <c r="A903" s="4" t="s">
        <v>2130</v>
      </c>
      <c r="B903" s="4" t="s">
        <v>2131</v>
      </c>
      <c r="C903" s="4" t="str">
        <f ca="1">IFERROR(__xludf.DUMMYFUNCTION("GOOGLETRANSLATE(D:D,""auto"",""en"")"),"This is the fruit pond laugh talk")</f>
        <v>This is the fruit pond laugh talk</v>
      </c>
      <c r="D903" s="5" t="s">
        <v>2132</v>
      </c>
      <c r="E903" s="4">
        <v>1094876</v>
      </c>
    </row>
    <row r="904" spans="1:5" ht="13.5" hidden="1" customHeight="1">
      <c r="A904" s="4" t="s">
        <v>2133</v>
      </c>
      <c r="B904" s="4" t="s">
        <v>2019</v>
      </c>
      <c r="C904" s="4" t="str">
        <f ca="1">IFERROR(__xludf.DUMMYFUNCTION("GOOGLETRANSLATE(D:D,""auto"",""en"")"),"Ouyang Nana Princess Cut")</f>
        <v>Ouyang Nana Princess Cut</v>
      </c>
      <c r="D904" s="5" t="s">
        <v>2134</v>
      </c>
      <c r="E904" s="4">
        <v>1061093</v>
      </c>
    </row>
    <row r="905" spans="1:5" ht="13.5" hidden="1" customHeight="1">
      <c r="A905" s="4" t="s">
        <v>2135</v>
      </c>
      <c r="B905" s="4" t="s">
        <v>2136</v>
      </c>
      <c r="C905" s="4" t="str">
        <f ca="1">IFERROR(__xludf.DUMMYFUNCTION("GOOGLETRANSLATE(D:D,""auto"",""en"")"),"Chinese Olympic Olympic Korea")</f>
        <v>Chinese Olympic Olympic Korea</v>
      </c>
      <c r="D905" s="5" t="s">
        <v>2137</v>
      </c>
      <c r="E905" s="4">
        <v>736086</v>
      </c>
    </row>
    <row r="906" spans="1:5" ht="13.5" hidden="1" customHeight="1">
      <c r="A906" s="4" t="s">
        <v>2138</v>
      </c>
      <c r="B906" s="4" t="s">
        <v>2063</v>
      </c>
      <c r="C906" s="4" t="str">
        <f ca="1">IFERROR(__xludf.DUMMYFUNCTION("GOOGLETRANSLATE(D:D,""auto"",""en"")"),"Puxiu Rong suffer from somatization disorder")</f>
        <v>Puxiu Rong suffer from somatization disorder</v>
      </c>
      <c r="D906" s="5" t="s">
        <v>2139</v>
      </c>
      <c r="E906" s="4">
        <v>615228</v>
      </c>
    </row>
    <row r="907" spans="1:5" ht="13.5" hidden="1" customHeight="1">
      <c r="A907" s="4" t="s">
        <v>2140</v>
      </c>
      <c r="B907" s="4" t="s">
        <v>2063</v>
      </c>
      <c r="C907" s="4" t="str">
        <f ca="1">IFERROR(__xludf.DUMMYFUNCTION("GOOGLETRANSLATE(D:D,""auto"",""en"")"),"Wallabies are desperate to escape the fire surrounded")</f>
        <v>Wallabies are desperate to escape the fire surrounded</v>
      </c>
      <c r="D907" s="5" t="s">
        <v>2141</v>
      </c>
      <c r="E907" s="4">
        <v>521276</v>
      </c>
    </row>
    <row r="908" spans="1:5" ht="13.5" hidden="1" customHeight="1">
      <c r="A908" s="4" t="s">
        <v>2142</v>
      </c>
      <c r="B908" s="4" t="s">
        <v>2143</v>
      </c>
      <c r="C908" s="4" t="str">
        <f ca="1">IFERROR(__xludf.DUMMYFUNCTION("GOOGLETRANSLATE(D:D,""auto"",""en"")"),"How serious fires in Australia")</f>
        <v>How serious fires in Australia</v>
      </c>
      <c r="D908" s="5" t="s">
        <v>2144</v>
      </c>
      <c r="E908" s="4">
        <v>473796</v>
      </c>
    </row>
    <row r="909" spans="1:5" ht="13.5" hidden="1" customHeight="1">
      <c r="A909" s="4" t="s">
        <v>2145</v>
      </c>
      <c r="B909" s="4" t="s">
        <v>2146</v>
      </c>
      <c r="C909" s="4" t="str">
        <f ca="1">IFERROR(__xludf.DUMMYFUNCTION("GOOGLETRANSLATE(D:D,""auto"",""en"")"),"Cai Xu Kun Lisa Daosuan dance")</f>
        <v>Cai Xu Kun Lisa Daosuan dance</v>
      </c>
      <c r="D909" s="5" t="s">
        <v>2147</v>
      </c>
      <c r="E909" s="4">
        <v>452980</v>
      </c>
    </row>
    <row r="910" spans="1:5" ht="13.5" hidden="1" customHeight="1">
      <c r="A910" s="4" t="s">
        <v>2148</v>
      </c>
      <c r="B910" s="4" t="s">
        <v>2066</v>
      </c>
      <c r="C910" s="4" t="str">
        <f ca="1">IFERROR(__xludf.DUMMYFUNCTION("GOOGLETRANSLATE(D:D,""auto"",""en"")"),"Ella's heels")</f>
        <v>Ella's heels</v>
      </c>
      <c r="D910" s="5" t="s">
        <v>2149</v>
      </c>
      <c r="E910" s="4">
        <v>451869</v>
      </c>
    </row>
    <row r="911" spans="1:5" ht="13.5" hidden="1" customHeight="1">
      <c r="A911" s="4" t="s">
        <v>2150</v>
      </c>
      <c r="B911" s="4" t="s">
        <v>2039</v>
      </c>
      <c r="C911" s="4" t="str">
        <f ca="1">IFERROR(__xludf.DUMMYFUNCTION("GOOGLETRANSLATE(D:D,""auto"",""en"")"),"Yang Fan online")</f>
        <v>Yang Fan online</v>
      </c>
      <c r="D911" s="5" t="s">
        <v>2151</v>
      </c>
      <c r="E911" s="4">
        <v>441420</v>
      </c>
    </row>
    <row r="912" spans="1:5" ht="13.5" hidden="1" customHeight="1">
      <c r="A912" s="4" t="s">
        <v>2152</v>
      </c>
      <c r="B912" s="4" t="s">
        <v>2153</v>
      </c>
      <c r="C912" s="4" t="str">
        <f ca="1">IFERROR(__xludf.DUMMYFUNCTION("GOOGLETRANSLATE(D:D,""auto"",""en"")"),"First you see a doctor after security support for it")</f>
        <v>First you see a doctor after security support for it</v>
      </c>
      <c r="D912" s="5" t="s">
        <v>2154</v>
      </c>
      <c r="E912" s="4">
        <v>438672</v>
      </c>
    </row>
    <row r="913" spans="1:5" ht="13.5" hidden="1" customHeight="1">
      <c r="A913" s="4" t="s">
        <v>2155</v>
      </c>
      <c r="B913" s="4" t="s">
        <v>2156</v>
      </c>
      <c r="C913" s="4" t="str">
        <f ca="1">IFERROR(__xludf.DUMMYFUNCTION("GOOGLETRANSLATE(D:D,""auto"",""en"")"),"History of the Yan Zhengxin about on-line system")</f>
        <v>History of the Yan Zhengxin about on-line system</v>
      </c>
      <c r="D913" s="5" t="s">
        <v>2157</v>
      </c>
      <c r="E913" s="4">
        <v>429431</v>
      </c>
    </row>
    <row r="914" spans="1:5" ht="13.5" hidden="1" customHeight="1">
      <c r="A914" s="4" t="s">
        <v>2158</v>
      </c>
      <c r="B914" s="4" t="s">
        <v>2128</v>
      </c>
      <c r="C914" s="4" t="str">
        <f ca="1">IFERROR(__xludf.DUMMYFUNCTION("GOOGLETRANSLATE(D:D,""auto"",""en"")"),"Zhang Yuning injured")</f>
        <v>Zhang Yuning injured</v>
      </c>
      <c r="D914" s="5" t="s">
        <v>2159</v>
      </c>
      <c r="E914" s="4">
        <v>425761</v>
      </c>
    </row>
    <row r="915" spans="1:5" ht="13.5" hidden="1" customHeight="1">
      <c r="A915" s="4" t="s">
        <v>2160</v>
      </c>
      <c r="B915" s="4" t="s">
        <v>2047</v>
      </c>
      <c r="C915" s="4" t="str">
        <f ca="1">IFERROR(__xludf.DUMMYFUNCTION("GOOGLETRANSLATE(D:D,""auto"",""en"")"),"Spring Festival Evening language class program of Final Appeal")</f>
        <v>Spring Festival Evening language class program of Final Appeal</v>
      </c>
      <c r="D915" s="5" t="s">
        <v>2161</v>
      </c>
      <c r="E915" s="4">
        <v>422569</v>
      </c>
    </row>
    <row r="916" spans="1:5" ht="13.5" hidden="1" customHeight="1">
      <c r="A916" s="4" t="s">
        <v>2162</v>
      </c>
      <c r="B916" s="4" t="s">
        <v>2163</v>
      </c>
      <c r="C916" s="4" t="str">
        <f ca="1">IFERROR(__xludf.DUMMYFUNCTION("GOOGLETRANSLATE(D:D,""auto"",""en"")"),"Song Qian orange high waist wide leg pants")</f>
        <v>Song Qian orange high waist wide leg pants</v>
      </c>
      <c r="D916" s="5" t="s">
        <v>2164</v>
      </c>
      <c r="E916" s="4">
        <v>413454</v>
      </c>
    </row>
    <row r="917" spans="1:5" ht="13.5" hidden="1" customHeight="1">
      <c r="A917" s="4" t="s">
        <v>2140</v>
      </c>
      <c r="B917" s="4" t="s">
        <v>2165</v>
      </c>
      <c r="C917" s="4" t="str">
        <f ca="1">IFERROR(__xludf.DUMMYFUNCTION("GOOGLETRANSLATE(D:D,""auto"",""en"")"),"CCTV reducing drunk woman against killing case after")</f>
        <v>CCTV reducing drunk woman against killing case after</v>
      </c>
      <c r="D917" s="5" t="s">
        <v>2166</v>
      </c>
      <c r="E917" s="4">
        <v>406518</v>
      </c>
    </row>
    <row r="918" spans="1:5" ht="13.5" hidden="1" customHeight="1">
      <c r="A918" s="4" t="s">
        <v>2167</v>
      </c>
      <c r="B918" s="4" t="s">
        <v>2168</v>
      </c>
      <c r="C918" s="4" t="str">
        <f ca="1">IFERROR(__xludf.DUMMYFUNCTION("GOOGLETRANSLATE(D:D,""auto"",""en"")"),"Have you seen the most absolutely archaic outfit")</f>
        <v>Have you seen the most absolutely archaic outfit</v>
      </c>
      <c r="D918" s="5" t="s">
        <v>2169</v>
      </c>
      <c r="E918" s="4">
        <v>405494</v>
      </c>
    </row>
    <row r="919" spans="1:5" ht="13.5" hidden="1" customHeight="1">
      <c r="A919" s="4" t="s">
        <v>2170</v>
      </c>
      <c r="B919" s="4" t="s">
        <v>2171</v>
      </c>
      <c r="C919" s="4" t="str">
        <f ca="1">IFERROR(__xludf.DUMMYFUNCTION("GOOGLETRANSLATE(D:D,""auto"",""en"")"),"Very decent but low-wage jobs")</f>
        <v>Very decent but low-wage jobs</v>
      </c>
      <c r="D919" s="5" t="s">
        <v>2172</v>
      </c>
      <c r="E919" s="4">
        <v>400369</v>
      </c>
    </row>
    <row r="920" spans="1:5" ht="13.5" hidden="1" customHeight="1">
      <c r="A920" s="4" t="s">
        <v>2173</v>
      </c>
      <c r="B920" s="4" t="s">
        <v>2174</v>
      </c>
      <c r="C920" s="4" t="str">
        <f ca="1">IFERROR(__xludf.DUMMYFUNCTION("GOOGLETRANSLATE(D:D,""auto"",""en"")"),"Shi, strawberry jam lip color")</f>
        <v>Shi, strawberry jam lip color</v>
      </c>
      <c r="D920" s="5" t="s">
        <v>2175</v>
      </c>
      <c r="E920" s="4">
        <v>400021</v>
      </c>
    </row>
    <row r="921" spans="1:5" ht="13.5" hidden="1" customHeight="1">
      <c r="A921" s="4" t="s">
        <v>2176</v>
      </c>
      <c r="B921" s="4" t="s">
        <v>2177</v>
      </c>
      <c r="C921" s="4" t="str">
        <f ca="1">IFERROR(__xludf.DUMMYFUNCTION("GOOGLETRANSLATE(D:D,""auto"",""en"")"),"Police received a birthday cake suspects confess case")</f>
        <v>Police received a birthday cake suspects confess case</v>
      </c>
      <c r="D921" s="5" t="s">
        <v>2178</v>
      </c>
      <c r="E921" s="4">
        <v>390875</v>
      </c>
    </row>
    <row r="922" spans="1:5" ht="13.5" hidden="1" customHeight="1">
      <c r="A922" s="4" t="s">
        <v>2179</v>
      </c>
      <c r="B922" s="4" t="s">
        <v>2128</v>
      </c>
      <c r="C922" s="4" t="str">
        <f ca="1">IFERROR(__xludf.DUMMYFUNCTION("GOOGLETRANSLATE(D:D,""auto"",""en"")"),"League 2020 season promo")</f>
        <v>League 2020 season promo</v>
      </c>
      <c r="D922" s="5" t="s">
        <v>2180</v>
      </c>
      <c r="E922" s="4">
        <v>321381</v>
      </c>
    </row>
    <row r="923" spans="1:5" ht="13.5" hidden="1" customHeight="1">
      <c r="A923" s="4" t="s">
        <v>2181</v>
      </c>
      <c r="B923" s="4" t="s">
        <v>2182</v>
      </c>
      <c r="C923" s="4" t="str">
        <f ca="1">IFERROR(__xludf.DUMMYFUNCTION("GOOGLETRANSLATE(D:D,""auto"",""en"")"),"Why more and more light in flavor")</f>
        <v>Why more and more light in flavor</v>
      </c>
      <c r="D923" s="5" t="s">
        <v>2183</v>
      </c>
      <c r="E923" s="4">
        <v>296921</v>
      </c>
    </row>
    <row r="924" spans="1:5" ht="13.5" hidden="1" customHeight="1">
      <c r="A924" s="4" t="s">
        <v>2145</v>
      </c>
      <c r="B924" s="4" t="s">
        <v>2184</v>
      </c>
      <c r="C924" s="4" t="str">
        <f ca="1">IFERROR(__xludf.DUMMYFUNCTION("GOOGLETRANSLATE(D:D,""auto"",""en"")"),"Truncated how beautiful eye makeup")</f>
        <v>Truncated how beautiful eye makeup</v>
      </c>
      <c r="D924" s="5" t="s">
        <v>2185</v>
      </c>
      <c r="E924" s="4">
        <v>254445</v>
      </c>
    </row>
    <row r="925" spans="1:5" ht="13.5" hidden="1" customHeight="1">
      <c r="A925" s="4" t="s">
        <v>2186</v>
      </c>
      <c r="B925" s="4" t="s">
        <v>2187</v>
      </c>
      <c r="C925" s="4" t="str">
        <f ca="1">IFERROR(__xludf.DUMMYFUNCTION("GOOGLETRANSLATE(D:D,""auto"",""en"")"),"Tight-lipped Yue Yunpeng")</f>
        <v>Tight-lipped Yue Yunpeng</v>
      </c>
      <c r="D925" s="5" t="s">
        <v>2188</v>
      </c>
      <c r="E925" s="4">
        <v>252230</v>
      </c>
    </row>
    <row r="926" spans="1:5" ht="13.5" hidden="1" customHeight="1">
      <c r="A926" s="4" t="s">
        <v>2189</v>
      </c>
      <c r="B926" s="4" t="s">
        <v>2190</v>
      </c>
      <c r="C926" s="4" t="str">
        <f ca="1">IFERROR(__xludf.DUMMYFUNCTION("GOOGLETRANSLATE(D:D,""auto"",""en"")"),"Kardashian's walk-in refrigerator")</f>
        <v>Kardashian's walk-in refrigerator</v>
      </c>
      <c r="D926" s="5" t="s">
        <v>2191</v>
      </c>
      <c r="E926" s="4">
        <v>240885</v>
      </c>
    </row>
    <row r="927" spans="1:5" ht="13.5" hidden="1" customHeight="1">
      <c r="A927" s="4" t="s">
        <v>2192</v>
      </c>
      <c r="B927" s="4" t="s">
        <v>2193</v>
      </c>
      <c r="C927" s="4" t="str">
        <f ca="1">IFERROR(__xludf.DUMMYFUNCTION("GOOGLETRANSLATE(D:D,""auto"",""en"")"),"Should boast mother is Superman")</f>
        <v>Should boast mother is Superman</v>
      </c>
      <c r="D927" s="5" t="s">
        <v>2194</v>
      </c>
      <c r="E927" s="4">
        <v>209654</v>
      </c>
    </row>
    <row r="928" spans="1:5" ht="13.5" hidden="1" customHeight="1">
      <c r="A928" s="4" t="s">
        <v>2195</v>
      </c>
      <c r="B928" s="4" t="s">
        <v>2196</v>
      </c>
      <c r="C928" s="4" t="str">
        <f ca="1">IFERROR(__xludf.DUMMYFUNCTION("GOOGLETRANSLATE(D:D,""auto"",""en"")"),"Luo Huining call Mrs Lam")</f>
        <v>Luo Huining call Mrs Lam</v>
      </c>
      <c r="D928" s="5" t="s">
        <v>2197</v>
      </c>
      <c r="E928" s="4">
        <v>200792</v>
      </c>
    </row>
    <row r="929" spans="1:5" ht="13.5" hidden="1" customHeight="1">
      <c r="A929" s="4" t="s">
        <v>2158</v>
      </c>
      <c r="B929" s="4" t="s">
        <v>2198</v>
      </c>
      <c r="C929" s="4" t="str">
        <f ca="1">IFERROR(__xludf.DUMMYFUNCTION("GOOGLETRANSLATE(D:D,""auto"",""en"")"),"Too much work to write the word annotated nausea teacher")</f>
        <v>Too much work to write the word annotated nausea teacher</v>
      </c>
      <c r="D929" s="5" t="s">
        <v>2199</v>
      </c>
      <c r="E929" s="4">
        <v>196717</v>
      </c>
    </row>
    <row r="930" spans="1:5" ht="13.5" hidden="1" customHeight="1">
      <c r="A930" s="4" t="s">
        <v>2200</v>
      </c>
      <c r="B930" s="4" t="s">
        <v>2201</v>
      </c>
      <c r="C930" s="4" t="str">
        <f ca="1">IFERROR(__xludf.DUMMYFUNCTION("GOOGLETRANSLATE(D:D,""auto"",""en"")"),"Leonardo rescued drowning man")</f>
        <v>Leonardo rescued drowning man</v>
      </c>
      <c r="D930" s="5" t="s">
        <v>2202</v>
      </c>
      <c r="E930" s="4">
        <v>195438</v>
      </c>
    </row>
    <row r="931" spans="1:5" ht="13.5" hidden="1" customHeight="1">
      <c r="A931" s="4" t="s">
        <v>2203</v>
      </c>
      <c r="B931" s="4" t="s">
        <v>2204</v>
      </c>
      <c r="C931" s="4" t="str">
        <f ca="1">IFERROR(__xludf.DUMMYFUNCTION("GOOGLETRANSLATE(D:D,""auto"",""en"")"),"Handsome anime girls")</f>
        <v>Handsome anime girls</v>
      </c>
      <c r="D931" s="5" t="s">
        <v>2205</v>
      </c>
      <c r="E931" s="4">
        <v>182315</v>
      </c>
    </row>
    <row r="932" spans="1:5" ht="13.5" hidden="1" customHeight="1">
      <c r="A932" s="4" t="s">
        <v>2206</v>
      </c>
      <c r="B932" s="4" t="s">
        <v>2207</v>
      </c>
      <c r="C932" s="4" t="str">
        <f ca="1">IFERROR(__xludf.DUMMYFUNCTION("GOOGLETRANSLATE(D:D,""auto"",""en"")"),"Hao clothing line poster")</f>
        <v>Hao clothing line poster</v>
      </c>
      <c r="D932" s="5" t="s">
        <v>2208</v>
      </c>
      <c r="E932" s="4">
        <v>173153</v>
      </c>
    </row>
    <row r="933" spans="1:5" ht="13.5" hidden="1" customHeight="1">
      <c r="A933" s="4" t="s">
        <v>2209</v>
      </c>
      <c r="B933" s="4" t="s">
        <v>2210</v>
      </c>
      <c r="C933" s="4" t="str">
        <f ca="1">IFERROR(__xludf.DUMMYFUNCTION("GOOGLETRANSLATE(D:D,""auto"",""en"")"),"US unilaterally withdrew from the Iranian nuclear agreement defiance of international law")</f>
        <v>US unilaterally withdrew from the Iranian nuclear agreement defiance of international law</v>
      </c>
      <c r="D933" s="5" t="s">
        <v>2211</v>
      </c>
      <c r="E933" s="4">
        <v>168052</v>
      </c>
    </row>
    <row r="934" spans="1:5" ht="13.5" hidden="1" customHeight="1">
      <c r="A934" s="4" t="s">
        <v>2192</v>
      </c>
      <c r="B934" s="4" t="s">
        <v>2036</v>
      </c>
      <c r="C934" s="4" t="str">
        <f ca="1">IFERROR(__xludf.DUMMYFUNCTION("GOOGLETRANSLATE(D:D,""auto"",""en"")"),"Lisa figure")</f>
        <v>Lisa figure</v>
      </c>
      <c r="D934" s="5" t="s">
        <v>2212</v>
      </c>
      <c r="E934" s="4">
        <v>167863</v>
      </c>
    </row>
    <row r="935" spans="1:5" ht="13.5" hidden="1" customHeight="1">
      <c r="A935" s="4" t="s">
        <v>2213</v>
      </c>
      <c r="B935" s="4" t="s">
        <v>2214</v>
      </c>
      <c r="C935" s="4" t="str">
        <f ca="1">IFERROR(__xludf.DUMMYFUNCTION("GOOGLETRANSLATE(D:D,""auto"",""en"")"),"Depending former prison after being found")</f>
        <v>Depending former prison after being found</v>
      </c>
      <c r="D935" s="5" t="s">
        <v>2215</v>
      </c>
      <c r="E935" s="4">
        <v>158835</v>
      </c>
    </row>
    <row r="936" spans="1:5" ht="13.5" hidden="1" customHeight="1">
      <c r="A936" s="4" t="s">
        <v>2160</v>
      </c>
      <c r="B936" s="4" t="s">
        <v>2216</v>
      </c>
      <c r="C936" s="4" t="str">
        <f ca="1">IFERROR(__xludf.DUMMYFUNCTION("GOOGLETRANSLATE(D:D,""auto"",""en"")"),"Ren Jialun Tan Song Yun, whose real name is called mutual")</f>
        <v>Ren Jialun Tan Song Yun, whose real name is called mutual</v>
      </c>
      <c r="D936" s="5" t="s">
        <v>2217</v>
      </c>
      <c r="E936" s="4">
        <v>158468</v>
      </c>
    </row>
    <row r="937" spans="1:5" ht="13.5" hidden="1" customHeight="1">
      <c r="A937" s="4" t="s">
        <v>570</v>
      </c>
      <c r="B937" s="4" t="s">
        <v>571</v>
      </c>
      <c r="C937" s="4" t="str">
        <f ca="1">IFERROR(__xludf.DUMMYFUNCTION("GOOGLETRANSLATE(D:D,""auto"",""en"")"),"Wonderful say")</f>
        <v>Wonderful say</v>
      </c>
      <c r="D937" s="5" t="s">
        <v>572</v>
      </c>
      <c r="E937" s="4">
        <v>147360</v>
      </c>
    </row>
    <row r="938" spans="1:5" ht="13.5" hidden="1" customHeight="1">
      <c r="A938" s="4" t="s">
        <v>2218</v>
      </c>
      <c r="B938" s="4" t="s">
        <v>2219</v>
      </c>
      <c r="C938" s="4" t="str">
        <f ca="1">IFERROR(__xludf.DUMMYFUNCTION("GOOGLETRANSLATE(D:D,""auto"",""en"")"),"Berlin Film Festival Jury President")</f>
        <v>Berlin Film Festival Jury President</v>
      </c>
      <c r="D938" s="5" t="s">
        <v>2220</v>
      </c>
      <c r="E938" s="4">
        <v>145074</v>
      </c>
    </row>
    <row r="939" spans="1:5" ht="13.5" hidden="1" customHeight="1">
      <c r="A939" s="4" t="s">
        <v>2179</v>
      </c>
      <c r="B939" s="4" t="s">
        <v>2221</v>
      </c>
      <c r="C939" s="4" t="str">
        <f ca="1">IFERROR(__xludf.DUMMYFUNCTION("GOOGLETRANSLATE(D:D,""auto"",""en"")"),"Kim Su Hyon appeared to confirm the landing of love")</f>
        <v>Kim Su Hyon appeared to confirm the landing of love</v>
      </c>
      <c r="D939" s="5" t="s">
        <v>2222</v>
      </c>
      <c r="E939" s="4">
        <v>139694</v>
      </c>
    </row>
    <row r="940" spans="1:5" ht="13.5" hidden="1" customHeight="1">
      <c r="A940" s="4" t="s">
        <v>2160</v>
      </c>
      <c r="B940" s="4" t="s">
        <v>2223</v>
      </c>
      <c r="C940" s="4" t="str">
        <f ca="1">IFERROR(__xludf.DUMMYFUNCTION("GOOGLETRANSLATE(D:D,""auto"",""en"")"),"Rhyme expelled door hit the courier")</f>
        <v>Rhyme expelled door hit the courier</v>
      </c>
      <c r="D940" s="5" t="s">
        <v>2224</v>
      </c>
      <c r="E940" s="4">
        <v>137956</v>
      </c>
    </row>
    <row r="941" spans="1:5" ht="13.5" hidden="1" customHeight="1">
      <c r="A941" s="4" t="s">
        <v>2225</v>
      </c>
      <c r="B941" s="4" t="s">
        <v>2226</v>
      </c>
      <c r="C941" s="4" t="str">
        <f ca="1">IFERROR(__xludf.DUMMYFUNCTION("GOOGLETRANSLATE(D:D,""auto"",""en"")"),"How to kill sultry wiping lip")</f>
        <v>How to kill sultry wiping lip</v>
      </c>
      <c r="D941" s="5" t="s">
        <v>2227</v>
      </c>
      <c r="E941" s="4">
        <v>136717</v>
      </c>
    </row>
    <row r="942" spans="1:5" ht="13.5" hidden="1" customHeight="1">
      <c r="A942" s="4" t="s">
        <v>2160</v>
      </c>
      <c r="B942" s="4" t="s">
        <v>2228</v>
      </c>
      <c r="C942" s="4" t="str">
        <f ca="1">IFERROR(__xludf.DUMMYFUNCTION("GOOGLETRANSLATE(D:D,""auto"",""en"")"),"He had refused to accept the food now")</f>
        <v>He had refused to accept the food now</v>
      </c>
      <c r="D942" s="5" t="s">
        <v>2229</v>
      </c>
      <c r="E942" s="4">
        <v>125957</v>
      </c>
    </row>
    <row r="943" spans="1:5" ht="13.5" hidden="1" customHeight="1">
      <c r="A943" s="4" t="s">
        <v>2209</v>
      </c>
      <c r="B943" s="4" t="s">
        <v>2230</v>
      </c>
      <c r="C943" s="4" t="str">
        <f ca="1">IFERROR(__xludf.DUMMYFUNCTION("GOOGLETRANSLATE(D:D,""auto"",""en"")"),"Worshiping Warriors were deleted because they looked like friends")</f>
        <v>Worshiping Warriors were deleted because they looked like friends</v>
      </c>
      <c r="D943" s="5" t="s">
        <v>2231</v>
      </c>
      <c r="E943" s="4">
        <v>124578</v>
      </c>
    </row>
    <row r="944" spans="1:5" ht="13.5" hidden="1" customHeight="1">
      <c r="A944" s="4" t="s">
        <v>2179</v>
      </c>
      <c r="B944" s="4" t="s">
        <v>2232</v>
      </c>
      <c r="C944" s="4" t="str">
        <f ca="1">IFERROR(__xludf.DUMMYFUNCTION("GOOGLETRANSLATE(D:D,""auto"",""en"")"),"2019 hottest look")</f>
        <v>2019 hottest look</v>
      </c>
      <c r="D944" s="5" t="s">
        <v>2233</v>
      </c>
      <c r="E944" s="4">
        <v>124529</v>
      </c>
    </row>
    <row r="945" spans="1:5" ht="13.5" hidden="1" customHeight="1">
      <c r="A945" s="4" t="s">
        <v>2234</v>
      </c>
      <c r="B945" s="4" t="s">
        <v>2060</v>
      </c>
      <c r="C945" s="4" t="str">
        <f ca="1">IFERROR(__xludf.DUMMYFUNCTION("GOOGLETRANSLATE(D:D,""auto"",""en"")"),"Dad can not escape the makeup daughter")</f>
        <v>Dad can not escape the makeup daughter</v>
      </c>
      <c r="D945" s="5" t="s">
        <v>2235</v>
      </c>
      <c r="E945" s="4">
        <v>121738</v>
      </c>
    </row>
    <row r="946" spans="1:5" ht="13.5" hidden="1" customHeight="1">
      <c r="A946" s="4" t="s">
        <v>2138</v>
      </c>
      <c r="B946" s="4" t="s">
        <v>2196</v>
      </c>
      <c r="C946" s="4" t="str">
        <f ca="1">IFERROR(__xludf.DUMMYFUNCTION("GOOGLETRANSLATE(D:D,""auto"",""en"")"),"Thirty-nine first day")</f>
        <v>Thirty-nine first day</v>
      </c>
      <c r="D946" s="5" t="s">
        <v>2236</v>
      </c>
      <c r="E946" s="4">
        <v>121177</v>
      </c>
    </row>
    <row r="947" spans="1:5" ht="13.5" hidden="1" customHeight="1">
      <c r="A947" s="4" t="s">
        <v>2213</v>
      </c>
      <c r="B947" s="4" t="s">
        <v>2237</v>
      </c>
      <c r="C947" s="4" t="str">
        <f ca="1">IFERROR(__xludf.DUMMYFUNCTION("GOOGLETRANSLATE(D:D,""auto"",""en"")"),"Spring old driver's license five")</f>
        <v>Spring old driver's license five</v>
      </c>
      <c r="D947" s="5" t="s">
        <v>2238</v>
      </c>
      <c r="E947" s="4">
        <v>118627</v>
      </c>
    </row>
    <row r="948" spans="1:5" ht="13.5" hidden="1" customHeight="1">
      <c r="A948" s="4" t="s">
        <v>2239</v>
      </c>
      <c r="B948" s="4" t="s">
        <v>2240</v>
      </c>
      <c r="C948" s="4" t="str">
        <f ca="1">IFERROR(__xludf.DUMMYFUNCTION("GOOGLETRANSLATE(D:D,""auto"",""en"")"),"The driver brought the boy to cool thoroughly heart-warming breakfast Truth")</f>
        <v>The driver brought the boy to cool thoroughly heart-warming breakfast Truth</v>
      </c>
      <c r="D948" s="5" t="s">
        <v>2241</v>
      </c>
      <c r="E948" s="4">
        <v>103548</v>
      </c>
    </row>
    <row r="949" spans="1:5" ht="13.5" hidden="1" customHeight="1">
      <c r="C949" s="4" t="str">
        <f ca="1">IFERROR(__xludf.DUMMYFUNCTION("GOOGLETRANSLATE(D:D,""auto"",""en"")"),"#VALUE!")</f>
        <v>#VALUE!</v>
      </c>
    </row>
    <row r="950" spans="1:5" ht="13.5" hidden="1" customHeight="1">
      <c r="A950" s="4" t="s">
        <v>2242</v>
      </c>
      <c r="B950" s="4" t="s">
        <v>2152</v>
      </c>
      <c r="C950" s="4" t="str">
        <f ca="1">IFERROR(__xludf.DUMMYFUNCTION("GOOGLETRANSLATE(D:D,""auto"",""en"")"),"Zhu Dan world my best")</f>
        <v>Zhu Dan world my best</v>
      </c>
      <c r="D950" s="4" t="s">
        <v>2243</v>
      </c>
      <c r="E950" s="4">
        <v>2675515</v>
      </c>
    </row>
    <row r="951" spans="1:5" ht="13.5" hidden="1" customHeight="1">
      <c r="A951" s="4" t="s">
        <v>2244</v>
      </c>
      <c r="B951" s="4" t="s">
        <v>2245</v>
      </c>
      <c r="C951" s="4" t="str">
        <f ca="1">IFERROR(__xludf.DUMMYFUNCTION("GOOGLETRANSLATE(D:D,""auto"",""en"")"),"Film Dear prototype still missing children")</f>
        <v>Film Dear prototype still missing children</v>
      </c>
      <c r="D951" s="5" t="s">
        <v>2246</v>
      </c>
      <c r="E951" s="4">
        <v>2639267</v>
      </c>
    </row>
    <row r="952" spans="1:5" ht="13.5" hidden="1" customHeight="1">
      <c r="A952" s="4" t="s">
        <v>2247</v>
      </c>
      <c r="B952" s="4" t="s">
        <v>2248</v>
      </c>
      <c r="C952" s="4" t="str">
        <f ca="1">IFERROR(__xludf.DUMMYFUNCTION("GOOGLETRANSLATE(D:D,""auto"",""en"")"),"Qi Fang denied plums 160 million in annual revenue")</f>
        <v>Qi Fang denied plums 160 million in annual revenue</v>
      </c>
      <c r="D952" s="5" t="s">
        <v>2249</v>
      </c>
      <c r="E952" s="4">
        <v>2637749</v>
      </c>
    </row>
    <row r="953" spans="1:5" ht="13.5" hidden="1" customHeight="1">
      <c r="A953" s="4" t="s">
        <v>2250</v>
      </c>
      <c r="B953" s="4" t="s">
        <v>2251</v>
      </c>
      <c r="C953" s="4" t="str">
        <f ca="1">IFERROR(__xludf.DUMMYFUNCTION("GOOGLETRANSLATE(D:D,""auto"",""en"")"),"Song Qian Han net birth chart")</f>
        <v>Song Qian Han net birth chart</v>
      </c>
      <c r="D953" s="5" t="s">
        <v>2252</v>
      </c>
      <c r="E953" s="4">
        <v>1615822</v>
      </c>
    </row>
    <row r="954" spans="1:5" ht="13.5" hidden="1" customHeight="1">
      <c r="A954" s="4" t="s">
        <v>2253</v>
      </c>
      <c r="B954" s="4" t="s">
        <v>2254</v>
      </c>
      <c r="C954" s="4" t="str">
        <f ca="1">IFERROR(__xludf.DUMMYFUNCTION("GOOGLETRANSLATE(D:D,""auto"",""en"")"),"CCTV Spring Festival line-up")</f>
        <v>CCTV Spring Festival line-up</v>
      </c>
      <c r="D954" s="5" t="s">
        <v>2255</v>
      </c>
      <c r="E954" s="4">
        <v>937136</v>
      </c>
    </row>
    <row r="955" spans="1:5" ht="13.5" hidden="1" customHeight="1">
      <c r="A955" s="4" t="s">
        <v>2256</v>
      </c>
      <c r="B955" s="4" t="s">
        <v>2257</v>
      </c>
      <c r="C955" s="4" t="str">
        <f ca="1">IFERROR(__xludf.DUMMYFUNCTION("GOOGLETRANSLATE(D:D,""auto"",""en"")"),"Canada, United States and Britain suspect Iran airliner shot down by mistake")</f>
        <v>Canada, United States and Britain suspect Iran airliner shot down by mistake</v>
      </c>
      <c r="D955" s="5" t="s">
        <v>2258</v>
      </c>
      <c r="E955" s="4">
        <v>778161</v>
      </c>
    </row>
    <row r="956" spans="1:5" ht="13.5" hidden="1" customHeight="1">
      <c r="A956" s="4" t="s">
        <v>2259</v>
      </c>
      <c r="B956" s="4" t="s">
        <v>2260</v>
      </c>
      <c r="C956" s="4" t="str">
        <f ca="1">IFERROR(__xludf.DUMMYFUNCTION("GOOGLETRANSLATE(D:D,""auto"",""en"")"),"Shenyang, a huge rotating circle of ice")</f>
        <v>Shenyang, a huge rotating circle of ice</v>
      </c>
      <c r="D956" s="5" t="s">
        <v>2261</v>
      </c>
      <c r="E956" s="4">
        <v>730360</v>
      </c>
    </row>
    <row r="957" spans="1:5" ht="13.5" hidden="1" customHeight="1">
      <c r="A957" s="4" t="s">
        <v>2262</v>
      </c>
      <c r="B957" s="4" t="s">
        <v>2263</v>
      </c>
      <c r="C957" s="4" t="str">
        <f ca="1">IFERROR(__xludf.DUMMYFUNCTION("GOOGLETRANSLATE(D:D,""auto"",""en"")"),"State Supreme Science and Technology Award")</f>
        <v>State Supreme Science and Technology Award</v>
      </c>
      <c r="D957" s="5" t="s">
        <v>2264</v>
      </c>
      <c r="E957" s="4">
        <v>628907</v>
      </c>
    </row>
    <row r="958" spans="1:5" ht="13.5" hidden="1" customHeight="1">
      <c r="A958" s="4" t="s">
        <v>2265</v>
      </c>
      <c r="B958" s="4" t="s">
        <v>2142</v>
      </c>
      <c r="C958" s="4" t="str">
        <f ca="1">IFERROR(__xludf.DUMMYFUNCTION("GOOGLETRANSLATE(D:D,""auto"",""en"")"),"Zhang Jun Ning acting")</f>
        <v>Zhang Jun Ning acting</v>
      </c>
      <c r="D958" s="5" t="s">
        <v>2266</v>
      </c>
      <c r="E958" s="4">
        <v>596712</v>
      </c>
    </row>
    <row r="959" spans="1:5" ht="13.5" hidden="1" customHeight="1">
      <c r="A959" s="4" t="s">
        <v>2267</v>
      </c>
      <c r="B959" s="4" t="s">
        <v>2268</v>
      </c>
      <c r="C959" s="4" t="str">
        <f ca="1">IFERROR(__xludf.DUMMYFUNCTION("GOOGLETRANSLATE(D:D,""auto"",""en"")"),"Microblogging night lineup")</f>
        <v>Microblogging night lineup</v>
      </c>
      <c r="D959" s="5" t="s">
        <v>2269</v>
      </c>
      <c r="E959" s="4">
        <v>591496</v>
      </c>
    </row>
    <row r="960" spans="1:5" ht="13.5" hidden="1" customHeight="1">
      <c r="A960" s="4" t="s">
        <v>2270</v>
      </c>
      <c r="B960" s="4" t="s">
        <v>2195</v>
      </c>
      <c r="C960" s="4" t="str">
        <f ca="1">IFERROR(__xludf.DUMMYFUNCTION("GOOGLETRANSLATE(D:D,""auto"",""en"")"),"Chinatown network drama detective story")</f>
        <v>Chinatown network drama detective story</v>
      </c>
      <c r="D960" s="5" t="s">
        <v>2271</v>
      </c>
      <c r="E960" s="4">
        <v>504242</v>
      </c>
    </row>
    <row r="961" spans="1:5" ht="13.5" hidden="1" customHeight="1">
      <c r="A961" s="4" t="s">
        <v>2272</v>
      </c>
      <c r="B961" s="4" t="s">
        <v>2273</v>
      </c>
      <c r="C961" s="4" t="str">
        <f ca="1">IFERROR(__xludf.DUMMYFUNCTION("GOOGLETRANSLATE(D:D,""auto"",""en"")"),"Austria's most beautiful small town appeal to tourists")</f>
        <v>Austria's most beautiful small town appeal to tourists</v>
      </c>
      <c r="D961" s="5" t="s">
        <v>2274</v>
      </c>
      <c r="E961" s="4">
        <v>443790</v>
      </c>
    </row>
    <row r="962" spans="1:5" ht="13.5" hidden="1" customHeight="1">
      <c r="A962" s="4" t="s">
        <v>2275</v>
      </c>
      <c r="B962" s="4" t="s">
        <v>2276</v>
      </c>
      <c r="C962" s="4" t="str">
        <f ca="1">IFERROR(__xludf.DUMMYFUNCTION("GOOGLETRANSLATE(D:D,""auto"",""en"")"),"Iranian missiles to shoot down aircraft suspected of live video")</f>
        <v>Iranian missiles to shoot down aircraft suspected of live video</v>
      </c>
      <c r="D962" s="5" t="s">
        <v>2277</v>
      </c>
      <c r="E962" s="4">
        <v>427187</v>
      </c>
    </row>
    <row r="963" spans="1:5" ht="13.5" hidden="1" customHeight="1">
      <c r="A963" s="4" t="s">
        <v>2278</v>
      </c>
      <c r="B963" s="4" t="s">
        <v>2158</v>
      </c>
      <c r="C963" s="4" t="str">
        <f ca="1">IFERROR(__xludf.DUMMYFUNCTION("GOOGLETRANSLATE(D:D,""auto"",""en"")"),"Laughed fruit culture statement")</f>
        <v>Laughed fruit culture statement</v>
      </c>
      <c r="D963" s="5" t="s">
        <v>2279</v>
      </c>
      <c r="E963" s="4">
        <v>426915</v>
      </c>
    </row>
    <row r="964" spans="1:5" ht="13.5" hidden="1" customHeight="1">
      <c r="A964" s="4" t="s">
        <v>2280</v>
      </c>
      <c r="B964" s="4" t="s">
        <v>2281</v>
      </c>
      <c r="C964" s="4" t="str">
        <f ca="1">IFERROR(__xludf.DUMMYFUNCTION("GOOGLETRANSLATE(D:D,""auto"",""en"")"),"Playground buried corpse case of second instance upheld")</f>
        <v>Playground buried corpse case of second instance upheld</v>
      </c>
      <c r="D964" s="5" t="s">
        <v>2282</v>
      </c>
      <c r="E964" s="4">
        <v>410913</v>
      </c>
    </row>
    <row r="965" spans="1:5" ht="13.5" hidden="1" customHeight="1">
      <c r="A965" s="4" t="s">
        <v>2283</v>
      </c>
      <c r="B965" s="4" t="s">
        <v>2284</v>
      </c>
      <c r="C965" s="4" t="str">
        <f ca="1">IFERROR(__xludf.DUMMYFUNCTION("GOOGLETRANSLATE(D:D,""auto"",""en"")"),"Married man must return home with you")</f>
        <v>Married man must return home with you</v>
      </c>
      <c r="D965" s="5" t="s">
        <v>2285</v>
      </c>
      <c r="E965" s="4">
        <v>388312</v>
      </c>
    </row>
    <row r="966" spans="1:5" ht="13.5" hidden="1" customHeight="1">
      <c r="A966" s="4" t="s">
        <v>2286</v>
      </c>
      <c r="B966" s="4" t="s">
        <v>2287</v>
      </c>
      <c r="C966" s="4" t="str">
        <f ca="1">IFERROR(__xludf.DUMMYFUNCTION("GOOGLETRANSLATE(D:D,""auto"",""en"")"),"Hairpin green line record")</f>
        <v>Hairpin green line record</v>
      </c>
      <c r="D966" s="5" t="s">
        <v>2288</v>
      </c>
      <c r="E966" s="4">
        <v>376258</v>
      </c>
    </row>
    <row r="967" spans="1:5" ht="13.5" hidden="1" customHeight="1">
      <c r="A967" s="4" t="s">
        <v>2289</v>
      </c>
      <c r="B967" s="4" t="s">
        <v>2290</v>
      </c>
      <c r="C967" s="4" t="str">
        <f ca="1">IFERROR(__xludf.DUMMYFUNCTION("GOOGLETRANSLATE(D:D,""auto"",""en"")"),"2020 first day of spring")</f>
        <v>2020 first day of spring</v>
      </c>
      <c r="D967" s="5" t="s">
        <v>2291</v>
      </c>
      <c r="E967" s="4">
        <v>363080</v>
      </c>
    </row>
    <row r="968" spans="1:5" ht="13.5" hidden="1" customHeight="1">
      <c r="A968" s="4" t="s">
        <v>2292</v>
      </c>
      <c r="B968" s="4" t="s">
        <v>2293</v>
      </c>
      <c r="C968" s="4" t="str">
        <f ca="1">IFERROR(__xludf.DUMMYFUNCTION("GOOGLETRANSLATE(D:D,""auto"",""en"")"),"Egg brother in my pond this is not the total egg")</f>
        <v>Egg brother in my pond this is not the total egg</v>
      </c>
      <c r="D968" s="5" t="s">
        <v>2294</v>
      </c>
      <c r="E968" s="4">
        <v>361689</v>
      </c>
    </row>
    <row r="969" spans="1:5" ht="13.5" hidden="1" customHeight="1">
      <c r="A969" s="4" t="s">
        <v>2295</v>
      </c>
      <c r="B969" s="4" t="s">
        <v>2296</v>
      </c>
      <c r="C969" s="4" t="str">
        <f ca="1">IFERROR(__xludf.DUMMYFUNCTION("GOOGLETRANSLATE(D:D,""auto"",""en"")"),"The company issued 1.9 million to employees parents filial piety Fund")</f>
        <v>The company issued 1.9 million to employees parents filial piety Fund</v>
      </c>
      <c r="D969" s="5" t="s">
        <v>2297</v>
      </c>
      <c r="E969" s="4">
        <v>339519</v>
      </c>
    </row>
    <row r="970" spans="1:5" ht="13.5" hidden="1" customHeight="1">
      <c r="A970" s="4" t="s">
        <v>2298</v>
      </c>
      <c r="B970" s="4" t="s">
        <v>2299</v>
      </c>
      <c r="C970" s="4" t="str">
        <f ca="1">IFERROR(__xludf.DUMMYFUNCTION("GOOGLETRANSLATE(D:D,""auto"",""en"")"),"New Year type of bankruptcy")</f>
        <v>New Year type of bankruptcy</v>
      </c>
      <c r="D970" s="5" t="s">
        <v>2300</v>
      </c>
      <c r="E970" s="4">
        <v>334145</v>
      </c>
    </row>
    <row r="971" spans="1:5" ht="13.5" hidden="1" customHeight="1">
      <c r="A971" s="4" t="s">
        <v>2301</v>
      </c>
      <c r="B971" s="4" t="s">
        <v>2302</v>
      </c>
      <c r="C971" s="4" t="str">
        <f ca="1">IFERROR(__xludf.DUMMYFUNCTION("GOOGLETRANSLATE(D:D,""auto"",""en"")"),"Pyl retired")</f>
        <v>Pyl retired</v>
      </c>
      <c r="D971" s="5" t="s">
        <v>2303</v>
      </c>
      <c r="E971" s="4">
        <v>320922</v>
      </c>
    </row>
    <row r="972" spans="1:5" ht="13.5" hidden="1" customHeight="1">
      <c r="A972" s="4" t="s">
        <v>2304</v>
      </c>
      <c r="B972" s="4" t="s">
        <v>2305</v>
      </c>
      <c r="C972" s="4" t="str">
        <f ca="1">IFERROR(__xludf.DUMMYFUNCTION("GOOGLETRANSLATE(D:D,""auto"",""en"")"),"When the little girl saved her goodbye firefighters")</f>
        <v>When the little girl saved her goodbye firefighters</v>
      </c>
      <c r="D972" s="5" t="s">
        <v>2306</v>
      </c>
      <c r="E972" s="4">
        <v>317931</v>
      </c>
    </row>
    <row r="973" spans="1:5" ht="13.5" hidden="1" customHeight="1">
      <c r="A973" s="4" t="s">
        <v>2307</v>
      </c>
      <c r="B973" s="4" t="s">
        <v>2308</v>
      </c>
      <c r="C973" s="4" t="str">
        <f ca="1">IFERROR(__xludf.DUMMYFUNCTION("GOOGLETRANSLATE(D:D,""auto"",""en"")"),"Winter baby dress Qing")</f>
        <v>Winter baby dress Qing</v>
      </c>
      <c r="D973" s="5" t="s">
        <v>2309</v>
      </c>
      <c r="E973" s="4">
        <v>313875</v>
      </c>
    </row>
    <row r="974" spans="1:5" ht="13.5" hidden="1" customHeight="1">
      <c r="A974" s="4" t="s">
        <v>2310</v>
      </c>
      <c r="B974" s="4" t="s">
        <v>2245</v>
      </c>
      <c r="C974" s="4" t="str">
        <f ca="1">IFERROR(__xludf.DUMMYFUNCTION("GOOGLETRANSLATE(D:D,""auto"",""en"")"),"Wallace Chung Harlem Ga Ayun light board")</f>
        <v>Wallace Chung Harlem Ga Ayun light board</v>
      </c>
      <c r="D974" s="5" t="s">
        <v>2311</v>
      </c>
      <c r="E974" s="4">
        <v>311733</v>
      </c>
    </row>
    <row r="975" spans="1:5" ht="13.5" hidden="1" customHeight="1">
      <c r="A975" s="4" t="s">
        <v>2312</v>
      </c>
      <c r="B975" s="4" t="s">
        <v>2218</v>
      </c>
      <c r="C975" s="4" t="str">
        <f ca="1">IFERROR(__xludf.DUMMYFUNCTION("GOOGLETRANSLATE(D:D,""auto"",""en"")"),"Love Apartments 5 fixed gear")</f>
        <v>Love Apartments 5 fixed gear</v>
      </c>
      <c r="D975" s="5" t="s">
        <v>2313</v>
      </c>
      <c r="E975" s="4">
        <v>307807</v>
      </c>
    </row>
    <row r="976" spans="1:5" ht="13.5" hidden="1" customHeight="1">
      <c r="A976" s="4" t="s">
        <v>2314</v>
      </c>
      <c r="B976" s="4" t="s">
        <v>2315</v>
      </c>
      <c r="C976" s="4" t="str">
        <f ca="1">IFERROR(__xludf.DUMMYFUNCTION("GOOGLETRANSLATE(D:D,""auto"",""en"")"),"Junior high school girls picking up litter on the last bus")</f>
        <v>Junior high school girls picking up litter on the last bus</v>
      </c>
      <c r="D976" s="5" t="s">
        <v>2316</v>
      </c>
      <c r="E976" s="4">
        <v>307659</v>
      </c>
    </row>
    <row r="977" spans="1:5" ht="13.5" hidden="1" customHeight="1">
      <c r="A977" s="4" t="s">
        <v>2317</v>
      </c>
      <c r="B977" s="4" t="s">
        <v>2167</v>
      </c>
      <c r="C977" s="4" t="str">
        <f ca="1">IFERROR(__xludf.DUMMYFUNCTION("GOOGLETRANSLATE(D:D,""auto"",""en"")"),"What is false sweet girl")</f>
        <v>What is false sweet girl</v>
      </c>
      <c r="D977" s="5" t="s">
        <v>2318</v>
      </c>
      <c r="E977" s="4">
        <v>306521</v>
      </c>
    </row>
    <row r="978" spans="1:5" ht="13.5" hidden="1" customHeight="1">
      <c r="A978" s="4" t="s">
        <v>2319</v>
      </c>
      <c r="B978" s="4" t="s">
        <v>2320</v>
      </c>
      <c r="C978" s="4" t="str">
        <f ca="1">IFERROR(__xludf.DUMMYFUNCTION("GOOGLETRANSLATE(D:D,""auto"",""en"")"),"Victory apply for a warrant of arrest was")</f>
        <v>Victory apply for a warrant of arrest was</v>
      </c>
      <c r="D978" s="5" t="s">
        <v>2321</v>
      </c>
      <c r="E978" s="4">
        <v>305346</v>
      </c>
    </row>
    <row r="979" spans="1:5" ht="13.5" hidden="1" customHeight="1">
      <c r="A979" s="4" t="s">
        <v>2322</v>
      </c>
      <c r="B979" s="4" t="s">
        <v>2323</v>
      </c>
      <c r="C979" s="4" t="str">
        <f ca="1">IFERROR(__xludf.DUMMYFUNCTION("GOOGLETRANSLATE(D:D,""auto"",""en"")"),"Male stars ubiquitous desire to survive")</f>
        <v>Male stars ubiquitous desire to survive</v>
      </c>
      <c r="D979" s="5" t="s">
        <v>2324</v>
      </c>
      <c r="E979" s="4">
        <v>298131</v>
      </c>
    </row>
    <row r="980" spans="1:5" ht="13.5" hidden="1" customHeight="1">
      <c r="A980" s="4" t="s">
        <v>2325</v>
      </c>
      <c r="B980" s="4" t="s">
        <v>2209</v>
      </c>
      <c r="C980" s="4" t="str">
        <f ca="1">IFERROR(__xludf.DUMMYFUNCTION("GOOGLETRANSLATE(D:D,""auto"",""en"")"),"US House of Representatives passed resolutions limiting military action against Iran President")</f>
        <v>US House of Representatives passed resolutions limiting military action against Iran President</v>
      </c>
      <c r="D980" s="5" t="s">
        <v>2326</v>
      </c>
      <c r="E980" s="4">
        <v>259439</v>
      </c>
    </row>
    <row r="981" spans="1:5" ht="13.5" hidden="1" customHeight="1">
      <c r="A981" s="4" t="s">
        <v>2327</v>
      </c>
      <c r="B981" s="4" t="s">
        <v>2167</v>
      </c>
      <c r="C981" s="4" t="str">
        <f ca="1">IFERROR(__xludf.DUMMYFUNCTION("GOOGLETRANSLATE(D:D,""auto"",""en"")"),"You microblogging ID What is the meaning")</f>
        <v>You microblogging ID What is the meaning</v>
      </c>
      <c r="D981" s="5" t="s">
        <v>2328</v>
      </c>
      <c r="E981" s="4">
        <v>259370</v>
      </c>
    </row>
    <row r="982" spans="1:5" ht="13.5" hidden="1" customHeight="1">
      <c r="A982" s="4" t="s">
        <v>2329</v>
      </c>
      <c r="B982" s="4" t="s">
        <v>2127</v>
      </c>
      <c r="C982" s="4" t="str">
        <f ca="1">IFERROR(__xludf.DUMMYFUNCTION("GOOGLETRANSLATE(D:D,""auto"",""en"")"),"The assassination of novelist given file")</f>
        <v>The assassination of novelist given file</v>
      </c>
      <c r="D982" s="5" t="s">
        <v>2330</v>
      </c>
      <c r="E982" s="4">
        <v>227777</v>
      </c>
    </row>
    <row r="983" spans="1:5" ht="13.5" hidden="1" customHeight="1">
      <c r="A983" s="4" t="s">
        <v>2331</v>
      </c>
      <c r="B983" s="4" t="s">
        <v>2206</v>
      </c>
      <c r="C983" s="4" t="str">
        <f ca="1">IFERROR(__xludf.DUMMYFUNCTION("GOOGLETRANSLATE(D:D,""auto"",""en"")"),"Wang Yuan meal points when most want to motherland")</f>
        <v>Wang Yuan meal points when most want to motherland</v>
      </c>
      <c r="D983" s="5" t="s">
        <v>2332</v>
      </c>
      <c r="E983" s="4">
        <v>226755</v>
      </c>
    </row>
    <row r="984" spans="1:5" ht="13.5" hidden="1" customHeight="1">
      <c r="A984" s="4" t="s">
        <v>2333</v>
      </c>
      <c r="B984" s="4" t="s">
        <v>2334</v>
      </c>
      <c r="C984" s="4" t="str">
        <f ca="1">IFERROR(__xludf.DUMMYFUNCTION("GOOGLETRANSLATE(D:D,""auto"",""en"")"),"Variety sense than the stars of my parents")</f>
        <v>Variety sense than the stars of my parents</v>
      </c>
      <c r="D984" s="5" t="s">
        <v>2335</v>
      </c>
      <c r="E984" s="4">
        <v>224866</v>
      </c>
    </row>
    <row r="985" spans="1:5" ht="13.5" hidden="1" customHeight="1">
      <c r="A985" s="4" t="s">
        <v>2301</v>
      </c>
      <c r="B985" s="4" t="s">
        <v>2130</v>
      </c>
      <c r="C985" s="4" t="str">
        <f ca="1">IFERROR(__xludf.DUMMYFUNCTION("GOOGLETRANSLATE(D:D,""auto"",""en"")"),"Rice turns black powder industry professional")</f>
        <v>Rice turns black powder industry professional</v>
      </c>
      <c r="D985" s="5" t="s">
        <v>2336</v>
      </c>
      <c r="E985" s="4">
        <v>207072</v>
      </c>
    </row>
    <row r="986" spans="1:5" ht="13.5" hidden="1" customHeight="1">
      <c r="A986" s="4" t="s">
        <v>2275</v>
      </c>
      <c r="B986" s="4" t="s">
        <v>2337</v>
      </c>
      <c r="C986" s="4" t="str">
        <f ca="1">IFERROR(__xludf.DUMMYFUNCTION("GOOGLETRANSLATE(D:D,""auto"",""en"")"),"Have you ever seen color values ​​fluctuated person")</f>
        <v>Have you ever seen color values ​​fluctuated person</v>
      </c>
      <c r="D986" s="5" t="s">
        <v>2338</v>
      </c>
      <c r="E986" s="4">
        <v>198702</v>
      </c>
    </row>
    <row r="987" spans="1:5" ht="13.5" hidden="1" customHeight="1">
      <c r="A987" s="4" t="s">
        <v>2339</v>
      </c>
      <c r="B987" s="4" t="s">
        <v>2340</v>
      </c>
      <c r="C987" s="4" t="str">
        <f ca="1">IFERROR(__xludf.DUMMYFUNCTION("GOOGLETRANSLATE(D:D,""auto"",""en"")"),"Shanghai Metro")</f>
        <v>Shanghai Metro</v>
      </c>
      <c r="D987" s="5" t="s">
        <v>2341</v>
      </c>
      <c r="E987" s="4">
        <v>196666</v>
      </c>
    </row>
    <row r="988" spans="1:5" ht="13.5" hidden="1" customHeight="1">
      <c r="A988" s="4" t="s">
        <v>2342</v>
      </c>
      <c r="B988" s="4" t="s">
        <v>2343</v>
      </c>
      <c r="C988" s="4" t="str">
        <f ca="1">IFERROR(__xludf.DUMMYFUNCTION("GOOGLETRANSLATE(D:D,""auto"",""en"")"),"Yuan Quan temperament")</f>
        <v>Yuan Quan temperament</v>
      </c>
      <c r="D988" s="5" t="s">
        <v>2344</v>
      </c>
      <c r="E988" s="4">
        <v>186825</v>
      </c>
    </row>
    <row r="989" spans="1:5" ht="13.5" hidden="1" customHeight="1">
      <c r="A989" s="4" t="s">
        <v>2345</v>
      </c>
      <c r="B989" s="4" t="s">
        <v>2287</v>
      </c>
      <c r="C989" s="4" t="str">
        <f ca="1">IFERROR(__xludf.DUMMYFUNCTION("GOOGLETRANSLATE(D:D,""auto"",""en"")"),"Pediatricians warmer to warm the stethoscope")</f>
        <v>Pediatricians warmer to warm the stethoscope</v>
      </c>
      <c r="D989" s="5" t="s">
        <v>2346</v>
      </c>
      <c r="E989" s="4">
        <v>173051</v>
      </c>
    </row>
    <row r="990" spans="1:5" ht="13.5" hidden="1" customHeight="1">
      <c r="A990" s="4" t="s">
        <v>2347</v>
      </c>
      <c r="B990" s="4" t="s">
        <v>2348</v>
      </c>
      <c r="C990" s="4" t="str">
        <f ca="1">IFERROR(__xludf.DUMMYFUNCTION("GOOGLETRANSLATE(D:D,""auto"",""en"")"),"Zeng Huang Xuhua keep national highest technology award")</f>
        <v>Zeng Huang Xuhua keep national highest technology award</v>
      </c>
      <c r="D990" s="5" t="s">
        <v>2349</v>
      </c>
      <c r="E990" s="4">
        <v>171039</v>
      </c>
    </row>
    <row r="991" spans="1:5" ht="13.5" hidden="1" customHeight="1">
      <c r="A991" s="4" t="s">
        <v>2350</v>
      </c>
      <c r="B991" s="4" t="s">
        <v>2334</v>
      </c>
      <c r="C991" s="4" t="str">
        <f ca="1">IFERROR(__xludf.DUMMYFUNCTION("GOOGLETRANSLATE(D:D,""auto"",""en"")"),"Ha Limei root wax is removed royal Composition")</f>
        <v>Ha Limei root wax is removed royal Composition</v>
      </c>
      <c r="D991" s="5" t="s">
        <v>2351</v>
      </c>
      <c r="E991" s="4">
        <v>169627</v>
      </c>
    </row>
    <row r="992" spans="1:5" ht="13.5" hidden="1" customHeight="1">
      <c r="A992" s="4" t="s">
        <v>2352</v>
      </c>
      <c r="B992" s="4" t="s">
        <v>2348</v>
      </c>
      <c r="C992" s="4" t="str">
        <f ca="1">IFERROR(__xludf.DUMMYFUNCTION("GOOGLETRANSLATE(D:D,""auto"",""en"")"),"Reaction time secretly family home")</f>
        <v>Reaction time secretly family home</v>
      </c>
      <c r="D992" s="5" t="s">
        <v>2353</v>
      </c>
      <c r="E992" s="4">
        <v>167591</v>
      </c>
    </row>
    <row r="993" spans="1:5" ht="13.5" hidden="1" customHeight="1">
      <c r="A993" s="4" t="s">
        <v>2354</v>
      </c>
      <c r="B993" s="4" t="s">
        <v>2348</v>
      </c>
      <c r="C993" s="4" t="str">
        <f ca="1">IFERROR(__xludf.DUMMYFUNCTION("GOOGLETRANSLATE(D:D,""auto"",""en"")"),"Each city will be the place to go")</f>
        <v>Each city will be the place to go</v>
      </c>
      <c r="D993" s="5" t="s">
        <v>2355</v>
      </c>
      <c r="E993" s="4">
        <v>165659</v>
      </c>
    </row>
    <row r="994" spans="1:5" ht="13.5" hidden="1" customHeight="1">
      <c r="A994" s="4" t="s">
        <v>2272</v>
      </c>
      <c r="B994" s="4" t="s">
        <v>2356</v>
      </c>
      <c r="C994" s="4" t="str">
        <f ca="1">IFERROR(__xludf.DUMMYFUNCTION("GOOGLETRANSLATE(D:D,""auto"",""en"")"),"Rene concert")</f>
        <v>Rene concert</v>
      </c>
      <c r="D994" s="5" t="s">
        <v>2357</v>
      </c>
      <c r="E994" s="4">
        <v>164061</v>
      </c>
    </row>
    <row r="995" spans="1:5" ht="13.5" hidden="1" customHeight="1">
      <c r="A995" s="4" t="s">
        <v>2358</v>
      </c>
      <c r="B995" s="4" t="s">
        <v>2356</v>
      </c>
      <c r="C995" s="4" t="str">
        <f ca="1">IFERROR(__xludf.DUMMYFUNCTION("GOOGLETRANSLATE(D:D,""auto"",""en"")"),"A big game Spring water is not iG list")</f>
        <v>A big game Spring water is not iG list</v>
      </c>
      <c r="D995" s="5" t="s">
        <v>2359</v>
      </c>
      <c r="E995" s="4">
        <v>160722</v>
      </c>
    </row>
    <row r="996" spans="1:5" ht="13.5" hidden="1" customHeight="1">
      <c r="A996" s="4" t="s">
        <v>2322</v>
      </c>
      <c r="B996" s="4" t="s">
        <v>2360</v>
      </c>
      <c r="C996" s="4" t="str">
        <f ca="1">IFERROR(__xludf.DUMMYFUNCTION("GOOGLETRANSLATE(D:D,""auto"",""en"")"),"NBA All-Star second round results")</f>
        <v>NBA All-Star second round results</v>
      </c>
      <c r="D996" s="5" t="s">
        <v>2361</v>
      </c>
      <c r="E996" s="4">
        <v>158717</v>
      </c>
    </row>
    <row r="997" spans="1:5" ht="13.5" hidden="1" customHeight="1">
      <c r="A997" s="4" t="s">
        <v>2362</v>
      </c>
      <c r="B997" s="4" t="s">
        <v>2363</v>
      </c>
      <c r="C997" s="4" t="str">
        <f ca="1">IFERROR(__xludf.DUMMYFUNCTION("GOOGLETRANSLATE(D:D,""auto"",""en"")"),"Not cold hat")</f>
        <v>Not cold hat</v>
      </c>
      <c r="D997" s="5" t="s">
        <v>2364</v>
      </c>
      <c r="E997" s="4">
        <v>158414</v>
      </c>
    </row>
    <row r="998" spans="1:5" ht="13.5" hidden="1" customHeight="1">
      <c r="A998" s="4" t="s">
        <v>2356</v>
      </c>
      <c r="B998" s="4" t="s">
        <v>2365</v>
      </c>
      <c r="C998" s="4" t="str">
        <f ca="1">IFERROR(__xludf.DUMMYFUNCTION("GOOGLETRANSLATE(D:D,""auto"",""en"")"),"The parasite filming version")</f>
        <v>The parasite filming version</v>
      </c>
      <c r="D998" s="5" t="s">
        <v>2366</v>
      </c>
      <c r="E998" s="4">
        <v>157724</v>
      </c>
    </row>
    <row r="999" spans="1:5" ht="13.5" hidden="1" customHeight="1">
      <c r="A999" s="4" t="s">
        <v>2367</v>
      </c>
      <c r="B999" s="4" t="s">
        <v>2213</v>
      </c>
      <c r="C999" s="4" t="str">
        <f ca="1">IFERROR(__xludf.DUMMYFUNCTION("GOOGLETRANSLATE(D:D,""auto"",""en"")"),"Fu Seoul dynamic of praise")</f>
        <v>Fu Seoul dynamic of praise</v>
      </c>
      <c r="D999" s="5" t="s">
        <v>2368</v>
      </c>
      <c r="E999" s="4">
        <v>155999</v>
      </c>
    </row>
    <row r="1000" spans="1:5" ht="13.5" hidden="1" customHeight="1">
      <c r="C1000" s="4" t="str">
        <f ca="1">IFERROR(__xludf.DUMMYFUNCTION("GOOGLETRANSLATE(D:D,""auto"",""en"")"),"#VALUE!")</f>
        <v>#VALUE!</v>
      </c>
    </row>
    <row r="1001" spans="1:5" ht="13.5" hidden="1" customHeight="1">
      <c r="A1001" s="4" t="s">
        <v>2369</v>
      </c>
      <c r="B1001" s="4" t="s">
        <v>2370</v>
      </c>
      <c r="C1001" s="4" t="str">
        <f ca="1">IFERROR(__xludf.DUMMYFUNCTION("GOOGLETRANSLATE(D:D,""auto"",""en"")"),"Nanjing Murder Murder case has ruled")</f>
        <v>Nanjing Murder Murder case has ruled</v>
      </c>
      <c r="D1001" s="4" t="s">
        <v>2371</v>
      </c>
      <c r="E1001" s="4">
        <v>2587957</v>
      </c>
    </row>
    <row r="1002" spans="1:5" ht="13.5" hidden="1" customHeight="1">
      <c r="A1002" s="4" t="s">
        <v>2372</v>
      </c>
      <c r="B1002" s="4" t="s">
        <v>2373</v>
      </c>
      <c r="C1002" s="4" t="str">
        <f ca="1">IFERROR(__xludf.DUMMYFUNCTION("GOOGLETRANSLATE(D:D,""auto"",""en"")"),"Dear inn")</f>
        <v>Dear inn</v>
      </c>
      <c r="D1002" s="5" t="s">
        <v>2374</v>
      </c>
      <c r="E1002" s="4">
        <v>1580436</v>
      </c>
    </row>
    <row r="1003" spans="1:5" ht="13.5" hidden="1" customHeight="1">
      <c r="A1003" s="4" t="s">
        <v>2375</v>
      </c>
      <c r="B1003" s="4" t="s">
        <v>2376</v>
      </c>
      <c r="C1003" s="4" t="str">
        <f ca="1">IFERROR(__xludf.DUMMYFUNCTION("GOOGLETRANSLATE(D:D,""auto"",""en"")"),"Jose wear skirts")</f>
        <v>Jose wear skirts</v>
      </c>
      <c r="D1003" s="5" t="s">
        <v>2377</v>
      </c>
      <c r="E1003" s="4">
        <v>1190577</v>
      </c>
    </row>
    <row r="1004" spans="1:5" ht="13.5" hidden="1" customHeight="1">
      <c r="A1004" s="4" t="s">
        <v>2378</v>
      </c>
      <c r="B1004" s="4" t="s">
        <v>2379</v>
      </c>
      <c r="C1004" s="4" t="str">
        <f ca="1">IFERROR(__xludf.DUMMYFUNCTION("GOOGLETRANSLATE(D:D,""auto"",""en"")"),"12306 response can be achieved while sales of round-trip ticket")</f>
        <v>12306 response can be achieved while sales of round-trip ticket</v>
      </c>
      <c r="D1004" s="5" t="s">
        <v>2380</v>
      </c>
      <c r="E1004" s="4">
        <v>1176176</v>
      </c>
    </row>
    <row r="1005" spans="1:5" ht="13.5" hidden="1" customHeight="1">
      <c r="A1005" s="4" t="s">
        <v>2381</v>
      </c>
      <c r="B1005" s="4" t="s">
        <v>2382</v>
      </c>
      <c r="C1005" s="4" t="str">
        <f ca="1">IFERROR(__xludf.DUMMYFUNCTION("GOOGLETRANSLATE(D:D,""auto"",""en"")"),"Lin sent through Godfrey suit")</f>
        <v>Lin sent through Godfrey suit</v>
      </c>
      <c r="D1005" s="5" t="s">
        <v>2383</v>
      </c>
      <c r="E1005" s="4">
        <v>1119422</v>
      </c>
    </row>
    <row r="1006" spans="1:5" ht="13.5" hidden="1" customHeight="1">
      <c r="A1006" s="4" t="s">
        <v>2384</v>
      </c>
      <c r="B1006" s="4" t="s">
        <v>2385</v>
      </c>
      <c r="C1006" s="4" t="str">
        <f ca="1">IFERROR(__xludf.DUMMYFUNCTION("GOOGLETRANSLATE(D:D,""auto"",""en"")"),"Open Country Love by Reply 1988")</f>
        <v>Open Country Love by Reply 1988</v>
      </c>
      <c r="D1006" s="5" t="s">
        <v>2386</v>
      </c>
      <c r="E1006" s="4">
        <v>976057</v>
      </c>
    </row>
    <row r="1007" spans="1:5" ht="13.5" hidden="1" customHeight="1">
      <c r="A1007" s="4" t="s">
        <v>2387</v>
      </c>
      <c r="B1007" s="4" t="s">
        <v>2388</v>
      </c>
      <c r="C1007" s="4" t="str">
        <f ca="1">IFERROR(__xludf.DUMMYFUNCTION("GOOGLETRANSLATE(D:D,""auto"",""en"")"),"Lee Seung-Hyun Teddy volume")</f>
        <v>Lee Seung-Hyun Teddy volume</v>
      </c>
      <c r="D1007" s="5" t="s">
        <v>2389</v>
      </c>
      <c r="E1007" s="4">
        <v>819378</v>
      </c>
    </row>
    <row r="1008" spans="1:5" ht="13.5" hidden="1" customHeight="1">
      <c r="A1008" s="4" t="s">
        <v>2262</v>
      </c>
      <c r="B1008" s="4" t="s">
        <v>2263</v>
      </c>
      <c r="C1008" s="4" t="str">
        <f ca="1">IFERROR(__xludf.DUMMYFUNCTION("GOOGLETRANSLATE(D:D,""auto"",""en"")"),"State Supreme Science and Technology Award")</f>
        <v>State Supreme Science and Technology Award</v>
      </c>
      <c r="D1008" s="5" t="s">
        <v>2264</v>
      </c>
      <c r="E1008" s="4">
        <v>756199</v>
      </c>
    </row>
    <row r="1009" spans="1:5" ht="13.5" hidden="1" customHeight="1">
      <c r="A1009" s="4" t="s">
        <v>2390</v>
      </c>
      <c r="B1009" s="4" t="s">
        <v>2391</v>
      </c>
      <c r="C1009" s="4" t="str">
        <f ca="1">IFERROR(__xludf.DUMMYFUNCTION("GOOGLETRANSLATE(D:D,""auto"",""en"")"),"Zhu Dan broker hair long article")</f>
        <v>Zhu Dan broker hair long article</v>
      </c>
      <c r="D1009" s="5" t="s">
        <v>2392</v>
      </c>
      <c r="E1009" s="4">
        <v>738261</v>
      </c>
    </row>
    <row r="1010" spans="1:5" ht="13.5" hidden="1" customHeight="1">
      <c r="A1010" s="4" t="s">
        <v>2393</v>
      </c>
      <c r="B1010" s="4" t="s">
        <v>2394</v>
      </c>
      <c r="C1010" s="4" t="str">
        <f ca="1">IFERROR(__xludf.DUMMYFUNCTION("GOOGLETRANSLATE(D:D,""auto"",""en"")"),"Wang Junkai pants fake two")</f>
        <v>Wang Junkai pants fake two</v>
      </c>
      <c r="D1010" s="5" t="s">
        <v>2395</v>
      </c>
      <c r="E1010" s="4">
        <v>657242</v>
      </c>
    </row>
    <row r="1011" spans="1:5" ht="13.5" hidden="1" customHeight="1">
      <c r="A1011" s="4" t="s">
        <v>2396</v>
      </c>
      <c r="B1011" s="4" t="s">
        <v>2397</v>
      </c>
      <c r="C1011" s="4" t="str">
        <f ca="1">IFERROR(__xludf.DUMMYFUNCTION("GOOGLETRANSLATE(D:D,""auto"",""en"")"),"Mountain side really sea")</f>
        <v>Mountain side really sea</v>
      </c>
      <c r="D1011" s="5" t="s">
        <v>2398</v>
      </c>
      <c r="E1011" s="4">
        <v>627406</v>
      </c>
    </row>
    <row r="1012" spans="1:5" ht="13.5" hidden="1" customHeight="1">
      <c r="A1012" s="4" t="s">
        <v>2399</v>
      </c>
      <c r="B1012" s="4" t="s">
        <v>2400</v>
      </c>
      <c r="C1012" s="4" t="str">
        <f ca="1">IFERROR(__xludf.DUMMYFUNCTION("GOOGLETRANSLATE(D:D,""auto"",""en"")"),"Thailand 77 performing elephant unlock anklets")</f>
        <v>Thailand 77 performing elephant unlock anklets</v>
      </c>
      <c r="D1012" s="5" t="s">
        <v>2401</v>
      </c>
      <c r="E1012" s="4">
        <v>616496</v>
      </c>
    </row>
    <row r="1013" spans="1:5" ht="13.5" hidden="1" customHeight="1">
      <c r="A1013" s="4" t="s">
        <v>2402</v>
      </c>
      <c r="B1013" s="4" t="s">
        <v>2403</v>
      </c>
      <c r="C1013" s="4" t="str">
        <f ca="1">IFERROR(__xludf.DUMMYFUNCTION("GOOGLETRANSLATE(D:D,""auto"",""en"")"),"Manslaughter break 1 billion at the box office")</f>
        <v>Manslaughter break 1 billion at the box office</v>
      </c>
      <c r="D1013" s="5" t="s">
        <v>2404</v>
      </c>
      <c r="E1013" s="4">
        <v>614665</v>
      </c>
    </row>
    <row r="1014" spans="1:5" ht="13.5" hidden="1" customHeight="1">
      <c r="A1014" s="4" t="s">
        <v>2387</v>
      </c>
      <c r="B1014" s="4" t="s">
        <v>2382</v>
      </c>
      <c r="C1014" s="4" t="str">
        <f ca="1">IFERROR(__xludf.DUMMYFUNCTION("GOOGLETRANSLATE(D:D,""auto"",""en"")"),"Yantai lost female students confirmed dead")</f>
        <v>Yantai lost female students confirmed dead</v>
      </c>
      <c r="D1014" s="5" t="s">
        <v>2405</v>
      </c>
      <c r="E1014" s="4">
        <v>613899</v>
      </c>
    </row>
    <row r="1015" spans="1:5" ht="13.5" hidden="1" customHeight="1">
      <c r="A1015" s="4" t="s">
        <v>2406</v>
      </c>
      <c r="B1015" s="4" t="s">
        <v>2407</v>
      </c>
      <c r="C1015" s="4" t="str">
        <f ca="1">IFERROR(__xludf.DUMMYFUNCTION("GOOGLETRANSLATE(D:D,""auto"",""en"")"),"Little Daisy Accessories")</f>
        <v>Little Daisy Accessories</v>
      </c>
      <c r="D1015" s="5" t="s">
        <v>2408</v>
      </c>
      <c r="E1015" s="4">
        <v>556956</v>
      </c>
    </row>
    <row r="1016" spans="1:5" ht="13.5" hidden="1" customHeight="1">
      <c r="A1016" s="4" t="s">
        <v>2409</v>
      </c>
      <c r="B1016" s="4" t="s">
        <v>2410</v>
      </c>
      <c r="C1016" s="4" t="str">
        <f ca="1">IFERROR(__xludf.DUMMYFUNCTION("GOOGLETRANSLATE(D:D,""auto"",""en"")"),"Lin Shanshan will meet")</f>
        <v>Lin Shanshan will meet</v>
      </c>
      <c r="D1016" s="5" t="s">
        <v>2411</v>
      </c>
      <c r="E1016" s="4">
        <v>555995</v>
      </c>
    </row>
    <row r="1017" spans="1:5" ht="13.5" hidden="1" customHeight="1">
      <c r="A1017" s="4" t="s">
        <v>2396</v>
      </c>
      <c r="B1017" s="4" t="s">
        <v>2412</v>
      </c>
      <c r="C1017" s="4" t="str">
        <f ca="1">IFERROR(__xludf.DUMMYFUNCTION("GOOGLETRANSLATE(D:D,""auto"",""en"")"),"Announcer is how not to laugh field")</f>
        <v>Announcer is how not to laugh field</v>
      </c>
      <c r="D1017" s="5" t="s">
        <v>2413</v>
      </c>
      <c r="E1017" s="4">
        <v>553395</v>
      </c>
    </row>
    <row r="1018" spans="1:5" ht="13.5" hidden="1" customHeight="1">
      <c r="A1018" s="4" t="s">
        <v>2414</v>
      </c>
      <c r="B1018" s="4" t="s">
        <v>2415</v>
      </c>
      <c r="C1018" s="4" t="str">
        <f ca="1">IFERROR(__xludf.DUMMYFUNCTION("GOOGLETRANSLATE(D:D,""auto"",""en"")"),"Hanging branches highest probability of subjects")</f>
        <v>Hanging branches highest probability of subjects</v>
      </c>
      <c r="D1018" s="5" t="s">
        <v>2416</v>
      </c>
      <c r="E1018" s="4">
        <v>548449</v>
      </c>
    </row>
    <row r="1019" spans="1:5" ht="13.5" hidden="1" customHeight="1">
      <c r="A1019" s="4" t="s">
        <v>2381</v>
      </c>
      <c r="B1019" s="4" t="s">
        <v>2417</v>
      </c>
      <c r="C1019" s="4" t="str">
        <f ca="1">IFERROR(__xludf.DUMMYFUNCTION("GOOGLETRANSLATE(D:D,""auto"",""en"")"),"Eddie Hangzhou")</f>
        <v>Eddie Hangzhou</v>
      </c>
      <c r="D1019" s="5" t="s">
        <v>2418</v>
      </c>
      <c r="E1019" s="4">
        <v>473755</v>
      </c>
    </row>
    <row r="1020" spans="1:5" ht="13.5" hidden="1" customHeight="1">
      <c r="A1020" s="4" t="s">
        <v>2419</v>
      </c>
      <c r="B1020" s="4" t="s">
        <v>2382</v>
      </c>
      <c r="C1020" s="4" t="str">
        <f ca="1">IFERROR(__xludf.DUMMYFUNCTION("GOOGLETRANSLATE(D:D,""auto"",""en"")"),"Wu Yifan birth chart")</f>
        <v>Wu Yifan birth chart</v>
      </c>
      <c r="D1020" s="5" t="s">
        <v>2420</v>
      </c>
      <c r="E1020" s="4">
        <v>415149</v>
      </c>
    </row>
    <row r="1021" spans="1:5" ht="13.5" hidden="1" customHeight="1">
      <c r="A1021" s="4" t="s">
        <v>2421</v>
      </c>
      <c r="B1021" s="4" t="s">
        <v>2422</v>
      </c>
      <c r="C1021" s="4" t="str">
        <f ca="1">IFERROR(__xludf.DUMMYFUNCTION("GOOGLETRANSLATE(D:D,""auto"",""en"")"),"Shanghai Bank")</f>
        <v>Shanghai Bank</v>
      </c>
      <c r="D1021" s="5" t="s">
        <v>2423</v>
      </c>
      <c r="E1021" s="4">
        <v>411777</v>
      </c>
    </row>
    <row r="1022" spans="1:5" ht="13.5" hidden="1" customHeight="1">
      <c r="A1022" s="4" t="s">
        <v>1224</v>
      </c>
      <c r="B1022" s="4" t="s">
        <v>1225</v>
      </c>
      <c r="C1022" s="4" t="str">
        <f ca="1">IFERROR(__xludf.DUMMYFUNCTION("GOOGLETRANSLATE(D:D,""auto"",""en"")"),"Daming Fenghua")</f>
        <v>Daming Fenghua</v>
      </c>
      <c r="D1022" s="5" t="s">
        <v>1226</v>
      </c>
      <c r="E1022" s="4">
        <v>345920</v>
      </c>
    </row>
    <row r="1023" spans="1:5" ht="13.5" hidden="1" customHeight="1">
      <c r="A1023" s="4" t="s">
        <v>2424</v>
      </c>
      <c r="B1023" s="4" t="s">
        <v>2425</v>
      </c>
      <c r="C1023" s="4" t="str">
        <f ca="1">IFERROR(__xludf.DUMMYFUNCTION("GOOGLETRANSLATE(D:D,""auto"",""en"")"),"Go to the library for the Graduate year 1023")</f>
        <v>Go to the library for the Graduate year 1023</v>
      </c>
      <c r="D1023" s="5" t="s">
        <v>2426</v>
      </c>
      <c r="E1023" s="4">
        <v>341624</v>
      </c>
    </row>
    <row r="1024" spans="1:5" ht="13.5" hidden="1" customHeight="1">
      <c r="A1024" s="4" t="s">
        <v>2427</v>
      </c>
      <c r="B1024" s="4" t="s">
        <v>2428</v>
      </c>
      <c r="C1024" s="4" t="str">
        <f ca="1">IFERROR(__xludf.DUMMYFUNCTION("GOOGLETRANSLATE(D:D,""auto"",""en"")"),"Qi Liu Meng Meiqi")</f>
        <v>Qi Liu Meng Meiqi</v>
      </c>
      <c r="D1024" s="5" t="s">
        <v>2429</v>
      </c>
      <c r="E1024" s="4">
        <v>311568</v>
      </c>
    </row>
    <row r="1025" spans="1:5" ht="13.5" hidden="1" customHeight="1">
      <c r="A1025" s="4" t="s">
        <v>2430</v>
      </c>
      <c r="B1025" s="4" t="s">
        <v>2431</v>
      </c>
      <c r="C1025" s="4" t="str">
        <f ca="1">IFERROR(__xludf.DUMMYFUNCTION("GOOGLETRANSLATE(D:D,""auto"",""en"")"),"Doctor Fang Kaiqiu pants")</f>
        <v>Doctor Fang Kaiqiu pants</v>
      </c>
      <c r="D1025" s="5" t="s">
        <v>2432</v>
      </c>
      <c r="E1025" s="4">
        <v>293380</v>
      </c>
    </row>
    <row r="1026" spans="1:5" ht="13.5" hidden="1" customHeight="1">
      <c r="A1026" s="4" t="s">
        <v>2433</v>
      </c>
      <c r="B1026" s="4" t="s">
        <v>2434</v>
      </c>
      <c r="C1026" s="4" t="str">
        <f ca="1">IFERROR(__xludf.DUMMYFUNCTION("GOOGLETRANSLATE(D:D,""auto"",""en"")"),"42.56 million yuan of stone scoop")</f>
        <v>42.56 million yuan of stone scoop</v>
      </c>
      <c r="D1026" s="5" t="s">
        <v>2435</v>
      </c>
      <c r="E1026" s="4">
        <v>250861</v>
      </c>
    </row>
    <row r="1027" spans="1:5" ht="13.5" hidden="1" customHeight="1">
      <c r="A1027" s="4" t="s">
        <v>2424</v>
      </c>
      <c r="B1027" s="4" t="s">
        <v>2436</v>
      </c>
      <c r="C1027" s="4" t="str">
        <f ca="1">IFERROR(__xludf.DUMMYFUNCTION("GOOGLETRANSLATE(D:D,""auto"",""en"")"),"Xu Zheng and Lou Ye want cooperation")</f>
        <v>Xu Zheng and Lou Ye want cooperation</v>
      </c>
      <c r="D1027" s="5" t="s">
        <v>2437</v>
      </c>
      <c r="E1027" s="4">
        <v>232789</v>
      </c>
    </row>
    <row r="1028" spans="1:5" ht="13.5" hidden="1" customHeight="1">
      <c r="A1028" s="4" t="s">
        <v>2438</v>
      </c>
      <c r="B1028" s="4" t="s">
        <v>2439</v>
      </c>
      <c r="C1028" s="4" t="str">
        <f ca="1">IFERROR(__xludf.DUMMYFUNCTION("GOOGLETRANSLATE(D:D,""auto"",""en"")"),"Trump recommendations in the Middle East to join NATO")</f>
        <v>Trump recommendations in the Middle East to join NATO</v>
      </c>
      <c r="D1028" s="5" t="s">
        <v>2440</v>
      </c>
      <c r="E1028" s="4">
        <v>232032</v>
      </c>
    </row>
    <row r="1029" spans="1:5" ht="13.5" hidden="1" customHeight="1">
      <c r="A1029" s="4" t="s">
        <v>2441</v>
      </c>
      <c r="B1029" s="4" t="s">
        <v>2442</v>
      </c>
      <c r="C1029" s="4" t="str">
        <f ca="1">IFERROR(__xludf.DUMMYFUNCTION("GOOGLETRANSLATE(D:D,""auto"",""en"")"),"Contemporary young drinker")</f>
        <v>Contemporary young drinker</v>
      </c>
      <c r="D1029" s="5" t="s">
        <v>2443</v>
      </c>
      <c r="E1029" s="4">
        <v>231455</v>
      </c>
    </row>
    <row r="1030" spans="1:5" ht="13.5" hidden="1" customHeight="1">
      <c r="A1030" s="4" t="s">
        <v>2444</v>
      </c>
      <c r="B1030" s="4" t="s">
        <v>2445</v>
      </c>
      <c r="C1030" s="4" t="str">
        <f ca="1">IFERROR(__xludf.DUMMYFUNCTION("GOOGLETRANSLATE(D:D,""auto"",""en"")"),"Let adults feel suffocated thing")</f>
        <v>Let adults feel suffocated thing</v>
      </c>
      <c r="D1030" s="5" t="s">
        <v>2446</v>
      </c>
      <c r="E1030" s="4">
        <v>223268</v>
      </c>
    </row>
    <row r="1031" spans="1:5" ht="13.5" hidden="1" customHeight="1">
      <c r="A1031" s="4" t="s">
        <v>2447</v>
      </c>
      <c r="B1031" s="4" t="s">
        <v>2448</v>
      </c>
      <c r="C1031" s="4" t="str">
        <f ca="1">IFERROR(__xludf.DUMMYFUNCTION("GOOGLETRANSLATE(D:D,""auto"",""en"")"),"Yoga Lin lottery drawn Oshin")</f>
        <v>Yoga Lin lottery drawn Oshin</v>
      </c>
      <c r="D1031" s="5" t="s">
        <v>2449</v>
      </c>
      <c r="E1031" s="4">
        <v>192728</v>
      </c>
    </row>
    <row r="1032" spans="1:5" ht="13.5" hidden="1" customHeight="1">
      <c r="A1032" s="4" t="s">
        <v>2450</v>
      </c>
      <c r="B1032" s="4" t="s">
        <v>2256</v>
      </c>
      <c r="C1032" s="4" t="str">
        <f ca="1">IFERROR(__xludf.DUMMYFUNCTION("GOOGLETRANSLATE(D:D,""auto"",""en"")"),"92-year-old grandfather married a 78-year-old grandmother")</f>
        <v>92-year-old grandfather married a 78-year-old grandmother</v>
      </c>
      <c r="D1032" s="5" t="s">
        <v>2451</v>
      </c>
      <c r="E1032" s="4">
        <v>180636</v>
      </c>
    </row>
    <row r="1033" spans="1:5" ht="13.5" hidden="1" customHeight="1">
      <c r="A1033" s="4" t="s">
        <v>2280</v>
      </c>
      <c r="B1033" s="4" t="s">
        <v>2281</v>
      </c>
      <c r="C1033" s="4" t="str">
        <f ca="1">IFERROR(__xludf.DUMMYFUNCTION("GOOGLETRANSLATE(D:D,""auto"",""en"")"),"Playground buried corpse case of second instance upheld")</f>
        <v>Playground buried corpse case of second instance upheld</v>
      </c>
      <c r="D1033" s="5" t="s">
        <v>2282</v>
      </c>
      <c r="E1033" s="4">
        <v>176972</v>
      </c>
    </row>
    <row r="1034" spans="1:5" ht="13.5" hidden="1" customHeight="1">
      <c r="A1034" s="4" t="s">
        <v>2450</v>
      </c>
      <c r="B1034" s="4" t="s">
        <v>2452</v>
      </c>
      <c r="C1034" s="4" t="str">
        <f ca="1">IFERROR(__xludf.DUMMYFUNCTION("GOOGLETRANSLATE(D:D,""auto"",""en"")"),"FIG Dilly heat Klang")</f>
        <v>FIG Dilly heat Klang</v>
      </c>
      <c r="D1034" s="5" t="s">
        <v>2453</v>
      </c>
      <c r="E1034" s="4">
        <v>176082</v>
      </c>
    </row>
    <row r="1035" spans="1:5" ht="13.5" hidden="1" customHeight="1">
      <c r="A1035" s="4" t="s">
        <v>2454</v>
      </c>
      <c r="B1035" s="4" t="s">
        <v>2455</v>
      </c>
      <c r="C1035" s="4" t="str">
        <f ca="1">IFERROR(__xludf.DUMMYFUNCTION("GOOGLETRANSLATE(D:D,""auto"",""en"")"),"Large Boots")</f>
        <v>Large Boots</v>
      </c>
      <c r="D1035" s="5" t="s">
        <v>2456</v>
      </c>
      <c r="E1035" s="4">
        <v>164715</v>
      </c>
    </row>
    <row r="1036" spans="1:5" ht="13.5" hidden="1" customHeight="1">
      <c r="A1036" s="4" t="s">
        <v>2447</v>
      </c>
      <c r="B1036" s="4" t="s">
        <v>2350</v>
      </c>
      <c r="C1036" s="4" t="str">
        <f ca="1">IFERROR(__xludf.DUMMYFUNCTION("GOOGLETRANSLATE(D:D,""auto"",""en"")"),"Jang Dong-gun JJM chat screenshot")</f>
        <v>Jang Dong-gun JJM chat screenshot</v>
      </c>
      <c r="D1036" s="5" t="s">
        <v>2457</v>
      </c>
      <c r="E1036" s="4">
        <v>161558</v>
      </c>
    </row>
    <row r="1037" spans="1:5" ht="13.5" hidden="1" customHeight="1">
      <c r="A1037" s="4" t="s">
        <v>2458</v>
      </c>
      <c r="B1037" s="4" t="s">
        <v>2459</v>
      </c>
      <c r="C1037" s="4" t="str">
        <f ca="1">IFERROR(__xludf.DUMMYFUNCTION("GOOGLETRANSLATE(D:D,""auto"",""en"")"),"Mother abandoned autistic son decided not to prosecute the police")</f>
        <v>Mother abandoned autistic son decided not to prosecute the police</v>
      </c>
      <c r="D1037" s="5" t="s">
        <v>2460</v>
      </c>
      <c r="E1037" s="4">
        <v>147478</v>
      </c>
    </row>
    <row r="1038" spans="1:5" ht="13.5" hidden="1" customHeight="1">
      <c r="A1038" s="4" t="s">
        <v>2458</v>
      </c>
      <c r="B1038" s="4" t="s">
        <v>2388</v>
      </c>
      <c r="C1038" s="4" t="str">
        <f ca="1">IFERROR(__xludf.DUMMYFUNCTION("GOOGLETRANSLATE(D:D,""auto"",""en"")"),"Ghosn made the Japanese game is to flee")</f>
        <v>Ghosn made the Japanese game is to flee</v>
      </c>
      <c r="D1038" s="5" t="s">
        <v>2461</v>
      </c>
      <c r="E1038" s="4">
        <v>143117</v>
      </c>
    </row>
    <row r="1039" spans="1:5" ht="13.5" hidden="1" customHeight="1">
      <c r="A1039" s="4" t="s">
        <v>2462</v>
      </c>
      <c r="B1039" s="4" t="s">
        <v>2463</v>
      </c>
      <c r="C1039" s="4" t="str">
        <f ca="1">IFERROR(__xludf.DUMMYFUNCTION("GOOGLETRANSLATE(D:D,""auto"",""en"")"),"Flights canceled due to flight to escape the crash")</f>
        <v>Flights canceled due to flight to escape the crash</v>
      </c>
      <c r="D1039" s="5" t="s">
        <v>2464</v>
      </c>
      <c r="E1039" s="4">
        <v>139869</v>
      </c>
    </row>
    <row r="1040" spans="1:5" ht="13.5" hidden="1" customHeight="1">
      <c r="A1040" s="4" t="s">
        <v>2399</v>
      </c>
      <c r="B1040" s="4" t="s">
        <v>2465</v>
      </c>
      <c r="C1040" s="4" t="str">
        <f ca="1">IFERROR(__xludf.DUMMYFUNCTION("GOOGLETRANSLATE(D:D,""auto"",""en"")"),"3D Shark sweater")</f>
        <v>3D Shark sweater</v>
      </c>
      <c r="D1040" s="5" t="s">
        <v>2466</v>
      </c>
      <c r="E1040" s="4">
        <v>135059</v>
      </c>
    </row>
    <row r="1041" spans="1:5" ht="13.5" hidden="1" customHeight="1">
      <c r="A1041" s="4" t="s">
        <v>2447</v>
      </c>
      <c r="B1041" s="4" t="s">
        <v>2467</v>
      </c>
      <c r="C1041" s="4" t="str">
        <f ca="1">IFERROR(__xludf.DUMMYFUNCTION("GOOGLETRANSLATE(D:D,""auto"",""en"")"),"Nanjing will put a thousand AED equipment")</f>
        <v>Nanjing will put a thousand AED equipment</v>
      </c>
      <c r="D1041" s="5" t="s">
        <v>2468</v>
      </c>
      <c r="E1041" s="4">
        <v>134084</v>
      </c>
    </row>
    <row r="1042" spans="1:5" ht="13.5" hidden="1" customHeight="1">
      <c r="A1042" s="4" t="s">
        <v>2469</v>
      </c>
      <c r="B1042" s="4" t="s">
        <v>2470</v>
      </c>
      <c r="C1042" s="4" t="str">
        <f ca="1">IFERROR(__xludf.DUMMYFUNCTION("GOOGLETRANSLATE(D:D,""auto"",""en"")"),"Money heels")</f>
        <v>Money heels</v>
      </c>
      <c r="D1042" s="5" t="s">
        <v>2471</v>
      </c>
      <c r="E1042" s="4">
        <v>128053</v>
      </c>
    </row>
    <row r="1043" spans="1:5" ht="13.5" hidden="1" customHeight="1">
      <c r="A1043" s="4" t="s">
        <v>2472</v>
      </c>
      <c r="B1043" s="4" t="s">
        <v>2473</v>
      </c>
      <c r="C1043" s="4" t="str">
        <f ca="1">IFERROR(__xludf.DUMMYFUNCTION("GOOGLETRANSLATE(D:D,""auto"",""en"")"),"Wei Chuanzhong accused of taking bribes over 120 million")</f>
        <v>Wei Chuanzhong accused of taking bribes over 120 million</v>
      </c>
      <c r="D1043" s="5" t="s">
        <v>2474</v>
      </c>
      <c r="E1043" s="4">
        <v>125949</v>
      </c>
    </row>
    <row r="1044" spans="1:5" ht="13.5" hidden="1" customHeight="1">
      <c r="A1044" s="4" t="s">
        <v>2475</v>
      </c>
      <c r="B1044" s="4" t="s">
        <v>2476</v>
      </c>
      <c r="C1044" s="4" t="str">
        <f ca="1">IFERROR(__xludf.DUMMYFUNCTION("GOOGLETRANSLATE(D:D,""auto"",""en"")"),"Doctors diversion blood type")</f>
        <v>Doctors diversion blood type</v>
      </c>
      <c r="D1044" s="5" t="s">
        <v>2477</v>
      </c>
      <c r="E1044" s="4">
        <v>122943</v>
      </c>
    </row>
    <row r="1045" spans="1:5" ht="13.5" hidden="1" customHeight="1">
      <c r="A1045" s="4" t="s">
        <v>2478</v>
      </c>
      <c r="B1045" s="4" t="s">
        <v>2470</v>
      </c>
      <c r="C1045" s="4" t="str">
        <f ca="1">IFERROR(__xludf.DUMMYFUNCTION("GOOGLETRANSLATE(D:D,""auto"",""en"")"),"Penumbral eclipse")</f>
        <v>Penumbral eclipse</v>
      </c>
      <c r="D1045" s="5" t="s">
        <v>2479</v>
      </c>
      <c r="E1045" s="4">
        <v>120899</v>
      </c>
    </row>
    <row r="1046" spans="1:5" ht="13.5" hidden="1" customHeight="1">
      <c r="A1046" s="4" t="s">
        <v>2478</v>
      </c>
      <c r="B1046" s="4" t="s">
        <v>2480</v>
      </c>
      <c r="C1046" s="4" t="str">
        <f ca="1">IFERROR(__xludf.DUMMYFUNCTION("GOOGLETRANSLATE(D:D,""auto"",""en"")"),"The same reason the same damn world")</f>
        <v>The same reason the same damn world</v>
      </c>
      <c r="D1046" s="5" t="s">
        <v>2481</v>
      </c>
      <c r="E1046" s="4">
        <v>106562</v>
      </c>
    </row>
    <row r="1047" spans="1:5" ht="13.5" hidden="1" customHeight="1">
      <c r="A1047" s="4" t="s">
        <v>2462</v>
      </c>
      <c r="B1047" s="4" t="s">
        <v>2482</v>
      </c>
      <c r="C1047" s="4" t="str">
        <f ca="1">IFERROR(__xludf.DUMMYFUNCTION("GOOGLETRANSLATE(D:D,""auto"",""en"")"),"When the conductor cosmetics sold drugs")</f>
        <v>When the conductor cosmetics sold drugs</v>
      </c>
      <c r="D1047" s="5" t="s">
        <v>2483</v>
      </c>
      <c r="E1047" s="4">
        <v>105903</v>
      </c>
    </row>
    <row r="1048" spans="1:5" ht="13.5" hidden="1" customHeight="1">
      <c r="A1048" s="4" t="s">
        <v>2478</v>
      </c>
      <c r="B1048" s="4" t="s">
        <v>2484</v>
      </c>
      <c r="C1048" s="4" t="str">
        <f ca="1">IFERROR(__xludf.DUMMYFUNCTION("GOOGLETRANSLATE(D:D,""auto"",""en"")"),"Frozen beautiful town")</f>
        <v>Frozen beautiful town</v>
      </c>
      <c r="D1048" s="5" t="s">
        <v>2485</v>
      </c>
      <c r="E1048" s="4">
        <v>97206</v>
      </c>
    </row>
    <row r="1049" spans="1:5" ht="13.5" hidden="1" customHeight="1">
      <c r="A1049" s="4" t="s">
        <v>2486</v>
      </c>
      <c r="B1049" s="4" t="s">
        <v>2304</v>
      </c>
      <c r="C1049" s="4" t="str">
        <f ca="1">IFERROR(__xludf.DUMMYFUNCTION("GOOGLETRANSLATE(D:D,""auto"",""en"")"),"Guangzhou in the end how beautiful")</f>
        <v>Guangzhou in the end how beautiful</v>
      </c>
      <c r="D1049" s="5" t="s">
        <v>2487</v>
      </c>
      <c r="E1049" s="4">
        <v>70437</v>
      </c>
    </row>
    <row r="1050" spans="1:5" ht="13.5" hidden="1" customHeight="1">
      <c r="C1050" s="4" t="str">
        <f ca="1">IFERROR(__xludf.DUMMYFUNCTION("GOOGLETRANSLATE(D:D,""auto"",""en"")"),"#VALUE!")</f>
        <v>#VALUE!</v>
      </c>
    </row>
    <row r="1051" spans="1:5" ht="13.5" hidden="1" customHeight="1">
      <c r="A1051" s="4" t="s">
        <v>2488</v>
      </c>
      <c r="B1051" s="4" t="s">
        <v>2489</v>
      </c>
      <c r="C1051" s="4" t="str">
        <f ca="1">IFERROR(__xludf.DUMMYFUNCTION("GOOGLETRANSLATE(D:D,""auto"",""en"")"),"Han Kan Kiyoko chat true friend")</f>
        <v>Han Kan Kiyoko chat true friend</v>
      </c>
      <c r="D1051" s="4" t="s">
        <v>2490</v>
      </c>
      <c r="E1051" s="4">
        <v>3622387</v>
      </c>
    </row>
    <row r="1052" spans="1:5" ht="13.5" hidden="1" customHeight="1">
      <c r="A1052" s="4" t="s">
        <v>2491</v>
      </c>
      <c r="B1052" s="4" t="s">
        <v>2433</v>
      </c>
      <c r="C1052" s="4" t="str">
        <f ca="1">IFERROR(__xludf.DUMMYFUNCTION("GOOGLETRANSLATE(D:D,""auto"",""en"")"),"2019 explosion models newborn names")</f>
        <v>2019 explosion models newborn names</v>
      </c>
      <c r="D1052" s="5" t="s">
        <v>2492</v>
      </c>
      <c r="E1052" s="4">
        <v>2100833</v>
      </c>
    </row>
    <row r="1053" spans="1:5" ht="13.5" hidden="1" customHeight="1">
      <c r="A1053" s="4" t="s">
        <v>2493</v>
      </c>
      <c r="B1053" s="4" t="s">
        <v>2494</v>
      </c>
      <c r="C1053" s="4" t="str">
        <f ca="1">IFERROR(__xludf.DUMMYFUNCTION("GOOGLETRANSLATE(D:D,""auto"",""en"")"),"Deng Jiajia acting")</f>
        <v>Deng Jiajia acting</v>
      </c>
      <c r="D1053" s="5" t="s">
        <v>2495</v>
      </c>
      <c r="E1053" s="4">
        <v>1705627</v>
      </c>
    </row>
    <row r="1054" spans="1:5" ht="13.5" hidden="1" customHeight="1">
      <c r="A1054" s="4" t="s">
        <v>2496</v>
      </c>
      <c r="B1054" s="4" t="s">
        <v>2458</v>
      </c>
      <c r="C1054" s="4" t="str">
        <f ca="1">IFERROR(__xludf.DUMMYFUNCTION("GOOGLETRANSLATE(D:D,""auto"",""en"")"),"Lou Yi Xiao Fei Hu audition screen")</f>
        <v>Lou Yi Xiao Fei Hu audition screen</v>
      </c>
      <c r="D1054" s="5" t="s">
        <v>2497</v>
      </c>
      <c r="E1054" s="4">
        <v>1510191</v>
      </c>
    </row>
    <row r="1055" spans="1:5" ht="13.5" hidden="1" customHeight="1">
      <c r="A1055" s="4" t="s">
        <v>2498</v>
      </c>
      <c r="B1055" s="4" t="s">
        <v>2499</v>
      </c>
      <c r="C1055" s="4" t="str">
        <f ca="1">IFERROR(__xludf.DUMMYFUNCTION("GOOGLETRANSLATE(D:D,""auto"",""en"")"),"How are you so good-looking values")</f>
        <v>How are you so good-looking values</v>
      </c>
      <c r="D1055" s="5" t="s">
        <v>2500</v>
      </c>
      <c r="E1055" s="4">
        <v>1477860</v>
      </c>
    </row>
    <row r="1056" spans="1:5" ht="13.5" hidden="1" customHeight="1">
      <c r="A1056" s="4" t="s">
        <v>2501</v>
      </c>
      <c r="B1056" s="4" t="s">
        <v>2502</v>
      </c>
      <c r="C1056" s="4" t="str">
        <f ca="1">IFERROR(__xludf.DUMMYFUNCTION("GOOGLETRANSLATE(D:D,""auto"",""en"")"),"Shanghai Bank to respond to reports")</f>
        <v>Shanghai Bank to respond to reports</v>
      </c>
      <c r="D1056" s="5" t="s">
        <v>2503</v>
      </c>
      <c r="E1056" s="4">
        <v>1400525</v>
      </c>
    </row>
    <row r="1057" spans="1:6" ht="13.5" customHeight="1">
      <c r="A1057" s="4" t="s">
        <v>2504</v>
      </c>
      <c r="B1057" s="4" t="s">
        <v>2505</v>
      </c>
      <c r="C1057" s="4" t="str">
        <f ca="1">IFERROR(__xludf.DUMMYFUNCTION("GOOGLETRANSLATE(D:D,""auto"",""en"")"),"Wuhan unexplained pneumonia resulting in one death")</f>
        <v>Wuhan unexplained pneumonia resulting in one death</v>
      </c>
      <c r="D1057" s="5" t="s">
        <v>2506</v>
      </c>
      <c r="E1057" s="4">
        <v>1336610</v>
      </c>
      <c r="F1057">
        <v>1</v>
      </c>
    </row>
    <row r="1058" spans="1:6" ht="13.5" hidden="1" customHeight="1">
      <c r="A1058" s="4" t="s">
        <v>2507</v>
      </c>
      <c r="B1058" s="4" t="s">
        <v>2508</v>
      </c>
      <c r="C1058" s="4" t="str">
        <f ca="1">IFERROR(__xludf.DUMMYFUNCTION("GOOGLETRANSLATE(D:D,""auto"",""en"")"),"Deputy director of Physicians playing court in administrative detention")</f>
        <v>Deputy director of Physicians playing court in administrative detention</v>
      </c>
      <c r="D1058" s="5" t="s">
        <v>2509</v>
      </c>
      <c r="E1058" s="4">
        <v>1220426</v>
      </c>
    </row>
    <row r="1059" spans="1:6" ht="13.5" hidden="1" customHeight="1">
      <c r="A1059" s="4" t="s">
        <v>2496</v>
      </c>
      <c r="B1059" s="4" t="s">
        <v>2510</v>
      </c>
      <c r="C1059" s="4" t="str">
        <f ca="1">IFERROR(__xludf.DUMMYFUNCTION("GOOGLETRANSLATE(D:D,""auto"",""en"")"),"Disney Princess Earrings")</f>
        <v>Disney Princess Earrings</v>
      </c>
      <c r="D1059" s="5" t="s">
        <v>2511</v>
      </c>
      <c r="E1059" s="4">
        <v>1166825</v>
      </c>
    </row>
    <row r="1060" spans="1:6" ht="13.5" hidden="1" customHeight="1">
      <c r="A1060" s="4" t="s">
        <v>2512</v>
      </c>
      <c r="B1060" s="4" t="s">
        <v>2513</v>
      </c>
      <c r="C1060" s="4" t="str">
        <f ca="1">IFERROR(__xludf.DUMMYFUNCTION("GOOGLETRANSLATE(D:D,""auto"",""en"")"),"Chen Kun for his son birthday")</f>
        <v>Chen Kun for his son birthday</v>
      </c>
      <c r="D1060" s="5" t="s">
        <v>2514</v>
      </c>
      <c r="E1060" s="4">
        <v>1084150</v>
      </c>
    </row>
    <row r="1061" spans="1:6" ht="13.5" hidden="1" customHeight="1">
      <c r="A1061" s="4" t="s">
        <v>2515</v>
      </c>
      <c r="B1061" s="4" t="s">
        <v>2516</v>
      </c>
      <c r="C1061" s="4" t="str">
        <f ca="1">IFERROR(__xludf.DUMMYFUNCTION("GOOGLETRANSLATE(D:D,""auto"",""en"")"),"Chinatown Holmes network drama reversal")</f>
        <v>Chinatown Holmes network drama reversal</v>
      </c>
      <c r="D1061" s="5" t="s">
        <v>2517</v>
      </c>
      <c r="E1061" s="4">
        <v>1082585</v>
      </c>
    </row>
    <row r="1062" spans="1:6" ht="13.5" hidden="1" customHeight="1">
      <c r="A1062" s="4" t="s">
        <v>2518</v>
      </c>
      <c r="B1062" s="4" t="s">
        <v>2519</v>
      </c>
      <c r="C1062" s="4" t="str">
        <f ca="1">IFERROR(__xludf.DUMMYFUNCTION("GOOGLETRANSLATE(D:D,""auto"",""en"")"),"Guangdong motorcycle army managing to return home")</f>
        <v>Guangdong motorcycle army managing to return home</v>
      </c>
      <c r="D1062" s="5" t="s">
        <v>2520</v>
      </c>
      <c r="E1062" s="4">
        <v>1008329</v>
      </c>
    </row>
    <row r="1063" spans="1:6" ht="13.5" hidden="1" customHeight="1">
      <c r="A1063" s="4" t="s">
        <v>2521</v>
      </c>
      <c r="B1063" s="4" t="s">
        <v>2522</v>
      </c>
      <c r="C1063" s="4" t="str">
        <f ca="1">IFERROR(__xludf.DUMMYFUNCTION("GOOGLETRANSLATE(D:D,""auto"",""en"")"),"Lakers Lone Ranger")</f>
        <v>Lakers Lone Ranger</v>
      </c>
      <c r="D1063" s="5" t="s">
        <v>2523</v>
      </c>
      <c r="E1063" s="4">
        <v>879031</v>
      </c>
    </row>
    <row r="1064" spans="1:6" ht="13.5" hidden="1" customHeight="1">
      <c r="A1064" s="4" t="s">
        <v>2375</v>
      </c>
      <c r="B1064" s="4" t="s">
        <v>2376</v>
      </c>
      <c r="C1064" s="4" t="str">
        <f ca="1">IFERROR(__xludf.DUMMYFUNCTION("GOOGLETRANSLATE(D:D,""auto"",""en"")"),"Jose wear skirts")</f>
        <v>Jose wear skirts</v>
      </c>
      <c r="D1064" s="5" t="s">
        <v>2377</v>
      </c>
      <c r="E1064" s="4">
        <v>813212</v>
      </c>
    </row>
    <row r="1065" spans="1:6" ht="13.5" hidden="1" customHeight="1">
      <c r="A1065" s="4" t="s">
        <v>2524</v>
      </c>
      <c r="B1065" s="4" t="s">
        <v>2525</v>
      </c>
      <c r="C1065" s="4" t="str">
        <f ca="1">IFERROR(__xludf.DUMMYFUNCTION("GOOGLETRANSLATE(D:D,""auto"",""en"")"),"Jay is the mother Zhang Jing camera")</f>
        <v>Jay is the mother Zhang Jing camera</v>
      </c>
      <c r="D1065" s="5" t="s">
        <v>2526</v>
      </c>
      <c r="E1065" s="4">
        <v>798807</v>
      </c>
    </row>
    <row r="1066" spans="1:6" ht="13.5" hidden="1" customHeight="1">
      <c r="A1066" s="4" t="s">
        <v>2527</v>
      </c>
      <c r="B1066" s="4" t="s">
        <v>2528</v>
      </c>
      <c r="C1066" s="4" t="str">
        <f ca="1">IFERROR(__xludf.DUMMYFUNCTION("GOOGLETRANSLATE(D:D,""auto"",""en"")"),"Tencent NBA")</f>
        <v>Tencent NBA</v>
      </c>
      <c r="D1066" s="5" t="s">
        <v>2529</v>
      </c>
      <c r="E1066" s="4">
        <v>562621</v>
      </c>
    </row>
    <row r="1067" spans="1:6" ht="13.5" hidden="1" customHeight="1">
      <c r="A1067" s="4" t="s">
        <v>2530</v>
      </c>
      <c r="B1067" s="4" t="s">
        <v>2508</v>
      </c>
      <c r="C1067" s="4" t="str">
        <f ca="1">IFERROR(__xludf.DUMMYFUNCTION("GOOGLETRANSLATE(D:D,""auto"",""en"")"),"How old can no longer receive gift money")</f>
        <v>How old can no longer receive gift money</v>
      </c>
      <c r="D1067" s="5" t="s">
        <v>2531</v>
      </c>
      <c r="E1067" s="4">
        <v>560879</v>
      </c>
    </row>
    <row r="1068" spans="1:6" ht="13.5" hidden="1" customHeight="1">
      <c r="A1068" s="4" t="s">
        <v>2532</v>
      </c>
      <c r="B1068" s="4" t="s">
        <v>2519</v>
      </c>
      <c r="C1068" s="4" t="str">
        <f ca="1">IFERROR(__xludf.DUMMYFUNCTION("GOOGLETRANSLATE(D:D,""auto"",""en"")"),"Women take time off between model to his son fitted marriage room")</f>
        <v>Women take time off between model to his son fitted marriage room</v>
      </c>
      <c r="D1068" s="5" t="s">
        <v>2533</v>
      </c>
      <c r="E1068" s="4">
        <v>507802</v>
      </c>
    </row>
    <row r="1069" spans="1:6" ht="13.5" hidden="1" customHeight="1">
      <c r="A1069" s="4" t="s">
        <v>2534</v>
      </c>
      <c r="B1069" s="4" t="s">
        <v>2535</v>
      </c>
      <c r="C1069" s="4" t="str">
        <f ca="1">IFERROR(__xludf.DUMMYFUNCTION("GOOGLETRANSLATE(D:D,""auto"",""en"")"),"Trump said he should be given the Nobel Peace Prize")</f>
        <v>Trump said he should be given the Nobel Peace Prize</v>
      </c>
      <c r="D1069" s="5" t="s">
        <v>2536</v>
      </c>
      <c r="E1069" s="4">
        <v>506727</v>
      </c>
    </row>
    <row r="1070" spans="1:6" ht="13.5" hidden="1" customHeight="1">
      <c r="A1070" s="4" t="s">
        <v>2537</v>
      </c>
      <c r="B1070" s="4" t="s">
        <v>2387</v>
      </c>
      <c r="C1070" s="4" t="str">
        <f ca="1">IFERROR(__xludf.DUMMYFUNCTION("GOOGLETRANSLATE(D:D,""auto"",""en"")"),"Oh Se-hoon pushed Pu Canlie Airport")</f>
        <v>Oh Se-hoon pushed Pu Canlie Airport</v>
      </c>
      <c r="D1070" s="5" t="s">
        <v>2538</v>
      </c>
      <c r="E1070" s="4">
        <v>478571</v>
      </c>
    </row>
    <row r="1071" spans="1:6" ht="13.5" hidden="1" customHeight="1">
      <c r="A1071" s="4" t="s">
        <v>2539</v>
      </c>
      <c r="B1071" s="4" t="s">
        <v>2540</v>
      </c>
      <c r="C1071" s="4" t="str">
        <f ca="1">IFERROR(__xludf.DUMMYFUNCTION("GOOGLETRANSLATE(D:D,""auto"",""en"")"),"The world really is not worth it")</f>
        <v>The world really is not worth it</v>
      </c>
      <c r="D1071" s="5" t="s">
        <v>2541</v>
      </c>
      <c r="E1071" s="4">
        <v>443317</v>
      </c>
    </row>
    <row r="1072" spans="1:6" ht="13.5" hidden="1" customHeight="1">
      <c r="A1072" s="4" t="s">
        <v>2498</v>
      </c>
      <c r="B1072" s="4" t="s">
        <v>2542</v>
      </c>
      <c r="C1072" s="4" t="str">
        <f ca="1">IFERROR(__xludf.DUMMYFUNCTION("GOOGLETRANSLATE(D:D,""auto"",""en"")"),"After 95 Secret fried shoe group")</f>
        <v>After 95 Secret fried shoe group</v>
      </c>
      <c r="D1072" s="5" t="s">
        <v>2543</v>
      </c>
      <c r="E1072" s="4">
        <v>344666</v>
      </c>
    </row>
    <row r="1073" spans="1:5" ht="13.5" hidden="1" customHeight="1">
      <c r="A1073" s="4" t="s">
        <v>2544</v>
      </c>
      <c r="B1073" s="4" t="s">
        <v>2384</v>
      </c>
      <c r="C1073" s="4" t="str">
        <f ca="1">IFERROR(__xludf.DUMMYFUNCTION("GOOGLETRANSLATE(D:D,""auto"",""en"")"),"Japan apologize coffee machine")</f>
        <v>Japan apologize coffee machine</v>
      </c>
      <c r="D1073" s="5" t="s">
        <v>2545</v>
      </c>
      <c r="E1073" s="4">
        <v>305215</v>
      </c>
    </row>
    <row r="1074" spans="1:5" ht="13.5" hidden="1" customHeight="1">
      <c r="A1074" s="4" t="s">
        <v>2546</v>
      </c>
      <c r="B1074" s="4" t="s">
        <v>2547</v>
      </c>
      <c r="C1074" s="4" t="str">
        <f ca="1">IFERROR(__xludf.DUMMYFUNCTION("GOOGLETRANSLATE(D:D,""auto"",""en"")"),"Have you seen the little eyes very nice people")</f>
        <v>Have you seen the little eyes very nice people</v>
      </c>
      <c r="D1074" s="5" t="s">
        <v>2548</v>
      </c>
      <c r="E1074" s="4">
        <v>275161</v>
      </c>
    </row>
    <row r="1075" spans="1:5" ht="13.5" hidden="1" customHeight="1">
      <c r="A1075" s="4" t="s">
        <v>2549</v>
      </c>
      <c r="B1075" s="4" t="s">
        <v>2550</v>
      </c>
      <c r="C1075" s="4" t="str">
        <f ca="1">IFERROR(__xludf.DUMMYFUNCTION("GOOGLETRANSLATE(D:D,""auto"",""en"")"),"Lisa open microblogging")</f>
        <v>Lisa open microblogging</v>
      </c>
      <c r="D1075" s="5" t="s">
        <v>2551</v>
      </c>
      <c r="E1075" s="4">
        <v>261419</v>
      </c>
    </row>
    <row r="1076" spans="1:5" ht="13.5" hidden="1" customHeight="1">
      <c r="A1076" s="4" t="s">
        <v>2552</v>
      </c>
      <c r="B1076" s="4" t="s">
        <v>2553</v>
      </c>
      <c r="C1076" s="4" t="str">
        <f ca="1">IFERROR(__xludf.DUMMYFUNCTION("GOOGLETRANSLATE(D:D,""auto"",""en"")"),"Dilly Reba cheongsam style")</f>
        <v>Dilly Reba cheongsam style</v>
      </c>
      <c r="D1076" s="5" t="s">
        <v>2554</v>
      </c>
      <c r="E1076" s="4">
        <v>258363</v>
      </c>
    </row>
    <row r="1077" spans="1:5" ht="13.5" hidden="1" customHeight="1">
      <c r="A1077" s="4" t="s">
        <v>2501</v>
      </c>
      <c r="B1077" s="4" t="s">
        <v>2450</v>
      </c>
      <c r="C1077" s="4" t="str">
        <f ca="1">IFERROR(__xludf.DUMMYFUNCTION("GOOGLETRANSLATE(D:D,""auto"",""en"")"),"Japanese women-only cars discontent")</f>
        <v>Japanese women-only cars discontent</v>
      </c>
      <c r="D1077" s="5" t="s">
        <v>2555</v>
      </c>
      <c r="E1077" s="4">
        <v>219816</v>
      </c>
    </row>
    <row r="1078" spans="1:5" ht="13.5" hidden="1" customHeight="1">
      <c r="A1078" s="4" t="s">
        <v>2556</v>
      </c>
      <c r="B1078" s="4" t="s">
        <v>2424</v>
      </c>
      <c r="C1078" s="4" t="str">
        <f ca="1">IFERROR(__xludf.DUMMYFUNCTION("GOOGLETRANSLATE(D:D,""auto"",""en"")"),"Look back on the heart of the boys")</f>
        <v>Look back on the heart of the boys</v>
      </c>
      <c r="D1078" s="5" t="s">
        <v>2557</v>
      </c>
      <c r="E1078" s="4">
        <v>207108</v>
      </c>
    </row>
    <row r="1079" spans="1:5" ht="13.5" hidden="1" customHeight="1">
      <c r="A1079" s="4" t="s">
        <v>2558</v>
      </c>
      <c r="B1079" s="4" t="s">
        <v>2559</v>
      </c>
      <c r="C1079" s="4" t="str">
        <f ca="1">IFERROR(__xludf.DUMMYFUNCTION("GOOGLETRANSLATE(D:D,""auto"",""en"")"),"Do you have any strange physiological phenomena")</f>
        <v>Do you have any strange physiological phenomena</v>
      </c>
      <c r="D1079" s="5" t="s">
        <v>2560</v>
      </c>
      <c r="E1079" s="4">
        <v>200649</v>
      </c>
    </row>
    <row r="1080" spans="1:5" ht="13.5" hidden="1" customHeight="1">
      <c r="A1080" s="4" t="s">
        <v>2561</v>
      </c>
      <c r="B1080" s="4" t="s">
        <v>2458</v>
      </c>
      <c r="C1080" s="4" t="str">
        <f ca="1">IFERROR(__xludf.DUMMYFUNCTION("GOOGLETRANSLATE(D:D,""auto"",""en"")"),"Tang Wei lines")</f>
        <v>Tang Wei lines</v>
      </c>
      <c r="D1080" s="5" t="s">
        <v>2562</v>
      </c>
      <c r="E1080" s="4">
        <v>198615</v>
      </c>
    </row>
    <row r="1081" spans="1:5" ht="13.5" hidden="1" customHeight="1">
      <c r="A1081" s="4" t="s">
        <v>2563</v>
      </c>
      <c r="B1081" s="4" t="s">
        <v>2547</v>
      </c>
      <c r="C1081" s="4" t="str">
        <f ca="1">IFERROR(__xludf.DUMMYFUNCTION("GOOGLETRANSLATE(D:D,""auto"",""en"")"),"How dad can spoil his daughter")</f>
        <v>How dad can spoil his daughter</v>
      </c>
      <c r="D1081" s="5" t="s">
        <v>2564</v>
      </c>
      <c r="E1081" s="4">
        <v>195770</v>
      </c>
    </row>
    <row r="1082" spans="1:5" ht="13.5" hidden="1" customHeight="1">
      <c r="A1082" s="4" t="s">
        <v>2565</v>
      </c>
      <c r="B1082" s="4" t="s">
        <v>2458</v>
      </c>
      <c r="C1082" s="4" t="str">
        <f ca="1">IFERROR(__xludf.DUMMYFUNCTION("GOOGLETRANSLATE(D:D,""auto"",""en"")"),"Xu Weizhou I love a good walk")</f>
        <v>Xu Weizhou I love a good walk</v>
      </c>
      <c r="D1082" s="5" t="s">
        <v>2566</v>
      </c>
      <c r="E1082" s="4">
        <v>191684</v>
      </c>
    </row>
    <row r="1083" spans="1:5" ht="13.5" hidden="1" customHeight="1">
      <c r="A1083" s="4" t="s">
        <v>2438</v>
      </c>
      <c r="B1083" s="4" t="s">
        <v>2439</v>
      </c>
      <c r="C1083" s="4" t="str">
        <f ca="1">IFERROR(__xludf.DUMMYFUNCTION("GOOGLETRANSLATE(D:D,""auto"",""en"")"),"Trump recommendations in the Middle East to join NATO")</f>
        <v>Trump recommendations in the Middle East to join NATO</v>
      </c>
      <c r="D1083" s="5" t="s">
        <v>2440</v>
      </c>
      <c r="E1083" s="4">
        <v>162532</v>
      </c>
    </row>
    <row r="1084" spans="1:5" ht="13.5" hidden="1" customHeight="1">
      <c r="A1084" s="4" t="s">
        <v>2567</v>
      </c>
      <c r="B1084" s="4" t="s">
        <v>2568</v>
      </c>
      <c r="C1084" s="4" t="str">
        <f ca="1">IFERROR(__xludf.DUMMYFUNCTION("GOOGLETRANSLATE(D:D,""auto"",""en"")"),"Quetta, Pakistan mosque explosion")</f>
        <v>Quetta, Pakistan mosque explosion</v>
      </c>
      <c r="D1084" s="5" t="s">
        <v>2569</v>
      </c>
      <c r="E1084" s="4">
        <v>159769</v>
      </c>
    </row>
    <row r="1085" spans="1:5" ht="13.5" hidden="1" customHeight="1">
      <c r="A1085" s="4" t="s">
        <v>2570</v>
      </c>
      <c r="B1085" s="4" t="s">
        <v>2571</v>
      </c>
      <c r="C1085" s="4" t="str">
        <f ca="1">IFERROR(__xludf.DUMMYFUNCTION("GOOGLETRANSLATE(D:D,""auto"",""en"")"),"No concept of their own color value")</f>
        <v>No concept of their own color value</v>
      </c>
      <c r="D1085" s="5" t="s">
        <v>2572</v>
      </c>
      <c r="E1085" s="4">
        <v>154953</v>
      </c>
    </row>
    <row r="1086" spans="1:5" ht="13.5" hidden="1" customHeight="1">
      <c r="A1086" s="4" t="s">
        <v>2573</v>
      </c>
      <c r="B1086" s="4" t="s">
        <v>2574</v>
      </c>
      <c r="C1086" s="4" t="str">
        <f ca="1">IFERROR(__xludf.DUMMYFUNCTION("GOOGLETRANSLATE(D:D,""auto"",""en"")"),"2020 first dream to marry")</f>
        <v>2020 first dream to marry</v>
      </c>
      <c r="D1086" s="5" t="s">
        <v>2575</v>
      </c>
      <c r="E1086" s="4">
        <v>152753</v>
      </c>
    </row>
    <row r="1087" spans="1:5" ht="13.5" hidden="1" customHeight="1">
      <c r="A1087" s="4" t="s">
        <v>2576</v>
      </c>
      <c r="B1087" s="4" t="s">
        <v>2577</v>
      </c>
      <c r="C1087" s="4" t="str">
        <f ca="1">IFERROR(__xludf.DUMMYFUNCTION("GOOGLETRANSLATE(D:D,""auto"",""en"")"),"Spring Festival travel expenses to poor school germinal")</f>
        <v>Spring Festival travel expenses to poor school germinal</v>
      </c>
      <c r="D1087" s="5" t="s">
        <v>2578</v>
      </c>
      <c r="E1087" s="4">
        <v>142541</v>
      </c>
    </row>
    <row r="1088" spans="1:5" ht="13.5" hidden="1" customHeight="1">
      <c r="A1088" s="4" t="s">
        <v>2579</v>
      </c>
      <c r="B1088" s="4" t="s">
        <v>2399</v>
      </c>
      <c r="C1088" s="4" t="str">
        <f ca="1">IFERROR(__xludf.DUMMYFUNCTION("GOOGLETRANSLATE(D:D,""auto"",""en"")"),"Ronghao rap song")</f>
        <v>Ronghao rap song</v>
      </c>
      <c r="D1088" s="5" t="s">
        <v>2580</v>
      </c>
      <c r="E1088" s="4">
        <v>138979</v>
      </c>
    </row>
    <row r="1089" spans="1:6" ht="13.5" hidden="1" customHeight="1">
      <c r="A1089" s="4" t="s">
        <v>2581</v>
      </c>
      <c r="B1089" s="4" t="s">
        <v>2542</v>
      </c>
      <c r="C1089" s="4" t="str">
        <f ca="1">IFERROR(__xludf.DUMMYFUNCTION("GOOGLETRANSLATE(D:D,""auto"",""en"")"),"The country's first electronic seals")</f>
        <v>The country's first electronic seals</v>
      </c>
      <c r="D1089" s="5" t="s">
        <v>2582</v>
      </c>
      <c r="E1089" s="4">
        <v>137796</v>
      </c>
    </row>
    <row r="1090" spans="1:6" ht="13.5" hidden="1" customHeight="1">
      <c r="A1090" s="4" t="s">
        <v>2372</v>
      </c>
      <c r="B1090" s="4" t="s">
        <v>2510</v>
      </c>
      <c r="C1090" s="4" t="str">
        <f ca="1">IFERROR(__xludf.DUMMYFUNCTION("GOOGLETRANSLATE(D:D,""auto"",""en"")"),"Zhou Jihong was elected President of the Chinese Association of Diving")</f>
        <v>Zhou Jihong was elected President of the Chinese Association of Diving</v>
      </c>
      <c r="D1090" s="5" t="s">
        <v>2583</v>
      </c>
      <c r="E1090" s="4">
        <v>132081</v>
      </c>
    </row>
    <row r="1091" spans="1:6" ht="13.5" hidden="1" customHeight="1">
      <c r="A1091" s="4" t="s">
        <v>2584</v>
      </c>
      <c r="B1091" s="4" t="s">
        <v>2585</v>
      </c>
      <c r="C1091" s="4" t="str">
        <f ca="1">IFERROR(__xludf.DUMMYFUNCTION("GOOGLETRANSLATE(D:D,""auto"",""en"")"),"Intimate encounter funniest thing")</f>
        <v>Intimate encounter funniest thing</v>
      </c>
      <c r="D1091" s="5" t="s">
        <v>2586</v>
      </c>
      <c r="E1091" s="4">
        <v>128968</v>
      </c>
    </row>
    <row r="1092" spans="1:6" ht="13.5" hidden="1" customHeight="1">
      <c r="A1092" s="4" t="s">
        <v>2587</v>
      </c>
      <c r="B1092" s="4" t="s">
        <v>2588</v>
      </c>
      <c r="C1092" s="4" t="str">
        <f ca="1">IFERROR(__xludf.DUMMYFUNCTION("GOOGLETRANSLATE(D:D,""auto"",""en"")"),"Military outpost allotted to a cat a dog")</f>
        <v>Military outpost allotted to a cat a dog</v>
      </c>
      <c r="D1092" s="5" t="s">
        <v>2589</v>
      </c>
      <c r="E1092" s="4">
        <v>118570</v>
      </c>
    </row>
    <row r="1093" spans="1:6" ht="13.5" hidden="1" customHeight="1">
      <c r="A1093" s="4" t="s">
        <v>2369</v>
      </c>
      <c r="B1093" s="4" t="s">
        <v>2370</v>
      </c>
      <c r="C1093" s="4" t="str">
        <f ca="1">IFERROR(__xludf.DUMMYFUNCTION("GOOGLETRANSLATE(D:D,""auto"",""en"")"),"Nanjing Murder Murder case has ruled")</f>
        <v>Nanjing Murder Murder case has ruled</v>
      </c>
      <c r="D1093" s="5" t="s">
        <v>2371</v>
      </c>
      <c r="E1093" s="4">
        <v>116349</v>
      </c>
    </row>
    <row r="1094" spans="1:6" ht="13.5" hidden="1" customHeight="1">
      <c r="A1094" s="4" t="s">
        <v>2590</v>
      </c>
      <c r="B1094" s="4" t="s">
        <v>2591</v>
      </c>
      <c r="C1094" s="4" t="str">
        <f ca="1">IFERROR(__xludf.DUMMYFUNCTION("GOOGLETRANSLATE(D:D,""auto"",""en"")"),"Hu instrument still offline")</f>
        <v>Hu instrument still offline</v>
      </c>
      <c r="D1094" s="5" t="s">
        <v>2592</v>
      </c>
      <c r="E1094" s="4">
        <v>116230</v>
      </c>
    </row>
    <row r="1095" spans="1:6" ht="13.5" hidden="1" customHeight="1">
      <c r="A1095" s="4" t="s">
        <v>2593</v>
      </c>
      <c r="B1095" s="4" t="s">
        <v>2594</v>
      </c>
      <c r="C1095" s="4" t="str">
        <f ca="1">IFERROR(__xludf.DUMMYFUNCTION("GOOGLETRANSLATE(D:D,""auto"",""en"")"),"Suspect that their intelligence experience")</f>
        <v>Suspect that their intelligence experience</v>
      </c>
      <c r="D1095" s="5" t="s">
        <v>2595</v>
      </c>
      <c r="E1095" s="4">
        <v>112701</v>
      </c>
    </row>
    <row r="1096" spans="1:6" ht="13.5" hidden="1" customHeight="1">
      <c r="A1096" s="4" t="s">
        <v>2438</v>
      </c>
      <c r="B1096" s="4" t="s">
        <v>2585</v>
      </c>
      <c r="C1096" s="4" t="str">
        <f ca="1">IFERROR(__xludf.DUMMYFUNCTION("GOOGLETRANSLATE(D:D,""auto"",""en"")"),"2020 Spring Festival ten essential knowledge")</f>
        <v>2020 Spring Festival ten essential knowledge</v>
      </c>
      <c r="D1096" s="5" t="s">
        <v>2596</v>
      </c>
      <c r="E1096" s="4">
        <v>111371</v>
      </c>
    </row>
    <row r="1097" spans="1:6" ht="13.5" hidden="1" customHeight="1">
      <c r="A1097" s="4" t="s">
        <v>2372</v>
      </c>
      <c r="B1097" s="4" t="s">
        <v>2373</v>
      </c>
      <c r="C1097" s="4" t="str">
        <f ca="1">IFERROR(__xludf.DUMMYFUNCTION("GOOGLETRANSLATE(D:D,""auto"",""en"")"),"Dear inn")</f>
        <v>Dear inn</v>
      </c>
      <c r="D1097" s="5" t="s">
        <v>2374</v>
      </c>
      <c r="E1097" s="4">
        <v>110673</v>
      </c>
    </row>
    <row r="1098" spans="1:6" ht="13.5" customHeight="1">
      <c r="A1098" s="4" t="s">
        <v>2501</v>
      </c>
      <c r="B1098" s="4" t="s">
        <v>2597</v>
      </c>
      <c r="C1098" s="4" t="str">
        <f ca="1">IFERROR(__xludf.DUMMYFUNCTION("GOOGLETRANSLATE(D:D,""auto"",""en"")"),"Experts interpret Wuhan pneumonia of unknown causes")</f>
        <v>Experts interpret Wuhan pneumonia of unknown causes</v>
      </c>
      <c r="D1098" s="5" t="s">
        <v>2598</v>
      </c>
      <c r="E1098" s="4">
        <v>90597</v>
      </c>
      <c r="F1098">
        <v>1</v>
      </c>
    </row>
    <row r="1099" spans="1:6" ht="13.5" hidden="1" customHeight="1">
      <c r="C1099" s="4" t="str">
        <f ca="1">IFERROR(__xludf.DUMMYFUNCTION("GOOGLETRANSLATE(D:D,""auto"",""en"")"),"#VALUE!")</f>
        <v>#VALUE!</v>
      </c>
    </row>
    <row r="1100" spans="1:6" ht="13.5" hidden="1" customHeight="1">
      <c r="A1100" s="4" t="s">
        <v>2599</v>
      </c>
      <c r="B1100" s="4" t="s">
        <v>2600</v>
      </c>
      <c r="C1100" s="4" t="str">
        <f ca="1">IFERROR(__xludf.DUMMYFUNCTION("GOOGLETRANSLATE(D:D,""auto"",""en"")"),"Zhu Dan read the tongue twister hot Bana Zha")</f>
        <v>Zhu Dan read the tongue twister hot Bana Zha</v>
      </c>
      <c r="D1100" s="4" t="s">
        <v>2601</v>
      </c>
      <c r="E1100" s="4">
        <v>3560885</v>
      </c>
    </row>
    <row r="1101" spans="1:6" ht="13.5" hidden="1" customHeight="1">
      <c r="A1101" s="4" t="s">
        <v>2602</v>
      </c>
      <c r="B1101" s="4" t="s">
        <v>2603</v>
      </c>
      <c r="C1101" s="4" t="str">
        <f ca="1">IFERROR(__xludf.DUMMYFUNCTION("GOOGLETRANSLATE(D:D,""auto"",""en"")"),"Oman's death")</f>
        <v>Oman's death</v>
      </c>
      <c r="D1101" s="5" t="s">
        <v>2604</v>
      </c>
      <c r="E1101" s="4">
        <v>2458061</v>
      </c>
    </row>
    <row r="1102" spans="1:6" ht="13.5" hidden="1" customHeight="1">
      <c r="A1102" s="4" t="s">
        <v>2605</v>
      </c>
      <c r="B1102" s="4" t="s">
        <v>2606</v>
      </c>
      <c r="C1102" s="4" t="str">
        <f ca="1">IFERROR(__xludf.DUMMYFUNCTION("GOOGLETRANSLATE(D:D,""auto"",""en"")"),"Tucao Han Li Wen Wang Yibo")</f>
        <v>Tucao Han Li Wen Wang Yibo</v>
      </c>
      <c r="D1102" s="5" t="s">
        <v>2607</v>
      </c>
      <c r="E1102" s="4">
        <v>1969594</v>
      </c>
    </row>
    <row r="1103" spans="1:6" ht="13.5" hidden="1" customHeight="1">
      <c r="A1103" s="4" t="s">
        <v>2608</v>
      </c>
      <c r="B1103" s="4" t="s">
        <v>2609</v>
      </c>
      <c r="C1103" s="4" t="str">
        <f ca="1">IFERROR(__xludf.DUMMYFUNCTION("GOOGLETRANSLATE(D:D,""auto"",""en"")"),"Landing of love")</f>
        <v>Landing of love</v>
      </c>
      <c r="D1103" s="5" t="s">
        <v>2610</v>
      </c>
      <c r="E1103" s="4">
        <v>1729042</v>
      </c>
    </row>
    <row r="1104" spans="1:6" ht="13.5" hidden="1" customHeight="1">
      <c r="A1104" s="4" t="s">
        <v>2611</v>
      </c>
      <c r="B1104" s="4" t="s">
        <v>2612</v>
      </c>
      <c r="C1104" s="4" t="str">
        <f ca="1">IFERROR(__xludf.DUMMYFUNCTION("GOOGLETRANSLATE(D:D,""auto"",""en"")"),"Von salary duo Lu Siheng")</f>
        <v>Von salary duo Lu Siheng</v>
      </c>
      <c r="D1104" s="5" t="s">
        <v>2613</v>
      </c>
      <c r="E1104" s="4">
        <v>1667049</v>
      </c>
    </row>
    <row r="1105" spans="1:5" ht="13.5" hidden="1" customHeight="1">
      <c r="A1105" s="4" t="s">
        <v>2614</v>
      </c>
      <c r="B1105" s="4" t="s">
        <v>2615</v>
      </c>
      <c r="C1105" s="4" t="str">
        <f ca="1">IFERROR(__xludf.DUMMYFUNCTION("GOOGLETRANSLATE(D:D,""auto"",""en"")"),"Yan Rujing tears")</f>
        <v>Yan Rujing tears</v>
      </c>
      <c r="D1105" s="5" t="s">
        <v>2616</v>
      </c>
      <c r="E1105" s="4">
        <v>1648191</v>
      </c>
    </row>
    <row r="1106" spans="1:5" ht="13.5" hidden="1" customHeight="1">
      <c r="A1106" s="4" t="s">
        <v>2617</v>
      </c>
      <c r="B1106" s="4" t="s">
        <v>2498</v>
      </c>
      <c r="C1106" s="4" t="str">
        <f ca="1">IFERROR(__xludf.DUMMYFUNCTION("GOOGLETRANSLATE(D:D,""auto"",""en"")"),"Microblogging annual impact event")</f>
        <v>Microblogging annual impact event</v>
      </c>
      <c r="D1106" s="5" t="s">
        <v>2618</v>
      </c>
      <c r="E1106" s="4">
        <v>1642379</v>
      </c>
    </row>
    <row r="1107" spans="1:5" ht="13.5" hidden="1" customHeight="1">
      <c r="A1107" s="4" t="s">
        <v>2619</v>
      </c>
      <c r="B1107" s="4" t="s">
        <v>2620</v>
      </c>
      <c r="C1107" s="4" t="str">
        <f ca="1">IFERROR(__xludf.DUMMYFUNCTION("GOOGLETRANSLATE(D:D,""auto"",""en"")"),"Closing of reviews is acrostic of his name")</f>
        <v>Closing of reviews is acrostic of his name</v>
      </c>
      <c r="D1107" s="5" t="s">
        <v>2621</v>
      </c>
      <c r="E1107" s="4">
        <v>1603588</v>
      </c>
    </row>
    <row r="1108" spans="1:5" ht="13.5" hidden="1" customHeight="1">
      <c r="A1108" s="4" t="s">
        <v>959</v>
      </c>
      <c r="B1108" s="4" t="s">
        <v>960</v>
      </c>
      <c r="C1108" s="4" t="str">
        <f ca="1">IFERROR(__xludf.DUMMYFUNCTION("GOOGLETRANSLATE(D:D,""auto"",""en"")"),"Under Jinyi")</f>
        <v>Under Jinyi</v>
      </c>
      <c r="D1108" s="5" t="s">
        <v>961</v>
      </c>
      <c r="E1108" s="4">
        <v>1597705</v>
      </c>
    </row>
    <row r="1109" spans="1:5" ht="13.5" hidden="1" customHeight="1">
      <c r="A1109" s="4" t="s">
        <v>2622</v>
      </c>
      <c r="B1109" s="4" t="s">
        <v>2623</v>
      </c>
      <c r="C1109" s="4" t="str">
        <f ca="1">IFERROR(__xludf.DUMMYFUNCTION("GOOGLETRANSLATE(D:D,""auto"",""en"")"),"Tsai Ing-wen was elected leader of Taiwan region")</f>
        <v>Tsai Ing-wen was elected leader of Taiwan region</v>
      </c>
      <c r="D1109" s="5" t="s">
        <v>2624</v>
      </c>
      <c r="E1109" s="4">
        <v>1578577</v>
      </c>
    </row>
    <row r="1110" spans="1:5" ht="13.5" hidden="1" customHeight="1">
      <c r="A1110" s="4" t="s">
        <v>2625</v>
      </c>
      <c r="B1110" s="4" t="s">
        <v>2626</v>
      </c>
      <c r="C1110" s="4" t="str">
        <f ca="1">IFERROR(__xludf.DUMMYFUNCTION("GOOGLETRANSLATE(D:D,""auto"",""en"")"),"Zhao Liying Li Cai Xu Kun side Yan Liu Yifei now")</f>
        <v>Zhao Liying Li Cai Xu Kun side Yan Liu Yifei now</v>
      </c>
      <c r="D1110" s="5" t="s">
        <v>2627</v>
      </c>
      <c r="E1110" s="4">
        <v>1240667</v>
      </c>
    </row>
    <row r="1111" spans="1:5" ht="13.5" hidden="1" customHeight="1">
      <c r="A1111" s="4" t="s">
        <v>2628</v>
      </c>
      <c r="B1111" s="4" t="s">
        <v>2629</v>
      </c>
      <c r="C1111" s="4" t="str">
        <f ca="1">IFERROR(__xludf.DUMMYFUNCTION("GOOGLETRANSLATE(D:D,""auto"",""en"")"),"Microblogging Night")</f>
        <v>Microblogging Night</v>
      </c>
      <c r="D1111" s="5" t="s">
        <v>2630</v>
      </c>
      <c r="E1111" s="4">
        <v>1151057</v>
      </c>
    </row>
    <row r="1112" spans="1:5" ht="13.5" hidden="1" customHeight="1">
      <c r="A1112" s="4" t="s">
        <v>2631</v>
      </c>
      <c r="B1112" s="4" t="s">
        <v>2632</v>
      </c>
      <c r="C1112" s="4" t="str">
        <f ca="1">IFERROR(__xludf.DUMMYFUNCTION("GOOGLETRANSLATE(D:D,""auto"",""en"")"),"Iranian officials said the aircraft was hit details")</f>
        <v>Iranian officials said the aircraft was hit details</v>
      </c>
      <c r="D1112" s="5" t="s">
        <v>2633</v>
      </c>
      <c r="E1112" s="4">
        <v>1124304</v>
      </c>
    </row>
    <row r="1113" spans="1:5" ht="13.5" hidden="1" customHeight="1">
      <c r="A1113" s="4" t="s">
        <v>2634</v>
      </c>
      <c r="B1113" s="4" t="s">
        <v>2635</v>
      </c>
      <c r="C1113" s="4" t="str">
        <f ca="1">IFERROR(__xludf.DUMMYFUNCTION("GOOGLETRANSLATE(D:D,""auto"",""en"")"),"Chow Yun too steady a")</f>
        <v>Chow Yun too steady a</v>
      </c>
      <c r="D1113" s="5" t="s">
        <v>2636</v>
      </c>
      <c r="E1113" s="4">
        <v>1106200</v>
      </c>
    </row>
    <row r="1114" spans="1:5" ht="13.5" hidden="1" customHeight="1">
      <c r="A1114" s="4" t="s">
        <v>2637</v>
      </c>
      <c r="B1114" s="4" t="s">
        <v>2638</v>
      </c>
      <c r="C1114" s="4" t="str">
        <f ca="1">IFERROR(__xludf.DUMMYFUNCTION("GOOGLETRANSLATE(D:D,""auto"",""en"")"),"Zhang Yun with the Ma Dongmei")</f>
        <v>Zhang Yun with the Ma Dongmei</v>
      </c>
      <c r="D1114" s="5" t="s">
        <v>2639</v>
      </c>
      <c r="E1114" s="4">
        <v>1101821</v>
      </c>
    </row>
    <row r="1115" spans="1:5" ht="13.5" hidden="1" customHeight="1">
      <c r="A1115" s="4" t="s">
        <v>2640</v>
      </c>
      <c r="B1115" s="4" t="s">
        <v>2641</v>
      </c>
      <c r="C1115" s="4" t="str">
        <f ca="1">IFERROR(__xludf.DUMMYFUNCTION("GOOGLETRANSLATE(D:D,""auto"",""en"")"),"A second child oil Chen Yi")</f>
        <v>A second child oil Chen Yi</v>
      </c>
      <c r="D1115" s="5" t="s">
        <v>2642</v>
      </c>
      <c r="E1115" s="4">
        <v>1035001</v>
      </c>
    </row>
    <row r="1116" spans="1:5" ht="13.5" hidden="1" customHeight="1">
      <c r="A1116" s="4" t="s">
        <v>2643</v>
      </c>
      <c r="B1116" s="4" t="s">
        <v>2644</v>
      </c>
      <c r="C1116" s="4" t="str">
        <f ca="1">IFERROR(__xludf.DUMMYFUNCTION("GOOGLETRANSLATE(D:D,""auto"",""en"")"),"Part of the iPhone price cut trade")</f>
        <v>Part of the iPhone price cut trade</v>
      </c>
      <c r="D1116" s="5" t="s">
        <v>2645</v>
      </c>
      <c r="E1116" s="4">
        <v>873554</v>
      </c>
    </row>
    <row r="1117" spans="1:5" ht="13.5" hidden="1" customHeight="1">
      <c r="A1117" s="4" t="s">
        <v>2646</v>
      </c>
      <c r="B1117" s="4" t="s">
        <v>2647</v>
      </c>
      <c r="C1117" s="4" t="str">
        <f ca="1">IFERROR(__xludf.DUMMYFUNCTION("GOOGLETRANSLATE(D:D,""auto"",""en"")"),"Boeing confirmed that former CEO can not get any compensation for loss")</f>
        <v>Boeing confirmed that former CEO can not get any compensation for loss</v>
      </c>
      <c r="D1117" s="5" t="s">
        <v>2648</v>
      </c>
      <c r="E1117" s="4">
        <v>551850</v>
      </c>
    </row>
    <row r="1118" spans="1:5" ht="13.5" hidden="1" customHeight="1">
      <c r="A1118" s="4" t="s">
        <v>2649</v>
      </c>
      <c r="B1118" s="4" t="s">
        <v>2650</v>
      </c>
      <c r="C1118" s="4" t="str">
        <f ca="1">IFERROR(__xludf.DUMMYFUNCTION("GOOGLETRANSLATE(D:D,""auto"",""en"")"),"If you hold your predecessor suddenly")</f>
        <v>If you hold your predecessor suddenly</v>
      </c>
      <c r="D1118" s="5" t="s">
        <v>2651</v>
      </c>
      <c r="E1118" s="4">
        <v>433553</v>
      </c>
    </row>
    <row r="1119" spans="1:5" ht="13.5" hidden="1" customHeight="1">
      <c r="A1119" s="4" t="s">
        <v>2652</v>
      </c>
      <c r="B1119" s="4" t="s">
        <v>2653</v>
      </c>
      <c r="C1119" s="4" t="str">
        <f ca="1">IFERROR(__xludf.DUMMYFUNCTION("GOOGLETRANSLATE(D:D,""auto"",""en"")"),"Microblogging Night Big Three")</f>
        <v>Microblogging Night Big Three</v>
      </c>
      <c r="D1119" s="5" t="s">
        <v>2654</v>
      </c>
      <c r="E1119" s="4">
        <v>431422</v>
      </c>
    </row>
    <row r="1120" spans="1:5" ht="13.5" hidden="1" customHeight="1">
      <c r="A1120" s="4" t="s">
        <v>2655</v>
      </c>
      <c r="B1120" s="4" t="s">
        <v>2656</v>
      </c>
      <c r="C1120" s="4" t="str">
        <f ca="1">IFERROR(__xludf.DUMMYFUNCTION("GOOGLETRANSLATE(D:D,""auto"",""en"")"),"Migrant workers scrape together 28 yuan stop eating farewell dinner")</f>
        <v>Migrant workers scrape together 28 yuan stop eating farewell dinner</v>
      </c>
      <c r="D1120" s="5" t="s">
        <v>2657</v>
      </c>
      <c r="E1120" s="4">
        <v>428765</v>
      </c>
    </row>
    <row r="1121" spans="1:5" ht="13.5" hidden="1" customHeight="1">
      <c r="A1121" s="4" t="s">
        <v>1155</v>
      </c>
      <c r="B1121" s="4" t="s">
        <v>1156</v>
      </c>
      <c r="C1121" s="4" t="str">
        <f ca="1">IFERROR(__xludf.DUMMYFUNCTION("GOOGLETRANSLATE(D:D,""auto"",""en"")"),"Happy Camp")</f>
        <v>Happy Camp</v>
      </c>
      <c r="D1121" s="5" t="s">
        <v>1157</v>
      </c>
      <c r="E1121" s="4">
        <v>414155</v>
      </c>
    </row>
    <row r="1122" spans="1:5" ht="13.5" hidden="1" customHeight="1">
      <c r="A1122" s="4" t="s">
        <v>2658</v>
      </c>
      <c r="B1122" s="4" t="s">
        <v>2659</v>
      </c>
      <c r="C1122" s="4" t="str">
        <f ca="1">IFERROR(__xludf.DUMMYFUNCTION("GOOGLETRANSLATE(D:D,""auto"",""en"")"),"Illegitimate mounted monitor in love beans doorstep")</f>
        <v>Illegitimate mounted monitor in love beans doorstep</v>
      </c>
      <c r="D1122" s="5" t="s">
        <v>2660</v>
      </c>
      <c r="E1122" s="4">
        <v>407193</v>
      </c>
    </row>
    <row r="1123" spans="1:5" ht="13.5" hidden="1" customHeight="1">
      <c r="A1123" s="4" t="s">
        <v>2661</v>
      </c>
      <c r="B1123" s="4" t="s">
        <v>2662</v>
      </c>
      <c r="C1123" s="4" t="str">
        <f ca="1">IFERROR(__xludf.DUMMYFUNCTION("GOOGLETRANSLATE(D:D,""auto"",""en"")"),"The boy threw the gun to the inside covers blown")</f>
        <v>The boy threw the gun to the inside covers blown</v>
      </c>
      <c r="D1123" s="5" t="s">
        <v>2663</v>
      </c>
      <c r="E1123" s="4">
        <v>398357</v>
      </c>
    </row>
    <row r="1124" spans="1:5" ht="13.5" hidden="1" customHeight="1">
      <c r="A1124" s="4" t="s">
        <v>2664</v>
      </c>
      <c r="B1124" s="4" t="s">
        <v>2665</v>
      </c>
      <c r="C1124" s="4" t="str">
        <f ca="1">IFERROR(__xludf.DUMMYFUNCTION("GOOGLETRANSLATE(D:D,""auto"",""en"")"),"Li Bing Bing Mei Qi I shoot you in the following")</f>
        <v>Li Bing Bing Mei Qi I shoot you in the following</v>
      </c>
      <c r="D1124" s="5" t="s">
        <v>2666</v>
      </c>
      <c r="E1124" s="4">
        <v>394708</v>
      </c>
    </row>
    <row r="1125" spans="1:5" ht="13.5" hidden="1" customHeight="1">
      <c r="A1125" s="4" t="s">
        <v>2667</v>
      </c>
      <c r="B1125" s="4" t="s">
        <v>2668</v>
      </c>
      <c r="C1125" s="4" t="str">
        <f ca="1">IFERROR(__xludf.DUMMYFUNCTION("GOOGLETRANSLATE(D:D,""auto"",""en"")"),"TFBOYS sing youth practicing manual")</f>
        <v>TFBOYS sing youth practicing manual</v>
      </c>
      <c r="D1125" s="5" t="s">
        <v>2669</v>
      </c>
      <c r="E1125" s="4">
        <v>382375</v>
      </c>
    </row>
    <row r="1126" spans="1:5" ht="13.5" hidden="1" customHeight="1">
      <c r="A1126" s="4" t="s">
        <v>2670</v>
      </c>
      <c r="B1126" s="4" t="s">
        <v>2671</v>
      </c>
      <c r="C1126" s="4" t="str">
        <f ca="1">IFERROR(__xludf.DUMMYFUNCTION("GOOGLETRANSLATE(D:D,""auto"",""en"")"),"KMT Chairman Wu Den-yih announced resignation")</f>
        <v>KMT Chairman Wu Den-yih announced resignation</v>
      </c>
      <c r="D1126" s="5" t="s">
        <v>2672</v>
      </c>
      <c r="E1126" s="4">
        <v>362275</v>
      </c>
    </row>
    <row r="1127" spans="1:5" ht="13.5" hidden="1" customHeight="1">
      <c r="A1127" s="4" t="s">
        <v>2673</v>
      </c>
      <c r="B1127" s="4" t="s">
        <v>2623</v>
      </c>
      <c r="C1127" s="4" t="str">
        <f ca="1">IFERROR(__xludf.DUMMYFUNCTION("GOOGLETRANSLATE(D:D,""auto"",""en"")"),"CCTV exposure cheating coach")</f>
        <v>CCTV exposure cheating coach</v>
      </c>
      <c r="D1127" s="5" t="s">
        <v>2674</v>
      </c>
      <c r="E1127" s="4">
        <v>327716</v>
      </c>
    </row>
    <row r="1128" spans="1:5" ht="13.5" hidden="1" customHeight="1">
      <c r="A1128" s="4" t="s">
        <v>974</v>
      </c>
      <c r="B1128" s="4" t="s">
        <v>975</v>
      </c>
      <c r="C1128" s="4" t="str">
        <f ca="1">IFERROR(__xludf.DUMMYFUNCTION("GOOGLETRANSLATE(D:D,""auto"",""en"")"),"Sound clinical environment")</f>
        <v>Sound clinical environment</v>
      </c>
      <c r="D1128" s="5" t="s">
        <v>976</v>
      </c>
      <c r="E1128" s="4">
        <v>324290</v>
      </c>
    </row>
    <row r="1129" spans="1:5" ht="13.5" hidden="1" customHeight="1">
      <c r="A1129" s="4" t="s">
        <v>2675</v>
      </c>
      <c r="B1129" s="4" t="s">
        <v>2498</v>
      </c>
      <c r="C1129" s="4" t="str">
        <f ca="1">IFERROR(__xludf.DUMMYFUNCTION("GOOGLETRANSLATE(D:D,""auto"",""en"")"),"Shen Teng Lei very good audio and video of my New Year back home")</f>
        <v>Shen Teng Lei very good audio and video of my New Year back home</v>
      </c>
      <c r="D1129" s="5" t="s">
        <v>2676</v>
      </c>
      <c r="E1129" s="4">
        <v>286228</v>
      </c>
    </row>
    <row r="1130" spans="1:5" ht="13.5" hidden="1" customHeight="1">
      <c r="A1130" s="4" t="s">
        <v>2677</v>
      </c>
      <c r="B1130" s="4" t="s">
        <v>2678</v>
      </c>
      <c r="C1130" s="4" t="str">
        <f ca="1">IFERROR(__xludf.DUMMYFUNCTION("GOOGLETRANSLATE(D:D,""auto"",""en"")"),"Wang Yibo election bags")</f>
        <v>Wang Yibo election bags</v>
      </c>
      <c r="D1130" s="5" t="s">
        <v>2679</v>
      </c>
      <c r="E1130" s="4">
        <v>275101</v>
      </c>
    </row>
    <row r="1131" spans="1:5" ht="13.5" hidden="1" customHeight="1">
      <c r="A1131" s="4" t="s">
        <v>2680</v>
      </c>
      <c r="B1131" s="4" t="s">
        <v>2681</v>
      </c>
      <c r="C1131" s="4" t="str">
        <f ca="1">IFERROR(__xludf.DUMMYFUNCTION("GOOGLETRANSLATE(D:D,""auto"",""en"")"),"You Are the One")</f>
        <v>You Are the One</v>
      </c>
      <c r="D1131" s="5" t="s">
        <v>2682</v>
      </c>
      <c r="E1131" s="4">
        <v>239665</v>
      </c>
    </row>
    <row r="1132" spans="1:5" ht="13.5" hidden="1" customHeight="1">
      <c r="A1132" s="4" t="s">
        <v>2683</v>
      </c>
      <c r="B1132" s="4" t="s">
        <v>2684</v>
      </c>
      <c r="C1132" s="4" t="str">
        <f ca="1">IFERROR(__xludf.DUMMYFUNCTION("GOOGLETRANSLATE(D:D,""auto"",""en"")"),"Li Guoqing Tucao Assembly")</f>
        <v>Li Guoqing Tucao Assembly</v>
      </c>
      <c r="D1132" s="5" t="s">
        <v>2685</v>
      </c>
      <c r="E1132" s="4">
        <v>211415</v>
      </c>
    </row>
    <row r="1133" spans="1:5" ht="13.5" hidden="1" customHeight="1">
      <c r="A1133" s="4" t="s">
        <v>2686</v>
      </c>
      <c r="B1133" s="4" t="s">
        <v>2687</v>
      </c>
      <c r="C1133" s="4" t="str">
        <f ca="1">IFERROR(__xludf.DUMMYFUNCTION("GOOGLETRANSLATE(D:D,""auto"",""en"")"),"CBA dunk contest")</f>
        <v>CBA dunk contest</v>
      </c>
      <c r="D1133" s="5" t="s">
        <v>2688</v>
      </c>
      <c r="E1133" s="4">
        <v>204107</v>
      </c>
    </row>
    <row r="1134" spans="1:5" ht="13.5" hidden="1" customHeight="1">
      <c r="A1134" s="4" t="s">
        <v>2689</v>
      </c>
      <c r="B1134" s="4" t="s">
        <v>2690</v>
      </c>
      <c r="C1134" s="4" t="str">
        <f ca="1">IFERROR(__xludf.DUMMYFUNCTION("GOOGLETRANSLATE(D:D,""auto"",""en"")"),"Liu Lin Jing Tang dubbing")</f>
        <v>Liu Lin Jing Tang dubbing</v>
      </c>
      <c r="D1134" s="5" t="s">
        <v>2691</v>
      </c>
      <c r="E1134" s="4">
        <v>198570</v>
      </c>
    </row>
    <row r="1135" spans="1:5" ht="13.5" hidden="1" customHeight="1">
      <c r="A1135" s="4" t="s">
        <v>2692</v>
      </c>
      <c r="B1135" s="4" t="s">
        <v>2600</v>
      </c>
      <c r="C1135" s="4" t="str">
        <f ca="1">IFERROR(__xludf.DUMMYFUNCTION("GOOGLETRANSLATE(D:D,""auto"",""en"")"),"Qin Hao played Autism")</f>
        <v>Qin Hao played Autism</v>
      </c>
      <c r="D1135" s="5" t="s">
        <v>2693</v>
      </c>
      <c r="E1135" s="4">
        <v>196355</v>
      </c>
    </row>
    <row r="1136" spans="1:5" ht="13.5" hidden="1" customHeight="1">
      <c r="A1136" s="4" t="s">
        <v>2694</v>
      </c>
      <c r="B1136" s="4" t="s">
        <v>2650</v>
      </c>
      <c r="C1136" s="4" t="str">
        <f ca="1">IFERROR(__xludf.DUMMYFUNCTION("GOOGLETRANSLATE(D:D,""auto"",""en"")"),"What worries grow thin")</f>
        <v>What worries grow thin</v>
      </c>
      <c r="D1136" s="5" t="s">
        <v>2695</v>
      </c>
      <c r="E1136" s="4">
        <v>189261</v>
      </c>
    </row>
    <row r="1137" spans="1:5" ht="13.5" hidden="1" customHeight="1">
      <c r="A1137" s="4" t="s">
        <v>2696</v>
      </c>
      <c r="B1137" s="4" t="s">
        <v>2668</v>
      </c>
      <c r="C1137" s="4" t="str">
        <f ca="1">IFERROR(__xludf.DUMMYFUNCTION("GOOGLETRANSLATE(D:D,""auto"",""en"")"),"Daughter 17th birthday soldier father absent 15 times")</f>
        <v>Daughter 17th birthday soldier father absent 15 times</v>
      </c>
      <c r="D1137" s="5" t="s">
        <v>2697</v>
      </c>
      <c r="E1137" s="4">
        <v>168091</v>
      </c>
    </row>
    <row r="1138" spans="1:5" ht="13.5" hidden="1" customHeight="1">
      <c r="A1138" s="4" t="s">
        <v>2698</v>
      </c>
      <c r="B1138" s="4" t="s">
        <v>2699</v>
      </c>
      <c r="C1138" s="4" t="str">
        <f ca="1">IFERROR(__xludf.DUMMYFUNCTION("GOOGLETRANSLATE(D:D,""auto"",""en"")"),"China officially open eye in the sky run")</f>
        <v>China officially open eye in the sky run</v>
      </c>
      <c r="D1138" s="5" t="s">
        <v>2700</v>
      </c>
      <c r="E1138" s="4">
        <v>160026</v>
      </c>
    </row>
    <row r="1139" spans="1:5" ht="13.5" hidden="1" customHeight="1">
      <c r="A1139" s="4" t="s">
        <v>2701</v>
      </c>
      <c r="B1139" s="4" t="s">
        <v>2702</v>
      </c>
      <c r="C1139" s="4" t="str">
        <f ca="1">IFERROR(__xludf.DUMMYFUNCTION("GOOGLETRANSLATE(D:D,""auto"",""en"")"),"Zhao Liying Black Swan veil")</f>
        <v>Zhao Liying Black Swan veil</v>
      </c>
      <c r="D1139" s="5" t="s">
        <v>2703</v>
      </c>
      <c r="E1139" s="4">
        <v>159772</v>
      </c>
    </row>
    <row r="1140" spans="1:5" ht="13.5" hidden="1" customHeight="1">
      <c r="A1140" s="4" t="s">
        <v>2704</v>
      </c>
      <c r="B1140" s="4" t="s">
        <v>2644</v>
      </c>
      <c r="C1140" s="4" t="str">
        <f ca="1">IFERROR(__xludf.DUMMYFUNCTION("GOOGLETRANSLATE(D:D,""auto"",""en"")"),"Wrong on the wrong things right")</f>
        <v>Wrong on the wrong things right</v>
      </c>
      <c r="D1140" s="5" t="s">
        <v>2705</v>
      </c>
      <c r="E1140" s="4">
        <v>148695</v>
      </c>
    </row>
    <row r="1141" spans="1:5" ht="13.5" hidden="1" customHeight="1">
      <c r="A1141" s="4" t="s">
        <v>2706</v>
      </c>
      <c r="B1141" s="4" t="s">
        <v>2707</v>
      </c>
      <c r="C1141" s="4" t="str">
        <f ca="1">IFERROR(__xludf.DUMMYFUNCTION("GOOGLETRANSLATE(D:D,""auto"",""en"")"),"Yi Jianlian was scared panda")</f>
        <v>Yi Jianlian was scared panda</v>
      </c>
      <c r="D1141" s="5" t="s">
        <v>2708</v>
      </c>
      <c r="E1141" s="4">
        <v>137593</v>
      </c>
    </row>
    <row r="1142" spans="1:5" ht="13.5" hidden="1" customHeight="1">
      <c r="A1142" s="4" t="s">
        <v>2709</v>
      </c>
      <c r="B1142" s="4" t="s">
        <v>2710</v>
      </c>
      <c r="C1142" s="4" t="str">
        <f ca="1">IFERROR(__xludf.DUMMYFUNCTION("GOOGLETRANSLATE(D:D,""auto"",""en"")"),"Feng Shuo powerful")</f>
        <v>Feng Shuo powerful</v>
      </c>
      <c r="D1142" s="5" t="s">
        <v>2711</v>
      </c>
      <c r="E1142" s="4">
        <v>129521</v>
      </c>
    </row>
    <row r="1143" spans="1:5" ht="13.5" hidden="1" customHeight="1">
      <c r="A1143" s="4" t="s">
        <v>2689</v>
      </c>
      <c r="B1143" s="4" t="s">
        <v>2659</v>
      </c>
      <c r="C1143" s="4" t="str">
        <f ca="1">IFERROR(__xludf.DUMMYFUNCTION("GOOGLETRANSLATE(D:D,""auto"",""en"")"),"5G high-speed rail was put into the spring")</f>
        <v>5G high-speed rail was put into the spring</v>
      </c>
      <c r="D1143" s="5" t="s">
        <v>2712</v>
      </c>
      <c r="E1143" s="4">
        <v>124638</v>
      </c>
    </row>
    <row r="1144" spans="1:5" ht="13.5" hidden="1" customHeight="1">
      <c r="A1144" s="4" t="s">
        <v>2713</v>
      </c>
      <c r="B1144" s="4" t="s">
        <v>2521</v>
      </c>
      <c r="C1144" s="4" t="str">
        <f ca="1">IFERROR(__xludf.DUMMYFUNCTION("GOOGLETRANSLATE(D:D,""auto"",""en"")"),"Men 50 minutes into the macro")</f>
        <v>Men 50 minutes into the macro</v>
      </c>
      <c r="D1144" s="5" t="s">
        <v>2714</v>
      </c>
      <c r="E1144" s="4">
        <v>124429</v>
      </c>
    </row>
    <row r="1145" spans="1:5" ht="13.5" hidden="1" customHeight="1">
      <c r="A1145" s="4" t="s">
        <v>2715</v>
      </c>
      <c r="B1145" s="4" t="s">
        <v>2716</v>
      </c>
      <c r="C1145" s="4" t="str">
        <f ca="1">IFERROR(__xludf.DUMMYFUNCTION("GOOGLETRANSLATE(D:D,""auto"",""en"")"),"Your nickname Jiaosha")</f>
        <v>Your nickname Jiaosha</v>
      </c>
      <c r="D1145" s="5" t="s">
        <v>2717</v>
      </c>
      <c r="E1145" s="4">
        <v>117367</v>
      </c>
    </row>
    <row r="1146" spans="1:5" ht="13.5" hidden="1" customHeight="1">
      <c r="A1146" s="4" t="s">
        <v>2718</v>
      </c>
      <c r="B1146" s="4" t="s">
        <v>2719</v>
      </c>
      <c r="C1146" s="4" t="str">
        <f ca="1">IFERROR(__xludf.DUMMYFUNCTION("GOOGLETRANSLATE(D:D,""auto"",""en"")"),"Pan Nanjing concert")</f>
        <v>Pan Nanjing concert</v>
      </c>
      <c r="D1146" s="5" t="s">
        <v>2720</v>
      </c>
      <c r="E1146" s="4">
        <v>114005</v>
      </c>
    </row>
    <row r="1147" spans="1:5" ht="13.5" hidden="1" customHeight="1">
      <c r="A1147" s="4" t="s">
        <v>1040</v>
      </c>
      <c r="B1147" s="4" t="s">
        <v>1041</v>
      </c>
      <c r="C1147" s="4" t="str">
        <f ca="1">IFERROR(__xludf.DUMMYFUNCTION("GOOGLETRANSLATE(D:D,""auto"",""en"")"),"Host competition")</f>
        <v>Host competition</v>
      </c>
      <c r="D1147" s="5" t="s">
        <v>1042</v>
      </c>
      <c r="E1147" s="4">
        <v>85322</v>
      </c>
    </row>
    <row r="1148" spans="1:5" ht="13.5" hidden="1" customHeight="1">
      <c r="A1148" s="4" t="s">
        <v>2721</v>
      </c>
      <c r="B1148" s="4" t="s">
        <v>2722</v>
      </c>
      <c r="C1148" s="4" t="str">
        <f ca="1">IFERROR(__xludf.DUMMYFUNCTION("GOOGLETRANSLATE(D:D,""auto"",""en"")"),"94-year-old nuclear submarine experts Caesar dog food")</f>
        <v>94-year-old nuclear submarine experts Caesar dog food</v>
      </c>
      <c r="D1148" s="5" t="s">
        <v>2723</v>
      </c>
      <c r="E1148" s="4">
        <v>76394</v>
      </c>
    </row>
    <row r="1149" spans="1:5" ht="13.5" hidden="1" customHeight="1">
      <c r="C1149" s="4" t="str">
        <f ca="1">IFERROR(__xludf.DUMMYFUNCTION("GOOGLETRANSLATE(D:D,""auto"",""en"")"),"#VALUE!")</f>
        <v>#VALUE!</v>
      </c>
    </row>
    <row r="1150" spans="1:5" ht="13.5" hidden="1" customHeight="1">
      <c r="A1150" s="4" t="s">
        <v>2724</v>
      </c>
      <c r="B1150" s="4" t="s">
        <v>2725</v>
      </c>
      <c r="C1150" s="4" t="str">
        <f ca="1">IFERROR(__xludf.DUMMYFUNCTION("GOOGLETRANSLATE(D:D,""auto"",""en"")"),"Lee ZhouDongYu now ask both sides to pull yet")</f>
        <v>Lee ZhouDongYu now ask both sides to pull yet</v>
      </c>
      <c r="D1150" s="4" t="s">
        <v>2726</v>
      </c>
      <c r="E1150" s="4">
        <v>2119597</v>
      </c>
    </row>
    <row r="1151" spans="1:5" ht="13.5" hidden="1" customHeight="1">
      <c r="A1151" s="4" t="s">
        <v>2727</v>
      </c>
      <c r="B1151" s="4" t="s">
        <v>2686</v>
      </c>
      <c r="C1151" s="4" t="str">
        <f ca="1">IFERROR(__xludf.DUMMYFUNCTION("GOOGLETRANSLATE(D:D,""auto"",""en"")"),"Australian Prime Minister acknowledged the existence of failures to deal with fires")</f>
        <v>Australian Prime Minister acknowledged the existence of failures to deal with fires</v>
      </c>
      <c r="D1151" s="5" t="s">
        <v>2728</v>
      </c>
      <c r="E1151" s="4">
        <v>1918536</v>
      </c>
    </row>
    <row r="1152" spans="1:5" ht="13.5" hidden="1" customHeight="1">
      <c r="A1152" s="4" t="s">
        <v>2729</v>
      </c>
      <c r="B1152" s="4" t="s">
        <v>2675</v>
      </c>
      <c r="C1152" s="4" t="str">
        <f ca="1">IFERROR(__xludf.DUMMYFUNCTION("GOOGLETRANSLATE(D:D,""auto"",""en"")"),"baby Fu Liu Yifei")</f>
        <v>baby Fu Liu Yifei</v>
      </c>
      <c r="D1152" s="5" t="s">
        <v>2730</v>
      </c>
      <c r="E1152" s="4">
        <v>1727461</v>
      </c>
    </row>
    <row r="1153" spans="1:5" ht="13.5" hidden="1" customHeight="1">
      <c r="A1153" s="4" t="s">
        <v>2731</v>
      </c>
      <c r="B1153" s="4" t="s">
        <v>2732</v>
      </c>
      <c r="C1153" s="4" t="str">
        <f ca="1">IFERROR(__xludf.DUMMYFUNCTION("GOOGLETRANSLATE(D:D,""auto"",""en"")"),"Shen Teng Wang Yuan to see the award-winning look")</f>
        <v>Shen Teng Wang Yuan to see the award-winning look</v>
      </c>
      <c r="D1153" s="5" t="s">
        <v>2733</v>
      </c>
      <c r="E1153" s="4">
        <v>1398151</v>
      </c>
    </row>
    <row r="1154" spans="1:5" ht="13.5" hidden="1" customHeight="1">
      <c r="A1154" s="4" t="s">
        <v>2734</v>
      </c>
      <c r="B1154" s="4" t="s">
        <v>2625</v>
      </c>
      <c r="C1154" s="4" t="str">
        <f ca="1">IFERROR(__xludf.DUMMYFUNCTION("GOOGLETRANSLATE(D:D,""auto"",""en"")"),"J sister broke up")</f>
        <v>J sister broke up</v>
      </c>
      <c r="D1154" s="5" t="s">
        <v>2735</v>
      </c>
      <c r="E1154" s="4">
        <v>993016</v>
      </c>
    </row>
    <row r="1155" spans="1:5" ht="13.5" hidden="1" customHeight="1">
      <c r="A1155" s="4" t="s">
        <v>2736</v>
      </c>
      <c r="B1155" s="4" t="s">
        <v>2737</v>
      </c>
      <c r="C1155" s="4" t="str">
        <f ca="1">IFERROR(__xludf.DUMMYFUNCTION("GOOGLETRANSLATE(D:D,""auto"",""en"")"),"2020 Spring Festival Evening dress rehearsal for the first time on the 14th")</f>
        <v>2020 Spring Festival Evening dress rehearsal for the first time on the 14th</v>
      </c>
      <c r="D1155" s="5" t="s">
        <v>2738</v>
      </c>
      <c r="E1155" s="4">
        <v>939894</v>
      </c>
    </row>
    <row r="1156" spans="1:5" ht="13.5" hidden="1" customHeight="1">
      <c r="A1156" s="4" t="s">
        <v>2739</v>
      </c>
      <c r="B1156" s="4" t="s">
        <v>2740</v>
      </c>
      <c r="C1156" s="4" t="str">
        <f ca="1">IFERROR(__xludf.DUMMYFUNCTION("GOOGLETRANSLATE(D:D,""auto"",""en"")"),"Ministry of Foreign Affairs to respond to the Taiwan leader election result")</f>
        <v>Ministry of Foreign Affairs to respond to the Taiwan leader election result</v>
      </c>
      <c r="D1156" s="5" t="s">
        <v>2741</v>
      </c>
      <c r="E1156" s="4">
        <v>576073</v>
      </c>
    </row>
    <row r="1157" spans="1:5" ht="13.5" hidden="1" customHeight="1">
      <c r="A1157" s="4" t="s">
        <v>2742</v>
      </c>
      <c r="B1157" s="4" t="s">
        <v>2737</v>
      </c>
      <c r="C1157" s="4" t="str">
        <f ca="1">IFERROR(__xludf.DUMMYFUNCTION("GOOGLETRANSLATE(D:D,""auto"",""en"")"),"Ukraine airliner had been asked to turn")</f>
        <v>Ukraine airliner had been asked to turn</v>
      </c>
      <c r="D1157" s="5" t="s">
        <v>2743</v>
      </c>
      <c r="E1157" s="4">
        <v>570766</v>
      </c>
    </row>
    <row r="1158" spans="1:5" ht="13.5" hidden="1" customHeight="1">
      <c r="A1158" s="4" t="s">
        <v>2744</v>
      </c>
      <c r="B1158" s="4" t="s">
        <v>2745</v>
      </c>
      <c r="C1158" s="4" t="str">
        <f ca="1">IFERROR(__xludf.DUMMYFUNCTION("GOOGLETRANSLATE(D:D,""auto"",""en"")"),"After ban plastic shopping Thais Fancy")</f>
        <v>After ban plastic shopping Thais Fancy</v>
      </c>
      <c r="D1158" s="5" t="s">
        <v>2746</v>
      </c>
      <c r="E1158" s="4">
        <v>404852</v>
      </c>
    </row>
    <row r="1159" spans="1:5" ht="13.5" hidden="1" customHeight="1">
      <c r="A1159" s="4" t="s">
        <v>2747</v>
      </c>
      <c r="B1159" s="4" t="s">
        <v>2748</v>
      </c>
      <c r="C1159" s="4" t="str">
        <f ca="1">IFERROR(__xludf.DUMMYFUNCTION("GOOGLETRANSLATE(D:D,""auto"",""en"")"),"Huang Xuhua only wearing a scarf mother")</f>
        <v>Huang Xuhua only wearing a scarf mother</v>
      </c>
      <c r="D1159" s="5" t="s">
        <v>2749</v>
      </c>
      <c r="E1159" s="4">
        <v>334575</v>
      </c>
    </row>
    <row r="1160" spans="1:5" ht="13.5" hidden="1" customHeight="1">
      <c r="A1160" s="4" t="s">
        <v>2750</v>
      </c>
      <c r="B1160" s="4" t="s">
        <v>2751</v>
      </c>
      <c r="C1160" s="4" t="str">
        <f ca="1">IFERROR(__xludf.DUMMYFUNCTION("GOOGLETRANSLATE(D:D,""auto"",""en"")"),"Yiyangqianxi emitting chest")</f>
        <v>Yiyangqianxi emitting chest</v>
      </c>
      <c r="D1160" s="5" t="s">
        <v>2752</v>
      </c>
      <c r="E1160" s="4">
        <v>327741</v>
      </c>
    </row>
    <row r="1161" spans="1:5" ht="13.5" hidden="1" customHeight="1">
      <c r="A1161" s="4" t="s">
        <v>2753</v>
      </c>
      <c r="B1161" s="4" t="s">
        <v>2725</v>
      </c>
      <c r="C1161" s="4" t="str">
        <f ca="1">IFERROR(__xludf.DUMMYFUNCTION("GOOGLETRANSLATE(D:D,""auto"",""en"")"),"16 the introduction of the one-child care leave")</f>
        <v>16 the introduction of the one-child care leave</v>
      </c>
      <c r="D1161" s="5" t="s">
        <v>2754</v>
      </c>
      <c r="E1161" s="4">
        <v>287865</v>
      </c>
    </row>
    <row r="1162" spans="1:5" ht="13.5" hidden="1" customHeight="1">
      <c r="A1162" s="4" t="s">
        <v>2755</v>
      </c>
      <c r="B1162" s="4" t="s">
        <v>2622</v>
      </c>
      <c r="C1162" s="4" t="str">
        <f ca="1">IFERROR(__xludf.DUMMYFUNCTION("GOOGLETRANSLATE(D:D,""auto"",""en"")"),"Navy's first ship tons of big drive-in column")</f>
        <v>Navy's first ship tons of big drive-in column</v>
      </c>
      <c r="D1162" s="5" t="s">
        <v>2756</v>
      </c>
      <c r="E1162" s="4">
        <v>285851</v>
      </c>
    </row>
    <row r="1163" spans="1:5" ht="13.5" hidden="1" customHeight="1">
      <c r="A1163" s="4" t="s">
        <v>2757</v>
      </c>
      <c r="B1163" s="4" t="s">
        <v>2758</v>
      </c>
      <c r="C1163" s="4" t="str">
        <f ca="1">IFERROR(__xludf.DUMMYFUNCTION("GOOGLETRANSLATE(D:D,""auto"",""en"")"),"District 8 million maintenance funds have been misappropriated")</f>
        <v>District 8 million maintenance funds have been misappropriated</v>
      </c>
      <c r="D1163" s="5" t="s">
        <v>2759</v>
      </c>
      <c r="E1163" s="4">
        <v>280575</v>
      </c>
    </row>
    <row r="1164" spans="1:5" ht="13.5" hidden="1" customHeight="1">
      <c r="A1164" s="4" t="s">
        <v>2760</v>
      </c>
      <c r="B1164" s="4" t="s">
        <v>2761</v>
      </c>
      <c r="C1164" s="4" t="str">
        <f ca="1">IFERROR(__xludf.DUMMYFUNCTION("GOOGLETRANSLATE(D:D,""auto"",""en"")"),"12306 Monitoring Center debut")</f>
        <v>12306 Monitoring Center debut</v>
      </c>
      <c r="D1164" s="5" t="s">
        <v>2762</v>
      </c>
      <c r="E1164" s="4">
        <v>275522</v>
      </c>
    </row>
    <row r="1165" spans="1:5" ht="13.5" hidden="1" customHeight="1">
      <c r="A1165" s="4" t="s">
        <v>2763</v>
      </c>
      <c r="B1165" s="4" t="s">
        <v>2764</v>
      </c>
      <c r="C1165" s="4" t="str">
        <f ca="1">IFERROR(__xludf.DUMMYFUNCTION("GOOGLETRANSLATE(D:D,""auto"",""en"")"),"Ouyang Nana Super A suit")</f>
        <v>Ouyang Nana Super A suit</v>
      </c>
      <c r="D1165" s="5" t="s">
        <v>2765</v>
      </c>
      <c r="E1165" s="4">
        <v>266858</v>
      </c>
    </row>
    <row r="1166" spans="1:5" ht="13.5" hidden="1" customHeight="1">
      <c r="A1166" s="4" t="s">
        <v>2766</v>
      </c>
      <c r="B1166" s="4" t="s">
        <v>2767</v>
      </c>
      <c r="C1166" s="4" t="str">
        <f ca="1">IFERROR(__xludf.DUMMYFUNCTION("GOOGLETRANSLATE(D:D,""auto"",""en"")"),"Conductor wearing two watches")</f>
        <v>Conductor wearing two watches</v>
      </c>
      <c r="D1166" s="5" t="s">
        <v>2768</v>
      </c>
      <c r="E1166" s="4">
        <v>258643</v>
      </c>
    </row>
    <row r="1167" spans="1:5" ht="13.5" hidden="1" customHeight="1">
      <c r="A1167" s="4" t="s">
        <v>2769</v>
      </c>
      <c r="B1167" s="4" t="s">
        <v>2770</v>
      </c>
      <c r="C1167" s="4" t="str">
        <f ca="1">IFERROR(__xludf.DUMMYFUNCTION("GOOGLETRANSLATE(D:D,""auto"",""en"")"),"Very bad but I was very good at the things")</f>
        <v>Very bad but I was very good at the things</v>
      </c>
      <c r="D1167" s="5" t="s">
        <v>2771</v>
      </c>
      <c r="E1167" s="4">
        <v>257915</v>
      </c>
    </row>
    <row r="1168" spans="1:5" ht="13.5" hidden="1" customHeight="1">
      <c r="A1168" s="4" t="s">
        <v>2640</v>
      </c>
      <c r="B1168" s="4" t="s">
        <v>2641</v>
      </c>
      <c r="C1168" s="4" t="str">
        <f ca="1">IFERROR(__xludf.DUMMYFUNCTION("GOOGLETRANSLATE(D:D,""auto"",""en"")"),"A second child oil Chen Yi")</f>
        <v>A second child oil Chen Yi</v>
      </c>
      <c r="D1168" s="5" t="s">
        <v>2642</v>
      </c>
      <c r="E1168" s="4">
        <v>252530</v>
      </c>
    </row>
    <row r="1169" spans="1:5" ht="13.5" hidden="1" customHeight="1">
      <c r="A1169" s="4" t="s">
        <v>2772</v>
      </c>
      <c r="B1169" s="4" t="s">
        <v>2602</v>
      </c>
      <c r="C1169" s="4" t="str">
        <f ca="1">IFERROR(__xludf.DUMMYFUNCTION("GOOGLETRANSLATE(D:D,""auto"",""en"")"),"Do not let ETC clogging up the road to go home")</f>
        <v>Do not let ETC clogging up the road to go home</v>
      </c>
      <c r="D1169" s="5" t="s">
        <v>2773</v>
      </c>
      <c r="E1169" s="4">
        <v>235028</v>
      </c>
    </row>
    <row r="1170" spans="1:5" ht="13.5" hidden="1" customHeight="1">
      <c r="A1170" s="4" t="s">
        <v>2774</v>
      </c>
      <c r="B1170" s="4" t="s">
        <v>2775</v>
      </c>
      <c r="C1170" s="4" t="str">
        <f ca="1">IFERROR(__xludf.DUMMYFUNCTION("GOOGLETRANSLATE(D:D,""auto"",""en"")"),"Guo Degang Guo Kirin God synchronization")</f>
        <v>Guo Degang Guo Kirin God synchronization</v>
      </c>
      <c r="D1170" s="5" t="s">
        <v>2776</v>
      </c>
      <c r="E1170" s="4">
        <v>233315</v>
      </c>
    </row>
    <row r="1171" spans="1:5" ht="13.5" hidden="1" customHeight="1">
      <c r="A1171" s="4" t="s">
        <v>2777</v>
      </c>
      <c r="B1171" s="4" t="s">
        <v>2628</v>
      </c>
      <c r="C1171" s="4" t="str">
        <f ca="1">IFERROR(__xludf.DUMMYFUNCTION("GOOGLETRANSLATE(D:D,""auto"",""en"")"),"Yang Zi mist blue feather veil")</f>
        <v>Yang Zi mist blue feather veil</v>
      </c>
      <c r="D1171" s="5" t="s">
        <v>2778</v>
      </c>
      <c r="E1171" s="4">
        <v>232084</v>
      </c>
    </row>
    <row r="1172" spans="1:5" ht="13.5" hidden="1" customHeight="1">
      <c r="A1172" s="4" t="s">
        <v>2779</v>
      </c>
      <c r="B1172" s="4" t="s">
        <v>2780</v>
      </c>
      <c r="C1172" s="4" t="str">
        <f ca="1">IFERROR(__xludf.DUMMYFUNCTION("GOOGLETRANSLATE(D:D,""auto"",""en"")"),"Tong Li Ya plush stitching skirt")</f>
        <v>Tong Li Ya plush stitching skirt</v>
      </c>
      <c r="D1172" s="5" t="s">
        <v>2781</v>
      </c>
      <c r="E1172" s="4">
        <v>232084</v>
      </c>
    </row>
    <row r="1173" spans="1:5" ht="13.5" hidden="1" customHeight="1">
      <c r="A1173" s="4" t="s">
        <v>2782</v>
      </c>
      <c r="B1173" s="4" t="s">
        <v>2783</v>
      </c>
      <c r="C1173" s="4" t="str">
        <f ca="1">IFERROR(__xludf.DUMMYFUNCTION("GOOGLETRANSLATE(D:D,""auto"",""en"")"),"Pa learn to work from home or find a good school")</f>
        <v>Pa learn to work from home or find a good school</v>
      </c>
      <c r="D1173" s="5" t="s">
        <v>2784</v>
      </c>
      <c r="E1173" s="4">
        <v>230230</v>
      </c>
    </row>
    <row r="1174" spans="1:5" ht="13.5" hidden="1" customHeight="1">
      <c r="A1174" s="4" t="s">
        <v>2785</v>
      </c>
      <c r="B1174" s="4" t="s">
        <v>2786</v>
      </c>
      <c r="C1174" s="4" t="str">
        <f ca="1">IFERROR(__xludf.DUMMYFUNCTION("GOOGLETRANSLATE(D:D,""auto"",""en"")"),"The smallest thing in the universe")</f>
        <v>The smallest thing in the universe</v>
      </c>
      <c r="D1174" s="5" t="s">
        <v>2787</v>
      </c>
      <c r="E1174" s="4">
        <v>211856</v>
      </c>
    </row>
    <row r="1175" spans="1:5" ht="13.5" hidden="1" customHeight="1">
      <c r="A1175" s="4" t="s">
        <v>2640</v>
      </c>
      <c r="B1175" s="4" t="s">
        <v>2788</v>
      </c>
      <c r="C1175" s="4" t="str">
        <f ca="1">IFERROR(__xludf.DUMMYFUNCTION("GOOGLETRANSLATE(D:D,""auto"",""en"")"),"Yang Mi nude color flash diamond dress")</f>
        <v>Yang Mi nude color flash diamond dress</v>
      </c>
      <c r="D1175" s="5" t="s">
        <v>2789</v>
      </c>
      <c r="E1175" s="4">
        <v>204755</v>
      </c>
    </row>
    <row r="1176" spans="1:5" ht="13.5" hidden="1" customHeight="1">
      <c r="A1176" s="4" t="s">
        <v>2790</v>
      </c>
      <c r="B1176" s="4" t="s">
        <v>2791</v>
      </c>
      <c r="C1176" s="4" t="str">
        <f ca="1">IFERROR(__xludf.DUMMYFUNCTION("GOOGLETRANSLATE(D:D,""auto"",""en"")"),"Northeast ski equipment by picking up")</f>
        <v>Northeast ski equipment by picking up</v>
      </c>
      <c r="D1176" s="5" t="s">
        <v>2792</v>
      </c>
      <c r="E1176" s="4">
        <v>168141</v>
      </c>
    </row>
    <row r="1177" spans="1:5" ht="13.5" hidden="1" customHeight="1">
      <c r="A1177" s="4" t="s">
        <v>2793</v>
      </c>
      <c r="B1177" s="4" t="s">
        <v>2701</v>
      </c>
      <c r="C1177" s="4" t="str">
        <f ca="1">IFERROR(__xludf.DUMMYFUNCTION("GOOGLETRANSLATE(D:D,""auto"",""en"")"),"Increase the intensity of inspection of imported drugs overseas")</f>
        <v>Increase the intensity of inspection of imported drugs overseas</v>
      </c>
      <c r="D1177" s="5" t="s">
        <v>2794</v>
      </c>
      <c r="E1177" s="4">
        <v>152920</v>
      </c>
    </row>
    <row r="1178" spans="1:5" ht="13.5" hidden="1" customHeight="1">
      <c r="A1178" s="4" t="s">
        <v>2795</v>
      </c>
      <c r="B1178" s="4" t="s">
        <v>2796</v>
      </c>
      <c r="C1178" s="4" t="str">
        <f ca="1">IFERROR(__xludf.DUMMYFUNCTION("GOOGLETRANSLATE(D:D,""auto"",""en"")"),"Zhao Liying Lei Jiayin Liu Ye, a head two big")</f>
        <v>Zhao Liying Lei Jiayin Liu Ye, a head two big</v>
      </c>
      <c r="D1178" s="5" t="s">
        <v>2797</v>
      </c>
      <c r="E1178" s="4">
        <v>152290</v>
      </c>
    </row>
    <row r="1179" spans="1:5" ht="13.5" hidden="1" customHeight="1">
      <c r="A1179" s="4" t="s">
        <v>2798</v>
      </c>
      <c r="B1179" s="4" t="s">
        <v>2652</v>
      </c>
      <c r="C1179" s="4" t="str">
        <f ca="1">IFERROR(__xludf.DUMMYFUNCTION("GOOGLETRANSLATE(D:D,""auto"",""en"")"),"Years ago Syndrome")</f>
        <v>Years ago Syndrome</v>
      </c>
      <c r="D1179" s="5" t="s">
        <v>2799</v>
      </c>
      <c r="E1179" s="4">
        <v>151940</v>
      </c>
    </row>
    <row r="1180" spans="1:5" ht="13.5" hidden="1" customHeight="1">
      <c r="A1180" s="4" t="s">
        <v>2658</v>
      </c>
      <c r="B1180" s="4" t="s">
        <v>2659</v>
      </c>
      <c r="C1180" s="4" t="str">
        <f ca="1">IFERROR(__xludf.DUMMYFUNCTION("GOOGLETRANSLATE(D:D,""auto"",""en"")"),"Illegitimate mounted monitor in love beans doorstep")</f>
        <v>Illegitimate mounted monitor in love beans doorstep</v>
      </c>
      <c r="D1180" s="5" t="s">
        <v>2660</v>
      </c>
      <c r="E1180" s="4">
        <v>151110</v>
      </c>
    </row>
    <row r="1181" spans="1:5" ht="13.5" hidden="1" customHeight="1">
      <c r="A1181" s="4" t="s">
        <v>2649</v>
      </c>
      <c r="B1181" s="4" t="s">
        <v>2650</v>
      </c>
      <c r="C1181" s="4" t="str">
        <f ca="1">IFERROR(__xludf.DUMMYFUNCTION("GOOGLETRANSLATE(D:D,""auto"",""en"")"),"If you hold your predecessor suddenly")</f>
        <v>If you hold your predecessor suddenly</v>
      </c>
      <c r="D1181" s="5" t="s">
        <v>2651</v>
      </c>
      <c r="E1181" s="4">
        <v>126650</v>
      </c>
    </row>
    <row r="1182" spans="1:5" ht="13.5" hidden="1" customHeight="1">
      <c r="A1182" s="4" t="s">
        <v>2757</v>
      </c>
      <c r="B1182" s="4" t="s">
        <v>2622</v>
      </c>
      <c r="C1182" s="4" t="str">
        <f ca="1">IFERROR(__xludf.DUMMYFUNCTION("GOOGLETRANSLATE(D:D,""auto"",""en"")"),"Chinese New Year gift to his family with what")</f>
        <v>Chinese New Year gift to his family with what</v>
      </c>
      <c r="D1182" s="5" t="s">
        <v>2800</v>
      </c>
      <c r="E1182" s="4">
        <v>124022</v>
      </c>
    </row>
    <row r="1183" spans="1:5" ht="13.5" hidden="1" customHeight="1">
      <c r="A1183" s="4" t="s">
        <v>2631</v>
      </c>
      <c r="B1183" s="4" t="s">
        <v>2632</v>
      </c>
      <c r="C1183" s="4" t="str">
        <f ca="1">IFERROR(__xludf.DUMMYFUNCTION("GOOGLETRANSLATE(D:D,""auto"",""en"")"),"Iranian officials said the aircraft was hit details")</f>
        <v>Iranian officials said the aircraft was hit details</v>
      </c>
      <c r="D1183" s="5" t="s">
        <v>2633</v>
      </c>
      <c r="E1183" s="4">
        <v>114024</v>
      </c>
    </row>
    <row r="1184" spans="1:5" ht="13.5" hidden="1" customHeight="1">
      <c r="A1184" s="4" t="s">
        <v>2608</v>
      </c>
      <c r="B1184" s="4" t="s">
        <v>2609</v>
      </c>
      <c r="C1184" s="4" t="str">
        <f ca="1">IFERROR(__xludf.DUMMYFUNCTION("GOOGLETRANSLATE(D:D,""auto"",""en"")"),"Landing of love")</f>
        <v>Landing of love</v>
      </c>
      <c r="D1184" s="5" t="s">
        <v>2610</v>
      </c>
      <c r="E1184" s="4">
        <v>113773</v>
      </c>
    </row>
    <row r="1185" spans="1:5" ht="13.5" hidden="1" customHeight="1">
      <c r="A1185" s="4" t="s">
        <v>2801</v>
      </c>
      <c r="B1185" s="4" t="s">
        <v>2802</v>
      </c>
      <c r="C1185" s="4" t="str">
        <f ca="1">IFERROR(__xludf.DUMMYFUNCTION("GOOGLETRANSLATE(D:D,""auto"",""en"")"),"Wang Yaoqing too funny")</f>
        <v>Wang Yaoqing too funny</v>
      </c>
      <c r="D1185" s="5" t="s">
        <v>2803</v>
      </c>
      <c r="E1185" s="4">
        <v>113581</v>
      </c>
    </row>
    <row r="1186" spans="1:5" ht="13.5" hidden="1" customHeight="1">
      <c r="A1186" s="4" t="s">
        <v>2631</v>
      </c>
      <c r="B1186" s="4" t="s">
        <v>2804</v>
      </c>
      <c r="C1186" s="4" t="str">
        <f ca="1">IFERROR(__xludf.DUMMYFUNCTION("GOOGLETRANSLATE(D:D,""auto"",""en"")"),"ZICO Hua Sha")</f>
        <v>ZICO Hua Sha</v>
      </c>
      <c r="D1186" s="5" t="s">
        <v>2805</v>
      </c>
      <c r="E1186" s="4">
        <v>111898</v>
      </c>
    </row>
    <row r="1187" spans="1:5" ht="13.5" hidden="1" customHeight="1">
      <c r="A1187" s="4" t="s">
        <v>2655</v>
      </c>
      <c r="B1187" s="4" t="s">
        <v>2656</v>
      </c>
      <c r="C1187" s="4" t="str">
        <f ca="1">IFERROR(__xludf.DUMMYFUNCTION("GOOGLETRANSLATE(D:D,""auto"",""en"")"),"Migrant workers scrape together 28 yuan stop eating farewell dinner")</f>
        <v>Migrant workers scrape together 28 yuan stop eating farewell dinner</v>
      </c>
      <c r="D1187" s="5" t="s">
        <v>2657</v>
      </c>
      <c r="E1187" s="4">
        <v>110127</v>
      </c>
    </row>
    <row r="1188" spans="1:5" ht="13.5" hidden="1" customHeight="1">
      <c r="A1188" s="4" t="s">
        <v>974</v>
      </c>
      <c r="B1188" s="4" t="s">
        <v>975</v>
      </c>
      <c r="C1188" s="4" t="str">
        <f ca="1">IFERROR(__xludf.DUMMYFUNCTION("GOOGLETRANSLATE(D:D,""auto"",""en"")"),"Sound clinical environment")</f>
        <v>Sound clinical environment</v>
      </c>
      <c r="D1188" s="5" t="s">
        <v>976</v>
      </c>
      <c r="E1188" s="4">
        <v>107996</v>
      </c>
    </row>
    <row r="1189" spans="1:5" ht="13.5" hidden="1" customHeight="1">
      <c r="A1189" s="4" t="s">
        <v>959</v>
      </c>
      <c r="B1189" s="4" t="s">
        <v>960</v>
      </c>
      <c r="C1189" s="4" t="str">
        <f ca="1">IFERROR(__xludf.DUMMYFUNCTION("GOOGLETRANSLATE(D:D,""auto"",""en"")"),"Under Jinyi")</f>
        <v>Under Jinyi</v>
      </c>
      <c r="D1189" s="5" t="s">
        <v>961</v>
      </c>
      <c r="E1189" s="4">
        <v>92703</v>
      </c>
    </row>
    <row r="1190" spans="1:5" ht="13.5" hidden="1" customHeight="1">
      <c r="A1190" s="4" t="s">
        <v>2599</v>
      </c>
      <c r="B1190" s="4" t="s">
        <v>2600</v>
      </c>
      <c r="C1190" s="4" t="str">
        <f ca="1">IFERROR(__xludf.DUMMYFUNCTION("GOOGLETRANSLATE(D:D,""auto"",""en"")"),"Zhu Dan read the tongue twister hot Bana Zha")</f>
        <v>Zhu Dan read the tongue twister hot Bana Zha</v>
      </c>
      <c r="D1190" s="5" t="s">
        <v>2601</v>
      </c>
      <c r="E1190" s="4">
        <v>91905</v>
      </c>
    </row>
    <row r="1191" spans="1:5" ht="13.5" hidden="1" customHeight="1">
      <c r="A1191" s="4" t="s">
        <v>2806</v>
      </c>
      <c r="B1191" s="4" t="s">
        <v>2807</v>
      </c>
      <c r="C1191" s="4" t="str">
        <f ca="1">IFERROR(__xludf.DUMMYFUNCTION("GOOGLETRANSLATE(D:D,""auto"",""en"")"),"Empty Sky Mirror mother wrong")</f>
        <v>Empty Sky Mirror mother wrong</v>
      </c>
      <c r="D1191" s="5" t="s">
        <v>2808</v>
      </c>
      <c r="E1191" s="4">
        <v>91136</v>
      </c>
    </row>
    <row r="1192" spans="1:5" ht="13.5" hidden="1" customHeight="1">
      <c r="A1192" s="4" t="s">
        <v>2694</v>
      </c>
      <c r="B1192" s="4" t="s">
        <v>2686</v>
      </c>
      <c r="C1192" s="4" t="str">
        <f ca="1">IFERROR(__xludf.DUMMYFUNCTION("GOOGLETRANSLATE(D:D,""auto"",""en"")"),"No segment of the Chinese satellite phone 1740")</f>
        <v>No segment of the Chinese satellite phone 1740</v>
      </c>
      <c r="D1192" s="5" t="s">
        <v>2809</v>
      </c>
      <c r="E1192" s="4">
        <v>88368</v>
      </c>
    </row>
    <row r="1193" spans="1:5" ht="13.5" hidden="1" customHeight="1">
      <c r="A1193" s="4" t="s">
        <v>2810</v>
      </c>
      <c r="B1193" s="4" t="s">
        <v>2807</v>
      </c>
      <c r="C1193" s="4" t="str">
        <f ca="1">IFERROR(__xludf.DUMMYFUNCTION("GOOGLETRANSLATE(D:D,""auto"",""en"")"),"CPR is recommended that written into the school curriculum")</f>
        <v>CPR is recommended that written into the school curriculum</v>
      </c>
      <c r="D1193" s="5" t="s">
        <v>2811</v>
      </c>
      <c r="E1193" s="4">
        <v>87893</v>
      </c>
    </row>
    <row r="1194" spans="1:5" ht="13.5" hidden="1" customHeight="1">
      <c r="A1194" s="4" t="s">
        <v>2782</v>
      </c>
      <c r="B1194" s="4" t="s">
        <v>2807</v>
      </c>
      <c r="C1194" s="4" t="str">
        <f ca="1">IFERROR(__xludf.DUMMYFUNCTION("GOOGLETRANSLATE(D:D,""auto"",""en"")"),"Do you support the Spring Festival taxi prices")</f>
        <v>Do you support the Spring Festival taxi prices</v>
      </c>
      <c r="D1194" s="5" t="s">
        <v>2812</v>
      </c>
      <c r="E1194" s="4">
        <v>85470</v>
      </c>
    </row>
    <row r="1195" spans="1:5" ht="13.5" hidden="1" customHeight="1">
      <c r="A1195" s="4" t="s">
        <v>2807</v>
      </c>
      <c r="B1195" s="4" t="s">
        <v>2813</v>
      </c>
      <c r="C1195" s="4" t="str">
        <f ca="1">IFERROR(__xludf.DUMMYFUNCTION("GOOGLETRANSLATE(D:D,""auto"",""en"")"),"Yang Zi microblogging QUEEN")</f>
        <v>Yang Zi microblogging QUEEN</v>
      </c>
      <c r="D1195" s="5" t="s">
        <v>2814</v>
      </c>
      <c r="E1195" s="4">
        <v>84931</v>
      </c>
    </row>
    <row r="1196" spans="1:5" ht="13.5" hidden="1" customHeight="1">
      <c r="A1196" s="4" t="s">
        <v>2643</v>
      </c>
      <c r="B1196" s="4" t="s">
        <v>2644</v>
      </c>
      <c r="C1196" s="4" t="str">
        <f ca="1">IFERROR(__xludf.DUMMYFUNCTION("GOOGLETRANSLATE(D:D,""auto"",""en"")"),"Part of the iPhone price cut trade")</f>
        <v>Part of the iPhone price cut trade</v>
      </c>
      <c r="D1196" s="5" t="s">
        <v>2645</v>
      </c>
      <c r="E1196" s="4">
        <v>84008</v>
      </c>
    </row>
    <row r="1197" spans="1:5" ht="13.5" hidden="1" customHeight="1">
      <c r="A1197" s="4" t="s">
        <v>2694</v>
      </c>
      <c r="B1197" s="4" t="s">
        <v>2650</v>
      </c>
      <c r="C1197" s="4" t="str">
        <f ca="1">IFERROR(__xludf.DUMMYFUNCTION("GOOGLETRANSLATE(D:D,""auto"",""en"")"),"What worries grow thin")</f>
        <v>What worries grow thin</v>
      </c>
      <c r="D1197" s="5" t="s">
        <v>2695</v>
      </c>
      <c r="E1197" s="4">
        <v>83401</v>
      </c>
    </row>
    <row r="1198" spans="1:5" ht="13.5" hidden="1" customHeight="1">
      <c r="A1198" s="4" t="s">
        <v>2614</v>
      </c>
      <c r="B1198" s="4" t="s">
        <v>2615</v>
      </c>
      <c r="C1198" s="4" t="str">
        <f ca="1">IFERROR(__xludf.DUMMYFUNCTION("GOOGLETRANSLATE(D:D,""auto"",""en"")"),"Yan Rujing tears")</f>
        <v>Yan Rujing tears</v>
      </c>
      <c r="D1198" s="5" t="s">
        <v>2616</v>
      </c>
      <c r="E1198" s="4">
        <v>76579</v>
      </c>
    </row>
    <row r="1199" spans="1:5" ht="13.5" hidden="1" customHeight="1">
      <c r="C1199" s="4" t="str">
        <f ca="1">IFERROR(__xludf.DUMMYFUNCTION("GOOGLETRANSLATE(D:D,""auto"",""en"")"),"#VALUE!")</f>
        <v>#VALUE!</v>
      </c>
    </row>
    <row r="1200" spans="1:5" ht="13.5" hidden="1" customHeight="1">
      <c r="A1200" s="4" t="s">
        <v>2815</v>
      </c>
      <c r="B1200" s="4" t="s">
        <v>2816</v>
      </c>
      <c r="C1200" s="4" t="str">
        <f ca="1">IFERROR(__xludf.DUMMYFUNCTION("GOOGLETRANSLATE(D:D,""auto"",""en"")"),"Sub Qiaomei Jia licensing")</f>
        <v>Sub Qiaomei Jia licensing</v>
      </c>
      <c r="D1200" s="4" t="s">
        <v>2817</v>
      </c>
      <c r="E1200" s="4">
        <v>2907689</v>
      </c>
    </row>
    <row r="1201" spans="1:5" ht="13.5" hidden="1" customHeight="1">
      <c r="A1201" s="4" t="s">
        <v>2818</v>
      </c>
      <c r="B1201" s="4" t="s">
        <v>2819</v>
      </c>
      <c r="C1201" s="4" t="str">
        <f ca="1">IFERROR(__xludf.DUMMYFUNCTION("GOOGLETRANSLATE(D:D,""auto"",""en"")"),"Flowers 1500 scorch a flat head")</f>
        <v>Flowers 1500 scorch a flat head</v>
      </c>
      <c r="D1201" s="5" t="s">
        <v>2820</v>
      </c>
      <c r="E1201" s="4">
        <v>2512726</v>
      </c>
    </row>
    <row r="1202" spans="1:5" ht="13.5" hidden="1" customHeight="1">
      <c r="A1202" s="4" t="s">
        <v>2821</v>
      </c>
      <c r="B1202" s="4" t="s">
        <v>2822</v>
      </c>
      <c r="C1202" s="4" t="str">
        <f ca="1">IFERROR(__xludf.DUMMYFUNCTION("GOOGLETRANSLATE(D:D,""auto"",""en"")"),"Hu Fei Zeng Yin licensing")</f>
        <v>Hu Fei Zeng Yin licensing</v>
      </c>
      <c r="D1202" s="5" t="s">
        <v>2823</v>
      </c>
      <c r="E1202" s="4">
        <v>2289370</v>
      </c>
    </row>
    <row r="1203" spans="1:5" ht="13.5" hidden="1" customHeight="1">
      <c r="A1203" s="4" t="s">
        <v>2824</v>
      </c>
      <c r="B1203" s="4" t="s">
        <v>2825</v>
      </c>
      <c r="C1203" s="4" t="str">
        <f ca="1">IFERROR(__xludf.DUMMYFUNCTION("GOOGLETRANSLATE(D:D,""auto"",""en"")"),"Na Ying did not hold Xiaozhan goldfish")</f>
        <v>Na Ying did not hold Xiaozhan goldfish</v>
      </c>
      <c r="D1203" s="5" t="s">
        <v>2826</v>
      </c>
      <c r="E1203" s="4">
        <v>1559882</v>
      </c>
    </row>
    <row r="1204" spans="1:5" ht="13.5" hidden="1" customHeight="1">
      <c r="A1204" s="4" t="s">
        <v>2827</v>
      </c>
      <c r="B1204" s="4" t="s">
        <v>2828</v>
      </c>
      <c r="C1204" s="4" t="str">
        <f ca="1">IFERROR(__xludf.DUMMYFUNCTION("GOOGLETRANSLATE(D:D,""auto"",""en"")"),"Gucci instant noodles")</f>
        <v>Gucci instant noodles</v>
      </c>
      <c r="D1204" s="5" t="s">
        <v>2829</v>
      </c>
      <c r="E1204" s="4">
        <v>1332414</v>
      </c>
    </row>
    <row r="1205" spans="1:5" ht="13.5" hidden="1" customHeight="1">
      <c r="A1205" s="4" t="s">
        <v>2830</v>
      </c>
      <c r="B1205" s="4" t="s">
        <v>2831</v>
      </c>
      <c r="C1205" s="4" t="str">
        <f ca="1">IFERROR(__xludf.DUMMYFUNCTION("GOOGLETRANSLATE(D:D,""auto"",""en"")"),"Make-up every day")</f>
        <v>Make-up every day</v>
      </c>
      <c r="D1205" s="5" t="s">
        <v>2832</v>
      </c>
      <c r="E1205" s="4">
        <v>1280545</v>
      </c>
    </row>
    <row r="1206" spans="1:5" ht="13.5" hidden="1" customHeight="1">
      <c r="A1206" s="4" t="s">
        <v>2833</v>
      </c>
      <c r="B1206" s="4" t="s">
        <v>2834</v>
      </c>
      <c r="C1206" s="4" t="str">
        <f ca="1">IFERROR(__xludf.DUMMYFUNCTION("GOOGLETRANSLATE(D:D,""auto"",""en"")"),"Zeng Yin is not cheap,")</f>
        <v>Zeng Yin is not cheap,</v>
      </c>
      <c r="D1206" s="5" t="s">
        <v>2835</v>
      </c>
      <c r="E1206" s="4">
        <v>1222437</v>
      </c>
    </row>
    <row r="1207" spans="1:5" ht="13.5" hidden="1" customHeight="1">
      <c r="A1207" s="4" t="s">
        <v>2836</v>
      </c>
      <c r="B1207" s="4" t="s">
        <v>2837</v>
      </c>
      <c r="C1207" s="4" t="str">
        <f ca="1">IFERROR(__xludf.DUMMYFUNCTION("GOOGLETRANSLATE(D:D,""auto"",""en"")"),"CPR Granny 12 rib pressure off the first instance verdict")</f>
        <v>CPR Granny 12 rib pressure off the first instance verdict</v>
      </c>
      <c r="D1207" s="5" t="s">
        <v>2838</v>
      </c>
      <c r="E1207" s="4">
        <v>1123238</v>
      </c>
    </row>
    <row r="1208" spans="1:5" ht="13.5" hidden="1" customHeight="1">
      <c r="A1208" s="4" t="s">
        <v>2839</v>
      </c>
      <c r="B1208" s="4" t="s">
        <v>2840</v>
      </c>
      <c r="C1208" s="4" t="str">
        <f ca="1">IFERROR(__xludf.DUMMYFUNCTION("GOOGLETRANSLATE(D:D,""auto"",""en"")"),"Chinese men's volleyball team missed the Tokyo Olympic Games")</f>
        <v>Chinese men's volleyball team missed the Tokyo Olympic Games</v>
      </c>
      <c r="D1208" s="5" t="s">
        <v>2841</v>
      </c>
      <c r="E1208" s="4">
        <v>1085456</v>
      </c>
    </row>
    <row r="1209" spans="1:5" ht="13.5" hidden="1" customHeight="1">
      <c r="A1209" s="4" t="s">
        <v>2842</v>
      </c>
      <c r="B1209" s="4" t="s">
        <v>2843</v>
      </c>
      <c r="C1209" s="4" t="str">
        <f ca="1">IFERROR(__xludf.DUMMYFUNCTION("GOOGLETRANSLATE(D:D,""auto"",""en"")"),"Curry sauce embarrassed")</f>
        <v>Curry sauce embarrassed</v>
      </c>
      <c r="D1209" s="5" t="s">
        <v>2844</v>
      </c>
      <c r="E1209" s="4">
        <v>1060736</v>
      </c>
    </row>
    <row r="1210" spans="1:5" ht="13.5" hidden="1" customHeight="1">
      <c r="A1210" s="4" t="s">
        <v>2845</v>
      </c>
      <c r="B1210" s="4" t="s">
        <v>2846</v>
      </c>
      <c r="C1210" s="4" t="str">
        <f ca="1">IFERROR(__xludf.DUMMYFUNCTION("GOOGLETRANSLATE(D:D,""auto"",""en"")"),"Zhao Liying temperament changed")</f>
        <v>Zhao Liying temperament changed</v>
      </c>
      <c r="D1210" s="5" t="s">
        <v>2847</v>
      </c>
      <c r="E1210" s="4">
        <v>1056364</v>
      </c>
    </row>
    <row r="1211" spans="1:5" ht="13.5" hidden="1" customHeight="1">
      <c r="A1211" s="4" t="s">
        <v>2848</v>
      </c>
      <c r="B1211" s="4" t="s">
        <v>2849</v>
      </c>
      <c r="C1211" s="4" t="str">
        <f ca="1">IFERROR(__xludf.DUMMYFUNCTION("GOOGLETRANSLATE(D:D,""auto"",""en"")"),"Love Apartments 5")</f>
        <v>Love Apartments 5</v>
      </c>
      <c r="D1211" s="5" t="s">
        <v>2850</v>
      </c>
      <c r="E1211" s="4">
        <v>946015</v>
      </c>
    </row>
    <row r="1212" spans="1:5" ht="13.5" hidden="1" customHeight="1">
      <c r="A1212" s="4" t="s">
        <v>2851</v>
      </c>
      <c r="B1212" s="4" t="s">
        <v>2852</v>
      </c>
      <c r="C1212" s="4" t="str">
        <f ca="1">IFERROR(__xludf.DUMMYFUNCTION("GOOGLETRANSLATE(D:D,""auto"",""en"")"),"Kenneth Ma Best Actor")</f>
        <v>Kenneth Ma Best Actor</v>
      </c>
      <c r="D1212" s="5" t="s">
        <v>2853</v>
      </c>
      <c r="E1212" s="4">
        <v>755697</v>
      </c>
    </row>
    <row r="1213" spans="1:5" ht="13.5" hidden="1" customHeight="1">
      <c r="A1213" s="4" t="s">
        <v>2854</v>
      </c>
      <c r="B1213" s="4" t="s">
        <v>2855</v>
      </c>
      <c r="C1213" s="4" t="str">
        <f ca="1">IFERROR(__xludf.DUMMYFUNCTION("GOOGLETRANSLATE(D:D,""auto"",""en"")"),"Imperial Palace New Year 6688 yuan per table")</f>
        <v>Imperial Palace New Year 6688 yuan per table</v>
      </c>
      <c r="D1213" s="5" t="s">
        <v>2856</v>
      </c>
      <c r="E1213" s="4">
        <v>649607</v>
      </c>
    </row>
    <row r="1214" spans="1:5" ht="13.5" hidden="1" customHeight="1">
      <c r="A1214" s="4" t="s">
        <v>2857</v>
      </c>
      <c r="B1214" s="4" t="s">
        <v>2828</v>
      </c>
      <c r="C1214" s="4" t="str">
        <f ca="1">IFERROR(__xludf.DUMMYFUNCTION("GOOGLETRANSLATE(D:D,""auto"",""en"")"),"Carina Lau explosion")</f>
        <v>Carina Lau explosion</v>
      </c>
      <c r="D1214" s="5" t="s">
        <v>2858</v>
      </c>
      <c r="E1214" s="4">
        <v>646000</v>
      </c>
    </row>
    <row r="1215" spans="1:5" ht="13.5" hidden="1" customHeight="1">
      <c r="A1215" s="4" t="s">
        <v>2859</v>
      </c>
      <c r="B1215" s="4" t="s">
        <v>2860</v>
      </c>
      <c r="C1215" s="4" t="str">
        <f ca="1">IFERROR(__xludf.DUMMYFUNCTION("GOOGLETRANSLATE(D:D,""auto"",""en"")"),"Ouyang Song Nana Joey Xueying Zhang took the trophy Cheers")</f>
        <v>Ouyang Song Nana Joey Xueying Zhang took the trophy Cheers</v>
      </c>
      <c r="D1215" s="5" t="s">
        <v>2861</v>
      </c>
      <c r="E1215" s="4">
        <v>645550</v>
      </c>
    </row>
    <row r="1216" spans="1:5" ht="13.5" hidden="1" customHeight="1">
      <c r="A1216" s="4" t="s">
        <v>2862</v>
      </c>
      <c r="B1216" s="4" t="s">
        <v>2863</v>
      </c>
      <c r="C1216" s="4" t="str">
        <f ca="1">IFERROR(__xludf.DUMMYFUNCTION("GOOGLETRANSLATE(D:D,""auto"",""en"")"),"Long distance relationship couple of chats")</f>
        <v>Long distance relationship couple of chats</v>
      </c>
      <c r="D1216" s="5" t="s">
        <v>2864</v>
      </c>
      <c r="E1216" s="4">
        <v>644935</v>
      </c>
    </row>
    <row r="1217" spans="1:5" ht="13.5" hidden="1" customHeight="1">
      <c r="A1217" s="4" t="s">
        <v>2865</v>
      </c>
      <c r="B1217" s="4" t="s">
        <v>2852</v>
      </c>
      <c r="C1217" s="4" t="str">
        <f ca="1">IFERROR(__xludf.DUMMYFUNCTION("GOOGLETRANSLATE(D:D,""auto"",""en"")"),"Guizhou Maotai corrupt officials to pour down sewer endless")</f>
        <v>Guizhou Maotai corrupt officials to pour down sewer endless</v>
      </c>
      <c r="D1217" s="5" t="s">
        <v>2866</v>
      </c>
      <c r="E1217" s="4">
        <v>634527</v>
      </c>
    </row>
    <row r="1218" spans="1:5" ht="13.5" hidden="1" customHeight="1">
      <c r="A1218" s="4" t="s">
        <v>959</v>
      </c>
      <c r="B1218" s="4" t="s">
        <v>960</v>
      </c>
      <c r="C1218" s="4" t="str">
        <f ca="1">IFERROR(__xludf.DUMMYFUNCTION("GOOGLETRANSLATE(D:D,""auto"",""en"")"),"Under Jinyi")</f>
        <v>Under Jinyi</v>
      </c>
      <c r="D1218" s="5" t="s">
        <v>961</v>
      </c>
      <c r="E1218" s="4">
        <v>483438</v>
      </c>
    </row>
    <row r="1219" spans="1:5" ht="13.5" hidden="1" customHeight="1">
      <c r="A1219" s="4" t="s">
        <v>1169</v>
      </c>
      <c r="B1219" s="4" t="s">
        <v>1170</v>
      </c>
      <c r="C1219" s="4" t="str">
        <f ca="1">IFERROR(__xludf.DUMMYFUNCTION("GOOGLETRANSLATE(D:D,""auto"",""en"")"),"want to see you")</f>
        <v>want to see you</v>
      </c>
      <c r="D1219" s="5" t="s">
        <v>1171</v>
      </c>
      <c r="E1219" s="4">
        <v>467237</v>
      </c>
    </row>
    <row r="1220" spans="1:5" ht="13.5" hidden="1" customHeight="1">
      <c r="A1220" s="4" t="s">
        <v>2867</v>
      </c>
      <c r="B1220" s="4" t="s">
        <v>2868</v>
      </c>
      <c r="C1220" s="4" t="str">
        <f ca="1">IFERROR(__xludf.DUMMYFUNCTION("GOOGLETRANSLATE(D:D,""auto"",""en"")"),"Best Actress Kara Hui")</f>
        <v>Best Actress Kara Hui</v>
      </c>
      <c r="D1220" s="5" t="s">
        <v>2869</v>
      </c>
      <c r="E1220" s="4">
        <v>463207</v>
      </c>
    </row>
    <row r="1221" spans="1:5" ht="13.5" hidden="1" customHeight="1">
      <c r="A1221" s="4" t="s">
        <v>2870</v>
      </c>
      <c r="B1221" s="4" t="s">
        <v>2871</v>
      </c>
      <c r="C1221" s="4" t="str">
        <f ca="1">IFERROR(__xludf.DUMMYFUNCTION("GOOGLETRANSLATE(D:D,""auto"",""en"")"),"Elite lawyers finale")</f>
        <v>Elite lawyers finale</v>
      </c>
      <c r="D1221" s="5" t="s">
        <v>2872</v>
      </c>
      <c r="E1221" s="4">
        <v>387560</v>
      </c>
    </row>
    <row r="1222" spans="1:5" ht="13.5" hidden="1" customHeight="1">
      <c r="A1222" s="4" t="s">
        <v>2873</v>
      </c>
      <c r="B1222" s="4" t="s">
        <v>2874</v>
      </c>
      <c r="C1222" s="4" t="str">
        <f ca="1">IFERROR(__xludf.DUMMYFUNCTION("GOOGLETRANSLATE(D:D,""auto"",""en"")"),"Nongfu Spring water project being reported")</f>
        <v>Nongfu Spring water project being reported</v>
      </c>
      <c r="D1222" s="5" t="s">
        <v>2875</v>
      </c>
      <c r="E1222" s="4">
        <v>370313</v>
      </c>
    </row>
    <row r="1223" spans="1:5" ht="13.5" hidden="1" customHeight="1">
      <c r="A1223" s="4" t="s">
        <v>1181</v>
      </c>
      <c r="B1223" s="4" t="s">
        <v>1182</v>
      </c>
      <c r="C1223" s="4" t="str">
        <f ca="1">IFERROR(__xludf.DUMMYFUNCTION("GOOGLETRANSLATE(D:D,""auto"",""en"")"),"our song")</f>
        <v>our song</v>
      </c>
      <c r="D1223" s="5" t="s">
        <v>1183</v>
      </c>
      <c r="E1223" s="4">
        <v>361733</v>
      </c>
    </row>
    <row r="1224" spans="1:5" ht="13.5" hidden="1" customHeight="1">
      <c r="A1224" s="4" t="s">
        <v>2876</v>
      </c>
      <c r="B1224" s="4" t="s">
        <v>2825</v>
      </c>
      <c r="C1224" s="4" t="str">
        <f ca="1">IFERROR(__xludf.DUMMYFUNCTION("GOOGLETRANSLATE(D:D,""auto"",""en"")"),"Independent girls no one hurt")</f>
        <v>Independent girls no one hurt</v>
      </c>
      <c r="D1224" s="5" t="s">
        <v>2877</v>
      </c>
      <c r="E1224" s="4">
        <v>346222</v>
      </c>
    </row>
    <row r="1225" spans="1:5" ht="13.5" hidden="1" customHeight="1">
      <c r="A1225" s="4" t="s">
        <v>2878</v>
      </c>
      <c r="B1225" s="4" t="s">
        <v>2879</v>
      </c>
      <c r="C1225" s="4" t="str">
        <f ca="1">IFERROR(__xludf.DUMMYFUNCTION("GOOGLETRANSLATE(D:D,""auto"",""en"")"),"What is substandard Three Views")</f>
        <v>What is substandard Three Views</v>
      </c>
      <c r="D1225" s="5" t="s">
        <v>2880</v>
      </c>
      <c r="E1225" s="4">
        <v>293199</v>
      </c>
    </row>
    <row r="1226" spans="1:5" ht="13.5" hidden="1" customHeight="1">
      <c r="A1226" s="4" t="s">
        <v>2881</v>
      </c>
      <c r="B1226" s="4" t="s">
        <v>2882</v>
      </c>
      <c r="C1226" s="4" t="str">
        <f ca="1">IFERROR(__xludf.DUMMYFUNCTION("GOOGLETRANSLATE(D:D,""auto"",""en"")"),"Father her daughter with a mirror in the sun")</f>
        <v>Father her daughter with a mirror in the sun</v>
      </c>
      <c r="D1226" s="5" t="s">
        <v>2883</v>
      </c>
      <c r="E1226" s="4">
        <v>290335</v>
      </c>
    </row>
    <row r="1227" spans="1:5" ht="13.5" hidden="1" customHeight="1">
      <c r="A1227" s="4" t="s">
        <v>2884</v>
      </c>
      <c r="B1227" s="4" t="s">
        <v>2885</v>
      </c>
      <c r="C1227" s="4" t="str">
        <f ca="1">IFERROR(__xludf.DUMMYFUNCTION("GOOGLETRANSLATE(D:D,""auto"",""en"")"),"CBA")</f>
        <v>CBA</v>
      </c>
      <c r="D1227" s="5" t="s">
        <v>2886</v>
      </c>
      <c r="E1227" s="4">
        <v>276001</v>
      </c>
    </row>
    <row r="1228" spans="1:5" ht="13.5" hidden="1" customHeight="1">
      <c r="A1228" s="4" t="s">
        <v>2887</v>
      </c>
      <c r="B1228" s="4" t="s">
        <v>2793</v>
      </c>
      <c r="C1228" s="4" t="str">
        <f ca="1">IFERROR(__xludf.DUMMYFUNCTION("GOOGLETRANSLATE(D:D,""auto"",""en"")"),"The Iraqi people to mobilize and organize the assassination of commander")</f>
        <v>The Iraqi people to mobilize and organize the assassination of commander</v>
      </c>
      <c r="D1228" s="5" t="s">
        <v>2888</v>
      </c>
      <c r="E1228" s="4">
        <v>267350</v>
      </c>
    </row>
    <row r="1229" spans="1:5" ht="13.5" hidden="1" customHeight="1">
      <c r="A1229" s="4" t="s">
        <v>2889</v>
      </c>
      <c r="B1229" s="4" t="s">
        <v>2819</v>
      </c>
      <c r="C1229" s="4" t="str">
        <f ca="1">IFERROR(__xludf.DUMMYFUNCTION("GOOGLETRANSLATE(D:D,""auto"",""en"")"),"Jay fans pay")</f>
        <v>Jay fans pay</v>
      </c>
      <c r="D1229" s="5" t="s">
        <v>2890</v>
      </c>
      <c r="E1229" s="4">
        <v>260633</v>
      </c>
    </row>
    <row r="1230" spans="1:5" ht="13.5" hidden="1" customHeight="1">
      <c r="A1230" s="4" t="s">
        <v>2891</v>
      </c>
      <c r="B1230" s="4" t="s">
        <v>2892</v>
      </c>
      <c r="C1230" s="4" t="str">
        <f ca="1">IFERROR(__xludf.DUMMYFUNCTION("GOOGLETRANSLATE(D:D,""auto"",""en"")"),"Rear passengers not wearing a seatbelt will also eat ticket")</f>
        <v>Rear passengers not wearing a seatbelt will also eat ticket</v>
      </c>
      <c r="D1230" s="5" t="s">
        <v>2893</v>
      </c>
      <c r="E1230" s="4">
        <v>249604</v>
      </c>
    </row>
    <row r="1231" spans="1:5" ht="13.5" hidden="1" customHeight="1">
      <c r="A1231" s="4" t="s">
        <v>2894</v>
      </c>
      <c r="B1231" s="4" t="s">
        <v>2860</v>
      </c>
      <c r="C1231" s="4" t="str">
        <f ca="1">IFERROR(__xludf.DUMMYFUNCTION("GOOGLETRANSLATE(D:D,""auto"",""en"")"),"Each meeting gave a child with a gift")</f>
        <v>Each meeting gave a child with a gift</v>
      </c>
      <c r="D1231" s="5" t="s">
        <v>2895</v>
      </c>
      <c r="E1231" s="4">
        <v>226320</v>
      </c>
    </row>
    <row r="1232" spans="1:5" ht="13.5" hidden="1" customHeight="1">
      <c r="A1232" s="4" t="s">
        <v>2896</v>
      </c>
      <c r="B1232" s="4" t="s">
        <v>2897</v>
      </c>
      <c r="C1232" s="4" t="str">
        <f ca="1">IFERROR(__xludf.DUMMYFUNCTION("GOOGLETRANSLATE(D:D,""auto"",""en"")"),"Philippines volcano eruption")</f>
        <v>Philippines volcano eruption</v>
      </c>
      <c r="D1232" s="5" t="s">
        <v>2898</v>
      </c>
      <c r="E1232" s="4">
        <v>221346</v>
      </c>
    </row>
    <row r="1233" spans="1:5" ht="13.5" hidden="1" customHeight="1">
      <c r="A1233" s="4" t="s">
        <v>2899</v>
      </c>
      <c r="B1233" s="4" t="s">
        <v>2900</v>
      </c>
      <c r="C1233" s="4" t="str">
        <f ca="1">IFERROR(__xludf.DUMMYFUNCTION("GOOGLETRANSLATE(D:D,""auto"",""en"")"),"90 into the main viewing")</f>
        <v>90 into the main viewing</v>
      </c>
      <c r="D1233" s="5" t="s">
        <v>2901</v>
      </c>
      <c r="E1233" s="4">
        <v>217109</v>
      </c>
    </row>
    <row r="1234" spans="1:5" ht="13.5" hidden="1" customHeight="1">
      <c r="A1234" s="4" t="s">
        <v>2902</v>
      </c>
      <c r="B1234" s="4" t="s">
        <v>2903</v>
      </c>
      <c r="C1234" s="4" t="str">
        <f ca="1">IFERROR(__xludf.DUMMYFUNCTION("GOOGLETRANSLATE(D:D,""auto"",""en"")"),"CBA All-Star votes Wang Yi")</f>
        <v>CBA All-Star votes Wang Yi</v>
      </c>
      <c r="D1234" s="5" t="s">
        <v>2904</v>
      </c>
      <c r="E1234" s="4">
        <v>216648</v>
      </c>
    </row>
    <row r="1235" spans="1:5" ht="13.5" hidden="1" customHeight="1">
      <c r="A1235" s="4" t="s">
        <v>2889</v>
      </c>
      <c r="B1235" s="4" t="s">
        <v>2750</v>
      </c>
      <c r="C1235" s="4" t="str">
        <f ca="1">IFERROR(__xludf.DUMMYFUNCTION("GOOGLETRANSLATE(D:D,""auto"",""en"")"),"William Chan fans may remember the way")</f>
        <v>William Chan fans may remember the way</v>
      </c>
      <c r="D1235" s="5" t="s">
        <v>2905</v>
      </c>
      <c r="E1235" s="4">
        <v>215409</v>
      </c>
    </row>
    <row r="1236" spans="1:5" ht="13.5" hidden="1" customHeight="1">
      <c r="A1236" s="4" t="s">
        <v>2906</v>
      </c>
      <c r="B1236" s="4" t="s">
        <v>2822</v>
      </c>
      <c r="C1236" s="4" t="str">
        <f ca="1">IFERROR(__xludf.DUMMYFUNCTION("GOOGLETRANSLATE(D:D,""auto"",""en"")"),"Zhou deep Hacken Lee sing in Cantonese")</f>
        <v>Zhou deep Hacken Lee sing in Cantonese</v>
      </c>
      <c r="D1236" s="5" t="s">
        <v>2907</v>
      </c>
      <c r="E1236" s="4">
        <v>211900</v>
      </c>
    </row>
    <row r="1237" spans="1:5" ht="13.5" hidden="1" customHeight="1">
      <c r="A1237" s="4" t="s">
        <v>2908</v>
      </c>
      <c r="B1237" s="4" t="s">
        <v>2909</v>
      </c>
      <c r="C1237" s="4" t="str">
        <f ca="1">IFERROR(__xludf.DUMMYFUNCTION("GOOGLETRANSLATE(D:D,""auto"",""en"")"),"TVB Awards")</f>
        <v>TVB Awards</v>
      </c>
      <c r="D1237" s="5" t="s">
        <v>2910</v>
      </c>
      <c r="E1237" s="4">
        <v>197803</v>
      </c>
    </row>
    <row r="1238" spans="1:5" ht="13.5" hidden="1" customHeight="1">
      <c r="A1238" s="4" t="s">
        <v>2911</v>
      </c>
      <c r="B1238" s="4" t="s">
        <v>2912</v>
      </c>
      <c r="C1238" s="4" t="str">
        <f ca="1">IFERROR(__xludf.DUMMYFUNCTION("GOOGLETRANSLATE(D:D,""auto"",""en"")"),"A cloud Ga hit the face Pikachu")</f>
        <v>A cloud Ga hit the face Pikachu</v>
      </c>
      <c r="D1238" s="5" t="s">
        <v>2913</v>
      </c>
      <c r="E1238" s="4">
        <v>177298</v>
      </c>
    </row>
    <row r="1239" spans="1:5" ht="13.5" hidden="1" customHeight="1">
      <c r="A1239" s="4" t="s">
        <v>2914</v>
      </c>
      <c r="B1239" s="4" t="s">
        <v>2915</v>
      </c>
      <c r="C1239" s="4" t="str">
        <f ca="1">IFERROR(__xludf.DUMMYFUNCTION("GOOGLETRANSLATE(D:D,""auto"",""en"")"),"Athletic department how sweet couple")</f>
        <v>Athletic department how sweet couple</v>
      </c>
      <c r="D1239" s="5" t="s">
        <v>2916</v>
      </c>
      <c r="E1239" s="4">
        <v>172874</v>
      </c>
    </row>
    <row r="1240" spans="1:5" ht="13.5" hidden="1" customHeight="1">
      <c r="A1240" s="4" t="s">
        <v>2917</v>
      </c>
      <c r="B1240" s="4" t="s">
        <v>2918</v>
      </c>
      <c r="C1240" s="4" t="str">
        <f ca="1">IFERROR(__xludf.DUMMYFUNCTION("GOOGLETRANSLATE(D:D,""auto"",""en"")"),"Negotiator")</f>
        <v>Negotiator</v>
      </c>
      <c r="D1240" s="5" t="s">
        <v>2919</v>
      </c>
      <c r="E1240" s="4">
        <v>163369</v>
      </c>
    </row>
    <row r="1241" spans="1:5" ht="13.5" hidden="1" customHeight="1">
      <c r="A1241" s="4" t="s">
        <v>2920</v>
      </c>
      <c r="B1241" s="4" t="s">
        <v>2921</v>
      </c>
      <c r="C1241" s="4" t="str">
        <f ca="1">IFERROR(__xludf.DUMMYFUNCTION("GOOGLETRANSLATE(D:D,""auto"",""en"")"),"Why Chinese New Year comes early 2020")</f>
        <v>Why Chinese New Year comes early 2020</v>
      </c>
      <c r="D1241" s="5" t="s">
        <v>2922</v>
      </c>
      <c r="E1241" s="4">
        <v>162514</v>
      </c>
    </row>
    <row r="1242" spans="1:5" ht="13.5" hidden="1" customHeight="1">
      <c r="A1242" s="4" t="s">
        <v>2923</v>
      </c>
      <c r="B1242" s="4" t="s">
        <v>2924</v>
      </c>
      <c r="C1242" s="4" t="str">
        <f ca="1">IFERROR(__xludf.DUMMYFUNCTION("GOOGLETRANSLATE(D:D,""auto"",""en"")"),"HW offline")</f>
        <v>HW offline</v>
      </c>
      <c r="D1242" s="5" t="s">
        <v>2925</v>
      </c>
      <c r="E1242" s="4">
        <v>160627</v>
      </c>
    </row>
    <row r="1243" spans="1:5" ht="13.5" hidden="1" customHeight="1">
      <c r="A1243" s="4" t="s">
        <v>2926</v>
      </c>
      <c r="B1243" s="4" t="s">
        <v>2927</v>
      </c>
      <c r="C1243" s="4" t="str">
        <f ca="1">IFERROR(__xludf.DUMMYFUNCTION("GOOGLETRANSLATE(D:D,""auto"",""en"")"),"Hu Mingxuan lore")</f>
        <v>Hu Mingxuan lore</v>
      </c>
      <c r="D1243" s="5" t="s">
        <v>2928</v>
      </c>
      <c r="E1243" s="4">
        <v>155139</v>
      </c>
    </row>
    <row r="1244" spans="1:5" ht="13.5" hidden="1" customHeight="1">
      <c r="A1244" s="4" t="s">
        <v>2929</v>
      </c>
      <c r="B1244" s="4" t="s">
        <v>2930</v>
      </c>
      <c r="C1244" s="4" t="str">
        <f ca="1">IFERROR(__xludf.DUMMYFUNCTION("GOOGLETRANSLATE(D:D,""auto"",""en"")"),"Australian Prime Minister to respond to fires during the holidays")</f>
        <v>Australian Prime Minister to respond to fires during the holidays</v>
      </c>
      <c r="D1244" s="5" t="s">
        <v>2931</v>
      </c>
      <c r="E1244" s="4">
        <v>151386</v>
      </c>
    </row>
    <row r="1245" spans="1:5" ht="13.5" hidden="1" customHeight="1">
      <c r="A1245" s="4" t="s">
        <v>2932</v>
      </c>
      <c r="B1245" s="4" t="s">
        <v>2933</v>
      </c>
      <c r="C1245" s="4" t="str">
        <f ca="1">IFERROR(__xludf.DUMMYFUNCTION("GOOGLETRANSLATE(D:D,""auto"",""en"")"),"Microblogging night lovely moment")</f>
        <v>Microblogging night lovely moment</v>
      </c>
      <c r="D1245" s="5" t="s">
        <v>2934</v>
      </c>
      <c r="E1245" s="4">
        <v>144698</v>
      </c>
    </row>
    <row r="1246" spans="1:5" ht="13.5" hidden="1" customHeight="1">
      <c r="A1246" s="4" t="s">
        <v>2894</v>
      </c>
      <c r="B1246" s="4" t="s">
        <v>2935</v>
      </c>
      <c r="C1246" s="4" t="str">
        <f ca="1">IFERROR(__xludf.DUMMYFUNCTION("GOOGLETRANSLATE(D:D,""auto"",""en"")"),"Negotiator Season")</f>
        <v>Negotiator Season</v>
      </c>
      <c r="D1246" s="5" t="s">
        <v>2936</v>
      </c>
      <c r="E1246" s="4">
        <v>119598</v>
      </c>
    </row>
    <row r="1247" spans="1:5" ht="13.5" hidden="1" customHeight="1">
      <c r="A1247" s="4" t="s">
        <v>2937</v>
      </c>
      <c r="B1247" s="4" t="s">
        <v>2938</v>
      </c>
      <c r="C1247" s="4" t="str">
        <f ca="1">IFERROR(__xludf.DUMMYFUNCTION("GOOGLETRANSLATE(D:D,""auto"",""en"")"),"33-year-old man received parents to marry dancers song")</f>
        <v>33-year-old man received parents to marry dancers song</v>
      </c>
      <c r="D1247" s="5" t="s">
        <v>2939</v>
      </c>
      <c r="E1247" s="4">
        <v>113447</v>
      </c>
    </row>
    <row r="1248" spans="1:5" ht="13.5" hidden="1" customHeight="1">
      <c r="A1248" s="4" t="s">
        <v>2940</v>
      </c>
      <c r="B1248" s="4" t="s">
        <v>2868</v>
      </c>
      <c r="C1248" s="4" t="str">
        <f ca="1">IFERROR(__xludf.DUMMYFUNCTION("GOOGLETRANSLATE(D:D,""auto"",""en"")"),"Zhao Rui All-Star MVP")</f>
        <v>Zhao Rui All-Star MVP</v>
      </c>
      <c r="D1248" s="5" t="s">
        <v>2941</v>
      </c>
      <c r="E1248" s="4">
        <v>84260</v>
      </c>
    </row>
    <row r="1249" spans="1:5" ht="13.5" hidden="1" customHeight="1">
      <c r="A1249" s="4" t="s">
        <v>2942</v>
      </c>
      <c r="B1249" s="4" t="s">
        <v>2943</v>
      </c>
      <c r="C1249" s="4" t="str">
        <f ca="1">IFERROR(__xludf.DUMMYFUNCTION("GOOGLETRANSLATE(D:D,""auto"",""en"")"),"Corruption large national inspection")</f>
        <v>Corruption large national inspection</v>
      </c>
      <c r="D1249" s="5" t="s">
        <v>2944</v>
      </c>
      <c r="E1249" s="4">
        <v>70154</v>
      </c>
    </row>
    <row r="1250" spans="1:5" ht="13.5" hidden="1" customHeight="1">
      <c r="C1250" s="4" t="str">
        <f ca="1">IFERROR(__xludf.DUMMYFUNCTION("GOOGLETRANSLATE(D:D,""auto"",""en"")"),"#VALUE!")</f>
        <v>#VALUE!</v>
      </c>
    </row>
    <row r="1251" spans="1:5" ht="13.5" hidden="1" customHeight="1">
      <c r="A1251" s="4" t="s">
        <v>2945</v>
      </c>
      <c r="B1251" s="4" t="s">
        <v>2946</v>
      </c>
      <c r="C1251" s="4" t="str">
        <f ca="1">IFERROR(__xludf.DUMMYFUNCTION("GOOGLETRANSLATE(D:D,""auto"",""en"")"),"陶虹生 map")</f>
        <v>陶虹生 map</v>
      </c>
      <c r="D1251" s="4" t="s">
        <v>2947</v>
      </c>
      <c r="E1251" s="4">
        <v>3294293</v>
      </c>
    </row>
    <row r="1252" spans="1:5" ht="13.5" hidden="1" customHeight="1">
      <c r="A1252" s="4" t="s">
        <v>2948</v>
      </c>
      <c r="B1252" s="4" t="s">
        <v>2949</v>
      </c>
      <c r="C1252" s="4" t="str">
        <f ca="1">IFERROR(__xludf.DUMMYFUNCTION("GOOGLETRANSLATE(D:D,""auto"",""en"")"),"Dedication blessing")</f>
        <v>Dedication blessing</v>
      </c>
      <c r="D1252" s="5" t="s">
        <v>2950</v>
      </c>
      <c r="E1252" s="4">
        <v>2380584</v>
      </c>
    </row>
    <row r="1253" spans="1:5" ht="13.5" hidden="1" customHeight="1">
      <c r="A1253" s="4" t="s">
        <v>2951</v>
      </c>
      <c r="B1253" s="4" t="s">
        <v>2952</v>
      </c>
      <c r="C1253" s="4" t="str">
        <f ca="1">IFERROR(__xludf.DUMMYFUNCTION("GOOGLETRANSLATE(D:D,""auto"",""en"")"),"Huang Bo Huang Xiaoming Huang Zaitao same box")</f>
        <v>Huang Bo Huang Xiaoming Huang Zaitao same box</v>
      </c>
      <c r="D1253" s="5" t="s">
        <v>2953</v>
      </c>
      <c r="E1253" s="4">
        <v>2059702</v>
      </c>
    </row>
    <row r="1254" spans="1:5" ht="13.5" hidden="1" customHeight="1">
      <c r="A1254" s="4" t="s">
        <v>2954</v>
      </c>
      <c r="B1254" s="4" t="s">
        <v>2955</v>
      </c>
      <c r="C1254" s="4" t="str">
        <f ca="1">IFERROR(__xludf.DUMMYFUNCTION("GOOGLETRANSLATE(D:D,""auto"",""en"")"),"Hao Yun wife complaint of domestic violence")</f>
        <v>Hao Yun wife complaint of domestic violence</v>
      </c>
      <c r="D1254" s="5" t="s">
        <v>2956</v>
      </c>
      <c r="E1254" s="4">
        <v>1861223</v>
      </c>
    </row>
    <row r="1255" spans="1:5" ht="13.5" hidden="1" customHeight="1">
      <c r="A1255" s="4" t="s">
        <v>2957</v>
      </c>
      <c r="B1255" s="4" t="s">
        <v>2958</v>
      </c>
      <c r="C1255" s="4" t="str">
        <f ca="1">IFERROR(__xludf.DUMMYFUNCTION("GOOGLETRANSLATE(D:D,""auto"",""en"")"),"Xiaozhan wizard style")</f>
        <v>Xiaozhan wizard style</v>
      </c>
      <c r="D1255" s="5" t="s">
        <v>2959</v>
      </c>
      <c r="E1255" s="4">
        <v>847201</v>
      </c>
    </row>
    <row r="1256" spans="1:5" ht="13.5" hidden="1" customHeight="1">
      <c r="A1256" s="4" t="s">
        <v>2960</v>
      </c>
      <c r="B1256" s="4" t="s">
        <v>2961</v>
      </c>
      <c r="C1256" s="4" t="str">
        <f ca="1">IFERROR(__xludf.DUMMYFUNCTION("GOOGLETRANSLATE(D:D,""auto"",""en"")"),"Chinese Academy of Sciences will investigate Chan tutor and Mistress paper")</f>
        <v>Chinese Academy of Sciences will investigate Chan tutor and Mistress paper</v>
      </c>
      <c r="D1256" s="5" t="s">
        <v>2962</v>
      </c>
      <c r="E1256" s="4">
        <v>795424</v>
      </c>
    </row>
    <row r="1257" spans="1:5" ht="13.5" hidden="1" customHeight="1">
      <c r="A1257" s="4" t="s">
        <v>2963</v>
      </c>
      <c r="B1257" s="4" t="s">
        <v>2964</v>
      </c>
      <c r="C1257" s="4" t="str">
        <f ca="1">IFERROR(__xludf.DUMMYFUNCTION("GOOGLETRANSLATE(D:D,""auto"",""en"")"),"Zhao Haitang do not sing")</f>
        <v>Zhao Haitang do not sing</v>
      </c>
      <c r="D1257" s="5" t="s">
        <v>2965</v>
      </c>
      <c r="E1257" s="4">
        <v>526944</v>
      </c>
    </row>
    <row r="1258" spans="1:5" ht="13.5" hidden="1" customHeight="1">
      <c r="A1258" s="4" t="s">
        <v>2966</v>
      </c>
      <c r="B1258" s="4" t="s">
        <v>2899</v>
      </c>
      <c r="C1258" s="4" t="str">
        <f ca="1">IFERROR(__xludf.DUMMYFUNCTION("GOOGLETRANSLATE(D:D,""auto"",""en"")"),"Chinese Embassy in the Philippines to remind Chinese citizens pay attention to safety")</f>
        <v>Chinese Embassy in the Philippines to remind Chinese citizens pay attention to safety</v>
      </c>
      <c r="D1258" s="5" t="s">
        <v>2967</v>
      </c>
      <c r="E1258" s="4">
        <v>488880</v>
      </c>
    </row>
    <row r="1259" spans="1:5" ht="13.5" hidden="1" customHeight="1">
      <c r="A1259" s="4" t="s">
        <v>2954</v>
      </c>
      <c r="B1259" s="4" t="s">
        <v>2968</v>
      </c>
      <c r="C1259" s="4" t="str">
        <f ca="1">IFERROR(__xludf.DUMMYFUNCTION("GOOGLETRANSLATE(D:D,""auto"",""en"")"),"Distressed Li Ziwei")</f>
        <v>Distressed Li Ziwei</v>
      </c>
      <c r="D1259" s="5" t="s">
        <v>2969</v>
      </c>
      <c r="E1259" s="4">
        <v>405573</v>
      </c>
    </row>
    <row r="1260" spans="1:5" ht="13.5" hidden="1" customHeight="1">
      <c r="A1260" s="4" t="s">
        <v>2970</v>
      </c>
      <c r="B1260" s="4" t="s">
        <v>2971</v>
      </c>
      <c r="C1260" s="4" t="str">
        <f ca="1">IFERROR(__xludf.DUMMYFUNCTION("GOOGLETRANSLATE(D:D,""auto"",""en"")"),"After Hathaway second child walk the red carpet")</f>
        <v>After Hathaway second child walk the red carpet</v>
      </c>
      <c r="D1260" s="5" t="s">
        <v>2972</v>
      </c>
      <c r="E1260" s="4">
        <v>404885</v>
      </c>
    </row>
    <row r="1261" spans="1:5" ht="13.5" hidden="1" customHeight="1">
      <c r="A1261" s="4" t="s">
        <v>2973</v>
      </c>
      <c r="B1261" s="4" t="s">
        <v>2974</v>
      </c>
      <c r="C1261" s="4" t="str">
        <f ca="1">IFERROR(__xludf.DUMMYFUNCTION("GOOGLETRANSLATE(D:D,""auto"",""en"")"),"Under the effects of silk")</f>
        <v>Under the effects of silk</v>
      </c>
      <c r="D1261" s="5" t="s">
        <v>2975</v>
      </c>
      <c r="E1261" s="4">
        <v>390331</v>
      </c>
    </row>
    <row r="1262" spans="1:5" ht="13.5" hidden="1" customHeight="1">
      <c r="A1262" s="4" t="s">
        <v>2833</v>
      </c>
      <c r="B1262" s="4" t="s">
        <v>2834</v>
      </c>
      <c r="C1262" s="4" t="str">
        <f ca="1">IFERROR(__xludf.DUMMYFUNCTION("GOOGLETRANSLATE(D:D,""auto"",""en"")"),"Zeng Yin is not cheap,")</f>
        <v>Zeng Yin is not cheap,</v>
      </c>
      <c r="D1262" s="5" t="s">
        <v>2835</v>
      </c>
      <c r="E1262" s="4">
        <v>337675</v>
      </c>
    </row>
    <row r="1263" spans="1:5" ht="13.5" hidden="1" customHeight="1">
      <c r="A1263" s="4" t="s">
        <v>2976</v>
      </c>
      <c r="B1263" s="4" t="s">
        <v>2977</v>
      </c>
      <c r="C1263" s="4" t="str">
        <f ca="1">IFERROR(__xludf.DUMMYFUNCTION("GOOGLETRANSLATE(D:D,""auto"",""en"")"),"Controversial authors deny touted tutor")</f>
        <v>Controversial authors deny touted tutor</v>
      </c>
      <c r="D1263" s="5" t="s">
        <v>2978</v>
      </c>
      <c r="E1263" s="4">
        <v>333611</v>
      </c>
    </row>
    <row r="1264" spans="1:5" ht="13.5" hidden="1" customHeight="1">
      <c r="A1264" s="4" t="s">
        <v>2979</v>
      </c>
      <c r="B1264" s="4" t="s">
        <v>2854</v>
      </c>
      <c r="C1264" s="4" t="str">
        <f ca="1">IFERROR(__xludf.DUMMYFUNCTION("GOOGLETRANSLATE(D:D,""auto"",""en"")"),"Xiaozhan retro disco")</f>
        <v>Xiaozhan retro disco</v>
      </c>
      <c r="D1264" s="5" t="s">
        <v>2980</v>
      </c>
      <c r="E1264" s="4">
        <v>327724</v>
      </c>
    </row>
    <row r="1265" spans="1:5" ht="13.5" hidden="1" customHeight="1">
      <c r="A1265" s="4" t="s">
        <v>2981</v>
      </c>
      <c r="B1265" s="4" t="s">
        <v>2815</v>
      </c>
      <c r="C1265" s="4" t="str">
        <f ca="1">IFERROR(__xludf.DUMMYFUNCTION("GOOGLETRANSLATE(D:D,""auto"",""en"")"),"Wang Yibo Zhang posted double-fold to the big")</f>
        <v>Wang Yibo Zhang posted double-fold to the big</v>
      </c>
      <c r="D1265" s="5" t="s">
        <v>2982</v>
      </c>
      <c r="E1265" s="4">
        <v>322519</v>
      </c>
    </row>
    <row r="1266" spans="1:5" ht="13.5" hidden="1" customHeight="1">
      <c r="A1266" s="4" t="s">
        <v>2983</v>
      </c>
      <c r="B1266" s="4" t="s">
        <v>2984</v>
      </c>
      <c r="C1266" s="4" t="str">
        <f ca="1">IFERROR(__xludf.DUMMYFUNCTION("GOOGLETRANSLATE(D:D,""auto"",""en"")"),"5600 suddenly drove home to their parents surprise")</f>
        <v>5600 suddenly drove home to their parents surprise</v>
      </c>
      <c r="D1266" s="5" t="s">
        <v>2985</v>
      </c>
      <c r="E1266" s="4">
        <v>316978</v>
      </c>
    </row>
    <row r="1267" spans="1:5" ht="13.5" hidden="1" customHeight="1">
      <c r="A1267" s="4" t="s">
        <v>2986</v>
      </c>
      <c r="B1267" s="4" t="s">
        <v>2987</v>
      </c>
      <c r="C1267" s="4" t="str">
        <f ca="1">IFERROR(__xludf.DUMMYFUNCTION("GOOGLETRANSLATE(D:D,""auto"",""en"")"),"Su transform people every day")</f>
        <v>Su transform people every day</v>
      </c>
      <c r="D1267" s="5" t="s">
        <v>2988</v>
      </c>
      <c r="E1267" s="4">
        <v>315795</v>
      </c>
    </row>
    <row r="1268" spans="1:5" ht="13.5" hidden="1" customHeight="1">
      <c r="A1268" s="4" t="s">
        <v>2989</v>
      </c>
      <c r="B1268" s="4" t="s">
        <v>2990</v>
      </c>
      <c r="C1268" s="4" t="str">
        <f ca="1">IFERROR(__xludf.DUMMYFUNCTION("GOOGLETRANSLATE(D:D,""auto"",""en"")"),"The village was a collective three operators pull the black")</f>
        <v>The village was a collective three operators pull the black</v>
      </c>
      <c r="D1268" s="5" t="s">
        <v>2991</v>
      </c>
      <c r="E1268" s="4">
        <v>309467</v>
      </c>
    </row>
    <row r="1269" spans="1:5" ht="13.5" hidden="1" customHeight="1">
      <c r="A1269" s="4" t="s">
        <v>2992</v>
      </c>
      <c r="B1269" s="4" t="s">
        <v>2993</v>
      </c>
      <c r="C1269" s="4" t="str">
        <f ca="1">IFERROR(__xludf.DUMMYFUNCTION("GOOGLETRANSLATE(D:D,""auto"",""en"")"),"Males 50 years of breeding turtles 800")</f>
        <v>Males 50 years of breeding turtles 800</v>
      </c>
      <c r="D1269" s="5" t="s">
        <v>2994</v>
      </c>
      <c r="E1269" s="4">
        <v>305981</v>
      </c>
    </row>
    <row r="1270" spans="1:5" ht="13.5" hidden="1" customHeight="1">
      <c r="A1270" s="4" t="s">
        <v>2995</v>
      </c>
      <c r="B1270" s="4" t="s">
        <v>2996</v>
      </c>
      <c r="C1270" s="4" t="str">
        <f ca="1">IFERROR(__xludf.DUMMYFUNCTION("GOOGLETRANSLATE(D:D,""auto"",""en"")"),"Hyun Bin crying scene")</f>
        <v>Hyun Bin crying scene</v>
      </c>
      <c r="D1270" s="5" t="s">
        <v>2997</v>
      </c>
      <c r="E1270" s="4">
        <v>305963</v>
      </c>
    </row>
    <row r="1271" spans="1:5" ht="13.5" hidden="1" customHeight="1">
      <c r="A1271" s="4" t="s">
        <v>2998</v>
      </c>
      <c r="B1271" s="4" t="s">
        <v>2999</v>
      </c>
      <c r="C1271" s="4" t="str">
        <f ca="1">IFERROR(__xludf.DUMMYFUNCTION("GOOGLETRANSLATE(D:D,""auto"",""en"")"),"Wufu")</f>
        <v>Wufu</v>
      </c>
      <c r="D1271" s="5" t="s">
        <v>3000</v>
      </c>
      <c r="E1271" s="4">
        <v>305776</v>
      </c>
    </row>
    <row r="1272" spans="1:5" ht="13.5" hidden="1" customHeight="1">
      <c r="A1272" s="4" t="s">
        <v>3001</v>
      </c>
      <c r="B1272" s="4" t="s">
        <v>3002</v>
      </c>
      <c r="C1272" s="4" t="str">
        <f ca="1">IFERROR(__xludf.DUMMYFUNCTION("GOOGLETRANSLATE(D:D,""auto"",""en"")"),"I was scared worst one")</f>
        <v>I was scared worst one</v>
      </c>
      <c r="D1272" s="5" t="s">
        <v>3003</v>
      </c>
      <c r="E1272" s="4">
        <v>284894</v>
      </c>
    </row>
    <row r="1273" spans="1:5" ht="13.5" hidden="1" customHeight="1">
      <c r="A1273" s="4" t="s">
        <v>2833</v>
      </c>
      <c r="B1273" s="4" t="s">
        <v>3004</v>
      </c>
      <c r="C1273" s="4" t="str">
        <f ca="1">IFERROR(__xludf.DUMMYFUNCTION("GOOGLETRANSLATE(D:D,""auto"",""en"")"),"Little Women given file")</f>
        <v>Little Women given file</v>
      </c>
      <c r="D1273" s="5" t="s">
        <v>3005</v>
      </c>
      <c r="E1273" s="4">
        <v>247264</v>
      </c>
    </row>
    <row r="1274" spans="1:5" ht="13.5" hidden="1" customHeight="1">
      <c r="A1274" s="4" t="s">
        <v>3006</v>
      </c>
      <c r="B1274" s="4" t="s">
        <v>3007</v>
      </c>
      <c r="C1274" s="4" t="str">
        <f ca="1">IFERROR(__xludf.DUMMYFUNCTION("GOOGLETRANSLATE(D:D,""auto"",""en"")"),"From small to large changes in the value of the Yen")</f>
        <v>From small to large changes in the value of the Yen</v>
      </c>
      <c r="D1274" s="5" t="s">
        <v>3008</v>
      </c>
      <c r="E1274" s="4">
        <v>234767</v>
      </c>
    </row>
    <row r="1275" spans="1:5" ht="13.5" hidden="1" customHeight="1">
      <c r="A1275" s="4" t="s">
        <v>3009</v>
      </c>
      <c r="B1275" s="4" t="s">
        <v>3010</v>
      </c>
      <c r="C1275" s="4" t="str">
        <f ca="1">IFERROR(__xludf.DUMMYFUNCTION("GOOGLETRANSLATE(D:D,""auto"",""en"")"),"Do Kyung-soo fans should aid")</f>
        <v>Do Kyung-soo fans should aid</v>
      </c>
      <c r="D1275" s="5" t="s">
        <v>3011</v>
      </c>
      <c r="E1275" s="4">
        <v>234619</v>
      </c>
    </row>
    <row r="1276" spans="1:5" ht="13.5" hidden="1" customHeight="1">
      <c r="A1276" s="4" t="s">
        <v>2833</v>
      </c>
      <c r="B1276" s="4" t="s">
        <v>3012</v>
      </c>
      <c r="C1276" s="4" t="str">
        <f ca="1">IFERROR(__xludf.DUMMYFUNCTION("GOOGLETRANSLATE(D:D,""auto"",""en"")"),"President Lee is now handed copy")</f>
        <v>President Lee is now handed copy</v>
      </c>
      <c r="D1276" s="5" t="s">
        <v>3013</v>
      </c>
      <c r="E1276" s="4">
        <v>230557</v>
      </c>
    </row>
    <row r="1277" spans="1:5" ht="13.5" hidden="1" customHeight="1">
      <c r="A1277" s="4" t="s">
        <v>3014</v>
      </c>
      <c r="B1277" s="4" t="s">
        <v>3015</v>
      </c>
      <c r="C1277" s="4" t="str">
        <f ca="1">IFERROR(__xludf.DUMMYFUNCTION("GOOGLETRANSLATE(D:D,""auto"",""en"")"),"Nigma beat the RNG")</f>
        <v>Nigma beat the RNG</v>
      </c>
      <c r="D1277" s="5" t="s">
        <v>3016</v>
      </c>
      <c r="E1277" s="4">
        <v>226518</v>
      </c>
    </row>
    <row r="1278" spans="1:5" ht="13.5" hidden="1" customHeight="1">
      <c r="A1278" s="4" t="s">
        <v>3017</v>
      </c>
      <c r="B1278" s="4" t="s">
        <v>2887</v>
      </c>
      <c r="C1278" s="4" t="str">
        <f ca="1">IFERROR(__xludf.DUMMYFUNCTION("GOOGLETRANSLATE(D:D,""auto"",""en"")"),"Central Discipline Inspection Commission ninth Fourth Plenary Session")</f>
        <v>Central Discipline Inspection Commission ninth Fourth Plenary Session</v>
      </c>
      <c r="D1278" s="5" t="s">
        <v>3018</v>
      </c>
      <c r="E1278" s="4">
        <v>223009</v>
      </c>
    </row>
    <row r="1279" spans="1:5" ht="13.5" hidden="1" customHeight="1">
      <c r="A1279" s="4" t="s">
        <v>3019</v>
      </c>
      <c r="B1279" s="4" t="s">
        <v>3020</v>
      </c>
      <c r="C1279" s="4" t="str">
        <f ca="1">IFERROR(__xludf.DUMMYFUNCTION("GOOGLETRANSLATE(D:D,""auto"",""en"")"),"Zhang Zhichao case 13 years after the retrial acquitted")</f>
        <v>Zhang Zhichao case 13 years after the retrial acquitted</v>
      </c>
      <c r="D1279" s="5" t="s">
        <v>3021</v>
      </c>
      <c r="E1279" s="4">
        <v>222597</v>
      </c>
    </row>
    <row r="1280" spans="1:5" ht="13.5" hidden="1" customHeight="1">
      <c r="A1280" s="4" t="s">
        <v>3022</v>
      </c>
      <c r="B1280" s="4" t="s">
        <v>2873</v>
      </c>
      <c r="C1280" s="4" t="str">
        <f ca="1">IFERROR(__xludf.DUMMYFUNCTION("GOOGLETRANSLATE(D:D,""auto"",""en"")"),"Victory accept the arrest warrant review")</f>
        <v>Victory accept the arrest warrant review</v>
      </c>
      <c r="D1280" s="5" t="s">
        <v>3023</v>
      </c>
      <c r="E1280" s="4">
        <v>210298</v>
      </c>
    </row>
    <row r="1281" spans="1:5" ht="13.5" hidden="1" customHeight="1">
      <c r="A1281" s="4" t="s">
        <v>2821</v>
      </c>
      <c r="B1281" s="4" t="s">
        <v>2822</v>
      </c>
      <c r="C1281" s="4" t="str">
        <f ca="1">IFERROR(__xludf.DUMMYFUNCTION("GOOGLETRANSLATE(D:D,""auto"",""en"")"),"Hu Fei Zeng Yin licensing")</f>
        <v>Hu Fei Zeng Yin licensing</v>
      </c>
      <c r="D1281" s="5" t="s">
        <v>2823</v>
      </c>
      <c r="E1281" s="4">
        <v>183765</v>
      </c>
    </row>
    <row r="1282" spans="1:5" ht="13.5" hidden="1" customHeight="1">
      <c r="A1282" s="4" t="s">
        <v>2821</v>
      </c>
      <c r="B1282" s="4" t="s">
        <v>3024</v>
      </c>
      <c r="C1282" s="4" t="str">
        <f ca="1">IFERROR(__xludf.DUMMYFUNCTION("GOOGLETRANSLATE(D:D,""auto"",""en"")"),"Rank can not shift the real meaning")</f>
        <v>Rank can not shift the real meaning</v>
      </c>
      <c r="D1282" s="5" t="s">
        <v>3025</v>
      </c>
      <c r="E1282" s="4">
        <v>163648</v>
      </c>
    </row>
    <row r="1283" spans="1:5" ht="13.5" hidden="1" customHeight="1">
      <c r="A1283" s="4" t="s">
        <v>2839</v>
      </c>
      <c r="B1283" s="4" t="s">
        <v>2840</v>
      </c>
      <c r="C1283" s="4" t="str">
        <f ca="1">IFERROR(__xludf.DUMMYFUNCTION("GOOGLETRANSLATE(D:D,""auto"",""en"")"),"Chinese men's volleyball team missed the Tokyo Olympic Games")</f>
        <v>Chinese men's volleyball team missed the Tokyo Olympic Games</v>
      </c>
      <c r="D1283" s="5" t="s">
        <v>2841</v>
      </c>
      <c r="E1283" s="4">
        <v>158440</v>
      </c>
    </row>
    <row r="1284" spans="1:5" ht="13.5" hidden="1" customHeight="1">
      <c r="A1284" s="4" t="s">
        <v>3026</v>
      </c>
      <c r="B1284" s="4" t="s">
        <v>3027</v>
      </c>
      <c r="C1284" s="4" t="str">
        <f ca="1">IFERROR(__xludf.DUMMYFUNCTION("GOOGLETRANSLATE(D:D,""auto"",""en"")"),"Kento Momota car accident hospitalized")</f>
        <v>Kento Momota car accident hospitalized</v>
      </c>
      <c r="D1284" s="5" t="s">
        <v>3028</v>
      </c>
      <c r="E1284" s="4">
        <v>155069</v>
      </c>
    </row>
    <row r="1285" spans="1:5" ht="13.5" hidden="1" customHeight="1">
      <c r="A1285" s="4" t="s">
        <v>3029</v>
      </c>
      <c r="B1285" s="4" t="s">
        <v>3030</v>
      </c>
      <c r="C1285" s="4" t="str">
        <f ca="1">IFERROR(__xludf.DUMMYFUNCTION("GOOGLETRANSLATE(D:D,""auto"",""en"")"),"Grueling and can not cure the disease")</f>
        <v>Grueling and can not cure the disease</v>
      </c>
      <c r="D1285" s="5" t="s">
        <v>3031</v>
      </c>
      <c r="E1285" s="4">
        <v>146325</v>
      </c>
    </row>
    <row r="1286" spans="1:5" ht="13.5" hidden="1" customHeight="1">
      <c r="A1286" s="4" t="s">
        <v>2827</v>
      </c>
      <c r="B1286" s="4" t="s">
        <v>2828</v>
      </c>
      <c r="C1286" s="4" t="str">
        <f ca="1">IFERROR(__xludf.DUMMYFUNCTION("GOOGLETRANSLATE(D:D,""auto"",""en"")"),"Gucci instant noodles")</f>
        <v>Gucci instant noodles</v>
      </c>
      <c r="D1286" s="5" t="s">
        <v>2829</v>
      </c>
      <c r="E1286" s="4">
        <v>144180</v>
      </c>
    </row>
    <row r="1287" spans="1:5" ht="13.5" hidden="1" customHeight="1">
      <c r="A1287" s="4" t="s">
        <v>2896</v>
      </c>
      <c r="B1287" s="4" t="s">
        <v>2897</v>
      </c>
      <c r="C1287" s="4" t="str">
        <f ca="1">IFERROR(__xludf.DUMMYFUNCTION("GOOGLETRANSLATE(D:D,""auto"",""en"")"),"Philippines volcano eruption")</f>
        <v>Philippines volcano eruption</v>
      </c>
      <c r="D1287" s="5" t="s">
        <v>2898</v>
      </c>
      <c r="E1287" s="4">
        <v>134806</v>
      </c>
    </row>
    <row r="1288" spans="1:5" ht="13.5" hidden="1" customHeight="1">
      <c r="A1288" s="4" t="s">
        <v>3032</v>
      </c>
      <c r="B1288" s="4" t="s">
        <v>3033</v>
      </c>
      <c r="C1288" s="4" t="str">
        <f ca="1">IFERROR(__xludf.DUMMYFUNCTION("GOOGLETRANSLATE(D:D,""auto"",""en"")"),"Seemingly glamorous profession in general revenue")</f>
        <v>Seemingly glamorous profession in general revenue</v>
      </c>
      <c r="D1288" s="5" t="s">
        <v>3034</v>
      </c>
      <c r="E1288" s="4">
        <v>131391</v>
      </c>
    </row>
    <row r="1289" spans="1:5" ht="13.5" hidden="1" customHeight="1">
      <c r="A1289" s="4" t="s">
        <v>3035</v>
      </c>
      <c r="B1289" s="4" t="s">
        <v>3036</v>
      </c>
      <c r="C1289" s="4" t="str">
        <f ca="1">IFERROR(__xludf.DUMMYFUNCTION("GOOGLETRANSLATE(D:D,""auto"",""en"")"),"Owen 21 points")</f>
        <v>Owen 21 points</v>
      </c>
      <c r="D1289" s="5" t="s">
        <v>3037</v>
      </c>
      <c r="E1289" s="4">
        <v>130649</v>
      </c>
    </row>
    <row r="1290" spans="1:5" ht="13.5" hidden="1" customHeight="1">
      <c r="A1290" s="4" t="s">
        <v>3038</v>
      </c>
      <c r="B1290" s="4" t="s">
        <v>2961</v>
      </c>
      <c r="C1290" s="4" t="str">
        <f ca="1">IFERROR(__xludf.DUMMYFUNCTION("GOOGLETRANSLATE(D:D,""auto"",""en"")"),"Anhui part of the highway into the outlet is closed due to fog")</f>
        <v>Anhui part of the highway into the outlet is closed due to fog</v>
      </c>
      <c r="D1290" s="5" t="s">
        <v>3039</v>
      </c>
      <c r="E1290" s="4">
        <v>129695</v>
      </c>
    </row>
    <row r="1291" spans="1:5" ht="13.5" hidden="1" customHeight="1">
      <c r="A1291" s="4" t="s">
        <v>3040</v>
      </c>
      <c r="B1291" s="4" t="s">
        <v>2968</v>
      </c>
      <c r="C1291" s="4" t="str">
        <f ca="1">IFERROR(__xludf.DUMMYFUNCTION("GOOGLETRANSLATE(D:D,""auto"",""en"")"),"See you ignorant notice")</f>
        <v>See you ignorant notice</v>
      </c>
      <c r="D1291" s="5" t="s">
        <v>3041</v>
      </c>
      <c r="E1291" s="4">
        <v>122816</v>
      </c>
    </row>
    <row r="1292" spans="1:5" ht="13.5" hidden="1" customHeight="1">
      <c r="A1292" s="4" t="s">
        <v>3042</v>
      </c>
      <c r="B1292" s="4" t="s">
        <v>3043</v>
      </c>
      <c r="C1292" s="4" t="str">
        <f ca="1">IFERROR(__xludf.DUMMYFUNCTION("GOOGLETRANSLATE(D:D,""auto"",""en"")"),"Pupils write essay urgent cry")</f>
        <v>Pupils write essay urgent cry</v>
      </c>
      <c r="D1292" s="5" t="s">
        <v>3044</v>
      </c>
      <c r="E1292" s="4">
        <v>122610</v>
      </c>
    </row>
    <row r="1293" spans="1:5" ht="13.5" hidden="1" customHeight="1">
      <c r="A1293" s="4" t="s">
        <v>3045</v>
      </c>
      <c r="B1293" s="4" t="s">
        <v>2926</v>
      </c>
      <c r="C1293" s="4" t="str">
        <f ca="1">IFERROR(__xludf.DUMMYFUNCTION("GOOGLETRANSLATE(D:D,""auto"",""en"")"),"Du Feng Chen Linjian kissing")</f>
        <v>Du Feng Chen Linjian kissing</v>
      </c>
      <c r="D1293" s="5" t="s">
        <v>3046</v>
      </c>
      <c r="E1293" s="4">
        <v>110861</v>
      </c>
    </row>
    <row r="1294" spans="1:5" ht="13.5" hidden="1" customHeight="1">
      <c r="A1294" s="4" t="s">
        <v>3042</v>
      </c>
      <c r="B1294" s="4" t="s">
        <v>3047</v>
      </c>
      <c r="C1294" s="4" t="str">
        <f ca="1">IFERROR(__xludf.DUMMYFUNCTION("GOOGLETRANSLATE(D:D,""auto"",""en"")"),"Cold Chinese great range rime")</f>
        <v>Cold Chinese great range rime</v>
      </c>
      <c r="D1294" s="5" t="s">
        <v>3048</v>
      </c>
      <c r="E1294" s="4">
        <v>110691</v>
      </c>
    </row>
    <row r="1295" spans="1:5" ht="13.5" hidden="1" customHeight="1">
      <c r="A1295" s="4" t="s">
        <v>2862</v>
      </c>
      <c r="B1295" s="4" t="s">
        <v>2863</v>
      </c>
      <c r="C1295" s="4" t="str">
        <f ca="1">IFERROR(__xludf.DUMMYFUNCTION("GOOGLETRANSLATE(D:D,""auto"",""en"")"),"Long distance relationship couple of chats")</f>
        <v>Long distance relationship couple of chats</v>
      </c>
      <c r="D1295" s="5" t="s">
        <v>2864</v>
      </c>
      <c r="E1295" s="4">
        <v>110550</v>
      </c>
    </row>
    <row r="1296" spans="1:5" ht="13.5" hidden="1" customHeight="1">
      <c r="A1296" s="4" t="s">
        <v>3049</v>
      </c>
      <c r="B1296" s="4" t="s">
        <v>3050</v>
      </c>
      <c r="C1296" s="4" t="str">
        <f ca="1">IFERROR(__xludf.DUMMYFUNCTION("GOOGLETRANSLATE(D:D,""auto"",""en"")"),"ST Salt Lake losing over 40 billion")</f>
        <v>ST Salt Lake losing over 40 billion</v>
      </c>
      <c r="D1296" s="5" t="s">
        <v>3051</v>
      </c>
      <c r="E1296" s="4">
        <v>110293</v>
      </c>
    </row>
    <row r="1297" spans="1:5" ht="13.5" hidden="1" customHeight="1">
      <c r="A1297" s="4" t="s">
        <v>2851</v>
      </c>
      <c r="B1297" s="4" t="s">
        <v>2852</v>
      </c>
      <c r="C1297" s="4" t="str">
        <f ca="1">IFERROR(__xludf.DUMMYFUNCTION("GOOGLETRANSLATE(D:D,""auto"",""en"")"),"Kenneth Ma Best Actor")</f>
        <v>Kenneth Ma Best Actor</v>
      </c>
      <c r="D1297" s="5" t="s">
        <v>2853</v>
      </c>
      <c r="E1297" s="4">
        <v>110278</v>
      </c>
    </row>
    <row r="1298" spans="1:5" ht="13.5" hidden="1" customHeight="1">
      <c r="A1298" s="4" t="s">
        <v>3052</v>
      </c>
      <c r="B1298" s="4" t="s">
        <v>3053</v>
      </c>
      <c r="C1298" s="4" t="str">
        <f ca="1">IFERROR(__xludf.DUMMYFUNCTION("GOOGLETRANSLATE(D:D,""auto"",""en"")"),"Hukou Waterfall ice icefall")</f>
        <v>Hukou Waterfall ice icefall</v>
      </c>
      <c r="D1298" s="5" t="s">
        <v>3054</v>
      </c>
      <c r="E1298" s="4">
        <v>104182</v>
      </c>
    </row>
    <row r="1299" spans="1:5" ht="13.5" hidden="1" customHeight="1">
      <c r="A1299" s="4" t="s">
        <v>2865</v>
      </c>
      <c r="B1299" s="4" t="s">
        <v>2852</v>
      </c>
      <c r="C1299" s="4" t="str">
        <f ca="1">IFERROR(__xludf.DUMMYFUNCTION("GOOGLETRANSLATE(D:D,""auto"",""en"")"),"Guizhou Maotai corrupt officials to pour down sewer endless")</f>
        <v>Guizhou Maotai corrupt officials to pour down sewer endless</v>
      </c>
      <c r="D1299" s="5" t="s">
        <v>2866</v>
      </c>
      <c r="E1299" s="4">
        <v>96036</v>
      </c>
    </row>
    <row r="1300" spans="1:5" ht="13.5" hidden="1" customHeight="1">
      <c r="A1300" s="4" t="s">
        <v>2865</v>
      </c>
      <c r="B1300" s="4" t="s">
        <v>2889</v>
      </c>
      <c r="C1300" s="4" t="str">
        <f ca="1">IFERROR(__xludf.DUMMYFUNCTION("GOOGLETRANSLATE(D:D,""auto"",""en"")"),"Missed the Tokyo Olympic Games")</f>
        <v>Missed the Tokyo Olympic Games</v>
      </c>
      <c r="D1300" s="5" t="s">
        <v>3055</v>
      </c>
      <c r="E1300" s="4">
        <v>72836</v>
      </c>
    </row>
    <row r="1301" spans="1:5" ht="13.5" hidden="1" customHeight="1">
      <c r="C1301" s="4" t="str">
        <f ca="1">IFERROR(__xludf.DUMMYFUNCTION("GOOGLETRANSLATE(D:D,""auto"",""en"")"),"#VALUE!")</f>
        <v>#VALUE!</v>
      </c>
    </row>
    <row r="1302" spans="1:5" ht="13.5" hidden="1" customHeight="1">
      <c r="A1302" s="4" t="s">
        <v>3056</v>
      </c>
      <c r="B1302" s="4" t="s">
        <v>3057</v>
      </c>
      <c r="C1302" s="4" t="str">
        <f ca="1">IFERROR(__xludf.DUMMYFUNCTION("GOOGLETRANSLATE(D:D,""auto"",""en"")"),"Roy Chiu Zhang Jun Ning with box")</f>
        <v>Roy Chiu Zhang Jun Ning with box</v>
      </c>
      <c r="D1302" s="4" t="s">
        <v>3058</v>
      </c>
      <c r="E1302" s="4">
        <v>2752637</v>
      </c>
    </row>
    <row r="1303" spans="1:5" ht="13.5" hidden="1" customHeight="1">
      <c r="A1303" s="4" t="s">
        <v>3059</v>
      </c>
      <c r="B1303" s="4" t="s">
        <v>3060</v>
      </c>
      <c r="C1303" s="4" t="str">
        <f ca="1">IFERROR(__xludf.DUMMYFUNCTION("GOOGLETRANSLATE(D:D,""auto"",""en"")"),"Koala or will be listed as an endangered species")</f>
        <v>Koala or will be listed as an endangered species</v>
      </c>
      <c r="D1303" s="5" t="s">
        <v>3061</v>
      </c>
      <c r="E1303" s="4">
        <v>1744525</v>
      </c>
    </row>
    <row r="1304" spans="1:5" ht="13.5" hidden="1" customHeight="1">
      <c r="A1304" s="4" t="s">
        <v>3062</v>
      </c>
      <c r="B1304" s="4" t="s">
        <v>3057</v>
      </c>
      <c r="C1304" s="4" t="str">
        <f ca="1">IFERROR(__xludf.DUMMYFUNCTION("GOOGLETRANSLATE(D:D,""auto"",""en"")"),"Admiralty big wedding")</f>
        <v>Admiralty big wedding</v>
      </c>
      <c r="D1304" s="5" t="s">
        <v>3063</v>
      </c>
      <c r="E1304" s="4">
        <v>1634416</v>
      </c>
    </row>
    <row r="1305" spans="1:5" ht="13.5" hidden="1" customHeight="1">
      <c r="A1305" s="4" t="s">
        <v>3064</v>
      </c>
      <c r="B1305" s="4" t="s">
        <v>3065</v>
      </c>
      <c r="C1305" s="4" t="str">
        <f ca="1">IFERROR(__xludf.DUMMYFUNCTION("GOOGLETRANSLATE(D:D,""auto"",""en"")"),"Dreams really are reversed")</f>
        <v>Dreams really are reversed</v>
      </c>
      <c r="D1305" s="5" t="s">
        <v>3066</v>
      </c>
      <c r="E1305" s="4">
        <v>1633231</v>
      </c>
    </row>
    <row r="1306" spans="1:5" ht="13.5" hidden="1" customHeight="1">
      <c r="A1306" s="4" t="s">
        <v>3067</v>
      </c>
      <c r="B1306" s="4" t="s">
        <v>3068</v>
      </c>
      <c r="C1306" s="4" t="str">
        <f ca="1">IFERROR(__xludf.DUMMYFUNCTION("GOOGLETRANSLATE(D:D,""auto"",""en"")"),"Small pieces Episode died")</f>
        <v>Small pieces Episode died</v>
      </c>
      <c r="D1306" s="5" t="s">
        <v>3069</v>
      </c>
      <c r="E1306" s="4">
        <v>1454336</v>
      </c>
    </row>
    <row r="1307" spans="1:5" ht="13.5" hidden="1" customHeight="1">
      <c r="A1307" s="4" t="s">
        <v>3070</v>
      </c>
      <c r="B1307" s="4" t="s">
        <v>3071</v>
      </c>
      <c r="C1307" s="4" t="str">
        <f ca="1">IFERROR(__xludf.DUMMYFUNCTION("GOOGLETRANSLATE(D:D,""auto"",""en"")"),"Geng Shuang respond to discredit the West along the way with proverbs")</f>
        <v>Geng Shuang respond to discredit the West along the way with proverbs</v>
      </c>
      <c r="D1307" s="5" t="s">
        <v>3072</v>
      </c>
      <c r="E1307" s="4">
        <v>580654</v>
      </c>
    </row>
    <row r="1308" spans="1:5" ht="13.5" hidden="1" customHeight="1">
      <c r="A1308" s="4" t="s">
        <v>3073</v>
      </c>
      <c r="B1308" s="4" t="s">
        <v>3074</v>
      </c>
      <c r="C1308" s="4" t="str">
        <f ca="1">IFERROR(__xludf.DUMMYFUNCTION("GOOGLETRANSLATE(D:D,""auto"",""en"")"),"Father busy back micro letter after missing 4-year-old son was killed")</f>
        <v>Father busy back micro letter after missing 4-year-old son was killed</v>
      </c>
      <c r="D1308" s="5" t="s">
        <v>3075</v>
      </c>
      <c r="E1308" s="4">
        <v>551199</v>
      </c>
    </row>
    <row r="1309" spans="1:5" ht="13.5" hidden="1" customHeight="1">
      <c r="A1309" s="4" t="s">
        <v>2948</v>
      </c>
      <c r="B1309" s="4" t="s">
        <v>3076</v>
      </c>
      <c r="C1309" s="4" t="str">
        <f ca="1">IFERROR(__xludf.DUMMYFUNCTION("GOOGLETRANSLATE(D:D,""auto"",""en"")"),"Pork earrings")</f>
        <v>Pork earrings</v>
      </c>
      <c r="D1309" s="5" t="s">
        <v>3077</v>
      </c>
      <c r="E1309" s="4">
        <v>530909</v>
      </c>
    </row>
    <row r="1310" spans="1:5" ht="13.5" hidden="1" customHeight="1">
      <c r="A1310" s="4" t="s">
        <v>3078</v>
      </c>
      <c r="B1310" s="4" t="s">
        <v>3079</v>
      </c>
      <c r="C1310" s="4" t="str">
        <f ca="1">IFERROR(__xludf.DUMMYFUNCTION("GOOGLETRANSLATE(D:D,""auto"",""en"")"),"Zhu Zhanji offline")</f>
        <v>Zhu Zhanji offline</v>
      </c>
      <c r="D1310" s="5" t="s">
        <v>3080</v>
      </c>
      <c r="E1310" s="4">
        <v>530879</v>
      </c>
    </row>
    <row r="1311" spans="1:5" ht="13.5" hidden="1" customHeight="1">
      <c r="A1311" s="4" t="s">
        <v>3078</v>
      </c>
      <c r="B1311" s="4" t="s">
        <v>3076</v>
      </c>
      <c r="C1311" s="4" t="str">
        <f ca="1">IFERROR(__xludf.DUMMYFUNCTION("GOOGLETRANSLATE(D:D,""auto"",""en"")"),"Laugh cry as the world's most popular expression")</f>
        <v>Laugh cry as the world's most popular expression</v>
      </c>
      <c r="D1311" s="5" t="s">
        <v>3081</v>
      </c>
      <c r="E1311" s="4">
        <v>530798</v>
      </c>
    </row>
    <row r="1312" spans="1:5" ht="13.5" hidden="1" customHeight="1">
      <c r="A1312" s="4" t="s">
        <v>3082</v>
      </c>
      <c r="B1312" s="4" t="s">
        <v>3083</v>
      </c>
      <c r="C1312" s="4" t="str">
        <f ca="1">IFERROR(__xludf.DUMMYFUNCTION("GOOGLETRANSLATE(D:D,""auto"",""en"")"),"The Night 2")</f>
        <v>The Night 2</v>
      </c>
      <c r="D1312" s="5" t="s">
        <v>3084</v>
      </c>
      <c r="E1312" s="4">
        <v>495157</v>
      </c>
    </row>
    <row r="1313" spans="1:5" ht="13.5" hidden="1" customHeight="1">
      <c r="A1313" s="4" t="s">
        <v>3085</v>
      </c>
      <c r="B1313" s="4" t="s">
        <v>3086</v>
      </c>
      <c r="C1313" s="4" t="str">
        <f ca="1">IFERROR(__xludf.DUMMYFUNCTION("GOOGLETRANSLATE(D:D,""auto"",""en"")"),"Victory arrest warrant was rejected again")</f>
        <v>Victory arrest warrant was rejected again</v>
      </c>
      <c r="D1313" s="5" t="s">
        <v>3087</v>
      </c>
      <c r="E1313" s="4">
        <v>466538</v>
      </c>
    </row>
    <row r="1314" spans="1:5" ht="13.5" hidden="1" customHeight="1">
      <c r="A1314" s="4" t="s">
        <v>3088</v>
      </c>
      <c r="B1314" s="4" t="s">
        <v>3076</v>
      </c>
      <c r="C1314" s="4" t="str">
        <f ca="1">IFERROR(__xludf.DUMMYFUNCTION("GOOGLETRANSLATE(D:D,""auto"",""en"")"),"Koala to homes of local residents with drinking water and pet dog")</f>
        <v>Koala to homes of local residents with drinking water and pet dog</v>
      </c>
      <c r="D1314" s="5" t="s">
        <v>3089</v>
      </c>
      <c r="E1314" s="4">
        <v>371623</v>
      </c>
    </row>
    <row r="1315" spans="1:5" ht="13.5" hidden="1" customHeight="1">
      <c r="A1315" s="4" t="s">
        <v>3090</v>
      </c>
      <c r="B1315" s="4" t="s">
        <v>3091</v>
      </c>
      <c r="C1315" s="4" t="str">
        <f ca="1">IFERROR(__xludf.DUMMYFUNCTION("GOOGLETRANSLATE(D:D,""auto"",""en"")"),"Xining pavement collapse")</f>
        <v>Xining pavement collapse</v>
      </c>
      <c r="D1315" s="5" t="s">
        <v>3092</v>
      </c>
      <c r="E1315" s="4">
        <v>349881</v>
      </c>
    </row>
    <row r="1316" spans="1:5" ht="13.5" hidden="1" customHeight="1">
      <c r="A1316" s="4" t="s">
        <v>3093</v>
      </c>
      <c r="B1316" s="4" t="s">
        <v>3094</v>
      </c>
      <c r="C1316" s="4" t="str">
        <f ca="1">IFERROR(__xludf.DUMMYFUNCTION("GOOGLETRANSLATE(D:D,""auto"",""en"")"),"Shenzhen state-owned enterprises a night drinking Maotai 160 000")</f>
        <v>Shenzhen state-owned enterprises a night drinking Maotai 160 000</v>
      </c>
      <c r="D1316" s="5" t="s">
        <v>3095</v>
      </c>
      <c r="E1316" s="4">
        <v>338034</v>
      </c>
    </row>
    <row r="1317" spans="1:5" ht="13.5" hidden="1" customHeight="1">
      <c r="A1317" s="4" t="s">
        <v>3096</v>
      </c>
      <c r="B1317" s="4" t="s">
        <v>3017</v>
      </c>
      <c r="C1317" s="4" t="str">
        <f ca="1">IFERROR(__xludf.DUMMYFUNCTION("GOOGLETRANSLATE(D:D,""auto"",""en"")"),"43 kg poor female college students died of illness")</f>
        <v>43 kg poor female college students died of illness</v>
      </c>
      <c r="D1317" s="5" t="s">
        <v>3097</v>
      </c>
      <c r="E1317" s="4">
        <v>338031</v>
      </c>
    </row>
    <row r="1318" spans="1:5" ht="13.5" hidden="1" customHeight="1">
      <c r="A1318" s="4" t="s">
        <v>3098</v>
      </c>
      <c r="B1318" s="4" t="s">
        <v>3068</v>
      </c>
      <c r="C1318" s="4" t="str">
        <f ca="1">IFERROR(__xludf.DUMMYFUNCTION("GOOGLETRANSLATE(D:D,""auto"",""en"")"),"Two hundred million stolen money heap at home afraid to spend")</f>
        <v>Two hundred million stolen money heap at home afraid to spend</v>
      </c>
      <c r="D1318" s="5" t="s">
        <v>3099</v>
      </c>
      <c r="E1318" s="4">
        <v>337554</v>
      </c>
    </row>
    <row r="1319" spans="1:5" ht="13.5" hidden="1" customHeight="1">
      <c r="A1319" s="4" t="s">
        <v>3100</v>
      </c>
      <c r="B1319" s="4" t="s">
        <v>3101</v>
      </c>
      <c r="C1319" s="4" t="str">
        <f ca="1">IFERROR(__xludf.DUMMYFUNCTION("GOOGLETRANSLATE(D:D,""auto"",""en"")"),"Japan Travel")</f>
        <v>Japan Travel</v>
      </c>
      <c r="D1319" s="5" t="s">
        <v>3102</v>
      </c>
      <c r="E1319" s="4">
        <v>337443</v>
      </c>
    </row>
    <row r="1320" spans="1:5" ht="13.5" hidden="1" customHeight="1">
      <c r="A1320" s="4" t="s">
        <v>3103</v>
      </c>
      <c r="B1320" s="4" t="s">
        <v>3104</v>
      </c>
      <c r="C1320" s="4" t="str">
        <f ca="1">IFERROR(__xludf.DUMMYFUNCTION("GOOGLETRANSLATE(D:D,""auto"",""en"")"),"How sweet smile lip")</f>
        <v>How sweet smile lip</v>
      </c>
      <c r="D1320" s="5" t="s">
        <v>3105</v>
      </c>
      <c r="E1320" s="4">
        <v>337107</v>
      </c>
    </row>
    <row r="1321" spans="1:5" ht="13.5" hidden="1" customHeight="1">
      <c r="A1321" s="4" t="s">
        <v>2948</v>
      </c>
      <c r="B1321" s="4" t="s">
        <v>3106</v>
      </c>
      <c r="C1321" s="4" t="str">
        <f ca="1">IFERROR(__xludf.DUMMYFUNCTION("GOOGLETRANSLATE(D:D,""auto"",""en"")"),"2019 clear north graduate employment destination")</f>
        <v>2019 clear north graduate employment destination</v>
      </c>
      <c r="D1321" s="5" t="s">
        <v>3107</v>
      </c>
      <c r="E1321" s="4">
        <v>337018</v>
      </c>
    </row>
    <row r="1322" spans="1:5" ht="13.5" hidden="1" customHeight="1">
      <c r="A1322" s="4" t="s">
        <v>3108</v>
      </c>
      <c r="B1322" s="4" t="s">
        <v>3109</v>
      </c>
      <c r="C1322" s="4" t="str">
        <f ca="1">IFERROR(__xludf.DUMMYFUNCTION("GOOGLETRANSLATE(D:D,""auto"",""en"")"),"6-year-old boy found extinct animal fossils")</f>
        <v>6-year-old boy found extinct animal fossils</v>
      </c>
      <c r="D1322" s="5" t="s">
        <v>3110</v>
      </c>
      <c r="E1322" s="4">
        <v>332320</v>
      </c>
    </row>
    <row r="1323" spans="1:5" ht="13.5" hidden="1" customHeight="1">
      <c r="A1323" s="4" t="s">
        <v>3108</v>
      </c>
      <c r="B1323" s="4" t="s">
        <v>3111</v>
      </c>
      <c r="C1323" s="4" t="str">
        <f ca="1">IFERROR(__xludf.DUMMYFUNCTION("GOOGLETRANSLATE(D:D,""auto"",""en"")"),"Look after his girlfriend before going to bed to wake up")</f>
        <v>Look after his girlfriend before going to bed to wake up</v>
      </c>
      <c r="D1323" s="5" t="s">
        <v>3112</v>
      </c>
      <c r="E1323" s="4">
        <v>291218</v>
      </c>
    </row>
    <row r="1324" spans="1:5" ht="13.5" hidden="1" customHeight="1">
      <c r="A1324" s="4" t="s">
        <v>3113</v>
      </c>
      <c r="B1324" s="4" t="s">
        <v>3076</v>
      </c>
      <c r="C1324" s="4" t="str">
        <f ca="1">IFERROR(__xludf.DUMMYFUNCTION("GOOGLETRANSLATE(D:D,""auto"",""en"")"),"Stick up ass panda brooch")</f>
        <v>Stick up ass panda brooch</v>
      </c>
      <c r="D1324" s="5" t="s">
        <v>3114</v>
      </c>
      <c r="E1324" s="4">
        <v>288563</v>
      </c>
    </row>
    <row r="1325" spans="1:5" ht="13.5" hidden="1" customHeight="1">
      <c r="A1325" s="4" t="s">
        <v>3115</v>
      </c>
      <c r="B1325" s="4" t="s">
        <v>2957</v>
      </c>
      <c r="C1325" s="4" t="str">
        <f ca="1">IFERROR(__xludf.DUMMYFUNCTION("GOOGLETRANSLATE(D:D,""auto"",""en"")"),"Lusi Heng studio Statement")</f>
        <v>Lusi Heng studio Statement</v>
      </c>
      <c r="D1325" s="5" t="s">
        <v>3116</v>
      </c>
      <c r="E1325" s="4">
        <v>256642</v>
      </c>
    </row>
    <row r="1326" spans="1:5" ht="13.5" hidden="1" customHeight="1">
      <c r="A1326" s="4" t="s">
        <v>3117</v>
      </c>
      <c r="B1326" s="4" t="s">
        <v>3118</v>
      </c>
      <c r="C1326" s="4" t="str">
        <f ca="1">IFERROR(__xludf.DUMMYFUNCTION("GOOGLETRANSLATE(D:D,""auto"",""en"")"),"New World")</f>
        <v>New World</v>
      </c>
      <c r="D1326" s="5" t="s">
        <v>3119</v>
      </c>
      <c r="E1326" s="4">
        <v>252490</v>
      </c>
    </row>
    <row r="1327" spans="1:5" ht="13.5" hidden="1" customHeight="1">
      <c r="A1327" s="4" t="s">
        <v>3108</v>
      </c>
      <c r="B1327" s="4" t="s">
        <v>3120</v>
      </c>
      <c r="C1327" s="4" t="str">
        <f ca="1">IFERROR(__xludf.DUMMYFUNCTION("GOOGLETRANSLATE(D:D,""auto"",""en"")"),"Mahjong bracelet")</f>
        <v>Mahjong bracelet</v>
      </c>
      <c r="D1327" s="5" t="s">
        <v>3121</v>
      </c>
      <c r="E1327" s="4">
        <v>244015</v>
      </c>
    </row>
    <row r="1328" spans="1:5" ht="13.5" hidden="1" customHeight="1">
      <c r="A1328" s="4" t="s">
        <v>3122</v>
      </c>
      <c r="B1328" s="4" t="s">
        <v>3123</v>
      </c>
      <c r="C1328" s="4" t="str">
        <f ca="1">IFERROR(__xludf.DUMMYFUNCTION("GOOGLETRANSLATE(D:D,""auto"",""en"")"),"Musharraf Pakistan court canceled the death penalty")</f>
        <v>Musharraf Pakistan court canceled the death penalty</v>
      </c>
      <c r="D1328" s="5" t="s">
        <v>3124</v>
      </c>
      <c r="E1328" s="4">
        <v>231608</v>
      </c>
    </row>
    <row r="1329" spans="1:5" ht="13.5" hidden="1" customHeight="1">
      <c r="A1329" s="4" t="s">
        <v>3125</v>
      </c>
      <c r="B1329" s="4" t="s">
        <v>3068</v>
      </c>
      <c r="C1329" s="4" t="str">
        <f ca="1">IFERROR(__xludf.DUMMYFUNCTION("GOOGLETRANSLATE(D:D,""auto"",""en"")"),"Dazhou buyers will receive 100 yuan per square meter subsidy")</f>
        <v>Dazhou buyers will receive 100 yuan per square meter subsidy</v>
      </c>
      <c r="D1329" s="5" t="s">
        <v>3126</v>
      </c>
      <c r="E1329" s="4">
        <v>220519</v>
      </c>
    </row>
    <row r="1330" spans="1:5" ht="13.5" hidden="1" customHeight="1">
      <c r="A1330" s="4" t="s">
        <v>3127</v>
      </c>
      <c r="B1330" s="4" t="s">
        <v>3079</v>
      </c>
      <c r="C1330" s="4" t="str">
        <f ca="1">IFERROR(__xludf.DUMMYFUNCTION("GOOGLETRANSLATE(D:D,""auto"",""en"")"),"2020 Oscar nominations")</f>
        <v>2020 Oscar nominations</v>
      </c>
      <c r="D1330" s="5" t="s">
        <v>3128</v>
      </c>
      <c r="E1330" s="4">
        <v>218738</v>
      </c>
    </row>
    <row r="1331" spans="1:5" ht="13.5" hidden="1" customHeight="1">
      <c r="A1331" s="4" t="s">
        <v>3129</v>
      </c>
      <c r="B1331" s="4" t="s">
        <v>3130</v>
      </c>
      <c r="C1331" s="4" t="str">
        <f ca="1">IFERROR(__xludf.DUMMYFUNCTION("GOOGLETRANSLATE(D:D,""auto"",""en"")"),"Parasite nominated for an Oscar for Best Picture")</f>
        <v>Parasite nominated for an Oscar for Best Picture</v>
      </c>
      <c r="D1331" s="5" t="s">
        <v>3131</v>
      </c>
      <c r="E1331" s="4">
        <v>213873</v>
      </c>
    </row>
    <row r="1332" spans="1:5" ht="13.5" hidden="1" customHeight="1">
      <c r="A1332" s="4" t="s">
        <v>3132</v>
      </c>
      <c r="B1332" s="4" t="s">
        <v>3133</v>
      </c>
      <c r="C1332" s="4" t="str">
        <f ca="1">IFERROR(__xludf.DUMMYFUNCTION("GOOGLETRANSLATE(D:D,""auto"",""en"")"),"Under Jinyi plus more")</f>
        <v>Under Jinyi plus more</v>
      </c>
      <c r="D1332" s="5" t="s">
        <v>3134</v>
      </c>
      <c r="E1332" s="4">
        <v>207048</v>
      </c>
    </row>
    <row r="1333" spans="1:5" ht="13.5" hidden="1" customHeight="1">
      <c r="A1333" s="4" t="s">
        <v>2966</v>
      </c>
      <c r="B1333" s="4" t="s">
        <v>3083</v>
      </c>
      <c r="C1333" s="4" t="str">
        <f ca="1">IFERROR(__xludf.DUMMYFUNCTION("GOOGLETRANSLATE(D:D,""auto"",""en"")"),"Game companies closed down nearly 20,000 a year")</f>
        <v>Game companies closed down nearly 20,000 a year</v>
      </c>
      <c r="D1333" s="5" t="s">
        <v>3135</v>
      </c>
      <c r="E1333" s="4">
        <v>189430</v>
      </c>
    </row>
    <row r="1334" spans="1:5" ht="13.5" hidden="1" customHeight="1">
      <c r="A1334" s="4" t="s">
        <v>2966</v>
      </c>
      <c r="B1334" s="4" t="s">
        <v>2899</v>
      </c>
      <c r="C1334" s="4" t="str">
        <f ca="1">IFERROR(__xludf.DUMMYFUNCTION("GOOGLETRANSLATE(D:D,""auto"",""en"")"),"Chinese Embassy in the Philippines to remind Chinese citizens pay attention to safety")</f>
        <v>Chinese Embassy in the Philippines to remind Chinese citizens pay attention to safety</v>
      </c>
      <c r="D1334" s="5" t="s">
        <v>2967</v>
      </c>
      <c r="E1334" s="4">
        <v>188021</v>
      </c>
    </row>
    <row r="1335" spans="1:5" ht="13.5" hidden="1" customHeight="1">
      <c r="A1335" s="4" t="s">
        <v>3136</v>
      </c>
      <c r="B1335" s="4" t="s">
        <v>3118</v>
      </c>
      <c r="C1335" s="4" t="str">
        <f ca="1">IFERROR(__xludf.DUMMYFUNCTION("GOOGLETRANSLATE(D:D,""auto"",""en"")"),"Shock wedding in volcanic eruption")</f>
        <v>Shock wedding in volcanic eruption</v>
      </c>
      <c r="D1335" s="5" t="s">
        <v>3137</v>
      </c>
      <c r="E1335" s="4">
        <v>187673</v>
      </c>
    </row>
    <row r="1336" spans="1:5" ht="13.5" hidden="1" customHeight="1">
      <c r="A1336" s="4" t="s">
        <v>3138</v>
      </c>
      <c r="B1336" s="4" t="s">
        <v>3139</v>
      </c>
      <c r="C1336" s="4" t="str">
        <f ca="1">IFERROR(__xludf.DUMMYFUNCTION("GOOGLETRANSLATE(D:D,""auto"",""en"")"),"Dr. tattoo was spent 119,800")</f>
        <v>Dr. tattoo was spent 119,800</v>
      </c>
      <c r="D1336" s="5" t="s">
        <v>3140</v>
      </c>
      <c r="E1336" s="4">
        <v>187499</v>
      </c>
    </row>
    <row r="1337" spans="1:5" ht="13.5" hidden="1" customHeight="1">
      <c r="A1337" s="4" t="s">
        <v>3141</v>
      </c>
      <c r="B1337" s="4" t="s">
        <v>3142</v>
      </c>
      <c r="C1337" s="4" t="str">
        <f ca="1">IFERROR(__xludf.DUMMYFUNCTION("GOOGLETRANSLATE(D:D,""auto"",""en"")"),"Mineral water bottle earrings")</f>
        <v>Mineral water bottle earrings</v>
      </c>
      <c r="D1337" s="5" t="s">
        <v>3143</v>
      </c>
      <c r="E1337" s="4">
        <v>181136</v>
      </c>
    </row>
    <row r="1338" spans="1:5" ht="13.5" hidden="1" customHeight="1">
      <c r="A1338" s="4" t="s">
        <v>3144</v>
      </c>
      <c r="B1338" s="4" t="s">
        <v>3145</v>
      </c>
      <c r="C1338" s="4" t="str">
        <f ca="1">IFERROR(__xludf.DUMMYFUNCTION("GOOGLETRANSLATE(D:D,""auto"",""en"")"),"Starchaser there is a threshold")</f>
        <v>Starchaser there is a threshold</v>
      </c>
      <c r="D1338" s="5" t="s">
        <v>3146</v>
      </c>
      <c r="E1338" s="4">
        <v>175034</v>
      </c>
    </row>
    <row r="1339" spans="1:5" ht="13.5" hidden="1" customHeight="1">
      <c r="A1339" s="4" t="s">
        <v>3147</v>
      </c>
      <c r="B1339" s="4" t="s">
        <v>3148</v>
      </c>
      <c r="C1339" s="4" t="str">
        <f ca="1">IFERROR(__xludf.DUMMYFUNCTION("GOOGLETRANSLATE(D:D,""auto"",""en"")"),"Hubei trainer aircraft crash killed three people")</f>
        <v>Hubei trainer aircraft crash killed three people</v>
      </c>
      <c r="D1339" s="5" t="s">
        <v>3149</v>
      </c>
      <c r="E1339" s="4">
        <v>160171</v>
      </c>
    </row>
    <row r="1340" spans="1:5" ht="13.5" hidden="1" customHeight="1">
      <c r="A1340" s="4" t="s">
        <v>3150</v>
      </c>
      <c r="B1340" s="4" t="s">
        <v>3151</v>
      </c>
      <c r="C1340" s="4" t="str">
        <f ca="1">IFERROR(__xludf.DUMMYFUNCTION("GOOGLETRANSLATE(D:D,""auto"",""en"")"),"Ronghao hot ass")</f>
        <v>Ronghao hot ass</v>
      </c>
      <c r="D1340" s="5" t="s">
        <v>3152</v>
      </c>
      <c r="E1340" s="4">
        <v>144149</v>
      </c>
    </row>
    <row r="1341" spans="1:5" ht="13.5" hidden="1" customHeight="1">
      <c r="A1341" s="4" t="s">
        <v>3153</v>
      </c>
      <c r="B1341" s="4" t="s">
        <v>3154</v>
      </c>
      <c r="C1341" s="4" t="str">
        <f ca="1">IFERROR(__xludf.DUMMYFUNCTION("GOOGLETRANSLATE(D:D,""auto"",""en"")"),"A water iG not match")</f>
        <v>A water iG not match</v>
      </c>
      <c r="D1341" s="5" t="s">
        <v>3155</v>
      </c>
      <c r="E1341" s="4">
        <v>137754</v>
      </c>
    </row>
    <row r="1342" spans="1:5" ht="13.5" hidden="1" customHeight="1">
      <c r="A1342" s="4" t="s">
        <v>3127</v>
      </c>
      <c r="B1342" s="4" t="s">
        <v>2954</v>
      </c>
      <c r="C1342" s="4" t="str">
        <f ca="1">IFERROR(__xludf.DUMMYFUNCTION("GOOGLETRANSLATE(D:D,""auto"",""en"")"),"What wrong with have on human physiology")</f>
        <v>What wrong with have on human physiology</v>
      </c>
      <c r="D1342" s="5" t="s">
        <v>3156</v>
      </c>
      <c r="E1342" s="4">
        <v>135068</v>
      </c>
    </row>
    <row r="1343" spans="1:5" ht="13.5" hidden="1" customHeight="1">
      <c r="A1343" s="4" t="s">
        <v>3153</v>
      </c>
      <c r="B1343" s="4" t="s">
        <v>3157</v>
      </c>
      <c r="C1343" s="4" t="str">
        <f ca="1">IFERROR(__xludf.DUMMYFUNCTION("GOOGLETRANSLATE(D:D,""auto"",""en"")"),"Ouyang Nana dovetail eyeliner")</f>
        <v>Ouyang Nana dovetail eyeliner</v>
      </c>
      <c r="D1343" s="5" t="s">
        <v>3158</v>
      </c>
      <c r="E1343" s="4">
        <v>131975</v>
      </c>
    </row>
    <row r="1344" spans="1:5" ht="13.5" hidden="1" customHeight="1">
      <c r="A1344" s="4" t="s">
        <v>3159</v>
      </c>
      <c r="B1344" s="4" t="s">
        <v>3160</v>
      </c>
      <c r="C1344" s="4" t="str">
        <f ca="1">IFERROR(__xludf.DUMMYFUNCTION("GOOGLETRANSLATE(D:D,""auto"",""en"")"),"Friends three women inside photo")</f>
        <v>Friends three women inside photo</v>
      </c>
      <c r="D1344" s="5" t="s">
        <v>3161</v>
      </c>
      <c r="E1344" s="4">
        <v>131011</v>
      </c>
    </row>
    <row r="1345" spans="1:6" ht="13.5" hidden="1" customHeight="1">
      <c r="A1345" s="4" t="s">
        <v>3162</v>
      </c>
      <c r="B1345" s="4" t="s">
        <v>3163</v>
      </c>
      <c r="C1345" s="4" t="str">
        <f ca="1">IFERROR(__xludf.DUMMYFUNCTION("GOOGLETRANSLATE(D:D,""auto"",""en"")"),"Maotai drink 160,000 chairman of the board was removed from office")</f>
        <v>Maotai drink 160,000 chairman of the board was removed from office</v>
      </c>
      <c r="D1345" s="5" t="s">
        <v>3164</v>
      </c>
      <c r="E1345" s="4">
        <v>120699</v>
      </c>
    </row>
    <row r="1346" spans="1:6" ht="13.5" hidden="1" customHeight="1">
      <c r="A1346" s="4" t="s">
        <v>3165</v>
      </c>
      <c r="B1346" s="4" t="s">
        <v>2973</v>
      </c>
      <c r="C1346" s="4" t="str">
        <f ca="1">IFERROR(__xludf.DUMMYFUNCTION("GOOGLETRANSLATE(D:D,""auto"",""en"")"),"Coke bag")</f>
        <v>Coke bag</v>
      </c>
      <c r="D1346" s="5" t="s">
        <v>3166</v>
      </c>
      <c r="E1346" s="4">
        <v>112347</v>
      </c>
    </row>
    <row r="1347" spans="1:6" ht="13.5" hidden="1" customHeight="1">
      <c r="A1347" s="4" t="s">
        <v>3167</v>
      </c>
      <c r="B1347" s="4" t="s">
        <v>3168</v>
      </c>
      <c r="C1347" s="4" t="str">
        <f ca="1">IFERROR(__xludf.DUMMYFUNCTION("GOOGLETRANSLATE(D:D,""auto"",""en"")"),"Chongqing, a man jumped to his hit passers")</f>
        <v>Chongqing, a man jumped to his hit passers</v>
      </c>
      <c r="D1347" s="5" t="s">
        <v>3169</v>
      </c>
      <c r="E1347" s="4">
        <v>109221</v>
      </c>
    </row>
    <row r="1348" spans="1:6" ht="13.5" hidden="1" customHeight="1">
      <c r="A1348" s="4" t="s">
        <v>3170</v>
      </c>
      <c r="B1348" s="4" t="s">
        <v>3060</v>
      </c>
      <c r="C1348" s="4" t="str">
        <f ca="1">IFERROR(__xludf.DUMMYFUNCTION("GOOGLETRANSLATE(D:D,""auto"",""en"")"),"Chinese New Year full fare to the driver drops")</f>
        <v>Chinese New Year full fare to the driver drops</v>
      </c>
      <c r="D1348" s="5" t="s">
        <v>3171</v>
      </c>
      <c r="E1348" s="4">
        <v>108105</v>
      </c>
    </row>
    <row r="1349" spans="1:6" ht="13.5" hidden="1" customHeight="1">
      <c r="A1349" s="4" t="s">
        <v>3172</v>
      </c>
      <c r="B1349" s="4" t="s">
        <v>3173</v>
      </c>
      <c r="C1349" s="4" t="str">
        <f ca="1">IFERROR(__xludf.DUMMYFUNCTION("GOOGLETRANSLATE(D:D,""auto"",""en"")"),"Injured koala wearing diapers sun rehabilitation")</f>
        <v>Injured koala wearing diapers sun rehabilitation</v>
      </c>
      <c r="D1349" s="5" t="s">
        <v>3174</v>
      </c>
      <c r="E1349" s="4">
        <v>99124</v>
      </c>
    </row>
    <row r="1350" spans="1:6" ht="13.5" hidden="1" customHeight="1">
      <c r="A1350" s="4" t="s">
        <v>3175</v>
      </c>
      <c r="B1350" s="4" t="s">
        <v>3176</v>
      </c>
      <c r="C1350" s="4" t="str">
        <f ca="1">IFERROR(__xludf.DUMMYFUNCTION("GOOGLETRANSLATE(D:D,""auto"",""en"")"),"Admiralty big admits affair")</f>
        <v>Admiralty big admits affair</v>
      </c>
      <c r="D1350" s="5" t="s">
        <v>3177</v>
      </c>
      <c r="E1350" s="4">
        <v>93644</v>
      </c>
    </row>
    <row r="1351" spans="1:6" ht="13.5" hidden="1" customHeight="1">
      <c r="C1351" s="4" t="str">
        <f ca="1">IFERROR(__xludf.DUMMYFUNCTION("GOOGLETRANSLATE(D:D,""auto"",""en"")"),"#VALUE!")</f>
        <v>#VALUE!</v>
      </c>
    </row>
    <row r="1352" spans="1:6" ht="13.5" hidden="1" customHeight="1">
      <c r="A1352" s="4" t="s">
        <v>3178</v>
      </c>
      <c r="B1352" s="4" t="s">
        <v>3179</v>
      </c>
      <c r="C1352" s="4" t="str">
        <f ca="1">IFERROR(__xludf.DUMMYFUNCTION("GOOGLETRANSLATE(D:D,""auto"",""en"")"),"Wendy Zhang participate in arts test")</f>
        <v>Wendy Zhang participate in arts test</v>
      </c>
      <c r="D1352" s="4" t="s">
        <v>3180</v>
      </c>
      <c r="E1352" s="4">
        <v>3485908</v>
      </c>
    </row>
    <row r="1353" spans="1:6" ht="13.5" customHeight="1">
      <c r="A1353" s="4" t="s">
        <v>3181</v>
      </c>
      <c r="B1353" s="4" t="s">
        <v>3182</v>
      </c>
      <c r="C1353" s="4" t="str">
        <f ca="1">IFERROR(__xludf.DUMMYFUNCTION("GOOGLETRANSLATE(D:D,""auto"",""en"")"),"Thailand found one case of novel coronavirus cases")</f>
        <v>Thailand found one case of novel coronavirus cases</v>
      </c>
      <c r="D1353" s="5" t="s">
        <v>3183</v>
      </c>
      <c r="E1353" s="4">
        <v>3312221</v>
      </c>
      <c r="F1353">
        <v>1</v>
      </c>
    </row>
    <row r="1354" spans="1:6" ht="13.5" hidden="1" customHeight="1">
      <c r="A1354" s="4" t="s">
        <v>3184</v>
      </c>
      <c r="B1354" s="4" t="s">
        <v>3185</v>
      </c>
      <c r="C1354" s="4" t="str">
        <f ca="1">IFERROR(__xludf.DUMMYFUNCTION("GOOGLETRANSLATE(D:D,""auto"",""en"")"),"Zhang Jie Xie Na kiss")</f>
        <v>Zhang Jie Xie Na kiss</v>
      </c>
      <c r="D1354" s="5" t="s">
        <v>3186</v>
      </c>
      <c r="E1354" s="4">
        <v>3261397</v>
      </c>
    </row>
    <row r="1355" spans="1:6" ht="13.5" hidden="1" customHeight="1">
      <c r="A1355" s="4" t="s">
        <v>3187</v>
      </c>
      <c r="B1355" s="4" t="s">
        <v>3188</v>
      </c>
      <c r="C1355" s="4" t="str">
        <f ca="1">IFERROR(__xludf.DUMMYFUNCTION("GOOGLETRANSLATE(D:D,""auto"",""en"")"),"After Godfrey's death Jiaojun Yan sounds again")</f>
        <v>After Godfrey's death Jiaojun Yan sounds again</v>
      </c>
      <c r="D1355" s="5" t="s">
        <v>3189</v>
      </c>
      <c r="E1355" s="4">
        <v>1896003</v>
      </c>
    </row>
    <row r="1356" spans="1:6" ht="13.5" hidden="1" customHeight="1">
      <c r="A1356" s="4" t="s">
        <v>3190</v>
      </c>
      <c r="B1356" s="4" t="s">
        <v>3191</v>
      </c>
      <c r="C1356" s="4" t="str">
        <f ca="1">IFERROR(__xludf.DUMMYFUNCTION("GOOGLETRANSLATE(D:D,""auto"",""en"")"),"Why kill Fan idle words ice clouds")</f>
        <v>Why kill Fan idle words ice clouds</v>
      </c>
      <c r="D1356" s="5" t="s">
        <v>3192</v>
      </c>
      <c r="E1356" s="4">
        <v>1118671</v>
      </c>
    </row>
    <row r="1357" spans="1:6" ht="13.5" hidden="1" customHeight="1">
      <c r="A1357" s="4" t="s">
        <v>3193</v>
      </c>
      <c r="B1357" s="4" t="s">
        <v>3194</v>
      </c>
      <c r="C1357" s="4" t="str">
        <f ca="1">IFERROR(__xludf.DUMMYFUNCTION("GOOGLETRANSLATE(D:D,""auto"",""en"")"),"Northern Ireland gay marriage registration open")</f>
        <v>Northern Ireland gay marriage registration open</v>
      </c>
      <c r="D1357" s="5" t="s">
        <v>3195</v>
      </c>
      <c r="E1357" s="4">
        <v>974194</v>
      </c>
    </row>
    <row r="1358" spans="1:6" ht="13.5" hidden="1" customHeight="1">
      <c r="A1358" s="4" t="s">
        <v>3196</v>
      </c>
      <c r="B1358" s="4" t="s">
        <v>3197</v>
      </c>
      <c r="C1358" s="4" t="str">
        <f ca="1">IFERROR(__xludf.DUMMYFUNCTION("GOOGLETRANSLATE(D:D,""auto"",""en"")"),"Nikkie transgender")</f>
        <v>Nikkie transgender</v>
      </c>
      <c r="D1358" s="5" t="s">
        <v>3198</v>
      </c>
      <c r="E1358" s="4">
        <v>811821</v>
      </c>
    </row>
    <row r="1359" spans="1:6" ht="13.5" hidden="1" customHeight="1">
      <c r="A1359" s="4" t="s">
        <v>3199</v>
      </c>
      <c r="B1359" s="4" t="s">
        <v>3200</v>
      </c>
      <c r="C1359" s="4" t="str">
        <f ca="1">IFERROR(__xludf.DUMMYFUNCTION("GOOGLETRANSLATE(D:D,""auto"",""en"")"),"Tsinghua University Beijing open another part of the undergraduate courses")</f>
        <v>Tsinghua University Beijing open another part of the undergraduate courses</v>
      </c>
      <c r="D1359" s="5" t="s">
        <v>3201</v>
      </c>
      <c r="E1359" s="4">
        <v>809612</v>
      </c>
    </row>
    <row r="1360" spans="1:6" ht="13.5" hidden="1" customHeight="1">
      <c r="A1360" s="4" t="s">
        <v>3199</v>
      </c>
      <c r="B1360" s="4" t="s">
        <v>3202</v>
      </c>
      <c r="C1360" s="4" t="str">
        <f ca="1">IFERROR(__xludf.DUMMYFUNCTION("GOOGLETRANSLATE(D:D,""auto"",""en"")"),"Queen Harry couple decided to show respect")</f>
        <v>Queen Harry couple decided to show respect</v>
      </c>
      <c r="D1360" s="5" t="s">
        <v>3203</v>
      </c>
      <c r="E1360" s="4">
        <v>554587</v>
      </c>
    </row>
    <row r="1361" spans="1:5" ht="13.5" hidden="1" customHeight="1">
      <c r="A1361" s="4" t="s">
        <v>3204</v>
      </c>
      <c r="B1361" s="4" t="s">
        <v>3150</v>
      </c>
      <c r="C1361" s="4" t="str">
        <f ca="1">IFERROR(__xludf.DUMMYFUNCTION("GOOGLETRANSLATE(D:D,""auto"",""en"")"),"Australian possum nose bald mountain fire")</f>
        <v>Australian possum nose bald mountain fire</v>
      </c>
      <c r="D1361" s="5" t="s">
        <v>3205</v>
      </c>
      <c r="E1361" s="4">
        <v>398800</v>
      </c>
    </row>
    <row r="1362" spans="1:5" ht="13.5" hidden="1" customHeight="1">
      <c r="A1362" s="4" t="s">
        <v>3206</v>
      </c>
      <c r="B1362" s="4" t="s">
        <v>3207</v>
      </c>
      <c r="C1362" s="4" t="str">
        <f ca="1">IFERROR(__xludf.DUMMYFUNCTION("GOOGLETRANSLATE(D:D,""auto"",""en"")"),"Brokers said Hao Yun wife derailment")</f>
        <v>Brokers said Hao Yun wife derailment</v>
      </c>
      <c r="D1362" s="5" t="s">
        <v>3208</v>
      </c>
      <c r="E1362" s="4">
        <v>386712</v>
      </c>
    </row>
    <row r="1363" spans="1:5" ht="13.5" hidden="1" customHeight="1">
      <c r="A1363" s="4" t="s">
        <v>3209</v>
      </c>
      <c r="B1363" s="4" t="s">
        <v>3210</v>
      </c>
      <c r="C1363" s="4" t="str">
        <f ca="1">IFERROR(__xludf.DUMMYFUNCTION("GOOGLETRANSLATE(D:D,""auto"",""en"")"),"Lu Yi summer given medicines kiss")</f>
        <v>Lu Yi summer given medicines kiss</v>
      </c>
      <c r="D1363" s="5" t="s">
        <v>3211</v>
      </c>
      <c r="E1363" s="4">
        <v>368225</v>
      </c>
    </row>
    <row r="1364" spans="1:5" ht="13.5" hidden="1" customHeight="1">
      <c r="A1364" s="4" t="s">
        <v>3212</v>
      </c>
      <c r="B1364" s="4" t="s">
        <v>3213</v>
      </c>
      <c r="C1364" s="4" t="str">
        <f ca="1">IFERROR(__xludf.DUMMYFUNCTION("GOOGLETRANSLATE(D:D,""auto"",""en"")"),"United States cancel it determines China's currency manipulation")</f>
        <v>United States cancel it determines China's currency manipulation</v>
      </c>
      <c r="D1364" s="5" t="s">
        <v>3214</v>
      </c>
      <c r="E1364" s="4">
        <v>322329</v>
      </c>
    </row>
    <row r="1365" spans="1:5" ht="13.5" hidden="1" customHeight="1">
      <c r="A1365" s="4" t="s">
        <v>3215</v>
      </c>
      <c r="B1365" s="4" t="s">
        <v>3144</v>
      </c>
      <c r="C1365" s="4" t="str">
        <f ca="1">IFERROR(__xludf.DUMMYFUNCTION("GOOGLETRANSLATE(D:D,""auto"",""en"")"),"Xining lost contact with the road surface collapse rose to 10 people")</f>
        <v>Xining lost contact with the road surface collapse rose to 10 people</v>
      </c>
      <c r="D1365" s="5" t="s">
        <v>3216</v>
      </c>
      <c r="E1365" s="4">
        <v>302580</v>
      </c>
    </row>
    <row r="1366" spans="1:5" ht="13.5" hidden="1" customHeight="1">
      <c r="A1366" s="4" t="s">
        <v>3217</v>
      </c>
      <c r="B1366" s="4" t="s">
        <v>3218</v>
      </c>
      <c r="C1366" s="4" t="str">
        <f ca="1">IFERROR(__xludf.DUMMYFUNCTION("GOOGLETRANSLATE(D:D,""auto"",""en"")"),"Chinese in Australia, said air pollution caused by difficulty in breathing")</f>
        <v>Chinese in Australia, said air pollution caused by difficulty in breathing</v>
      </c>
      <c r="D1366" s="5" t="s">
        <v>3219</v>
      </c>
      <c r="E1366" s="4">
        <v>276355</v>
      </c>
    </row>
    <row r="1367" spans="1:5" ht="13.5" hidden="1" customHeight="1">
      <c r="A1367" s="4" t="s">
        <v>3220</v>
      </c>
      <c r="B1367" s="4" t="s">
        <v>3221</v>
      </c>
      <c r="C1367" s="4" t="str">
        <f ca="1">IFERROR(__xludf.DUMMYFUNCTION("GOOGLETRANSLATE(D:D,""auto"",""en"")"),"If Zhang Yun hair long article")</f>
        <v>If Zhang Yun hair long article</v>
      </c>
      <c r="D1367" s="5" t="s">
        <v>3222</v>
      </c>
      <c r="E1367" s="4">
        <v>274454</v>
      </c>
    </row>
    <row r="1368" spans="1:5" ht="13.5" hidden="1" customHeight="1">
      <c r="A1368" s="4" t="s">
        <v>3190</v>
      </c>
      <c r="B1368" s="4" t="s">
        <v>3223</v>
      </c>
      <c r="C1368" s="4" t="str">
        <f ca="1">IFERROR(__xludf.DUMMYFUNCTION("GOOGLETRANSLATE(D:D,""auto"",""en"")"),"It ranked third after 00 dreams of ordinary people")</f>
        <v>It ranked third after 00 dreams of ordinary people</v>
      </c>
      <c r="D1368" s="5" t="s">
        <v>3224</v>
      </c>
      <c r="E1368" s="4">
        <v>272799</v>
      </c>
    </row>
    <row r="1369" spans="1:5" ht="13.5" hidden="1" customHeight="1">
      <c r="A1369" s="4" t="s">
        <v>3225</v>
      </c>
      <c r="B1369" s="4" t="s">
        <v>3218</v>
      </c>
      <c r="C1369" s="4" t="str">
        <f ca="1">IFERROR(__xludf.DUMMYFUNCTION("GOOGLETRANSLATE(D:D,""auto"",""en"")"),"Poor sleep nearly as college students")</f>
        <v>Poor sleep nearly as college students</v>
      </c>
      <c r="D1369" s="5" t="s">
        <v>3226</v>
      </c>
      <c r="E1369" s="4">
        <v>270050</v>
      </c>
    </row>
    <row r="1370" spans="1:5" ht="13.5" hidden="1" customHeight="1">
      <c r="A1370" s="4" t="s">
        <v>3227</v>
      </c>
      <c r="B1370" s="4" t="s">
        <v>3085</v>
      </c>
      <c r="C1370" s="4" t="str">
        <f ca="1">IFERROR(__xludf.DUMMYFUNCTION("GOOGLETRANSLATE(D:D,""auto"",""en"")"),"South Korea welcomed three years the largest Chinese tour groups")</f>
        <v>South Korea welcomed three years the largest Chinese tour groups</v>
      </c>
      <c r="D1370" s="5" t="s">
        <v>3228</v>
      </c>
      <c r="E1370" s="4">
        <v>265592</v>
      </c>
    </row>
    <row r="1371" spans="1:5" ht="13.5" hidden="1" customHeight="1">
      <c r="A1371" s="4" t="s">
        <v>3229</v>
      </c>
      <c r="B1371" s="4" t="s">
        <v>3230</v>
      </c>
      <c r="C1371" s="4" t="str">
        <f ca="1">IFERROR(__xludf.DUMMYFUNCTION("GOOGLETRANSLATE(D:D,""auto"",""en"")"),"Cats brave fight off three wolf")</f>
        <v>Cats brave fight off three wolf</v>
      </c>
      <c r="D1371" s="5" t="s">
        <v>3231</v>
      </c>
      <c r="E1371" s="4">
        <v>264213</v>
      </c>
    </row>
    <row r="1372" spans="1:5" ht="13.5" hidden="1" customHeight="1">
      <c r="A1372" s="4" t="s">
        <v>3232</v>
      </c>
      <c r="B1372" s="4" t="s">
        <v>3108</v>
      </c>
      <c r="C1372" s="4" t="str">
        <f ca="1">IFERROR(__xludf.DUMMYFUNCTION("GOOGLETRANSLATE(D:D,""auto"",""en"")"),"Shen Teng cos blue Forgetting")</f>
        <v>Shen Teng cos blue Forgetting</v>
      </c>
      <c r="D1372" s="5" t="s">
        <v>3233</v>
      </c>
      <c r="E1372" s="4">
        <v>260537</v>
      </c>
    </row>
    <row r="1373" spans="1:5" ht="13.5" hidden="1" customHeight="1">
      <c r="A1373" s="4" t="s">
        <v>3234</v>
      </c>
      <c r="B1373" s="4" t="s">
        <v>3223</v>
      </c>
      <c r="C1373" s="4" t="str">
        <f ca="1">IFERROR(__xludf.DUMMYFUNCTION("GOOGLETRANSLATE(D:D,""auto"",""en"")"),"Many practitioners of criminal sexual assault of minors is prohibited")</f>
        <v>Many practitioners of criminal sexual assault of minors is prohibited</v>
      </c>
      <c r="D1373" s="5" t="s">
        <v>3235</v>
      </c>
      <c r="E1373" s="4">
        <v>257230</v>
      </c>
    </row>
    <row r="1374" spans="1:5" ht="13.5" hidden="1" customHeight="1">
      <c r="A1374" s="4" t="s">
        <v>3236</v>
      </c>
      <c r="B1374" s="4" t="s">
        <v>3085</v>
      </c>
      <c r="C1374" s="4" t="str">
        <f ca="1">IFERROR(__xludf.DUMMYFUNCTION("GOOGLETRANSLATE(D:D,""auto"",""en"")"),"Next Friday on the New Year")</f>
        <v>Next Friday on the New Year</v>
      </c>
      <c r="D1374" s="5" t="s">
        <v>3237</v>
      </c>
      <c r="E1374" s="4">
        <v>254770</v>
      </c>
    </row>
    <row r="1375" spans="1:5" ht="13.5" hidden="1" customHeight="1">
      <c r="A1375" s="4" t="s">
        <v>3238</v>
      </c>
      <c r="B1375" s="4" t="s">
        <v>3239</v>
      </c>
      <c r="C1375" s="4" t="str">
        <f ca="1">IFERROR(__xludf.DUMMYFUNCTION("GOOGLETRANSLATE(D:D,""auto"",""en"")"),"Sushi Backpack")</f>
        <v>Sushi Backpack</v>
      </c>
      <c r="D1375" s="5" t="s">
        <v>3240</v>
      </c>
      <c r="E1375" s="4">
        <v>253123</v>
      </c>
    </row>
    <row r="1376" spans="1:5" ht="13.5" hidden="1" customHeight="1">
      <c r="A1376" s="4" t="s">
        <v>3241</v>
      </c>
      <c r="B1376" s="4" t="s">
        <v>3242</v>
      </c>
      <c r="C1376" s="4" t="str">
        <f ca="1">IFERROR(__xludf.DUMMYFUNCTION("GOOGLETRANSLATE(D:D,""auto"",""en"")"),"Lucky card")</f>
        <v>Lucky card</v>
      </c>
      <c r="D1376" s="5" t="s">
        <v>3243</v>
      </c>
      <c r="E1376" s="4">
        <v>235521</v>
      </c>
    </row>
    <row r="1377" spans="1:5" ht="13.5" hidden="1" customHeight="1">
      <c r="A1377" s="4" t="s">
        <v>3187</v>
      </c>
      <c r="B1377" s="4" t="s">
        <v>3244</v>
      </c>
      <c r="C1377" s="4" t="str">
        <f ca="1">IFERROR(__xludf.DUMMYFUNCTION("GOOGLETRANSLATE(D:D,""auto"",""en"")"),"Zhang microblogging big label")</f>
        <v>Zhang microblogging big label</v>
      </c>
      <c r="D1377" s="5" t="s">
        <v>3245</v>
      </c>
      <c r="E1377" s="4">
        <v>234982</v>
      </c>
    </row>
    <row r="1378" spans="1:5" ht="13.5" hidden="1" customHeight="1">
      <c r="A1378" s="4" t="s">
        <v>3246</v>
      </c>
      <c r="B1378" s="4" t="s">
        <v>3085</v>
      </c>
      <c r="C1378" s="4" t="str">
        <f ca="1">IFERROR(__xludf.DUMMYFUNCTION("GOOGLETRANSLATE(D:D,""auto"",""en"")"),"Yukiko")</f>
        <v>Yukiko</v>
      </c>
      <c r="D1378" s="5" t="s">
        <v>3247</v>
      </c>
      <c r="E1378" s="4">
        <v>234350</v>
      </c>
    </row>
    <row r="1379" spans="1:5" ht="13.5" hidden="1" customHeight="1">
      <c r="A1379" s="4" t="s">
        <v>3190</v>
      </c>
      <c r="B1379" s="4" t="s">
        <v>3248</v>
      </c>
      <c r="C1379" s="4" t="str">
        <f ca="1">IFERROR(__xludf.DUMMYFUNCTION("GOOGLETRANSLATE(D:D,""auto"",""en"")"),"Short daughter prototype sister was wounded in bed")</f>
        <v>Short daughter prototype sister was wounded in bed</v>
      </c>
      <c r="D1379" s="5" t="s">
        <v>3249</v>
      </c>
      <c r="E1379" s="4">
        <v>232594</v>
      </c>
    </row>
    <row r="1380" spans="1:5" ht="13.5" hidden="1" customHeight="1">
      <c r="A1380" s="4" t="s">
        <v>3250</v>
      </c>
      <c r="B1380" s="4" t="s">
        <v>3218</v>
      </c>
      <c r="C1380" s="4" t="str">
        <f ca="1">IFERROR(__xludf.DUMMYFUNCTION("GOOGLETRANSLATE(D:D,""auto"",""en"")"),"Korea Spring Festival reverse high-speed rail fare discount")</f>
        <v>Korea Spring Festival reverse high-speed rail fare discount</v>
      </c>
      <c r="D1380" s="5" t="s">
        <v>3251</v>
      </c>
      <c r="E1380" s="4">
        <v>211062</v>
      </c>
    </row>
    <row r="1381" spans="1:5" ht="13.5" hidden="1" customHeight="1">
      <c r="A1381" s="4" t="s">
        <v>3252</v>
      </c>
      <c r="B1381" s="4" t="s">
        <v>3253</v>
      </c>
      <c r="C1381" s="4" t="str">
        <f ca="1">IFERROR(__xludf.DUMMYFUNCTION("GOOGLETRANSLATE(D:D,""auto"",""en"")"),"The country and more open marriage registration February 2")</f>
        <v>The country and more open marriage registration February 2</v>
      </c>
      <c r="D1381" s="5" t="s">
        <v>3254</v>
      </c>
      <c r="E1381" s="4">
        <v>203377</v>
      </c>
    </row>
    <row r="1382" spans="1:5" ht="13.5" hidden="1" customHeight="1">
      <c r="A1382" s="4" t="s">
        <v>3255</v>
      </c>
      <c r="B1382" s="4" t="s">
        <v>3256</v>
      </c>
      <c r="C1382" s="4" t="str">
        <f ca="1">IFERROR(__xludf.DUMMYFUNCTION("GOOGLETRANSLATE(D:D,""auto"",""en"")"),"Xiaozhan white knight style")</f>
        <v>Xiaozhan white knight style</v>
      </c>
      <c r="D1382" s="5" t="s">
        <v>3257</v>
      </c>
      <c r="E1382" s="4">
        <v>201460</v>
      </c>
    </row>
    <row r="1383" spans="1:5" ht="13.5" hidden="1" customHeight="1">
      <c r="A1383" s="4" t="s">
        <v>3258</v>
      </c>
      <c r="B1383" s="4" t="s">
        <v>3259</v>
      </c>
      <c r="C1383" s="4" t="str">
        <f ca="1">IFERROR(__xludf.DUMMYFUNCTION("GOOGLETRANSLATE(D:D,""auto"",""en"")"),"Hebe day suspension")</f>
        <v>Hebe day suspension</v>
      </c>
      <c r="D1383" s="5" t="s">
        <v>3260</v>
      </c>
      <c r="E1383" s="4">
        <v>196213</v>
      </c>
    </row>
    <row r="1384" spans="1:5" ht="13.5" hidden="1" customHeight="1">
      <c r="A1384" s="4" t="s">
        <v>3261</v>
      </c>
      <c r="B1384" s="4" t="s">
        <v>3144</v>
      </c>
      <c r="C1384" s="4" t="str">
        <f ca="1">IFERROR(__xludf.DUMMYFUNCTION("GOOGLETRANSLATE(D:D,""auto"",""en"")"),"How can the rich low-key")</f>
        <v>How can the rich low-key</v>
      </c>
      <c r="D1384" s="5" t="s">
        <v>3262</v>
      </c>
      <c r="E1384" s="4">
        <v>187326</v>
      </c>
    </row>
    <row r="1385" spans="1:5" ht="13.5" hidden="1" customHeight="1">
      <c r="A1385" s="4" t="s">
        <v>3263</v>
      </c>
      <c r="B1385" s="4" t="s">
        <v>3223</v>
      </c>
      <c r="C1385" s="4" t="str">
        <f ca="1">IFERROR(__xludf.DUMMYFUNCTION("GOOGLETRANSLATE(D:D,""auto"",""en"")"),"Xining road collapse has caused six people were killed")</f>
        <v>Xining road collapse has caused six people were killed</v>
      </c>
      <c r="D1385" s="5" t="s">
        <v>3264</v>
      </c>
      <c r="E1385" s="4">
        <v>180868</v>
      </c>
    </row>
    <row r="1386" spans="1:5" ht="13.5" hidden="1" customHeight="1">
      <c r="A1386" s="4" t="s">
        <v>3234</v>
      </c>
      <c r="B1386" s="4" t="s">
        <v>3265</v>
      </c>
      <c r="C1386" s="4" t="str">
        <f ca="1">IFERROR(__xludf.DUMMYFUNCTION("GOOGLETRANSLATE(D:D,""auto"",""en"")"),"Marriage story given file")</f>
        <v>Marriage story given file</v>
      </c>
      <c r="D1386" s="5" t="s">
        <v>3266</v>
      </c>
      <c r="E1386" s="4">
        <v>174611</v>
      </c>
    </row>
    <row r="1387" spans="1:5" ht="13.5" hidden="1" customHeight="1">
      <c r="A1387" s="4" t="s">
        <v>3267</v>
      </c>
      <c r="B1387" s="4" t="s">
        <v>3213</v>
      </c>
      <c r="C1387" s="4" t="str">
        <f ca="1">IFERROR(__xludf.DUMMYFUNCTION("GOOGLETRANSLATE(D:D,""auto"",""en"")"),"Zhang responded late buckle 500 employees")</f>
        <v>Zhang responded late buckle 500 employees</v>
      </c>
      <c r="D1387" s="5" t="s">
        <v>3268</v>
      </c>
      <c r="E1387" s="4">
        <v>164731</v>
      </c>
    </row>
    <row r="1388" spans="1:5" ht="13.5" hidden="1" customHeight="1">
      <c r="A1388" s="4" t="s">
        <v>3269</v>
      </c>
      <c r="B1388" s="4" t="s">
        <v>3088</v>
      </c>
      <c r="C1388" s="4" t="str">
        <f ca="1">IFERROR(__xludf.DUMMYFUNCTION("GOOGLETRANSLATE(D:D,""auto"",""en"")"),"Qinling zoo gorilla reading the newspaper")</f>
        <v>Qinling zoo gorilla reading the newspaper</v>
      </c>
      <c r="D1388" s="5" t="s">
        <v>3270</v>
      </c>
      <c r="E1388" s="4">
        <v>152186</v>
      </c>
    </row>
    <row r="1389" spans="1:5" ht="13.5" hidden="1" customHeight="1">
      <c r="A1389" s="4" t="s">
        <v>3269</v>
      </c>
      <c r="B1389" s="4" t="s">
        <v>3271</v>
      </c>
      <c r="C1389" s="4" t="str">
        <f ca="1">IFERROR(__xludf.DUMMYFUNCTION("GOOGLETRANSLATE(D:D,""auto"",""en"")"),"Scarlett mention double Oscar")</f>
        <v>Scarlett mention double Oscar</v>
      </c>
      <c r="D1389" s="5" t="s">
        <v>3272</v>
      </c>
      <c r="E1389" s="4">
        <v>151410</v>
      </c>
    </row>
    <row r="1390" spans="1:5" ht="13.5" hidden="1" customHeight="1">
      <c r="A1390" s="4" t="s">
        <v>3269</v>
      </c>
      <c r="B1390" s="4" t="s">
        <v>3273</v>
      </c>
      <c r="C1390" s="4" t="str">
        <f ca="1">IFERROR(__xludf.DUMMYFUNCTION("GOOGLETRANSLATE(D:D,""auto"",""en"")"),"2019 427 auxiliary police public expense")</f>
        <v>2019 427 auxiliary police public expense</v>
      </c>
      <c r="D1390" s="5" t="s">
        <v>3274</v>
      </c>
      <c r="E1390" s="4">
        <v>147137</v>
      </c>
    </row>
    <row r="1391" spans="1:5" ht="13.5" hidden="1" customHeight="1">
      <c r="A1391" s="4" t="s">
        <v>3269</v>
      </c>
      <c r="B1391" s="4" t="s">
        <v>3275</v>
      </c>
      <c r="C1391" s="4" t="str">
        <f ca="1">IFERROR(__xludf.DUMMYFUNCTION("GOOGLETRANSLATE(D:D,""auto"",""en"")"),"Xining pavement collapse juvenile rescue crashed into the pit")</f>
        <v>Xining pavement collapse juvenile rescue crashed into the pit</v>
      </c>
      <c r="D1391" s="5" t="s">
        <v>3276</v>
      </c>
      <c r="E1391" s="4">
        <v>145414</v>
      </c>
    </row>
    <row r="1392" spans="1:5" ht="13.5" hidden="1" customHeight="1">
      <c r="A1392" s="4" t="s">
        <v>3269</v>
      </c>
      <c r="B1392" s="4" t="s">
        <v>3223</v>
      </c>
      <c r="C1392" s="4" t="str">
        <f ca="1">IFERROR(__xludf.DUMMYFUNCTION("GOOGLETRANSLATE(D:D,""auto"",""en"")"),"New Year style evening")</f>
        <v>New Year style evening</v>
      </c>
      <c r="D1392" s="5" t="s">
        <v>3277</v>
      </c>
      <c r="E1392" s="4">
        <v>145246</v>
      </c>
    </row>
    <row r="1393" spans="1:5" ht="13.5" hidden="1" customHeight="1">
      <c r="A1393" s="4" t="s">
        <v>3056</v>
      </c>
      <c r="B1393" s="4" t="s">
        <v>3057</v>
      </c>
      <c r="C1393" s="4" t="str">
        <f ca="1">IFERROR(__xludf.DUMMYFUNCTION("GOOGLETRANSLATE(D:D,""auto"",""en"")"),"Roy Chiu Zhang Jun Ning with box")</f>
        <v>Roy Chiu Zhang Jun Ning with box</v>
      </c>
      <c r="D1393" s="5" t="s">
        <v>3058</v>
      </c>
      <c r="E1393" s="4">
        <v>139864</v>
      </c>
    </row>
    <row r="1394" spans="1:5" ht="13.5" hidden="1" customHeight="1">
      <c r="A1394" s="4" t="s">
        <v>3212</v>
      </c>
      <c r="B1394" s="4" t="s">
        <v>3182</v>
      </c>
      <c r="C1394" s="4" t="str">
        <f ca="1">IFERROR(__xludf.DUMMYFUNCTION("GOOGLETRANSLATE(D:D,""auto"",""en"")"),"A few days before the holiday how tough")</f>
        <v>A few days before the holiday how tough</v>
      </c>
      <c r="D1394" s="5" t="s">
        <v>3278</v>
      </c>
      <c r="E1394" s="4">
        <v>122193</v>
      </c>
    </row>
    <row r="1395" spans="1:5" ht="13.5" hidden="1" customHeight="1">
      <c r="A1395" s="4" t="s">
        <v>3279</v>
      </c>
      <c r="B1395" s="4" t="s">
        <v>3202</v>
      </c>
      <c r="C1395" s="4" t="str">
        <f ca="1">IFERROR(__xludf.DUMMYFUNCTION("GOOGLETRANSLATE(D:D,""auto"",""en"")"),"Chinese Man arrested for stealing the French royal palace relics arrested")</f>
        <v>Chinese Man arrested for stealing the French royal palace relics arrested</v>
      </c>
      <c r="D1395" s="5" t="s">
        <v>3280</v>
      </c>
      <c r="E1395" s="4">
        <v>120933</v>
      </c>
    </row>
    <row r="1396" spans="1:5" ht="13.5" hidden="1" customHeight="1">
      <c r="A1396" s="4" t="s">
        <v>3064</v>
      </c>
      <c r="B1396" s="4" t="s">
        <v>3065</v>
      </c>
      <c r="C1396" s="4" t="str">
        <f ca="1">IFERROR(__xludf.DUMMYFUNCTION("GOOGLETRANSLATE(D:D,""auto"",""en"")"),"Dreams really are reversed")</f>
        <v>Dreams really are reversed</v>
      </c>
      <c r="D1396" s="5" t="s">
        <v>3066</v>
      </c>
      <c r="E1396" s="4">
        <v>113436</v>
      </c>
    </row>
    <row r="1397" spans="1:5" ht="13.5" hidden="1" customHeight="1">
      <c r="A1397" s="4" t="s">
        <v>3281</v>
      </c>
      <c r="B1397" s="4" t="s">
        <v>3062</v>
      </c>
      <c r="C1397" s="4" t="str">
        <f ca="1">IFERROR(__xludf.DUMMYFUNCTION("GOOGLETRANSLATE(D:D,""auto"",""en"")"),"The brain is the drawback you love")</f>
        <v>The brain is the drawback you love</v>
      </c>
      <c r="D1397" s="5" t="s">
        <v>3282</v>
      </c>
      <c r="E1397" s="4">
        <v>108236</v>
      </c>
    </row>
    <row r="1398" spans="1:5" ht="13.5" hidden="1" customHeight="1">
      <c r="A1398" s="4" t="s">
        <v>3056</v>
      </c>
      <c r="B1398" s="4" t="s">
        <v>3248</v>
      </c>
      <c r="C1398" s="4" t="str">
        <f ca="1">IFERROR(__xludf.DUMMYFUNCTION("GOOGLETRANSLATE(D:D,""auto"",""en"")"),"92-year-old retired teacher obligation to counsel students 20 years")</f>
        <v>92-year-old retired teacher obligation to counsel students 20 years</v>
      </c>
      <c r="D1398" s="5" t="s">
        <v>3283</v>
      </c>
      <c r="E1398" s="4">
        <v>86712</v>
      </c>
    </row>
    <row r="1399" spans="1:5" ht="13.5" hidden="1" customHeight="1">
      <c r="A1399" s="4" t="s">
        <v>3064</v>
      </c>
      <c r="B1399" s="4" t="s">
        <v>3253</v>
      </c>
      <c r="C1399" s="4" t="str">
        <f ca="1">IFERROR(__xludf.DUMMYFUNCTION("GOOGLETRANSLATE(D:D,""auto"",""en"")"),"Unarmed special forces carry out 5.7 tons chariot")</f>
        <v>Unarmed special forces carry out 5.7 tons chariot</v>
      </c>
      <c r="D1399" s="5" t="s">
        <v>3284</v>
      </c>
      <c r="E1399" s="4">
        <v>84020</v>
      </c>
    </row>
    <row r="1400" spans="1:5" ht="13.5" hidden="1" customHeight="1">
      <c r="A1400" s="4" t="s">
        <v>3285</v>
      </c>
      <c r="B1400" s="4" t="s">
        <v>3213</v>
      </c>
      <c r="C1400" s="4" t="str">
        <f ca="1">IFERROR(__xludf.DUMMYFUNCTION("GOOGLETRANSLATE(D:D,""auto"",""en"")"),"Shaanxi hospital for doctors with alarm bracelet")</f>
        <v>Shaanxi hospital for doctors with alarm bracelet</v>
      </c>
      <c r="D1400" s="5" t="s">
        <v>3286</v>
      </c>
      <c r="E1400" s="4">
        <v>73411</v>
      </c>
    </row>
    <row r="1401" spans="1:5" ht="13.5" hidden="1" customHeight="1">
      <c r="C1401" s="4" t="str">
        <f ca="1">IFERROR(__xludf.DUMMYFUNCTION("GOOGLETRANSLATE(D:D,""auto"",""en"")"),"#VALUE!")</f>
        <v>#VALUE!</v>
      </c>
    </row>
    <row r="1402" spans="1:5" ht="13.5" hidden="1" customHeight="1">
      <c r="A1402" s="4" t="s">
        <v>3287</v>
      </c>
      <c r="B1402" s="4" t="s">
        <v>3288</v>
      </c>
      <c r="C1402" s="4" t="str">
        <f ca="1">IFERROR(__xludf.DUMMYFUNCTION("GOOGLETRANSLATE(D:D,""auto"",""en"")"),"Host Spring Festival")</f>
        <v>Host Spring Festival</v>
      </c>
      <c r="D1402" s="4" t="s">
        <v>3289</v>
      </c>
      <c r="E1402" s="4">
        <v>2327871</v>
      </c>
    </row>
    <row r="1403" spans="1:5" ht="13.5" hidden="1" customHeight="1">
      <c r="A1403" s="4" t="s">
        <v>3287</v>
      </c>
      <c r="B1403" s="4" t="s">
        <v>3290</v>
      </c>
      <c r="C1403" s="4" t="str">
        <f ca="1">IFERROR(__xludf.DUMMYFUNCTION("GOOGLETRANSLATE(D:D,""auto"",""en"")"),"Liang female tractor driver died on the $ 1 bill")</f>
        <v>Liang female tractor driver died on the $ 1 bill</v>
      </c>
      <c r="D1403" s="5" t="s">
        <v>3291</v>
      </c>
      <c r="E1403" s="4">
        <v>2015087</v>
      </c>
    </row>
    <row r="1404" spans="1:5" ht="13.5" hidden="1" customHeight="1">
      <c r="A1404" s="4" t="s">
        <v>3292</v>
      </c>
      <c r="B1404" s="4" t="s">
        <v>3293</v>
      </c>
      <c r="C1404" s="4" t="str">
        <f ca="1">IFERROR(__xludf.DUMMYFUNCTION("GOOGLETRANSLATE(D:D,""auto"",""en"")"),"Ni Ping Zhao Zhongxiang visit")</f>
        <v>Ni Ping Zhao Zhongxiang visit</v>
      </c>
      <c r="D1404" s="5" t="s">
        <v>3294</v>
      </c>
      <c r="E1404" s="4">
        <v>798602</v>
      </c>
    </row>
    <row r="1405" spans="1:5" ht="13.5" hidden="1" customHeight="1">
      <c r="A1405" s="4" t="s">
        <v>3295</v>
      </c>
      <c r="B1405" s="4" t="s">
        <v>3296</v>
      </c>
      <c r="C1405" s="4" t="str">
        <f ca="1">IFERROR(__xludf.DUMMYFUNCTION("GOOGLETRANSLATE(D:D,""auto"",""en"")"),"Corrupt officials seized 674 home shopping card")</f>
        <v>Corrupt officials seized 674 home shopping card</v>
      </c>
      <c r="D1405" s="5" t="s">
        <v>3297</v>
      </c>
      <c r="E1405" s="4">
        <v>781984</v>
      </c>
    </row>
    <row r="1406" spans="1:5" ht="13.5" hidden="1" customHeight="1">
      <c r="A1406" s="4" t="s">
        <v>3298</v>
      </c>
      <c r="B1406" s="4" t="s">
        <v>3299</v>
      </c>
      <c r="C1406" s="4" t="str">
        <f ca="1">IFERROR(__xludf.DUMMYFUNCTION("GOOGLETRANSLATE(D:D,""auto"",""en"")"),"Yan Wu spent 9958 in response to events")</f>
        <v>Yan Wu spent 9958 in response to events</v>
      </c>
      <c r="D1406" s="5" t="s">
        <v>3300</v>
      </c>
      <c r="E1406" s="4">
        <v>668434</v>
      </c>
    </row>
    <row r="1407" spans="1:5" ht="13.5" hidden="1" customHeight="1">
      <c r="A1407" s="4" t="s">
        <v>3301</v>
      </c>
      <c r="B1407" s="4" t="s">
        <v>3220</v>
      </c>
      <c r="C1407" s="4" t="str">
        <f ca="1">IFERROR(__xludf.DUMMYFUNCTION("GOOGLETRANSLATE(D:D,""auto"",""en"")"),"The new micro-channel expression")</f>
        <v>The new micro-channel expression</v>
      </c>
      <c r="D1407" s="5" t="s">
        <v>3302</v>
      </c>
      <c r="E1407" s="4">
        <v>645986</v>
      </c>
    </row>
    <row r="1408" spans="1:5" ht="13.5" hidden="1" customHeight="1">
      <c r="A1408" s="4" t="s">
        <v>3287</v>
      </c>
      <c r="B1408" s="4" t="s">
        <v>3303</v>
      </c>
      <c r="C1408" s="4" t="str">
        <f ca="1">IFERROR(__xludf.DUMMYFUNCTION("GOOGLETRANSLATE(D:D,""auto"",""en"")"),"After you get the year-end awards")</f>
        <v>After you get the year-end awards</v>
      </c>
      <c r="D1408" s="5" t="s">
        <v>3304</v>
      </c>
      <c r="E1408" s="4">
        <v>529685</v>
      </c>
    </row>
    <row r="1409" spans="1:6" ht="13.5" hidden="1" customHeight="1">
      <c r="A1409" s="4" t="s">
        <v>3305</v>
      </c>
      <c r="B1409" s="4" t="s">
        <v>3306</v>
      </c>
      <c r="C1409" s="4" t="str">
        <f ca="1">IFERROR(__xludf.DUMMYFUNCTION("GOOGLETRANSLATE(D:D,""auto"",""en"")"),"Anti room reached the assailant was sentenced gone too far")</f>
        <v>Anti room reached the assailant was sentenced gone too far</v>
      </c>
      <c r="D1409" s="5" t="s">
        <v>3307</v>
      </c>
      <c r="E1409" s="4">
        <v>417810</v>
      </c>
    </row>
    <row r="1410" spans="1:6" ht="13.5" hidden="1" customHeight="1">
      <c r="A1410" s="4" t="s">
        <v>3308</v>
      </c>
      <c r="B1410" s="4" t="s">
        <v>3309</v>
      </c>
      <c r="C1410" s="4" t="str">
        <f ca="1">IFERROR(__xludf.DUMMYFUNCTION("GOOGLETRANSLATE(D:D,""auto"",""en"")"),"Shanghai to lift relations with the Czech Republic Prague Sister Cities")</f>
        <v>Shanghai to lift relations with the Czech Republic Prague Sister Cities</v>
      </c>
      <c r="D1410" s="5" t="s">
        <v>3310</v>
      </c>
      <c r="E1410" s="4">
        <v>394867</v>
      </c>
    </row>
    <row r="1411" spans="1:6" ht="13.5" hidden="1" customHeight="1">
      <c r="A1411" s="4" t="s">
        <v>3311</v>
      </c>
      <c r="B1411" s="4" t="s">
        <v>3312</v>
      </c>
      <c r="C1411" s="4" t="str">
        <f ca="1">IFERROR(__xludf.DUMMYFUNCTION("GOOGLETRANSLATE(D:D,""auto"",""en"")"),"Dropped two tons of carrots and sweet potatoes to save kangaroos")</f>
        <v>Dropped two tons of carrots and sweet potatoes to save kangaroos</v>
      </c>
      <c r="D1411" s="5" t="s">
        <v>3313</v>
      </c>
      <c r="E1411" s="4">
        <v>387050</v>
      </c>
    </row>
    <row r="1412" spans="1:6" ht="13.5" hidden="1" customHeight="1">
      <c r="A1412" s="4" t="s">
        <v>3314</v>
      </c>
      <c r="B1412" s="4" t="s">
        <v>3315</v>
      </c>
      <c r="C1412" s="4" t="str">
        <f ca="1">IFERROR(__xludf.DUMMYFUNCTION("GOOGLETRANSLATE(D:D,""auto"",""en"")"),"Lisa Cover")</f>
        <v>Lisa Cover</v>
      </c>
      <c r="D1412" s="5" t="s">
        <v>3316</v>
      </c>
      <c r="E1412" s="4">
        <v>373562</v>
      </c>
    </row>
    <row r="1413" spans="1:6" ht="13.5" hidden="1" customHeight="1">
      <c r="A1413" s="4" t="s">
        <v>3317</v>
      </c>
      <c r="B1413" s="4" t="s">
        <v>3318</v>
      </c>
      <c r="C1413" s="4" t="str">
        <f ca="1">IFERROR(__xludf.DUMMYFUNCTION("GOOGLETRANSLATE(D:D,""auto"",""en"")"),"Australian Open player difficulty breathing down on their knees")</f>
        <v>Australian Open player difficulty breathing down on their knees</v>
      </c>
      <c r="D1413" s="5" t="s">
        <v>3319</v>
      </c>
      <c r="E1413" s="4">
        <v>371177</v>
      </c>
    </row>
    <row r="1414" spans="1:6" ht="13.5" hidden="1" customHeight="1">
      <c r="A1414" s="4" t="s">
        <v>3320</v>
      </c>
      <c r="B1414" s="4" t="s">
        <v>3321</v>
      </c>
      <c r="C1414" s="4" t="str">
        <f ca="1">IFERROR(__xludf.DUMMYFUNCTION("GOOGLETRANSLATE(D:D,""auto"",""en"")"),"Since 2019 was the warmest year on record ocean")</f>
        <v>Since 2019 was the warmest year on record ocean</v>
      </c>
      <c r="D1414" s="5" t="s">
        <v>3322</v>
      </c>
      <c r="E1414" s="4">
        <v>323255</v>
      </c>
    </row>
    <row r="1415" spans="1:6" ht="13.5" customHeight="1">
      <c r="A1415" s="4" t="s">
        <v>3323</v>
      </c>
      <c r="B1415" s="4" t="s">
        <v>3324</v>
      </c>
      <c r="C1415" s="4" t="str">
        <f ca="1">IFERROR(__xludf.DUMMYFUNCTION("GOOGLETRANSLATE(D:D,""auto"",""en"")"),"To buy the wrong ticket back to Hubei Macheng Macheng in Sichuan")</f>
        <v>To buy the wrong ticket back to Hubei Macheng Macheng in Sichuan</v>
      </c>
      <c r="D1415" s="5" t="s">
        <v>3325</v>
      </c>
      <c r="E1415" s="4">
        <v>265950</v>
      </c>
      <c r="F1415">
        <v>1</v>
      </c>
    </row>
    <row r="1416" spans="1:6" ht="13.5" hidden="1" customHeight="1">
      <c r="A1416" s="4" t="s">
        <v>3326</v>
      </c>
      <c r="B1416" s="4" t="s">
        <v>3327</v>
      </c>
      <c r="C1416" s="4" t="str">
        <f ca="1">IFERROR(__xludf.DUMMYFUNCTION("GOOGLETRANSLATE(D:D,""auto"",""en"")"),"Dad suddenly see 2-year son did not return home")</f>
        <v>Dad suddenly see 2-year son did not return home</v>
      </c>
      <c r="D1416" s="5" t="s">
        <v>3328</v>
      </c>
      <c r="E1416" s="4">
        <v>264222</v>
      </c>
    </row>
    <row r="1417" spans="1:6" ht="13.5" hidden="1" customHeight="1">
      <c r="A1417" s="4" t="s">
        <v>3329</v>
      </c>
      <c r="B1417" s="4" t="s">
        <v>3330</v>
      </c>
      <c r="C1417" s="4" t="str">
        <f ca="1">IFERROR(__xludf.DUMMYFUNCTION("GOOGLETRANSLATE(D:D,""auto"",""en"")"),"Love Apartments 5 Zhuge vigorously")</f>
        <v>Love Apartments 5 Zhuge vigorously</v>
      </c>
      <c r="D1417" s="5" t="s">
        <v>3331</v>
      </c>
      <c r="E1417" s="4">
        <v>262962</v>
      </c>
    </row>
    <row r="1418" spans="1:6" ht="13.5" hidden="1" customHeight="1">
      <c r="A1418" s="4" t="s">
        <v>3332</v>
      </c>
      <c r="B1418" s="4" t="s">
        <v>3333</v>
      </c>
      <c r="C1418" s="4" t="str">
        <f ca="1">IFERROR(__xludf.DUMMYFUNCTION("GOOGLETRANSLATE(D:D,""auto"",""en"")"),"Direct transfer micro-channel QQ")</f>
        <v>Direct transfer micro-channel QQ</v>
      </c>
      <c r="D1418" s="5" t="s">
        <v>3334</v>
      </c>
      <c r="E1418" s="4">
        <v>260914</v>
      </c>
    </row>
    <row r="1419" spans="1:6" ht="13.5" hidden="1" customHeight="1">
      <c r="A1419" s="4" t="s">
        <v>3335</v>
      </c>
      <c r="B1419" s="4" t="s">
        <v>3296</v>
      </c>
      <c r="C1419" s="4" t="str">
        <f ca="1">IFERROR(__xludf.DUMMYFUNCTION("GOOGLETRANSLATE(D:D,""auto"",""en"")"),"Dad anxious to send their children into the security instrument")</f>
        <v>Dad anxious to send their children into the security instrument</v>
      </c>
      <c r="D1419" s="5" t="s">
        <v>3336</v>
      </c>
      <c r="E1419" s="4">
        <v>258482</v>
      </c>
    </row>
    <row r="1420" spans="1:6" ht="13.5" hidden="1" customHeight="1">
      <c r="A1420" s="4" t="s">
        <v>3337</v>
      </c>
      <c r="B1420" s="4" t="s">
        <v>3338</v>
      </c>
      <c r="C1420" s="4" t="str">
        <f ca="1">IFERROR(__xludf.DUMMYFUNCTION("GOOGLETRANSLATE(D:D,""auto"",""en"")"),"High school is locked home using sheets escape rope")</f>
        <v>High school is locked home using sheets escape rope</v>
      </c>
      <c r="D1420" s="5" t="s">
        <v>3339</v>
      </c>
      <c r="E1420" s="4">
        <v>256613</v>
      </c>
    </row>
    <row r="1421" spans="1:6" ht="13.5" hidden="1" customHeight="1">
      <c r="A1421" s="4" t="s">
        <v>3287</v>
      </c>
      <c r="B1421" s="4" t="s">
        <v>3340</v>
      </c>
      <c r="C1421" s="4" t="str">
        <f ca="1">IFERROR(__xludf.DUMMYFUNCTION("GOOGLETRANSLATE(D:D,""auto"",""en"")"),"Qizhen on-line")</f>
        <v>Qizhen on-line</v>
      </c>
      <c r="D1421" s="5" t="s">
        <v>3341</v>
      </c>
      <c r="E1421" s="4">
        <v>255523</v>
      </c>
    </row>
    <row r="1422" spans="1:6" ht="13.5" hidden="1" customHeight="1">
      <c r="A1422" s="4" t="s">
        <v>3342</v>
      </c>
      <c r="B1422" s="4" t="s">
        <v>3343</v>
      </c>
      <c r="C1422" s="4" t="str">
        <f ca="1">IFERROR(__xludf.DUMMYFUNCTION("GOOGLETRANSLATE(D:D,""auto"",""en"")"),"Tongxi lore Zhejiang")</f>
        <v>Tongxi lore Zhejiang</v>
      </c>
      <c r="D1422" s="5" t="s">
        <v>3344</v>
      </c>
      <c r="E1422" s="4">
        <v>252700</v>
      </c>
    </row>
    <row r="1423" spans="1:6" ht="13.5" hidden="1" customHeight="1">
      <c r="A1423" s="4" t="s">
        <v>3345</v>
      </c>
      <c r="B1423" s="4" t="s">
        <v>3346</v>
      </c>
      <c r="C1423" s="4" t="str">
        <f ca="1">IFERROR(__xludf.DUMMYFUNCTION("GOOGLETRANSLATE(D:D,""auto"",""en"")"),"My social circle vs my friend")</f>
        <v>My social circle vs my friend</v>
      </c>
      <c r="D1423" s="5" t="s">
        <v>3347</v>
      </c>
      <c r="E1423" s="4">
        <v>251296</v>
      </c>
    </row>
    <row r="1424" spans="1:6" ht="13.5" hidden="1" customHeight="1">
      <c r="A1424" s="4" t="s">
        <v>3305</v>
      </c>
      <c r="B1424" s="4" t="s">
        <v>3348</v>
      </c>
      <c r="C1424" s="4" t="str">
        <f ca="1">IFERROR(__xludf.DUMMYFUNCTION("GOOGLETRANSLATE(D:D,""auto"",""en"")"),"Zhuangfei a red light is fully responsible for the families of discontent")</f>
        <v>Zhuangfei a red light is fully responsible for the families of discontent</v>
      </c>
      <c r="D1424" s="5" t="s">
        <v>3349</v>
      </c>
      <c r="E1424" s="4">
        <v>250371</v>
      </c>
    </row>
    <row r="1425" spans="1:5" ht="13.5" hidden="1" customHeight="1">
      <c r="A1425" s="4" t="s">
        <v>3350</v>
      </c>
      <c r="B1425" s="4" t="s">
        <v>3351</v>
      </c>
      <c r="C1425" s="4" t="str">
        <f ca="1">IFERROR(__xludf.DUMMYFUNCTION("GOOGLETRANSLATE(D:D,""auto"",""en"")"),"Due to eating too much of the male face and top drama")</f>
        <v>Due to eating too much of the male face and top drama</v>
      </c>
      <c r="D1425" s="5" t="s">
        <v>3352</v>
      </c>
      <c r="E1425" s="4">
        <v>244572</v>
      </c>
    </row>
    <row r="1426" spans="1:5" ht="13.5" hidden="1" customHeight="1">
      <c r="A1426" s="4" t="s">
        <v>3353</v>
      </c>
      <c r="B1426" s="4" t="s">
        <v>3324</v>
      </c>
      <c r="C1426" s="4" t="str">
        <f ca="1">IFERROR(__xludf.DUMMYFUNCTION("GOOGLETRANSLATE(D:D,""auto"",""en"")"),"New Year fortune Nail")</f>
        <v>New Year fortune Nail</v>
      </c>
      <c r="D1426" s="5" t="s">
        <v>3354</v>
      </c>
      <c r="E1426" s="4">
        <v>226854</v>
      </c>
    </row>
    <row r="1427" spans="1:5" ht="13.5" hidden="1" customHeight="1">
      <c r="A1427" s="4" t="s">
        <v>3323</v>
      </c>
      <c r="B1427" s="4" t="s">
        <v>3324</v>
      </c>
      <c r="C1427" s="4" t="str">
        <f ca="1">IFERROR(__xludf.DUMMYFUNCTION("GOOGLETRANSLATE(D:D,""auto"",""en"")"),"48-year-old minimum sense of well-being")</f>
        <v>48-year-old minimum sense of well-being</v>
      </c>
      <c r="D1427" s="5" t="s">
        <v>3355</v>
      </c>
      <c r="E1427" s="4">
        <v>201640</v>
      </c>
    </row>
    <row r="1428" spans="1:5" ht="13.5" hidden="1" customHeight="1">
      <c r="A1428" s="4" t="s">
        <v>3356</v>
      </c>
      <c r="B1428" s="4" t="s">
        <v>3357</v>
      </c>
      <c r="C1428" s="4" t="str">
        <f ca="1">IFERROR(__xludf.DUMMYFUNCTION("GOOGLETRANSLATE(D:D,""auto"",""en"")"),"Others really will play romantic boyfriend")</f>
        <v>Others really will play romantic boyfriend</v>
      </c>
      <c r="D1428" s="5" t="s">
        <v>3358</v>
      </c>
      <c r="E1428" s="4">
        <v>201152</v>
      </c>
    </row>
    <row r="1429" spans="1:5" ht="13.5" hidden="1" customHeight="1">
      <c r="A1429" s="4" t="s">
        <v>3359</v>
      </c>
      <c r="B1429" s="4" t="s">
        <v>3360</v>
      </c>
      <c r="C1429" s="4" t="str">
        <f ca="1">IFERROR(__xludf.DUMMYFUNCTION("GOOGLETRANSLATE(D:D,""auto"",""en"")"),"Guangdong as China's first GDP over 10 trillion yuan provinces")</f>
        <v>Guangdong as China's first GDP over 10 trillion yuan provinces</v>
      </c>
      <c r="D1429" s="5" t="s">
        <v>3361</v>
      </c>
      <c r="E1429" s="4">
        <v>198915</v>
      </c>
    </row>
    <row r="1430" spans="1:5" ht="13.5" hidden="1" customHeight="1">
      <c r="A1430" s="4" t="s">
        <v>3362</v>
      </c>
      <c r="B1430" s="4" t="s">
        <v>3363</v>
      </c>
      <c r="C1430" s="4" t="str">
        <f ca="1">IFERROR(__xludf.DUMMYFUNCTION("GOOGLETRANSLATE(D:D,""auto"",""en"")"),"2020 Spring Festival Evening Session")</f>
        <v>2020 Spring Festival Evening Session</v>
      </c>
      <c r="D1430" s="5" t="s">
        <v>3364</v>
      </c>
      <c r="E1430" s="4">
        <v>185731</v>
      </c>
    </row>
    <row r="1431" spans="1:5" ht="13.5" hidden="1" customHeight="1">
      <c r="A1431" s="4" t="s">
        <v>3365</v>
      </c>
      <c r="B1431" s="4" t="s">
        <v>3366</v>
      </c>
      <c r="C1431" s="4" t="str">
        <f ca="1">IFERROR(__xludf.DUMMYFUNCTION("GOOGLETRANSLATE(D:D,""auto"",""en"")"),"Zhuhai chemical plant explosion has been found 15 safety problems")</f>
        <v>Zhuhai chemical plant explosion has been found 15 safety problems</v>
      </c>
      <c r="D1431" s="5" t="s">
        <v>3367</v>
      </c>
      <c r="E1431" s="4">
        <v>185684</v>
      </c>
    </row>
    <row r="1432" spans="1:5" ht="13.5" hidden="1" customHeight="1">
      <c r="A1432" s="4" t="s">
        <v>3368</v>
      </c>
      <c r="B1432" s="4" t="s">
        <v>3369</v>
      </c>
      <c r="C1432" s="4" t="str">
        <f ca="1">IFERROR(__xludf.DUMMYFUNCTION("GOOGLETRANSLATE(D:D,""auto"",""en"")"),"Beautiful black swan shape")</f>
        <v>Beautiful black swan shape</v>
      </c>
      <c r="D1432" s="5" t="s">
        <v>3370</v>
      </c>
      <c r="E1432" s="4">
        <v>177522</v>
      </c>
    </row>
    <row r="1433" spans="1:5" ht="13.5" hidden="1" customHeight="1">
      <c r="A1433" s="4" t="s">
        <v>3371</v>
      </c>
      <c r="B1433" s="4" t="s">
        <v>3293</v>
      </c>
      <c r="C1433" s="4" t="str">
        <f ca="1">IFERROR(__xludf.DUMMYFUNCTION("GOOGLETRANSLATE(D:D,""auto"",""en"")"),"Headphone Bracelet")</f>
        <v>Headphone Bracelet</v>
      </c>
      <c r="D1433" s="5" t="s">
        <v>3372</v>
      </c>
      <c r="E1433" s="4">
        <v>162830</v>
      </c>
    </row>
    <row r="1434" spans="1:5" ht="13.5" hidden="1" customHeight="1">
      <c r="A1434" s="4" t="s">
        <v>3373</v>
      </c>
      <c r="B1434" s="4" t="s">
        <v>3374</v>
      </c>
      <c r="C1434" s="4" t="str">
        <f ca="1">IFERROR(__xludf.DUMMYFUNCTION("GOOGLETRANSLATE(D:D,""auto"",""en"")"),"Iran arrests several Ukrainian aircraft incidents related personnel")</f>
        <v>Iran arrests several Ukrainian aircraft incidents related personnel</v>
      </c>
      <c r="D1434" s="5" t="s">
        <v>3375</v>
      </c>
      <c r="E1434" s="4">
        <v>160109</v>
      </c>
    </row>
    <row r="1435" spans="1:5" ht="13.5" hidden="1" customHeight="1">
      <c r="A1435" s="4" t="s">
        <v>3376</v>
      </c>
      <c r="B1435" s="4" t="s">
        <v>3377</v>
      </c>
      <c r="C1435" s="4" t="str">
        <f ca="1">IFERROR(__xludf.DUMMYFUNCTION("GOOGLETRANSLATE(D:D,""auto"",""en"")"),"Pi necklace")</f>
        <v>Pi necklace</v>
      </c>
      <c r="D1435" s="5" t="s">
        <v>3378</v>
      </c>
      <c r="E1435" s="4">
        <v>159196</v>
      </c>
    </row>
    <row r="1436" spans="1:5" ht="13.5" hidden="1" customHeight="1">
      <c r="A1436" s="4" t="s">
        <v>3379</v>
      </c>
      <c r="B1436" s="4" t="s">
        <v>3380</v>
      </c>
      <c r="C1436" s="4" t="str">
        <f ca="1">IFERROR(__xludf.DUMMYFUNCTION("GOOGLETRANSLATE(D:D,""auto"",""en"")"),"Australia fires or predict the future state of the Earth")</f>
        <v>Australia fires or predict the future state of the Earth</v>
      </c>
      <c r="D1436" s="5" t="s">
        <v>3381</v>
      </c>
      <c r="E1436" s="4">
        <v>147328</v>
      </c>
    </row>
    <row r="1437" spans="1:5" ht="13.5" hidden="1" customHeight="1">
      <c r="A1437" s="4" t="s">
        <v>3350</v>
      </c>
      <c r="B1437" s="4" t="s">
        <v>3382</v>
      </c>
      <c r="C1437" s="4" t="str">
        <f ca="1">IFERROR(__xludf.DUMMYFUNCTION("GOOGLETRANSLATE(D:D,""auto"",""en"")"),"With no one to inherit a large number of Japanese companies to be acquired")</f>
        <v>With no one to inherit a large number of Japanese companies to be acquired</v>
      </c>
      <c r="D1437" s="5" t="s">
        <v>3383</v>
      </c>
      <c r="E1437" s="4">
        <v>133934</v>
      </c>
    </row>
    <row r="1438" spans="1:5" ht="13.5" hidden="1" customHeight="1">
      <c r="A1438" s="4" t="s">
        <v>3384</v>
      </c>
      <c r="B1438" s="4" t="s">
        <v>3385</v>
      </c>
      <c r="C1438" s="4" t="str">
        <f ca="1">IFERROR(__xludf.DUMMYFUNCTION("GOOGLETRANSLATE(D:D,""auto"",""en"")"),"Devil's Eye Necklace")</f>
        <v>Devil's Eye Necklace</v>
      </c>
      <c r="D1438" s="5" t="s">
        <v>3386</v>
      </c>
      <c r="E1438" s="4">
        <v>132442</v>
      </c>
    </row>
    <row r="1439" spans="1:5" ht="13.5" hidden="1" customHeight="1">
      <c r="A1439" s="4" t="s">
        <v>3387</v>
      </c>
      <c r="B1439" s="4" t="s">
        <v>3246</v>
      </c>
      <c r="C1439" s="4" t="str">
        <f ca="1">IFERROR(__xludf.DUMMYFUNCTION("GOOGLETRANSLATE(D:D,""auto"",""en"")"),"CCTV Spring Festival Evening row for the first time")</f>
        <v>CCTV Spring Festival Evening row for the first time</v>
      </c>
      <c r="D1439" s="5" t="s">
        <v>3388</v>
      </c>
      <c r="E1439" s="4">
        <v>126939</v>
      </c>
    </row>
    <row r="1440" spans="1:5" ht="13.5" hidden="1" customHeight="1">
      <c r="A1440" s="4" t="s">
        <v>3389</v>
      </c>
      <c r="B1440" s="4" t="s">
        <v>3390</v>
      </c>
      <c r="C1440" s="4" t="str">
        <f ca="1">IFERROR(__xludf.DUMMYFUNCTION("GOOGLETRANSLATE(D:D,""auto"",""en"")"),"I saw the way natal")</f>
        <v>I saw the way natal</v>
      </c>
      <c r="D1440" s="5" t="s">
        <v>3391</v>
      </c>
      <c r="E1440" s="4">
        <v>122135</v>
      </c>
    </row>
    <row r="1441" spans="1:5" ht="13.5" hidden="1" customHeight="1">
      <c r="A1441" s="4" t="s">
        <v>3301</v>
      </c>
      <c r="B1441" s="4" t="s">
        <v>3392</v>
      </c>
      <c r="C1441" s="4" t="str">
        <f ca="1">IFERROR(__xludf.DUMMYFUNCTION("GOOGLETRANSLATE(D:D,""auto"",""en"")"),"Last generation are learning slag Intelligence Bureau")</f>
        <v>Last generation are learning slag Intelligence Bureau</v>
      </c>
      <c r="D1441" s="5" t="s">
        <v>3393</v>
      </c>
      <c r="E1441" s="4">
        <v>118386</v>
      </c>
    </row>
    <row r="1442" spans="1:5" ht="13.5" hidden="1" customHeight="1">
      <c r="A1442" s="4" t="s">
        <v>3323</v>
      </c>
      <c r="B1442" s="4" t="s">
        <v>3394</v>
      </c>
      <c r="C1442" s="4" t="str">
        <f ca="1">IFERROR(__xludf.DUMMYFUNCTION("GOOGLETRANSLATE(D:D,""auto"",""en"")"),"Four departments interviews and tick drops")</f>
        <v>Four departments interviews and tick drops</v>
      </c>
      <c r="D1442" s="5" t="s">
        <v>3395</v>
      </c>
      <c r="E1442" s="4">
        <v>112087</v>
      </c>
    </row>
    <row r="1443" spans="1:5" ht="13.5" hidden="1" customHeight="1">
      <c r="A1443" s="4" t="s">
        <v>3396</v>
      </c>
      <c r="B1443" s="4" t="s">
        <v>3397</v>
      </c>
      <c r="C1443" s="4" t="str">
        <f ca="1">IFERROR(__xludf.DUMMYFUNCTION("GOOGLETRANSLATE(D:D,""auto"",""en"")"),"8k version of the show will be available")</f>
        <v>8k version of the show will be available</v>
      </c>
      <c r="D1443" s="5" t="s">
        <v>3398</v>
      </c>
      <c r="E1443" s="4">
        <v>105330</v>
      </c>
    </row>
    <row r="1444" spans="1:5" ht="13.5" hidden="1" customHeight="1">
      <c r="A1444" s="4" t="s">
        <v>3187</v>
      </c>
      <c r="B1444" s="4" t="s">
        <v>3244</v>
      </c>
      <c r="C1444" s="4" t="str">
        <f ca="1">IFERROR(__xludf.DUMMYFUNCTION("GOOGLETRANSLATE(D:D,""auto"",""en"")"),"Zhang microblogging big label")</f>
        <v>Zhang microblogging big label</v>
      </c>
      <c r="D1444" s="5" t="s">
        <v>3245</v>
      </c>
      <c r="E1444" s="4">
        <v>102283</v>
      </c>
    </row>
    <row r="1445" spans="1:5" ht="13.5" hidden="1" customHeight="1">
      <c r="A1445" s="4" t="s">
        <v>3184</v>
      </c>
      <c r="B1445" s="4" t="s">
        <v>3185</v>
      </c>
      <c r="C1445" s="4" t="str">
        <f ca="1">IFERROR(__xludf.DUMMYFUNCTION("GOOGLETRANSLATE(D:D,""auto"",""en"")"),"Zhang Jie Xie Na kiss")</f>
        <v>Zhang Jie Xie Na kiss</v>
      </c>
      <c r="D1445" s="5" t="s">
        <v>3186</v>
      </c>
      <c r="E1445" s="4">
        <v>100917</v>
      </c>
    </row>
    <row r="1446" spans="1:5" ht="13.5" hidden="1" customHeight="1">
      <c r="A1446" s="4" t="s">
        <v>3387</v>
      </c>
      <c r="B1446" s="4" t="s">
        <v>3399</v>
      </c>
      <c r="C1446" s="4" t="str">
        <f ca="1">IFERROR(__xludf.DUMMYFUNCTION("GOOGLETRANSLATE(D:D,""auto"",""en"")"),"Our grading to be implemented Juvenile Delinquency Prevention")</f>
        <v>Our grading to be implemented Juvenile Delinquency Prevention</v>
      </c>
      <c r="D1446" s="5" t="s">
        <v>3400</v>
      </c>
      <c r="E1446" s="4">
        <v>95418</v>
      </c>
    </row>
    <row r="1447" spans="1:5" ht="13.5" hidden="1" customHeight="1">
      <c r="A1447" s="4" t="s">
        <v>3178</v>
      </c>
      <c r="B1447" s="4" t="s">
        <v>3179</v>
      </c>
      <c r="C1447" s="4" t="str">
        <f ca="1">IFERROR(__xludf.DUMMYFUNCTION("GOOGLETRANSLATE(D:D,""auto"",""en"")"),"Wendy Zhang participate in arts test")</f>
        <v>Wendy Zhang participate in arts test</v>
      </c>
      <c r="D1447" s="5" t="s">
        <v>3180</v>
      </c>
      <c r="E1447" s="4">
        <v>87323</v>
      </c>
    </row>
    <row r="1448" spans="1:5" ht="13.5" hidden="1" customHeight="1">
      <c r="A1448" s="4" t="s">
        <v>3362</v>
      </c>
      <c r="B1448" s="4" t="s">
        <v>3401</v>
      </c>
      <c r="C1448" s="4" t="str">
        <f ca="1">IFERROR(__xludf.DUMMYFUNCTION("GOOGLETRANSLATE(D:D,""auto"",""en"")"),"A cloud Ga can not fly together with the peace of")</f>
        <v>A cloud Ga can not fly together with the peace of</v>
      </c>
      <c r="D1448" s="5" t="s">
        <v>3402</v>
      </c>
      <c r="E1448" s="4">
        <v>83115</v>
      </c>
    </row>
    <row r="1449" spans="1:5" ht="13.5" hidden="1" customHeight="1">
      <c r="A1449" s="4" t="s">
        <v>3403</v>
      </c>
      <c r="B1449" s="4" t="s">
        <v>3404</v>
      </c>
      <c r="C1449" s="4" t="str">
        <f ca="1">IFERROR(__xludf.DUMMYFUNCTION("GOOGLETRANSLATE(D:D,""auto"",""en"")"),"Hangzhou tank burst a construction site")</f>
        <v>Hangzhou tank burst a construction site</v>
      </c>
      <c r="D1449" s="5" t="s">
        <v>3405</v>
      </c>
      <c r="E1449" s="4">
        <v>75152</v>
      </c>
    </row>
    <row r="1450" spans="1:5" ht="13.5" hidden="1" customHeight="1">
      <c r="A1450" s="4" t="s">
        <v>3406</v>
      </c>
      <c r="B1450" s="4" t="s">
        <v>3407</v>
      </c>
      <c r="C1450" s="4" t="str">
        <f ca="1">IFERROR(__xludf.DUMMYFUNCTION("GOOGLETRANSLATE(D:D,""auto"",""en"")"),"Cai Xu Kun scales bad")</f>
        <v>Cai Xu Kun scales bad</v>
      </c>
      <c r="D1450" s="5" t="s">
        <v>3408</v>
      </c>
      <c r="E1450" s="4">
        <v>56037</v>
      </c>
    </row>
    <row r="1451" spans="1:5" ht="13.5" hidden="1" customHeight="1">
      <c r="C1451" s="4" t="str">
        <f ca="1">IFERROR(__xludf.DUMMYFUNCTION("GOOGLETRANSLATE(D:D,""auto"",""en"")"),"#VALUE!")</f>
        <v>#VALUE!</v>
      </c>
    </row>
    <row r="1452" spans="1:5" ht="13.5" hidden="1" customHeight="1">
      <c r="A1452" s="4" t="s">
        <v>3409</v>
      </c>
      <c r="B1452" s="4" t="s">
        <v>3410</v>
      </c>
      <c r="C1452" s="4" t="str">
        <f ca="1">IFERROR(__xludf.DUMMYFUNCTION("GOOGLETRANSLATE(D:D,""auto"",""en"")"),"Australia has shot 5000 camel")</f>
        <v>Australia has shot 5000 camel</v>
      </c>
      <c r="D1452" s="4" t="s">
        <v>3411</v>
      </c>
      <c r="E1452" s="4">
        <v>2749405</v>
      </c>
    </row>
    <row r="1453" spans="1:5" ht="13.5" hidden="1" customHeight="1">
      <c r="A1453" s="4" t="s">
        <v>3412</v>
      </c>
      <c r="B1453" s="4" t="s">
        <v>3413</v>
      </c>
      <c r="C1453" s="4" t="str">
        <f ca="1">IFERROR(__xludf.DUMMYFUNCTION("GOOGLETRANSLATE(D:D,""auto"",""en"")"),"2 youth players to have you declared official")</f>
        <v>2 youth players to have you declared official</v>
      </c>
      <c r="D1453" s="5" t="s">
        <v>3414</v>
      </c>
      <c r="E1453" s="4">
        <v>1917035</v>
      </c>
    </row>
    <row r="1454" spans="1:5" ht="13.5" hidden="1" customHeight="1">
      <c r="A1454" s="4" t="s">
        <v>3415</v>
      </c>
      <c r="B1454" s="4" t="s">
        <v>3416</v>
      </c>
      <c r="C1454" s="4" t="str">
        <f ca="1">IFERROR(__xludf.DUMMYFUNCTION("GOOGLETRANSLATE(D:D,""auto"",""en"")"),"Romance in the Rain starring reunion")</f>
        <v>Romance in the Rain starring reunion</v>
      </c>
      <c r="D1454" s="5" t="s">
        <v>3417</v>
      </c>
      <c r="E1454" s="4">
        <v>1194249</v>
      </c>
    </row>
    <row r="1455" spans="1:5" ht="13.5" hidden="1" customHeight="1">
      <c r="A1455" s="4" t="s">
        <v>3418</v>
      </c>
      <c r="B1455" s="4" t="s">
        <v>3419</v>
      </c>
      <c r="C1455" s="4" t="str">
        <f ca="1">IFERROR(__xludf.DUMMYFUNCTION("GOOGLETRANSLATE(D:D,""auto"",""en"")"),"Hyun Bin Fang denied involvement JJM Jang Dong-gun chat")</f>
        <v>Hyun Bin Fang denied involvement JJM Jang Dong-gun chat</v>
      </c>
      <c r="D1455" s="5" t="s">
        <v>3420</v>
      </c>
      <c r="E1455" s="4">
        <v>1192031</v>
      </c>
    </row>
    <row r="1456" spans="1:5" ht="13.5" hidden="1" customHeight="1">
      <c r="A1456" s="4" t="s">
        <v>3421</v>
      </c>
      <c r="B1456" s="4" t="s">
        <v>3413</v>
      </c>
      <c r="C1456" s="4" t="str">
        <f ca="1">IFERROR(__xludf.DUMMYFUNCTION("GOOGLETRANSLATE(D:D,""auto"",""en"")"),"Trump blasted Apple")</f>
        <v>Trump blasted Apple</v>
      </c>
      <c r="D1456" s="5" t="s">
        <v>3422</v>
      </c>
      <c r="E1456" s="4">
        <v>999910</v>
      </c>
    </row>
    <row r="1457" spans="1:6" ht="13.5" hidden="1" customHeight="1">
      <c r="A1457" s="4" t="s">
        <v>3423</v>
      </c>
      <c r="B1457" s="4" t="s">
        <v>3424</v>
      </c>
      <c r="C1457" s="4" t="str">
        <f ca="1">IFERROR(__xludf.DUMMYFUNCTION("GOOGLETRANSLATE(D:D,""auto"",""en"")"),"The court refused to live Meng late boat extradition hearing")</f>
        <v>The court refused to live Meng late boat extradition hearing</v>
      </c>
      <c r="D1457" s="5" t="s">
        <v>3425</v>
      </c>
      <c r="E1457" s="4">
        <v>809129</v>
      </c>
    </row>
    <row r="1458" spans="1:6" ht="13.5" hidden="1" customHeight="1">
      <c r="A1458" s="4" t="s">
        <v>3426</v>
      </c>
      <c r="B1458" s="4" t="s">
        <v>3427</v>
      </c>
      <c r="C1458" s="4" t="str">
        <f ca="1">IFERROR(__xludf.DUMMYFUNCTION("GOOGLETRANSLATE(D:D,""auto"",""en"")"),"Piece of paper more than 50 scripts")</f>
        <v>Piece of paper more than 50 scripts</v>
      </c>
      <c r="D1458" s="5" t="s">
        <v>3428</v>
      </c>
      <c r="E1458" s="4">
        <v>788821</v>
      </c>
    </row>
    <row r="1459" spans="1:6" ht="13.5" customHeight="1">
      <c r="A1459" s="4" t="s">
        <v>3423</v>
      </c>
      <c r="B1459" s="4" t="s">
        <v>3362</v>
      </c>
      <c r="C1459" s="4" t="str">
        <f ca="1">IFERROR(__xludf.DUMMYFUNCTION("GOOGLETRANSLATE(D:D,""auto"",""en"")"),"Thailand novel coronavirus cases Wuhan tourists")</f>
        <v>Thailand novel coronavirus cases Wuhan tourists</v>
      </c>
      <c r="D1459" s="5" t="s">
        <v>3429</v>
      </c>
      <c r="E1459" s="4">
        <v>787664</v>
      </c>
      <c r="F1459">
        <v>1</v>
      </c>
    </row>
    <row r="1460" spans="1:6" ht="13.5" hidden="1" customHeight="1">
      <c r="A1460" s="4" t="s">
        <v>3430</v>
      </c>
      <c r="B1460" s="4" t="s">
        <v>3431</v>
      </c>
      <c r="C1460" s="4" t="str">
        <f ca="1">IFERROR(__xludf.DUMMYFUNCTION("GOOGLETRANSLATE(D:D,""auto"",""en"")"),"Why better than bottled drink cola cans")</f>
        <v>Why better than bottled drink cola cans</v>
      </c>
      <c r="D1460" s="5" t="s">
        <v>3432</v>
      </c>
      <c r="E1460" s="4">
        <v>787407</v>
      </c>
    </row>
    <row r="1461" spans="1:6" ht="13.5" hidden="1" customHeight="1">
      <c r="A1461" s="4" t="s">
        <v>3433</v>
      </c>
      <c r="B1461" s="4" t="s">
        <v>3434</v>
      </c>
      <c r="C1461" s="4" t="str">
        <f ca="1">IFERROR(__xludf.DUMMYFUNCTION("GOOGLETRANSLATE(D:D,""auto"",""en"")"),"What is the reason that more and more light in flavor")</f>
        <v>What is the reason that more and more light in flavor</v>
      </c>
      <c r="D1461" s="5" t="s">
        <v>3435</v>
      </c>
      <c r="E1461" s="4">
        <v>785824</v>
      </c>
    </row>
    <row r="1462" spans="1:6" ht="13.5" hidden="1" customHeight="1">
      <c r="A1462" s="4" t="s">
        <v>3436</v>
      </c>
      <c r="B1462" s="4" t="s">
        <v>3437</v>
      </c>
      <c r="C1462" s="4" t="str">
        <f ca="1">IFERROR(__xludf.DUMMYFUNCTION("GOOGLETRANSLATE(D:D,""auto"",""en"")"),"Selfie stick every day for 20 years")</f>
        <v>Selfie stick every day for 20 years</v>
      </c>
      <c r="D1462" s="5" t="s">
        <v>3438</v>
      </c>
      <c r="E1462" s="4">
        <v>783982</v>
      </c>
    </row>
    <row r="1463" spans="1:6" ht="13.5" hidden="1" customHeight="1">
      <c r="A1463" s="4" t="s">
        <v>3439</v>
      </c>
      <c r="B1463" s="4" t="s">
        <v>3440</v>
      </c>
      <c r="C1463" s="4" t="str">
        <f ca="1">IFERROR(__xludf.DUMMYFUNCTION("GOOGLETRANSLATE(D:D,""auto"",""en"")"),"Male flight attendant picked up the crying baby to coax her to sleep")</f>
        <v>Male flight attendant picked up the crying baby to coax her to sleep</v>
      </c>
      <c r="D1463" s="5" t="s">
        <v>3441</v>
      </c>
      <c r="E1463" s="4">
        <v>783483</v>
      </c>
    </row>
    <row r="1464" spans="1:6" ht="13.5" hidden="1" customHeight="1">
      <c r="A1464" s="4" t="s">
        <v>3442</v>
      </c>
      <c r="B1464" s="4" t="s">
        <v>3443</v>
      </c>
      <c r="C1464" s="4" t="str">
        <f ca="1">IFERROR(__xludf.DUMMYFUNCTION("GOOGLETRANSLATE(D:D,""auto"",""en"")"),"Ukrainian aircraft was hit by two missiles Iran Video")</f>
        <v>Ukrainian aircraft was hit by two missiles Iran Video</v>
      </c>
      <c r="D1464" s="5" t="s">
        <v>3444</v>
      </c>
      <c r="E1464" s="4">
        <v>781575</v>
      </c>
    </row>
    <row r="1465" spans="1:6" ht="13.5" hidden="1" customHeight="1">
      <c r="A1465" s="4" t="s">
        <v>3445</v>
      </c>
      <c r="B1465" s="4" t="s">
        <v>3308</v>
      </c>
      <c r="C1465" s="4" t="str">
        <f ca="1">IFERROR(__xludf.DUMMYFUNCTION("GOOGLETRANSLATE(D:D,""auto"",""en"")"),"New Year Nail")</f>
        <v>New Year Nail</v>
      </c>
      <c r="D1465" s="5" t="s">
        <v>3446</v>
      </c>
      <c r="E1465" s="4">
        <v>780521</v>
      </c>
    </row>
    <row r="1466" spans="1:6" ht="13.5" customHeight="1">
      <c r="A1466" s="4" t="s">
        <v>3447</v>
      </c>
      <c r="B1466" s="4" t="s">
        <v>3448</v>
      </c>
      <c r="C1466" s="4" t="str">
        <f ca="1">IFERROR(__xludf.DUMMYFUNCTION("GOOGLETRANSLATE(D:D,""auto"",""en"")"),"Wuhan pneumonia does not rule out limited human-to-human transmission possible")</f>
        <v>Wuhan pneumonia does not rule out limited human-to-human transmission possible</v>
      </c>
      <c r="D1466" s="5" t="s">
        <v>3449</v>
      </c>
      <c r="E1466" s="4">
        <v>778601</v>
      </c>
      <c r="F1466">
        <v>1</v>
      </c>
    </row>
    <row r="1467" spans="1:6" ht="13.5" hidden="1" customHeight="1">
      <c r="A1467" s="4" t="s">
        <v>3450</v>
      </c>
      <c r="B1467" s="4" t="s">
        <v>3451</v>
      </c>
      <c r="C1467" s="4" t="str">
        <f ca="1">IFERROR(__xludf.DUMMYFUNCTION("GOOGLETRANSLATE(D:D,""auto"",""en"")"),"Song Qian sister station to recognize South Korea")</f>
        <v>Song Qian sister station to recognize South Korea</v>
      </c>
      <c r="D1467" s="5" t="s">
        <v>3452</v>
      </c>
      <c r="E1467" s="4">
        <v>777761</v>
      </c>
    </row>
    <row r="1468" spans="1:6" ht="13.5" hidden="1" customHeight="1">
      <c r="A1468" s="4" t="s">
        <v>3453</v>
      </c>
      <c r="B1468" s="4" t="s">
        <v>3454</v>
      </c>
      <c r="C1468" s="4" t="str">
        <f ca="1">IFERROR(__xludf.DUMMYFUNCTION("GOOGLETRANSLATE(D:D,""auto"",""en"")"),"Forest house you have 2 youth")</f>
        <v>Forest house you have 2 youth</v>
      </c>
      <c r="D1468" s="5" t="s">
        <v>3455</v>
      </c>
      <c r="E1468" s="4">
        <v>776085</v>
      </c>
    </row>
    <row r="1469" spans="1:6" ht="13.5" hidden="1" customHeight="1">
      <c r="A1469" s="4" t="s">
        <v>3456</v>
      </c>
      <c r="B1469" s="4" t="s">
        <v>3332</v>
      </c>
      <c r="C1469" s="4" t="str">
        <f ca="1">IFERROR(__xludf.DUMMYFUNCTION("GOOGLETRANSLATE(D:D,""auto"",""en"")"),"East China Sea Dragon King's niece children")</f>
        <v>East China Sea Dragon King's niece children</v>
      </c>
      <c r="D1469" s="5" t="s">
        <v>3457</v>
      </c>
      <c r="E1469" s="4">
        <v>775786</v>
      </c>
    </row>
    <row r="1470" spans="1:6" ht="13.5" hidden="1" customHeight="1">
      <c r="A1470" s="4" t="s">
        <v>3458</v>
      </c>
      <c r="B1470" s="4" t="s">
        <v>3459</v>
      </c>
      <c r="C1470" s="4" t="str">
        <f ca="1">IFERROR(__xludf.DUMMYFUNCTION("GOOGLETRANSLATE(D:D,""auto"",""en"")"),"Wang Fei")</f>
        <v>Wang Fei</v>
      </c>
      <c r="D1470" s="5" t="s">
        <v>3460</v>
      </c>
      <c r="E1470" s="4">
        <v>773785</v>
      </c>
    </row>
    <row r="1471" spans="1:6" ht="13.5" hidden="1" customHeight="1">
      <c r="A1471" s="4" t="s">
        <v>3461</v>
      </c>
      <c r="B1471" s="4" t="s">
        <v>3295</v>
      </c>
      <c r="C1471" s="4" t="str">
        <f ca="1">IFERROR(__xludf.DUMMYFUNCTION("GOOGLETRANSLATE(D:D,""auto"",""en"")"),"Slightly injured koalas are fed excess water death")</f>
        <v>Slightly injured koalas are fed excess water death</v>
      </c>
      <c r="D1471" s="5" t="s">
        <v>3462</v>
      </c>
      <c r="E1471" s="4">
        <v>677641</v>
      </c>
    </row>
    <row r="1472" spans="1:6" ht="13.5" hidden="1" customHeight="1">
      <c r="A1472" s="4" t="s">
        <v>3463</v>
      </c>
      <c r="B1472" s="4" t="s">
        <v>3464</v>
      </c>
      <c r="C1472" s="4" t="str">
        <f ca="1">IFERROR(__xludf.DUMMYFUNCTION("GOOGLETRANSLATE(D:D,""auto"",""en"")"),"The most miserable year the company annual meeting")</f>
        <v>The most miserable year the company annual meeting</v>
      </c>
      <c r="D1472" s="5" t="s">
        <v>3465</v>
      </c>
      <c r="E1472" s="4">
        <v>639981</v>
      </c>
    </row>
    <row r="1473" spans="1:5" ht="13.5" hidden="1" customHeight="1">
      <c r="A1473" s="4" t="s">
        <v>3466</v>
      </c>
      <c r="B1473" s="4" t="s">
        <v>3335</v>
      </c>
      <c r="C1473" s="4" t="str">
        <f ca="1">IFERROR(__xludf.DUMMYFUNCTION("GOOGLETRANSLATE(D:D,""auto"",""en"")"),"Jennie Cover")</f>
        <v>Jennie Cover</v>
      </c>
      <c r="D1473" s="5" t="s">
        <v>3467</v>
      </c>
      <c r="E1473" s="4">
        <v>610699</v>
      </c>
    </row>
    <row r="1474" spans="1:5" ht="13.5" hidden="1" customHeight="1">
      <c r="A1474" s="4" t="s">
        <v>3468</v>
      </c>
      <c r="B1474" s="4" t="s">
        <v>3469</v>
      </c>
      <c r="C1474" s="4" t="str">
        <f ca="1">IFERROR(__xludf.DUMMYFUNCTION("GOOGLETRANSLATE(D:D,""auto"",""en"")"),"Dong Qing")</f>
        <v>Dong Qing</v>
      </c>
      <c r="D1474" s="5" t="s">
        <v>3470</v>
      </c>
      <c r="E1474" s="4">
        <v>575658</v>
      </c>
    </row>
    <row r="1475" spans="1:5" ht="13.5" hidden="1" customHeight="1">
      <c r="A1475" s="4" t="s">
        <v>3471</v>
      </c>
      <c r="B1475" s="4" t="s">
        <v>3472</v>
      </c>
      <c r="C1475" s="4" t="str">
        <f ca="1">IFERROR(__xludf.DUMMYFUNCTION("GOOGLETRANSLATE(D:D,""auto"",""en"")"),"Qin cattle Granville")</f>
        <v>Qin cattle Granville</v>
      </c>
      <c r="D1475" s="5" t="s">
        <v>3473</v>
      </c>
      <c r="E1475" s="4">
        <v>450252</v>
      </c>
    </row>
    <row r="1476" spans="1:5" ht="13.5" hidden="1" customHeight="1">
      <c r="A1476" s="4" t="s">
        <v>3474</v>
      </c>
      <c r="B1476" s="4" t="s">
        <v>3475</v>
      </c>
      <c r="C1476" s="4" t="str">
        <f ca="1">IFERROR(__xludf.DUMMYFUNCTION("GOOGLETRANSLATE(D:D,""auto"",""en"")"),"The doctor fell asleep standing knock off two front teeth")</f>
        <v>The doctor fell asleep standing knock off two front teeth</v>
      </c>
      <c r="D1476" s="5" t="s">
        <v>3476</v>
      </c>
      <c r="E1476" s="4">
        <v>338298</v>
      </c>
    </row>
    <row r="1477" spans="1:5" ht="13.5" hidden="1" customHeight="1">
      <c r="A1477" s="4" t="s">
        <v>3477</v>
      </c>
      <c r="B1477" s="4" t="s">
        <v>3478</v>
      </c>
      <c r="C1477" s="4" t="str">
        <f ca="1">IFERROR(__xludf.DUMMYFUNCTION("GOOGLETRANSLATE(D:D,""auto"",""en"")"),"Snow man trapped 23 days to write a huge SOS rescued")</f>
        <v>Snow man trapped 23 days to write a huge SOS rescued</v>
      </c>
      <c r="D1477" s="5" t="s">
        <v>3479</v>
      </c>
      <c r="E1477" s="4">
        <v>250520</v>
      </c>
    </row>
    <row r="1478" spans="1:5" ht="13.5" hidden="1" customHeight="1">
      <c r="A1478" s="4" t="s">
        <v>3445</v>
      </c>
      <c r="B1478" s="4" t="s">
        <v>3480</v>
      </c>
      <c r="C1478" s="4" t="str">
        <f ca="1">IFERROR(__xludf.DUMMYFUNCTION("GOOGLETRANSLATE(D:D,""auto"",""en"")"),"Jiangsu offshore underwater fishermen salvaged theft device 7")</f>
        <v>Jiangsu offshore underwater fishermen salvaged theft device 7</v>
      </c>
      <c r="D1478" s="5" t="s">
        <v>3481</v>
      </c>
      <c r="E1478" s="4">
        <v>219512</v>
      </c>
    </row>
    <row r="1479" spans="1:5" ht="13.5" hidden="1" customHeight="1">
      <c r="A1479" s="4" t="s">
        <v>3482</v>
      </c>
      <c r="B1479" s="4" t="s">
        <v>3483</v>
      </c>
      <c r="C1479" s="4" t="str">
        <f ca="1">IFERROR(__xludf.DUMMYFUNCTION("GOOGLETRANSLATE(D:D,""auto"",""en"")"),"Chinese swimming team won three silver hardware")</f>
        <v>Chinese swimming team won three silver hardware</v>
      </c>
      <c r="D1479" s="5" t="s">
        <v>3484</v>
      </c>
      <c r="E1479" s="4">
        <v>219477</v>
      </c>
    </row>
    <row r="1480" spans="1:5" ht="13.5" hidden="1" customHeight="1">
      <c r="A1480" s="4" t="s">
        <v>3329</v>
      </c>
      <c r="B1480" s="4" t="s">
        <v>3330</v>
      </c>
      <c r="C1480" s="4" t="str">
        <f ca="1">IFERROR(__xludf.DUMMYFUNCTION("GOOGLETRANSLATE(D:D,""auto"",""en"")"),"Love Apartments 5 Zhuge vigorously")</f>
        <v>Love Apartments 5 Zhuge vigorously</v>
      </c>
      <c r="D1480" s="5" t="s">
        <v>3331</v>
      </c>
      <c r="E1480" s="4">
        <v>218659</v>
      </c>
    </row>
    <row r="1481" spans="1:5" ht="13.5" hidden="1" customHeight="1">
      <c r="A1481" s="4" t="s">
        <v>3329</v>
      </c>
      <c r="B1481" s="4" t="s">
        <v>3485</v>
      </c>
      <c r="C1481" s="4" t="str">
        <f ca="1">IFERROR(__xludf.DUMMYFUNCTION("GOOGLETRANSLATE(D:D,""auto"",""en"")"),"Aunt write calligraphy with a 1.8 m long hair")</f>
        <v>Aunt write calligraphy with a 1.8 m long hair</v>
      </c>
      <c r="D1481" s="5" t="s">
        <v>3486</v>
      </c>
      <c r="E1481" s="4">
        <v>211495</v>
      </c>
    </row>
    <row r="1482" spans="1:5" ht="13.5" hidden="1" customHeight="1">
      <c r="A1482" s="4" t="s">
        <v>3487</v>
      </c>
      <c r="B1482" s="4" t="s">
        <v>3488</v>
      </c>
      <c r="C1482" s="4" t="str">
        <f ca="1">IFERROR(__xludf.DUMMYFUNCTION("GOOGLETRANSLATE(D:D,""auto"",""en"")"),"Core journals published 10-year-old student essays")</f>
        <v>Core journals published 10-year-old student essays</v>
      </c>
      <c r="D1482" s="5" t="s">
        <v>3489</v>
      </c>
      <c r="E1482" s="4">
        <v>199194</v>
      </c>
    </row>
    <row r="1483" spans="1:5" ht="13.5" hidden="1" customHeight="1">
      <c r="A1483" s="4" t="s">
        <v>3490</v>
      </c>
      <c r="B1483" s="4" t="s">
        <v>3491</v>
      </c>
      <c r="C1483" s="4" t="str">
        <f ca="1">IFERROR(__xludf.DUMMYFUNCTION("GOOGLETRANSLATE(D:D,""auto"",""en"")"),"CATTI results")</f>
        <v>CATTI results</v>
      </c>
      <c r="D1483" s="5" t="s">
        <v>3492</v>
      </c>
      <c r="E1483" s="4">
        <v>195714</v>
      </c>
    </row>
    <row r="1484" spans="1:5" ht="13.5" hidden="1" customHeight="1">
      <c r="A1484" s="4" t="s">
        <v>3493</v>
      </c>
      <c r="B1484" s="4" t="s">
        <v>3454</v>
      </c>
      <c r="C1484" s="4" t="str">
        <f ca="1">IFERROR(__xludf.DUMMYFUNCTION("GOOGLETRANSLATE(D:D,""auto"",""en"")"),"Taiwan Affairs Office to respond to Tsai Ing-wen cross-strait relations rhetoric")</f>
        <v>Taiwan Affairs Office to respond to Tsai Ing-wen cross-strait relations rhetoric</v>
      </c>
      <c r="D1484" s="5" t="s">
        <v>3494</v>
      </c>
      <c r="E1484" s="4">
        <v>188201</v>
      </c>
    </row>
    <row r="1485" spans="1:5" ht="13.5" hidden="1" customHeight="1">
      <c r="A1485" s="4" t="s">
        <v>3495</v>
      </c>
      <c r="B1485" s="4" t="s">
        <v>3368</v>
      </c>
      <c r="C1485" s="4" t="str">
        <f ca="1">IFERROR(__xludf.DUMMYFUNCTION("GOOGLETRANSLATE(D:D,""auto"",""en"")"),"Farmer spring water informer utterance involving deforestation")</f>
        <v>Farmer spring water informer utterance involving deforestation</v>
      </c>
      <c r="D1485" s="5" t="s">
        <v>3496</v>
      </c>
      <c r="E1485" s="4">
        <v>184808</v>
      </c>
    </row>
    <row r="1486" spans="1:5" ht="13.5" hidden="1" customHeight="1">
      <c r="A1486" s="4" t="s">
        <v>3497</v>
      </c>
      <c r="B1486" s="4" t="s">
        <v>3498</v>
      </c>
      <c r="C1486" s="4" t="str">
        <f ca="1">IFERROR(__xludf.DUMMYFUNCTION("GOOGLETRANSLATE(D:D,""auto"",""en"")"),"Zhang Yin Chung Shu more")</f>
        <v>Zhang Yin Chung Shu more</v>
      </c>
      <c r="D1486" s="5" t="s">
        <v>3499</v>
      </c>
      <c r="E1486" s="4">
        <v>183274</v>
      </c>
    </row>
    <row r="1487" spans="1:5" ht="13.5" hidden="1" customHeight="1">
      <c r="A1487" s="4" t="s">
        <v>3500</v>
      </c>
      <c r="B1487" s="4" t="s">
        <v>3431</v>
      </c>
      <c r="C1487" s="4" t="str">
        <f ca="1">IFERROR(__xludf.DUMMYFUNCTION("GOOGLETRANSLATE(D:D,""auto"",""en"")"),"Four groups of young people")</f>
        <v>Four groups of young people</v>
      </c>
      <c r="D1487" s="5" t="s">
        <v>3501</v>
      </c>
      <c r="E1487" s="4">
        <v>174851</v>
      </c>
    </row>
    <row r="1488" spans="1:5" ht="13.5" hidden="1" customHeight="1">
      <c r="A1488" s="4" t="s">
        <v>3445</v>
      </c>
      <c r="B1488" s="4" t="s">
        <v>3483</v>
      </c>
      <c r="C1488" s="4" t="str">
        <f ca="1">IFERROR(__xludf.DUMMYFUNCTION("GOOGLETRANSLATE(D:D,""auto"",""en"")"),"Holiday back so early no good")</f>
        <v>Holiday back so early no good</v>
      </c>
      <c r="D1488" s="5" t="s">
        <v>3502</v>
      </c>
      <c r="E1488" s="4">
        <v>173999</v>
      </c>
    </row>
    <row r="1489" spans="1:6" ht="13.5" hidden="1" customHeight="1">
      <c r="A1489" s="4" t="s">
        <v>3490</v>
      </c>
      <c r="B1489" s="4" t="s">
        <v>3359</v>
      </c>
      <c r="C1489" s="4" t="str">
        <f ca="1">IFERROR(__xludf.DUMMYFUNCTION("GOOGLETRANSLATE(D:D,""auto"",""en"")"),"Cai Xu Kun throwing paper airplanes")</f>
        <v>Cai Xu Kun throwing paper airplanes</v>
      </c>
      <c r="D1489" s="5" t="s">
        <v>3503</v>
      </c>
      <c r="E1489" s="4">
        <v>172999</v>
      </c>
    </row>
    <row r="1490" spans="1:6" ht="13.5" hidden="1" customHeight="1">
      <c r="A1490" s="4" t="s">
        <v>2083</v>
      </c>
      <c r="B1490" s="4" t="s">
        <v>2084</v>
      </c>
      <c r="C1490" s="4" t="str">
        <f ca="1">IFERROR(__xludf.DUMMYFUNCTION("GOOGLETRANSLATE(D:D,""auto"",""en"")"),"Wuhan snow")</f>
        <v>Wuhan snow</v>
      </c>
      <c r="D1490" s="5" t="s">
        <v>2085</v>
      </c>
      <c r="E1490" s="4">
        <v>151954</v>
      </c>
      <c r="F1490">
        <v>0</v>
      </c>
    </row>
    <row r="1491" spans="1:6" ht="13.5" hidden="1" customHeight="1">
      <c r="A1491" s="4" t="s">
        <v>3504</v>
      </c>
      <c r="B1491" s="4" t="s">
        <v>3498</v>
      </c>
      <c r="C1491" s="4" t="str">
        <f ca="1">IFERROR(__xludf.DUMMYFUNCTION("GOOGLETRANSLATE(D:D,""auto"",""en"")"),"Only 10 days away from New Year")</f>
        <v>Only 10 days away from New Year</v>
      </c>
      <c r="D1491" s="5" t="s">
        <v>3505</v>
      </c>
      <c r="E1491" s="4">
        <v>145012</v>
      </c>
    </row>
    <row r="1492" spans="1:6" ht="13.5" hidden="1" customHeight="1">
      <c r="A1492" s="4" t="s">
        <v>3504</v>
      </c>
      <c r="B1492" s="4" t="s">
        <v>3427</v>
      </c>
      <c r="C1492" s="4" t="str">
        <f ca="1">IFERROR(__xludf.DUMMYFUNCTION("GOOGLETRANSLATE(D:D,""auto"",""en"")"),"18 cities nationwide decline in rent")</f>
        <v>18 cities nationwide decline in rent</v>
      </c>
      <c r="D1492" s="5" t="s">
        <v>3506</v>
      </c>
      <c r="E1492" s="4">
        <v>143680</v>
      </c>
    </row>
    <row r="1493" spans="1:6" ht="13.5" hidden="1" customHeight="1">
      <c r="A1493" s="4" t="s">
        <v>3507</v>
      </c>
      <c r="B1493" s="4" t="s">
        <v>3508</v>
      </c>
      <c r="C1493" s="4" t="str">
        <f ca="1">IFERROR(__xludf.DUMMYFUNCTION("GOOGLETRANSLATE(D:D,""auto"",""en"")"),"Xi'an snow")</f>
        <v>Xi'an snow</v>
      </c>
      <c r="D1493" s="5" t="s">
        <v>3509</v>
      </c>
      <c r="E1493" s="4">
        <v>143403</v>
      </c>
    </row>
    <row r="1494" spans="1:6" ht="13.5" hidden="1" customHeight="1">
      <c r="A1494" s="4" t="s">
        <v>3510</v>
      </c>
      <c r="B1494" s="4" t="s">
        <v>3511</v>
      </c>
      <c r="C1494" s="4" t="str">
        <f ca="1">IFERROR(__xludf.DUMMYFUNCTION("GOOGLETRANSLATE(D:D,""auto"",""en"")"),"Said the university president to face the camera unworthy of students")</f>
        <v>Said the university president to face the camera unworthy of students</v>
      </c>
      <c r="D1494" s="5" t="s">
        <v>3512</v>
      </c>
      <c r="E1494" s="4">
        <v>138745</v>
      </c>
    </row>
    <row r="1495" spans="1:6" ht="13.5" hidden="1" customHeight="1">
      <c r="A1495" s="4" t="s">
        <v>3513</v>
      </c>
      <c r="B1495" s="4" t="s">
        <v>3413</v>
      </c>
      <c r="C1495" s="4" t="str">
        <f ca="1">IFERROR(__xludf.DUMMYFUNCTION("GOOGLETRANSLATE(D:D,""auto"",""en"")"),"Spring Festival exclusive perfunctory")</f>
        <v>Spring Festival exclusive perfunctory</v>
      </c>
      <c r="D1495" s="5" t="s">
        <v>3514</v>
      </c>
      <c r="E1495" s="4">
        <v>135339</v>
      </c>
    </row>
    <row r="1496" spans="1:6" ht="13.5" hidden="1" customHeight="1">
      <c r="A1496" s="4" t="s">
        <v>3507</v>
      </c>
      <c r="B1496" s="4" t="s">
        <v>3515</v>
      </c>
      <c r="C1496" s="4" t="str">
        <f ca="1">IFERROR(__xludf.DUMMYFUNCTION("GOOGLETRANSLATE(D:D,""auto"",""en"")"),"Trudeau did not complain about the assassination of the United States informed in advance")</f>
        <v>Trudeau did not complain about the assassination of the United States informed in advance</v>
      </c>
      <c r="D1496" s="5" t="s">
        <v>3516</v>
      </c>
      <c r="E1496" s="4">
        <v>120340</v>
      </c>
    </row>
    <row r="1497" spans="1:6" ht="13.5" hidden="1" customHeight="1">
      <c r="A1497" s="4" t="s">
        <v>3504</v>
      </c>
      <c r="B1497" s="4" t="s">
        <v>3517</v>
      </c>
      <c r="C1497" s="4" t="str">
        <f ca="1">IFERROR(__xludf.DUMMYFUNCTION("GOOGLETRANSLATE(D:D,""auto"",""en"")"),"Kunming winter Cherry Avenue")</f>
        <v>Kunming winter Cherry Avenue</v>
      </c>
      <c r="D1497" s="5" t="s">
        <v>3518</v>
      </c>
      <c r="E1497" s="4">
        <v>113995</v>
      </c>
    </row>
    <row r="1498" spans="1:6" ht="13.5" hidden="1" customHeight="1">
      <c r="A1498" s="4" t="s">
        <v>3510</v>
      </c>
      <c r="B1498" s="4" t="s">
        <v>3359</v>
      </c>
      <c r="C1498" s="4" t="str">
        <f ca="1">IFERROR(__xludf.DUMMYFUNCTION("GOOGLETRANSLATE(D:D,""auto"",""en"")"),"Xining road subsidence has caused nine people were killed")</f>
        <v>Xining road subsidence has caused nine people were killed</v>
      </c>
      <c r="D1498" s="5" t="s">
        <v>3519</v>
      </c>
      <c r="E1498" s="4">
        <v>113953</v>
      </c>
    </row>
    <row r="1499" spans="1:6" ht="13.5" hidden="1" customHeight="1">
      <c r="A1499" s="4" t="s">
        <v>3520</v>
      </c>
      <c r="B1499" s="4" t="s">
        <v>3419</v>
      </c>
      <c r="C1499" s="4" t="str">
        <f ca="1">IFERROR(__xludf.DUMMYFUNCTION("GOOGLETRANSLATE(D:D,""auto"",""en"")"),"Too good to be isolated but easy to do")</f>
        <v>Too good to be isolated but easy to do</v>
      </c>
      <c r="D1499" s="5" t="s">
        <v>3521</v>
      </c>
      <c r="E1499" s="4">
        <v>107734</v>
      </c>
    </row>
    <row r="1500" spans="1:6" ht="13.5" hidden="1" customHeight="1">
      <c r="A1500" s="4" t="s">
        <v>3522</v>
      </c>
      <c r="B1500" s="4" t="s">
        <v>3523</v>
      </c>
      <c r="C1500" s="4" t="str">
        <f ca="1">IFERROR(__xludf.DUMMYFUNCTION("GOOGLETRANSLATE(D:D,""auto"",""en"")"),"Troops stationed in Tibet snowstorm hit the border patrol")</f>
        <v>Troops stationed in Tibet snowstorm hit the border patrol</v>
      </c>
      <c r="D1500" s="5" t="s">
        <v>3524</v>
      </c>
      <c r="E1500" s="4">
        <v>93822</v>
      </c>
    </row>
    <row r="1501" spans="1:6" ht="13.5" hidden="1" customHeight="1">
      <c r="C1501" s="4" t="str">
        <f ca="1">IFERROR(__xludf.DUMMYFUNCTION("GOOGLETRANSLATE(D:D,""auto"",""en"")"),"#VALUE!")</f>
        <v>#VALUE!</v>
      </c>
    </row>
    <row r="1502" spans="1:6" ht="13.5" hidden="1" customHeight="1">
      <c r="A1502" s="4" t="s">
        <v>3525</v>
      </c>
      <c r="B1502" s="4" t="s">
        <v>3526</v>
      </c>
      <c r="C1502" s="4" t="str">
        <f ca="1">IFERROR(__xludf.DUMMYFUNCTION("GOOGLETRANSLATE(D:D,""auto"",""en"")"),"5 apologize love apartment")</f>
        <v>5 apologize love apartment</v>
      </c>
      <c r="D1502" s="4" t="s">
        <v>3527</v>
      </c>
      <c r="E1502" s="4">
        <v>3326001</v>
      </c>
    </row>
    <row r="1503" spans="1:6" ht="13.5" customHeight="1">
      <c r="A1503" s="4" t="s">
        <v>3528</v>
      </c>
      <c r="B1503" s="4" t="s">
        <v>3529</v>
      </c>
      <c r="C1503" s="4" t="str">
        <f ca="1">IFERROR(__xludf.DUMMYFUNCTION("GOOGLETRANSLATE(D:D,""auto"",""en"")"),"Forbidden City canceled dinner")</f>
        <v>Forbidden City canceled dinner</v>
      </c>
      <c r="D1503" s="5" t="s">
        <v>3530</v>
      </c>
      <c r="E1503" s="4">
        <v>2102846</v>
      </c>
      <c r="F1503">
        <v>1</v>
      </c>
    </row>
    <row r="1504" spans="1:6" ht="13.5" hidden="1" customHeight="1">
      <c r="A1504" s="4" t="s">
        <v>536</v>
      </c>
      <c r="B1504" s="4" t="s">
        <v>537</v>
      </c>
      <c r="C1504" s="4" t="str">
        <f ca="1">IFERROR(__xludf.DUMMYFUNCTION("GOOGLETRANSLATE(D:D,""auto"",""en"")"),"Chinatown Holmes")</f>
        <v>Chinatown Holmes</v>
      </c>
      <c r="D1504" s="5" t="s">
        <v>538</v>
      </c>
      <c r="E1504" s="4">
        <v>1426326</v>
      </c>
    </row>
    <row r="1505" spans="1:5" ht="13.5" hidden="1" customHeight="1">
      <c r="A1505" s="4" t="s">
        <v>3531</v>
      </c>
      <c r="B1505" s="4" t="s">
        <v>3532</v>
      </c>
      <c r="C1505" s="4" t="str">
        <f ca="1">IFERROR(__xludf.DUMMYFUNCTION("GOOGLETRANSLATE(D:D,""auto"",""en"")"),"Sun Yang won")</f>
        <v>Sun Yang won</v>
      </c>
      <c r="D1505" s="5" t="s">
        <v>3533</v>
      </c>
      <c r="E1505" s="4">
        <v>1200972</v>
      </c>
    </row>
    <row r="1506" spans="1:5" ht="13.5" hidden="1" customHeight="1">
      <c r="A1506" s="4" t="s">
        <v>3534</v>
      </c>
      <c r="B1506" s="4" t="s">
        <v>3535</v>
      </c>
      <c r="C1506" s="4" t="str">
        <f ca="1">IFERROR(__xludf.DUMMYFUNCTION("GOOGLETRANSLATE(D:D,""auto"",""en"")"),"Owodog three shooting")</f>
        <v>Owodog three shooting</v>
      </c>
      <c r="D1506" s="5" t="s">
        <v>3536</v>
      </c>
      <c r="E1506" s="4">
        <v>765522</v>
      </c>
    </row>
    <row r="1507" spans="1:5" ht="13.5" hidden="1" customHeight="1">
      <c r="A1507" s="4" t="s">
        <v>3534</v>
      </c>
      <c r="B1507" s="4" t="s">
        <v>3463</v>
      </c>
      <c r="C1507" s="4" t="str">
        <f ca="1">IFERROR(__xludf.DUMMYFUNCTION("GOOGLETRANSLATE(D:D,""auto"",""en"")"),"Yue Yunpeng was friends with Jin East p Figure Zhuangshan")</f>
        <v>Yue Yunpeng was friends with Jin East p Figure Zhuangshan</v>
      </c>
      <c r="D1507" s="5" t="s">
        <v>3537</v>
      </c>
      <c r="E1507" s="4">
        <v>643333</v>
      </c>
    </row>
    <row r="1508" spans="1:5" ht="13.5" hidden="1" customHeight="1">
      <c r="A1508" s="4" t="s">
        <v>3538</v>
      </c>
      <c r="B1508" s="4" t="s">
        <v>3539</v>
      </c>
      <c r="C1508" s="4" t="str">
        <f ca="1">IFERROR(__xludf.DUMMYFUNCTION("GOOGLETRANSLATE(D:D,""auto"",""en"")"),"Wu Dalang trademark application was rejected")</f>
        <v>Wu Dalang trademark application was rejected</v>
      </c>
      <c r="D1508" s="5" t="s">
        <v>3540</v>
      </c>
      <c r="E1508" s="4">
        <v>483819</v>
      </c>
    </row>
    <row r="1509" spans="1:5" ht="13.5" hidden="1" customHeight="1">
      <c r="A1509" s="4" t="s">
        <v>3541</v>
      </c>
      <c r="B1509" s="4" t="s">
        <v>3542</v>
      </c>
      <c r="C1509" s="4" t="str">
        <f ca="1">IFERROR(__xludf.DUMMYFUNCTION("GOOGLETRANSLATE(D:D,""auto"",""en"")"),"United States to suppress the true intentions of Chinese enterprises")</f>
        <v>United States to suppress the true intentions of Chinese enterprises</v>
      </c>
      <c r="D1509" s="5" t="s">
        <v>3543</v>
      </c>
      <c r="E1509" s="4">
        <v>483356</v>
      </c>
    </row>
    <row r="1510" spans="1:5" ht="13.5" hidden="1" customHeight="1">
      <c r="A1510" s="4" t="s">
        <v>3544</v>
      </c>
      <c r="B1510" s="4" t="s">
        <v>3545</v>
      </c>
      <c r="C1510" s="4" t="str">
        <f ca="1">IFERROR(__xludf.DUMMYFUNCTION("GOOGLETRANSLATE(D:D,""auto"",""en"")"),"There are two habitable planets may be found")</f>
        <v>There are two habitable planets may be found</v>
      </c>
      <c r="D1510" s="5" t="s">
        <v>3546</v>
      </c>
      <c r="E1510" s="4">
        <v>483132</v>
      </c>
    </row>
    <row r="1511" spans="1:5" ht="13.5" hidden="1" customHeight="1">
      <c r="A1511" s="4" t="s">
        <v>3547</v>
      </c>
      <c r="B1511" s="4" t="s">
        <v>3548</v>
      </c>
      <c r="C1511" s="4" t="str">
        <f ca="1">IFERROR(__xludf.DUMMYFUNCTION("GOOGLETRANSLATE(D:D,""auto"",""en"")"),"Russian government resigned en bloc")</f>
        <v>Russian government resigned en bloc</v>
      </c>
      <c r="D1511" s="5" t="s">
        <v>3549</v>
      </c>
      <c r="E1511" s="4">
        <v>482959</v>
      </c>
    </row>
    <row r="1512" spans="1:5" ht="13.5" hidden="1" customHeight="1">
      <c r="A1512" s="4" t="s">
        <v>3550</v>
      </c>
      <c r="B1512" s="4" t="s">
        <v>3551</v>
      </c>
      <c r="C1512" s="4" t="str">
        <f ca="1">IFERROR(__xludf.DUMMYFUNCTION("GOOGLETRANSLATE(D:D,""auto"",""en"")"),"Fulong Fei was girl")</f>
        <v>Fulong Fei was girl</v>
      </c>
      <c r="D1512" s="5" t="s">
        <v>3552</v>
      </c>
      <c r="E1512" s="4">
        <v>480478</v>
      </c>
    </row>
    <row r="1513" spans="1:5" ht="13.5" hidden="1" customHeight="1">
      <c r="A1513" s="4" t="s">
        <v>3553</v>
      </c>
      <c r="B1513" s="4" t="s">
        <v>3554</v>
      </c>
      <c r="C1513" s="4" t="str">
        <f ca="1">IFERROR(__xludf.DUMMYFUNCTION("GOOGLETRANSLATE(D:D,""auto"",""en"")"),"Yuan Ze tube toxic milk")</f>
        <v>Yuan Ze tube toxic milk</v>
      </c>
      <c r="D1513" s="5" t="s">
        <v>3555</v>
      </c>
      <c r="E1513" s="4">
        <v>387821</v>
      </c>
    </row>
    <row r="1514" spans="1:5" ht="13.5" hidden="1" customHeight="1">
      <c r="A1514" s="4" t="s">
        <v>3556</v>
      </c>
      <c r="B1514" s="4" t="s">
        <v>3557</v>
      </c>
      <c r="C1514" s="4" t="str">
        <f ca="1">IFERROR(__xludf.DUMMYFUNCTION("GOOGLETRANSLATE(D:D,""auto"",""en"")"),"Before the Spring Festival 30,000 tons will be put on the central reserve of frozen pork")</f>
        <v>Before the Spring Festival 30,000 tons will be put on the central reserve of frozen pork</v>
      </c>
      <c r="D1514" s="5" t="s">
        <v>3558</v>
      </c>
      <c r="E1514" s="4">
        <v>387227</v>
      </c>
    </row>
    <row r="1515" spans="1:5" ht="13.5" hidden="1" customHeight="1">
      <c r="A1515" s="4" t="s">
        <v>3559</v>
      </c>
      <c r="B1515" s="4" t="s">
        <v>3560</v>
      </c>
      <c r="C1515" s="4" t="str">
        <f ca="1">IFERROR(__xludf.DUMMYFUNCTION("GOOGLETRANSLATE(D:D,""auto"",""en"")"),"Wang Shi-old photograph")</f>
        <v>Wang Shi-old photograph</v>
      </c>
      <c r="D1515" s="5" t="s">
        <v>3561</v>
      </c>
      <c r="E1515" s="4">
        <v>386293</v>
      </c>
    </row>
    <row r="1516" spans="1:5" ht="13.5" hidden="1" customHeight="1">
      <c r="A1516" s="4" t="s">
        <v>3562</v>
      </c>
      <c r="B1516" s="4" t="s">
        <v>3563</v>
      </c>
      <c r="C1516" s="4" t="str">
        <f ca="1">IFERROR(__xludf.DUMMYFUNCTION("GOOGLETRANSLATE(D:D,""auto"",""en"")"),"You have 2 youth")</f>
        <v>You have 2 youth</v>
      </c>
      <c r="D1516" s="5" t="s">
        <v>3564</v>
      </c>
      <c r="E1516" s="4">
        <v>384764</v>
      </c>
    </row>
    <row r="1517" spans="1:5" ht="13.5" hidden="1" customHeight="1">
      <c r="A1517" s="4" t="s">
        <v>3565</v>
      </c>
      <c r="B1517" s="4" t="s">
        <v>3566</v>
      </c>
      <c r="C1517" s="4" t="str">
        <f ca="1">IFERROR(__xludf.DUMMYFUNCTION("GOOGLETRANSLATE(D:D,""auto"",""en"")"),"Zheng Shuang a Beijing Spring Festival Evening dress rehearsal")</f>
        <v>Zheng Shuang a Beijing Spring Festival Evening dress rehearsal</v>
      </c>
      <c r="D1517" s="5" t="s">
        <v>3567</v>
      </c>
      <c r="E1517" s="4">
        <v>383385</v>
      </c>
    </row>
    <row r="1518" spans="1:5" ht="13.5" hidden="1" customHeight="1">
      <c r="A1518" s="4" t="s">
        <v>3568</v>
      </c>
      <c r="B1518" s="4" t="s">
        <v>3569</v>
      </c>
      <c r="C1518" s="4" t="str">
        <f ca="1">IFERROR(__xludf.DUMMYFUNCTION("GOOGLETRANSLATE(D:D,""auto"",""en"")"),"Xining killed the mother is the only village to village doctors")</f>
        <v>Xining killed the mother is the only village to village doctors</v>
      </c>
      <c r="D1518" s="5" t="s">
        <v>3570</v>
      </c>
      <c r="E1518" s="4">
        <v>381854</v>
      </c>
    </row>
    <row r="1519" spans="1:5" ht="13.5" hidden="1" customHeight="1">
      <c r="A1519" s="4" t="s">
        <v>3571</v>
      </c>
      <c r="B1519" s="4" t="s">
        <v>3453</v>
      </c>
      <c r="C1519" s="4" t="str">
        <f ca="1">IFERROR(__xludf.DUMMYFUNCTION("GOOGLETRANSLATE(D:D,""auto"",""en"")"),"Young people eat hot pot laws")</f>
        <v>Young people eat hot pot laws</v>
      </c>
      <c r="D1519" s="5" t="s">
        <v>3572</v>
      </c>
      <c r="E1519" s="4">
        <v>380530</v>
      </c>
    </row>
    <row r="1520" spans="1:5" ht="13.5" hidden="1" customHeight="1">
      <c r="A1520" s="4" t="s">
        <v>3573</v>
      </c>
      <c r="B1520" s="4" t="s">
        <v>3574</v>
      </c>
      <c r="C1520" s="4" t="str">
        <f ca="1">IFERROR(__xludf.DUMMYFUNCTION("GOOGLETRANSLATE(D:D,""auto"",""en"")"),"Lok Yan")</f>
        <v>Lok Yan</v>
      </c>
      <c r="D1520" s="5" t="s">
        <v>3575</v>
      </c>
      <c r="E1520" s="4">
        <v>378678</v>
      </c>
    </row>
    <row r="1521" spans="1:5" ht="13.5" hidden="1" customHeight="1">
      <c r="A1521" s="4" t="s">
        <v>3576</v>
      </c>
      <c r="B1521" s="4" t="s">
        <v>3577</v>
      </c>
      <c r="C1521" s="4" t="str">
        <f ca="1">IFERROR(__xludf.DUMMYFUNCTION("GOOGLETRANSLATE(D:D,""auto"",""en"")"),"Fulong Fei wife")</f>
        <v>Fulong Fei wife</v>
      </c>
      <c r="D1521" s="5" t="s">
        <v>3578</v>
      </c>
      <c r="E1521" s="4">
        <v>377592</v>
      </c>
    </row>
    <row r="1522" spans="1:5" ht="13.5" hidden="1" customHeight="1">
      <c r="A1522" s="4" t="s">
        <v>3553</v>
      </c>
      <c r="B1522" s="4" t="s">
        <v>3579</v>
      </c>
      <c r="C1522" s="4" t="str">
        <f ca="1">IFERROR(__xludf.DUMMYFUNCTION("GOOGLETRANSLATE(D:D,""auto"",""en"")"),"Credit cards also did not owe 175 yuan more than 20,000 now changed")</f>
        <v>Credit cards also did not owe 175 yuan more than 20,000 now changed</v>
      </c>
      <c r="D1522" s="5" t="s">
        <v>3580</v>
      </c>
      <c r="E1522" s="4">
        <v>376968</v>
      </c>
    </row>
    <row r="1523" spans="1:5" ht="13.5" hidden="1" customHeight="1">
      <c r="A1523" s="4" t="s">
        <v>3581</v>
      </c>
      <c r="B1523" s="4" t="s">
        <v>3554</v>
      </c>
      <c r="C1523" s="4" t="str">
        <f ca="1">IFERROR(__xludf.DUMMYFUNCTION("GOOGLETRANSLATE(D:D,""auto"",""en"")"),"Men and women sit stacked car with a seat belt system")</f>
        <v>Men and women sit stacked car with a seat belt system</v>
      </c>
      <c r="D1523" s="5" t="s">
        <v>3582</v>
      </c>
      <c r="E1523" s="4">
        <v>364606</v>
      </c>
    </row>
    <row r="1524" spans="1:5" ht="13.5" hidden="1" customHeight="1">
      <c r="A1524" s="4" t="s">
        <v>3583</v>
      </c>
      <c r="B1524" s="4" t="s">
        <v>3584</v>
      </c>
      <c r="C1524" s="4" t="str">
        <f ca="1">IFERROR(__xludf.DUMMYFUNCTION("GOOGLETRANSLATE(D:D,""auto"",""en"")"),"Mom feel pleasing to the eye makeup")</f>
        <v>Mom feel pleasing to the eye makeup</v>
      </c>
      <c r="D1524" s="5" t="s">
        <v>3585</v>
      </c>
      <c r="E1524" s="4">
        <v>333796</v>
      </c>
    </row>
    <row r="1525" spans="1:5" ht="13.5" hidden="1" customHeight="1">
      <c r="A1525" s="4" t="s">
        <v>3586</v>
      </c>
      <c r="B1525" s="4" t="s">
        <v>3463</v>
      </c>
      <c r="C1525" s="4" t="str">
        <f ca="1">IFERROR(__xludf.DUMMYFUNCTION("GOOGLETRANSLATE(D:D,""auto"",""en"")"),"Brother and sister girls treat differences")</f>
        <v>Brother and sister girls treat differences</v>
      </c>
      <c r="D1525" s="5" t="s">
        <v>3587</v>
      </c>
      <c r="E1525" s="4">
        <v>229225</v>
      </c>
    </row>
    <row r="1526" spans="1:5" ht="13.5" hidden="1" customHeight="1">
      <c r="A1526" s="4" t="s">
        <v>3588</v>
      </c>
      <c r="B1526" s="4" t="s">
        <v>3589</v>
      </c>
      <c r="C1526" s="4" t="str">
        <f ca="1">IFERROR(__xludf.DUMMYFUNCTION("GOOGLETRANSLATE(D:D,""auto"",""en"")"),"Tan Song Yun Gu Ying playing games")</f>
        <v>Tan Song Yun Gu Ying playing games</v>
      </c>
      <c r="D1526" s="5" t="s">
        <v>3590</v>
      </c>
      <c r="E1526" s="4">
        <v>222449</v>
      </c>
    </row>
    <row r="1527" spans="1:5" ht="13.5" hidden="1" customHeight="1">
      <c r="A1527" s="4" t="s">
        <v>3591</v>
      </c>
      <c r="B1527" s="4" t="s">
        <v>3592</v>
      </c>
      <c r="C1527" s="4" t="str">
        <f ca="1">IFERROR(__xludf.DUMMYFUNCTION("GOOGLETRANSLATE(D:D,""auto"",""en"")"),"Bingqingyujie")</f>
        <v>Bingqingyujie</v>
      </c>
      <c r="D1527" s="5" t="s">
        <v>3593</v>
      </c>
      <c r="E1527" s="4">
        <v>215143</v>
      </c>
    </row>
    <row r="1528" spans="1:5" ht="13.5" hidden="1" customHeight="1">
      <c r="A1528" s="4" t="s">
        <v>3594</v>
      </c>
      <c r="B1528" s="4" t="s">
        <v>3595</v>
      </c>
      <c r="C1528" s="4" t="str">
        <f ca="1">IFERROR(__xludf.DUMMYFUNCTION("GOOGLETRANSLATE(D:D,""auto"",""en"")"),"Inadvertently photographed a little better")</f>
        <v>Inadvertently photographed a little better</v>
      </c>
      <c r="D1528" s="5" t="s">
        <v>3596</v>
      </c>
      <c r="E1528" s="4">
        <v>200494</v>
      </c>
    </row>
    <row r="1529" spans="1:5" ht="13.5" hidden="1" customHeight="1">
      <c r="A1529" s="4" t="s">
        <v>3597</v>
      </c>
      <c r="B1529" s="4" t="s">
        <v>3598</v>
      </c>
      <c r="C1529" s="4" t="str">
        <f ca="1">IFERROR(__xludf.DUMMYFUNCTION("GOOGLETRANSLATE(D:D,""auto"",""en"")"),"Sister, brother, how sad wedding day")</f>
        <v>Sister, brother, how sad wedding day</v>
      </c>
      <c r="D1529" s="5" t="s">
        <v>3599</v>
      </c>
      <c r="E1529" s="4">
        <v>188799</v>
      </c>
    </row>
    <row r="1530" spans="1:5" ht="13.5" hidden="1" customHeight="1">
      <c r="A1530" s="4" t="s">
        <v>3600</v>
      </c>
      <c r="B1530" s="4" t="s">
        <v>3601</v>
      </c>
      <c r="C1530" s="4" t="str">
        <f ca="1">IFERROR(__xludf.DUMMYFUNCTION("GOOGLETRANSLATE(D:D,""auto"",""en"")"),"I drank tea at night when")</f>
        <v>I drank tea at night when</v>
      </c>
      <c r="D1530" s="5" t="s">
        <v>3602</v>
      </c>
      <c r="E1530" s="4">
        <v>181627</v>
      </c>
    </row>
    <row r="1531" spans="1:5" ht="13.5" hidden="1" customHeight="1">
      <c r="A1531" s="4" t="s">
        <v>3603</v>
      </c>
      <c r="B1531" s="4" t="s">
        <v>3430</v>
      </c>
      <c r="C1531" s="4" t="str">
        <f ca="1">IFERROR(__xludf.DUMMYFUNCTION("GOOGLETRANSLATE(D:D,""auto"",""en"")"),"Liu Hao Ran flower hand")</f>
        <v>Liu Hao Ran flower hand</v>
      </c>
      <c r="D1531" s="5" t="s">
        <v>3604</v>
      </c>
      <c r="E1531" s="4">
        <v>179700</v>
      </c>
    </row>
    <row r="1532" spans="1:5" ht="13.5" hidden="1" customHeight="1">
      <c r="A1532" s="4" t="s">
        <v>3605</v>
      </c>
      <c r="B1532" s="4" t="s">
        <v>3463</v>
      </c>
      <c r="C1532" s="4" t="str">
        <f ca="1">IFERROR(__xludf.DUMMYFUNCTION("GOOGLETRANSLATE(D:D,""auto"",""en"")"),"The original hot pot restaurants are also auditorium")</f>
        <v>The original hot pot restaurants are also auditorium</v>
      </c>
      <c r="D1532" s="5" t="s">
        <v>3606</v>
      </c>
      <c r="E1532" s="4">
        <v>175602</v>
      </c>
    </row>
    <row r="1533" spans="1:5" ht="13.5" hidden="1" customHeight="1">
      <c r="A1533" s="4" t="s">
        <v>3471</v>
      </c>
      <c r="B1533" s="4" t="s">
        <v>3472</v>
      </c>
      <c r="C1533" s="4" t="str">
        <f ca="1">IFERROR(__xludf.DUMMYFUNCTION("GOOGLETRANSLATE(D:D,""auto"",""en"")"),"Qin cattle Granville")</f>
        <v>Qin cattle Granville</v>
      </c>
      <c r="D1533" s="5" t="s">
        <v>3473</v>
      </c>
      <c r="E1533" s="4">
        <v>159464</v>
      </c>
    </row>
    <row r="1534" spans="1:5" ht="13.5" hidden="1" customHeight="1">
      <c r="A1534" s="4" t="s">
        <v>3607</v>
      </c>
      <c r="B1534" s="4" t="s">
        <v>3504</v>
      </c>
      <c r="C1534" s="4" t="str">
        <f ca="1">IFERROR(__xludf.DUMMYFUNCTION("GOOGLETRANSLATE(D:D,""auto"",""en"")"),"British Prime Minister to respond to the United States to persuade Britain abandoned Huawei 5G")</f>
        <v>British Prime Minister to respond to the United States to persuade Britain abandoned Huawei 5G</v>
      </c>
      <c r="D1534" s="5" t="s">
        <v>3608</v>
      </c>
      <c r="E1534" s="4">
        <v>158864</v>
      </c>
    </row>
    <row r="1535" spans="1:5" ht="13.5" hidden="1" customHeight="1">
      <c r="A1535" s="4" t="s">
        <v>3609</v>
      </c>
      <c r="B1535" s="4" t="s">
        <v>3610</v>
      </c>
      <c r="C1535" s="4" t="str">
        <f ca="1">IFERROR(__xludf.DUMMYFUNCTION("GOOGLETRANSLATE(D:D,""auto"",""en"")"),"Like most of you were forced to take photographs")</f>
        <v>Like most of you were forced to take photographs</v>
      </c>
      <c r="D1535" s="5" t="s">
        <v>3611</v>
      </c>
      <c r="E1535" s="4">
        <v>158739</v>
      </c>
    </row>
    <row r="1536" spans="1:5" ht="13.5" hidden="1" customHeight="1">
      <c r="A1536" s="4" t="s">
        <v>3612</v>
      </c>
      <c r="B1536" s="4" t="s">
        <v>3613</v>
      </c>
      <c r="C1536" s="4" t="str">
        <f ca="1">IFERROR(__xludf.DUMMYFUNCTION("GOOGLETRANSLATE(D:D,""auto"",""en"")"),"Xining to rescue trapped boy won recognition")</f>
        <v>Xining to rescue trapped boy won recognition</v>
      </c>
      <c r="D1536" s="5" t="s">
        <v>3614</v>
      </c>
      <c r="E1536" s="4">
        <v>157249</v>
      </c>
    </row>
    <row r="1537" spans="1:5" ht="13.5" hidden="1" customHeight="1">
      <c r="A1537" s="4" t="s">
        <v>3615</v>
      </c>
      <c r="B1537" s="4" t="s">
        <v>3616</v>
      </c>
      <c r="C1537" s="4" t="str">
        <f ca="1">IFERROR(__xludf.DUMMYFUNCTION("GOOGLETRANSLATE(D:D,""auto"",""en"")"),"New Year dinner in true thoughts")</f>
        <v>New Year dinner in true thoughts</v>
      </c>
      <c r="D1537" s="5" t="s">
        <v>3617</v>
      </c>
      <c r="E1537" s="4">
        <v>154476</v>
      </c>
    </row>
    <row r="1538" spans="1:5" ht="13.5" hidden="1" customHeight="1">
      <c r="A1538" s="4" t="s">
        <v>3618</v>
      </c>
      <c r="B1538" s="4" t="s">
        <v>3619</v>
      </c>
      <c r="C1538" s="4" t="str">
        <f ca="1">IFERROR(__xludf.DUMMYFUNCTION("GOOGLETRANSLATE(D:D,""auto"",""en"")"),"Too need such a friend to take pictures of")</f>
        <v>Too need such a friend to take pictures of</v>
      </c>
      <c r="D1538" s="5" t="s">
        <v>3620</v>
      </c>
      <c r="E1538" s="4">
        <v>145744</v>
      </c>
    </row>
    <row r="1539" spans="1:5" ht="13.5" hidden="1" customHeight="1">
      <c r="A1539" s="4" t="s">
        <v>3621</v>
      </c>
      <c r="B1539" s="4" t="s">
        <v>3463</v>
      </c>
      <c r="C1539" s="4" t="str">
        <f ca="1">IFERROR(__xludf.DUMMYFUNCTION("GOOGLETRANSLATE(D:D,""auto"",""en"")"),"Spring hotel family suite for a night Wan")</f>
        <v>Spring hotel family suite for a night Wan</v>
      </c>
      <c r="D1539" s="5" t="s">
        <v>3622</v>
      </c>
      <c r="E1539" s="4">
        <v>137865</v>
      </c>
    </row>
    <row r="1540" spans="1:5" ht="13.5" hidden="1" customHeight="1">
      <c r="A1540" s="4" t="s">
        <v>3623</v>
      </c>
      <c r="B1540" s="4" t="s">
        <v>3507</v>
      </c>
      <c r="C1540" s="4" t="str">
        <f ca="1">IFERROR(__xludf.DUMMYFUNCTION("GOOGLETRANSLATE(D:D,""auto"",""en"")"),"Ma Fu word")</f>
        <v>Ma Fu word</v>
      </c>
      <c r="D1540" s="5" t="s">
        <v>3624</v>
      </c>
      <c r="E1540" s="4">
        <v>123237</v>
      </c>
    </row>
    <row r="1541" spans="1:5" ht="13.5" hidden="1" customHeight="1">
      <c r="A1541" s="4" t="s">
        <v>3597</v>
      </c>
      <c r="B1541" s="4" t="s">
        <v>3625</v>
      </c>
      <c r="C1541" s="4" t="str">
        <f ca="1">IFERROR(__xludf.DUMMYFUNCTION("GOOGLETRANSLATE(D:D,""auto"",""en"")"),"Nongfu Spring event in response to Wuyishan")</f>
        <v>Nongfu Spring event in response to Wuyishan</v>
      </c>
      <c r="D1541" s="5" t="s">
        <v>3626</v>
      </c>
      <c r="E1541" s="4">
        <v>122453</v>
      </c>
    </row>
    <row r="1542" spans="1:5" ht="13.5" hidden="1" customHeight="1">
      <c r="A1542" s="4" t="s">
        <v>3627</v>
      </c>
      <c r="B1542" s="4" t="s">
        <v>3458</v>
      </c>
      <c r="C1542" s="4" t="str">
        <f ca="1">IFERROR(__xludf.DUMMYFUNCTION("GOOGLETRANSLATE(D:D,""auto"",""en"")"),"Micro-channel pay-gray test subscription number")</f>
        <v>Micro-channel pay-gray test subscription number</v>
      </c>
      <c r="D1542" s="5" t="s">
        <v>3628</v>
      </c>
      <c r="E1542" s="4">
        <v>121295</v>
      </c>
    </row>
    <row r="1543" spans="1:5" ht="13.5" hidden="1" customHeight="1">
      <c r="A1543" s="4" t="s">
        <v>3629</v>
      </c>
      <c r="B1543" s="4" t="s">
        <v>3630</v>
      </c>
      <c r="C1543" s="4" t="str">
        <f ca="1">IFERROR(__xludf.DUMMYFUNCTION("GOOGLETRANSLATE(D:D,""auto"",""en"")"),"Funny kiss bag")</f>
        <v>Funny kiss bag</v>
      </c>
      <c r="D1543" s="5" t="s">
        <v>3631</v>
      </c>
      <c r="E1543" s="4">
        <v>120846</v>
      </c>
    </row>
    <row r="1544" spans="1:5" ht="13.5" hidden="1" customHeight="1">
      <c r="A1544" s="4" t="s">
        <v>3632</v>
      </c>
      <c r="B1544" s="4" t="s">
        <v>3633</v>
      </c>
      <c r="C1544" s="4" t="str">
        <f ca="1">IFERROR(__xludf.DUMMYFUNCTION("GOOGLETRANSLATE(D:D,""auto"",""en"")"),"IG DMO")</f>
        <v>IG DMO</v>
      </c>
      <c r="D1544" s="5" t="s">
        <v>3634</v>
      </c>
      <c r="E1544" s="4">
        <v>111186</v>
      </c>
    </row>
    <row r="1545" spans="1:5" ht="13.5" hidden="1" customHeight="1">
      <c r="A1545" s="4" t="s">
        <v>3538</v>
      </c>
      <c r="B1545" s="4" t="s">
        <v>3635</v>
      </c>
      <c r="C1545" s="4" t="str">
        <f ca="1">IFERROR(__xludf.DUMMYFUNCTION("GOOGLETRANSLATE(D:D,""auto"",""en"")"),"Chinese Olympic lost to Iran")</f>
        <v>Chinese Olympic lost to Iran</v>
      </c>
      <c r="D1545" s="5" t="s">
        <v>3636</v>
      </c>
      <c r="E1545" s="4">
        <v>105296</v>
      </c>
    </row>
    <row r="1546" spans="1:5" ht="13.5" hidden="1" customHeight="1">
      <c r="A1546" s="4" t="s">
        <v>3637</v>
      </c>
      <c r="B1546" s="4" t="s">
        <v>3638</v>
      </c>
      <c r="C1546" s="4" t="str">
        <f ca="1">IFERROR(__xludf.DUMMYFUNCTION("GOOGLETRANSLATE(D:D,""auto"",""en"")"),"Liu Yifei immediately somersaults")</f>
        <v>Liu Yifei immediately somersaults</v>
      </c>
      <c r="D1546" s="5" t="s">
        <v>3639</v>
      </c>
      <c r="E1546" s="4">
        <v>102170</v>
      </c>
    </row>
    <row r="1547" spans="1:5" ht="13.5" hidden="1" customHeight="1">
      <c r="A1547" s="4" t="s">
        <v>3640</v>
      </c>
      <c r="B1547" s="4" t="s">
        <v>3641</v>
      </c>
      <c r="C1547" s="4" t="str">
        <f ca="1">IFERROR(__xludf.DUMMYFUNCTION("GOOGLETRANSLATE(D:D,""auto"",""en"")"),"Ling Xiao Su sing can not forgive overturned")</f>
        <v>Ling Xiao Su sing can not forgive overturned</v>
      </c>
      <c r="D1547" s="5" t="s">
        <v>3642</v>
      </c>
      <c r="E1547" s="4">
        <v>99819</v>
      </c>
    </row>
    <row r="1548" spans="1:5" ht="13.5" hidden="1" customHeight="1">
      <c r="A1548" s="4" t="s">
        <v>3643</v>
      </c>
      <c r="B1548" s="4" t="s">
        <v>3644</v>
      </c>
      <c r="C1548" s="4" t="str">
        <f ca="1">IFERROR(__xludf.DUMMYFUNCTION("GOOGLETRANSLATE(D:D,""auto"",""en"")"),"Editor in response to core journals published essays son")</f>
        <v>Editor in response to core journals published essays son</v>
      </c>
      <c r="D1548" s="5" t="s">
        <v>3645</v>
      </c>
      <c r="E1548" s="4">
        <v>99587</v>
      </c>
    </row>
    <row r="1549" spans="1:5" ht="13.5" hidden="1" customHeight="1">
      <c r="A1549" s="4" t="s">
        <v>3646</v>
      </c>
      <c r="B1549" s="4" t="s">
        <v>3647</v>
      </c>
      <c r="C1549" s="4" t="str">
        <f ca="1">IFERROR(__xludf.DUMMYFUNCTION("GOOGLETRANSLATE(D:D,""auto"",""en"")"),"Sakurai girlfriend")</f>
        <v>Sakurai girlfriend</v>
      </c>
      <c r="D1549" s="5" t="s">
        <v>3648</v>
      </c>
      <c r="E1549" s="4">
        <v>83769</v>
      </c>
    </row>
    <row r="1550" spans="1:5" ht="13.5" hidden="1" customHeight="1">
      <c r="C1550" s="4" t="str">
        <f ca="1">IFERROR(__xludf.DUMMYFUNCTION("GOOGLETRANSLATE(D:D,""auto"",""en"")"),"#VALUE!")</f>
        <v>#VALUE!</v>
      </c>
    </row>
    <row r="1551" spans="1:5" ht="13.5" hidden="1" customHeight="1">
      <c r="A1551" s="4" t="s">
        <v>3649</v>
      </c>
      <c r="B1551" s="4" t="s">
        <v>3650</v>
      </c>
      <c r="C1551" s="4" t="str">
        <f ca="1">IFERROR(__xludf.DUMMYFUNCTION("GOOGLETRANSLATE(D:D,""auto"",""en"")"),"Sen fast seven meters of butterfly")</f>
        <v>Sen fast seven meters of butterfly</v>
      </c>
      <c r="D1551" s="4" t="s">
        <v>3651</v>
      </c>
      <c r="E1551" s="4">
        <v>5659871</v>
      </c>
    </row>
    <row r="1552" spans="1:5" ht="13.5" hidden="1" customHeight="1">
      <c r="A1552" s="4" t="s">
        <v>3652</v>
      </c>
      <c r="B1552" s="4" t="s">
        <v>3653</v>
      </c>
      <c r="C1552" s="4" t="str">
        <f ca="1">IFERROR(__xludf.DUMMYFUNCTION("GOOGLETRANSLATE(D:D,""auto"",""en"")"),"Since 2020 the implementation of the biannual conscription twice retired")</f>
        <v>Since 2020 the implementation of the biannual conscription twice retired</v>
      </c>
      <c r="D1552" s="5" t="s">
        <v>3654</v>
      </c>
      <c r="E1552" s="4">
        <v>4061335</v>
      </c>
    </row>
    <row r="1553" spans="1:5" ht="13.5" hidden="1" customHeight="1">
      <c r="A1553" s="4" t="s">
        <v>3655</v>
      </c>
      <c r="B1553" s="4" t="s">
        <v>3656</v>
      </c>
      <c r="C1553" s="4" t="str">
        <f ca="1">IFERROR(__xludf.DUMMYFUNCTION("GOOGLETRANSLATE(D:D,""auto"",""en"")"),"Zhang Heng")</f>
        <v>Zhang Heng</v>
      </c>
      <c r="D1553" s="5" t="s">
        <v>3657</v>
      </c>
      <c r="E1553" s="4">
        <v>3892112</v>
      </c>
    </row>
    <row r="1554" spans="1:5" ht="13.5" hidden="1" customHeight="1">
      <c r="A1554" s="4" t="s">
        <v>3658</v>
      </c>
      <c r="B1554" s="4" t="s">
        <v>3659</v>
      </c>
      <c r="C1554" s="4" t="str">
        <f ca="1">IFERROR(__xludf.DUMMYFUNCTION("GOOGLETRANSLATE(D:D,""auto"",""en"")"),"Zhongxiang death")</f>
        <v>Zhongxiang death</v>
      </c>
      <c r="D1554" s="5" t="s">
        <v>3660</v>
      </c>
      <c r="E1554" s="4">
        <v>2280685</v>
      </c>
    </row>
    <row r="1555" spans="1:5" ht="13.5" hidden="1" customHeight="1">
      <c r="A1555" s="4" t="s">
        <v>3661</v>
      </c>
      <c r="B1555" s="4" t="s">
        <v>3662</v>
      </c>
      <c r="C1555" s="4" t="str">
        <f ca="1">IFERROR(__xludf.DUMMYFUNCTION("GOOGLETRANSLATE(D:D,""auto"",""en"")"),"Circle of friends a beam of light background")</f>
        <v>Circle of friends a beam of light background</v>
      </c>
      <c r="D1555" s="5" t="s">
        <v>3663</v>
      </c>
      <c r="E1555" s="4">
        <v>1838788</v>
      </c>
    </row>
    <row r="1556" spans="1:5" ht="13.5" hidden="1" customHeight="1">
      <c r="A1556" s="4" t="s">
        <v>3664</v>
      </c>
      <c r="B1556" s="4" t="s">
        <v>3581</v>
      </c>
      <c r="C1556" s="4" t="str">
        <f ca="1">IFERROR(__xludf.DUMMYFUNCTION("GOOGLETRANSLATE(D:D,""auto"",""en"")"),"Zhongxiang farewell time")</f>
        <v>Zhongxiang farewell time</v>
      </c>
      <c r="D1556" s="5" t="s">
        <v>3665</v>
      </c>
      <c r="E1556" s="4">
        <v>1081783</v>
      </c>
    </row>
    <row r="1557" spans="1:5" ht="13.5" hidden="1" customHeight="1">
      <c r="A1557" s="4" t="s">
        <v>3666</v>
      </c>
      <c r="B1557" s="4" t="s">
        <v>3538</v>
      </c>
      <c r="C1557" s="4" t="str">
        <f ca="1">IFERROR(__xludf.DUMMYFUNCTION("GOOGLETRANSLATE(D:D,""auto"",""en"")"),"The military clean-up of dead animals killed in fire")</f>
        <v>The military clean-up of dead animals killed in fire</v>
      </c>
      <c r="D1557" s="5" t="s">
        <v>3667</v>
      </c>
      <c r="E1557" s="4">
        <v>1039906</v>
      </c>
    </row>
    <row r="1558" spans="1:5" ht="13.5" hidden="1" customHeight="1">
      <c r="A1558" s="4" t="s">
        <v>3668</v>
      </c>
      <c r="B1558" s="4" t="s">
        <v>3528</v>
      </c>
      <c r="C1558" s="4" t="str">
        <f ca="1">IFERROR(__xludf.DUMMYFUNCTION("GOOGLETRANSLATE(D:D,""auto"",""en"")"),"16 years of veterans coming back Gala veterans")</f>
        <v>16 years of veterans coming back Gala veterans</v>
      </c>
      <c r="D1558" s="5" t="s">
        <v>3669</v>
      </c>
      <c r="E1558" s="4">
        <v>1028278</v>
      </c>
    </row>
    <row r="1559" spans="1:5" ht="13.5" hidden="1" customHeight="1">
      <c r="A1559" s="4" t="s">
        <v>3670</v>
      </c>
      <c r="B1559" s="4" t="s">
        <v>3671</v>
      </c>
      <c r="C1559" s="4" t="str">
        <f ca="1">IFERROR(__xludf.DUMMYFUNCTION("GOOGLETRANSLATE(D:D,""auto"",""en"")"),"Admiralty big date with his girlfriend photo")</f>
        <v>Admiralty big date with his girlfriend photo</v>
      </c>
      <c r="D1559" s="5" t="s">
        <v>3672</v>
      </c>
      <c r="E1559" s="4">
        <v>1018782</v>
      </c>
    </row>
    <row r="1560" spans="1:5" ht="13.5" hidden="1" customHeight="1">
      <c r="A1560" s="4" t="s">
        <v>3673</v>
      </c>
      <c r="B1560" s="4" t="s">
        <v>3674</v>
      </c>
      <c r="C1560" s="4" t="str">
        <f ca="1">IFERROR(__xludf.DUMMYFUNCTION("GOOGLETRANSLATE(D:D,""auto"",""en"")"),"Today is also the birthday of Zhao Zhongxiang")</f>
        <v>Today is also the birthday of Zhao Zhongxiang</v>
      </c>
      <c r="D1560" s="5" t="s">
        <v>3675</v>
      </c>
      <c r="E1560" s="4">
        <v>953339</v>
      </c>
    </row>
    <row r="1561" spans="1:5" ht="13.5" hidden="1" customHeight="1">
      <c r="A1561" s="4" t="s">
        <v>3676</v>
      </c>
      <c r="B1561" s="4" t="s">
        <v>3677</v>
      </c>
      <c r="C1561" s="4" t="str">
        <f ca="1">IFERROR(__xludf.DUMMYFUNCTION("GOOGLETRANSLATE(D:D,""auto"",""en"")"),"Luo stare chess")</f>
        <v>Luo stare chess</v>
      </c>
      <c r="D1561" s="5" t="s">
        <v>3678</v>
      </c>
      <c r="E1561" s="4">
        <v>808246</v>
      </c>
    </row>
    <row r="1562" spans="1:5" ht="13.5" hidden="1" customHeight="1">
      <c r="A1562" s="4" t="s">
        <v>3679</v>
      </c>
      <c r="B1562" s="4" t="s">
        <v>3680</v>
      </c>
      <c r="C1562" s="4" t="str">
        <f ca="1">IFERROR(__xludf.DUMMYFUNCTION("GOOGLETRANSLATE(D:D,""auto"",""en"")"),"China shares listed on the first high-speed rail")</f>
        <v>China shares listed on the first high-speed rail</v>
      </c>
      <c r="D1562" s="5" t="s">
        <v>3681</v>
      </c>
      <c r="E1562" s="4">
        <v>805368</v>
      </c>
    </row>
    <row r="1563" spans="1:5" ht="13.5" hidden="1" customHeight="1">
      <c r="A1563" s="4" t="s">
        <v>3682</v>
      </c>
      <c r="B1563" s="4" t="s">
        <v>3683</v>
      </c>
      <c r="C1563" s="4" t="str">
        <f ca="1">IFERROR(__xludf.DUMMYFUNCTION("GOOGLETRANSLATE(D:D,""auto"",""en"")"),"Brandt's first time shot into the whale underwater image")</f>
        <v>Brandt's first time shot into the whale underwater image</v>
      </c>
      <c r="D1563" s="5" t="s">
        <v>3684</v>
      </c>
      <c r="E1563" s="4">
        <v>802363</v>
      </c>
    </row>
    <row r="1564" spans="1:5" ht="13.5" hidden="1" customHeight="1">
      <c r="A1564" s="4" t="s">
        <v>3685</v>
      </c>
      <c r="B1564" s="4" t="s">
        <v>3686</v>
      </c>
      <c r="C1564" s="4" t="str">
        <f ca="1">IFERROR(__xludf.DUMMYFUNCTION("GOOGLETRANSLATE(D:D,""auto"",""en"")"),"Huawei in the UK announced £ 20 million investment program")</f>
        <v>Huawei in the UK announced £ 20 million investment program</v>
      </c>
      <c r="D1564" s="5" t="s">
        <v>3687</v>
      </c>
      <c r="E1564" s="4">
        <v>800691</v>
      </c>
    </row>
    <row r="1565" spans="1:5" ht="13.5" hidden="1" customHeight="1">
      <c r="A1565" s="4" t="s">
        <v>3525</v>
      </c>
      <c r="B1565" s="4" t="s">
        <v>3526</v>
      </c>
      <c r="C1565" s="4" t="str">
        <f ca="1">IFERROR(__xludf.DUMMYFUNCTION("GOOGLETRANSLATE(D:D,""auto"",""en"")"),"5 apologize love apartment")</f>
        <v>5 apologize love apartment</v>
      </c>
      <c r="D1565" s="5" t="s">
        <v>3527</v>
      </c>
      <c r="E1565" s="4">
        <v>796067</v>
      </c>
    </row>
    <row r="1566" spans="1:5" ht="13.5" hidden="1" customHeight="1">
      <c r="A1566" s="4" t="s">
        <v>3688</v>
      </c>
      <c r="B1566" s="4" t="s">
        <v>3689</v>
      </c>
      <c r="C1566" s="4" t="str">
        <f ca="1">IFERROR(__xludf.DUMMYFUNCTION("GOOGLETRANSLATE(D:D,""auto"",""en"")"),"Chen He Luhan Tempo team win")</f>
        <v>Chen He Luhan Tempo team win</v>
      </c>
      <c r="D1566" s="5" t="s">
        <v>3690</v>
      </c>
      <c r="E1566" s="4">
        <v>791042</v>
      </c>
    </row>
    <row r="1567" spans="1:5" ht="13.5" hidden="1" customHeight="1">
      <c r="A1567" s="4" t="s">
        <v>3691</v>
      </c>
      <c r="B1567" s="4" t="s">
        <v>3692</v>
      </c>
      <c r="C1567" s="4" t="str">
        <f ca="1">IFERROR(__xludf.DUMMYFUNCTION("GOOGLETRANSLATE(D:D,""auto"",""en"")"),"IKEA mug detected carcinogens")</f>
        <v>IKEA mug detected carcinogens</v>
      </c>
      <c r="D1567" s="5" t="s">
        <v>3693</v>
      </c>
      <c r="E1567" s="4">
        <v>790810</v>
      </c>
    </row>
    <row r="1568" spans="1:5" ht="13.5" hidden="1" customHeight="1">
      <c r="A1568" s="4" t="s">
        <v>3694</v>
      </c>
      <c r="B1568" s="4" t="s">
        <v>3692</v>
      </c>
      <c r="C1568" s="4" t="str">
        <f ca="1">IFERROR(__xludf.DUMMYFUNCTION("GOOGLETRANSLATE(D:D,""auto"",""en"")"),"Moonlit Night renamed the red fox scholar")</f>
        <v>Moonlit Night renamed the red fox scholar</v>
      </c>
      <c r="D1568" s="5" t="s">
        <v>3695</v>
      </c>
      <c r="E1568" s="4">
        <v>777730</v>
      </c>
    </row>
    <row r="1569" spans="1:6" ht="13.5" hidden="1" customHeight="1">
      <c r="A1569" s="4" t="s">
        <v>3696</v>
      </c>
      <c r="B1569" s="4" t="s">
        <v>3697</v>
      </c>
      <c r="C1569" s="4" t="str">
        <f ca="1">IFERROR(__xludf.DUMMYFUNCTION("GOOGLETRANSLATE(D:D,""auto"",""en"")"),"Ni Ping")</f>
        <v>Ni Ping</v>
      </c>
      <c r="D1569" s="5" t="s">
        <v>3698</v>
      </c>
      <c r="E1569" s="4">
        <v>673585</v>
      </c>
    </row>
    <row r="1570" spans="1:6" ht="13.5" hidden="1" customHeight="1">
      <c r="A1570" s="4" t="s">
        <v>3699</v>
      </c>
      <c r="B1570" s="4" t="s">
        <v>3581</v>
      </c>
      <c r="C1570" s="4" t="str">
        <f ca="1">IFERROR(__xludf.DUMMYFUNCTION("GOOGLETRANSLATE(D:D,""auto"",""en"")"),"After the Spring Festival, Wu Lei, the first show themselves as proud village")</f>
        <v>After the Spring Festival, Wu Lei, the first show themselves as proud village</v>
      </c>
      <c r="D1570" s="5" t="s">
        <v>3700</v>
      </c>
      <c r="E1570" s="4">
        <v>627956</v>
      </c>
    </row>
    <row r="1571" spans="1:6" ht="13.5" hidden="1" customHeight="1">
      <c r="A1571" s="4" t="s">
        <v>3701</v>
      </c>
      <c r="B1571" s="4" t="s">
        <v>3702</v>
      </c>
      <c r="C1571" s="4" t="str">
        <f ca="1">IFERROR(__xludf.DUMMYFUNCTION("GOOGLETRANSLATE(D:D,""auto"",""en"")"),"2019 AirPods shipments of nearly 60 million")</f>
        <v>2019 AirPods shipments of nearly 60 million</v>
      </c>
      <c r="D1571" s="5" t="s">
        <v>3703</v>
      </c>
      <c r="E1571" s="4">
        <v>538735</v>
      </c>
    </row>
    <row r="1572" spans="1:6" ht="13.5" customHeight="1">
      <c r="A1572" s="4" t="s">
        <v>3704</v>
      </c>
      <c r="B1572" s="4" t="s">
        <v>3705</v>
      </c>
      <c r="C1572" s="4" t="str">
        <f ca="1">IFERROR(__xludf.DUMMYFUNCTION("GOOGLETRANSLATE(D:D,""auto"",""en"")"),"Japan's first confirmed cases of novel coronavirus")</f>
        <v>Japan's first confirmed cases of novel coronavirus</v>
      </c>
      <c r="D1572" s="5" t="s">
        <v>3706</v>
      </c>
      <c r="E1572" s="4">
        <v>515604</v>
      </c>
      <c r="F1572">
        <v>1</v>
      </c>
    </row>
    <row r="1573" spans="1:6" ht="13.5" hidden="1" customHeight="1">
      <c r="A1573" s="4" t="s">
        <v>3707</v>
      </c>
      <c r="B1573" s="4" t="s">
        <v>3708</v>
      </c>
      <c r="C1573" s="4" t="str">
        <f ca="1">IFERROR(__xludf.DUMMYFUNCTION("GOOGLETRANSLATE(D:D,""auto"",""en"")"),"Maserati drunk driving cases were still knocked ICU")</f>
        <v>Maserati drunk driving cases were still knocked ICU</v>
      </c>
      <c r="D1573" s="5" t="s">
        <v>3709</v>
      </c>
      <c r="E1573" s="4">
        <v>461156</v>
      </c>
    </row>
    <row r="1574" spans="1:6" ht="13.5" hidden="1" customHeight="1">
      <c r="A1574" s="4" t="s">
        <v>3710</v>
      </c>
      <c r="B1574" s="4" t="s">
        <v>3662</v>
      </c>
      <c r="C1574" s="4" t="str">
        <f ca="1">IFERROR(__xludf.DUMMYFUNCTION("GOOGLETRANSLATE(D:D,""auto"",""en"")"),"How it would look nice to wear red Chinese New Year")</f>
        <v>How it would look nice to wear red Chinese New Year</v>
      </c>
      <c r="D1574" s="5" t="s">
        <v>3711</v>
      </c>
      <c r="E1574" s="4">
        <v>427712</v>
      </c>
    </row>
    <row r="1575" spans="1:6" ht="13.5" hidden="1" customHeight="1">
      <c r="A1575" s="4" t="s">
        <v>3712</v>
      </c>
      <c r="B1575" s="4" t="s">
        <v>3637</v>
      </c>
      <c r="C1575" s="4" t="str">
        <f ca="1">IFERROR(__xludf.DUMMYFUNCTION("GOOGLETRANSLATE(D:D,""auto"",""en"")"),"Yang Zi Zhang Yishan on the same stage")</f>
        <v>Yang Zi Zhang Yishan on the same stage</v>
      </c>
      <c r="D1575" s="5" t="s">
        <v>3713</v>
      </c>
      <c r="E1575" s="4">
        <v>417249</v>
      </c>
    </row>
    <row r="1576" spans="1:6" ht="13.5" hidden="1" customHeight="1">
      <c r="A1576" s="4" t="s">
        <v>3714</v>
      </c>
      <c r="B1576" s="4" t="s">
        <v>3715</v>
      </c>
      <c r="C1576" s="4" t="str">
        <f ca="1">IFERROR(__xludf.DUMMYFUNCTION("GOOGLETRANSLATE(D:D,""auto"",""en"")"),"Jennie Samsung")</f>
        <v>Jennie Samsung</v>
      </c>
      <c r="D1576" s="5" t="s">
        <v>3716</v>
      </c>
      <c r="E1576" s="4">
        <v>401717</v>
      </c>
    </row>
    <row r="1577" spans="1:6" ht="13.5" hidden="1" customHeight="1">
      <c r="A1577" s="4" t="s">
        <v>3717</v>
      </c>
      <c r="B1577" s="4" t="s">
        <v>3686</v>
      </c>
      <c r="C1577" s="4" t="str">
        <f ca="1">IFERROR(__xludf.DUMMYFUNCTION("GOOGLETRANSLATE(D:D,""auto"",""en"")"),"Why all the Russian government to resign")</f>
        <v>Why all the Russian government to resign</v>
      </c>
      <c r="D1577" s="5" t="s">
        <v>3718</v>
      </c>
      <c r="E1577" s="4">
        <v>379492</v>
      </c>
    </row>
    <row r="1578" spans="1:6" ht="13.5" hidden="1" customHeight="1">
      <c r="A1578" s="4" t="s">
        <v>3685</v>
      </c>
      <c r="B1578" s="4" t="s">
        <v>3719</v>
      </c>
      <c r="C1578" s="4" t="str">
        <f ca="1">IFERROR(__xludf.DUMMYFUNCTION("GOOGLETRANSLATE(D:D,""auto"",""en"")"),"Dinner dumplings eat coin trick")</f>
        <v>Dinner dumplings eat coin trick</v>
      </c>
      <c r="D1578" s="5" t="s">
        <v>3720</v>
      </c>
      <c r="E1578" s="4">
        <v>262634</v>
      </c>
    </row>
    <row r="1579" spans="1:6" ht="13.5" hidden="1" customHeight="1">
      <c r="A1579" s="4" t="s">
        <v>3721</v>
      </c>
      <c r="B1579" s="4" t="s">
        <v>3722</v>
      </c>
      <c r="C1579" s="4" t="str">
        <f ca="1">IFERROR(__xludf.DUMMYFUNCTION("GOOGLETRANSLATE(D:D,""auto"",""en"")"),"Embarrassing mother theme song")</f>
        <v>Embarrassing mother theme song</v>
      </c>
      <c r="D1579" s="5" t="s">
        <v>3723</v>
      </c>
      <c r="E1579" s="4">
        <v>220192</v>
      </c>
    </row>
    <row r="1580" spans="1:6" ht="13.5" hidden="1" customHeight="1">
      <c r="A1580" s="4" t="s">
        <v>3724</v>
      </c>
      <c r="B1580" s="4" t="s">
        <v>3725</v>
      </c>
      <c r="C1580" s="4" t="str">
        <f ca="1">IFERROR(__xludf.DUMMYFUNCTION("GOOGLETRANSLATE(D:D,""auto"",""en"")"),"Leo said He Shuhuan slag")</f>
        <v>Leo said He Shuhuan slag</v>
      </c>
      <c r="D1580" s="5" t="s">
        <v>3726</v>
      </c>
      <c r="E1580" s="4">
        <v>219044</v>
      </c>
    </row>
    <row r="1581" spans="1:6" ht="13.5" hidden="1" customHeight="1">
      <c r="A1581" s="4" t="s">
        <v>3727</v>
      </c>
      <c r="B1581" s="4" t="s">
        <v>3728</v>
      </c>
      <c r="C1581" s="4" t="str">
        <f ca="1">IFERROR(__xludf.DUMMYFUNCTION("GOOGLETRANSLATE(D:D,""auto"",""en"")"),"Australian fire has discharged 400 million tons of carbon dioxide")</f>
        <v>Australian fire has discharged 400 million tons of carbon dioxide</v>
      </c>
      <c r="D1581" s="5" t="s">
        <v>3729</v>
      </c>
      <c r="E1581" s="4">
        <v>212459</v>
      </c>
    </row>
    <row r="1582" spans="1:6" ht="13.5" hidden="1" customHeight="1">
      <c r="A1582" s="4" t="s">
        <v>3730</v>
      </c>
      <c r="B1582" s="4" t="s">
        <v>3600</v>
      </c>
      <c r="C1582" s="4" t="str">
        <f ca="1">IFERROR(__xludf.DUMMYFUNCTION("GOOGLETRANSLATE(D:D,""auto"",""en"")"),"Circle of friends for the New Year hair copywriting")</f>
        <v>Circle of friends for the New Year hair copywriting</v>
      </c>
      <c r="D1582" s="5" t="s">
        <v>3731</v>
      </c>
      <c r="E1582" s="4">
        <v>206558</v>
      </c>
    </row>
    <row r="1583" spans="1:6" ht="13.5" hidden="1" customHeight="1">
      <c r="A1583" s="4" t="s">
        <v>3732</v>
      </c>
      <c r="B1583" s="4" t="s">
        <v>3541</v>
      </c>
      <c r="C1583" s="4" t="str">
        <f ca="1">IFERROR(__xludf.DUMMYFUNCTION("GOOGLETRANSLATE(D:D,""auto"",""en"")"),"Putin intends to propose to his new post Medvedev")</f>
        <v>Putin intends to propose to his new post Medvedev</v>
      </c>
      <c r="D1583" s="5" t="s">
        <v>3733</v>
      </c>
      <c r="E1583" s="4">
        <v>191558</v>
      </c>
    </row>
    <row r="1584" spans="1:6" ht="13.5" hidden="1" customHeight="1">
      <c r="A1584" s="4" t="s">
        <v>3734</v>
      </c>
      <c r="B1584" s="4" t="s">
        <v>3650</v>
      </c>
      <c r="C1584" s="4" t="str">
        <f ca="1">IFERROR(__xludf.DUMMYFUNCTION("GOOGLETRANSLATE(D:D,""auto"",""en"")"),"Tier cities new home price growth rate")</f>
        <v>Tier cities new home price growth rate</v>
      </c>
      <c r="D1584" s="5" t="s">
        <v>3735</v>
      </c>
      <c r="E1584" s="4">
        <v>188242</v>
      </c>
    </row>
    <row r="1585" spans="1:5" ht="13.5" hidden="1" customHeight="1">
      <c r="A1585" s="4" t="s">
        <v>3714</v>
      </c>
      <c r="B1585" s="4" t="s">
        <v>3609</v>
      </c>
      <c r="C1585" s="4" t="str">
        <f ca="1">IFERROR(__xludf.DUMMYFUNCTION("GOOGLETRANSLATE(D:D,""auto"",""en"")"),"Animal World dubbing")</f>
        <v>Animal World dubbing</v>
      </c>
      <c r="D1585" s="5" t="s">
        <v>3736</v>
      </c>
      <c r="E1585" s="4">
        <v>184936</v>
      </c>
    </row>
    <row r="1586" spans="1:5" ht="13.5" hidden="1" customHeight="1">
      <c r="A1586" s="4" t="s">
        <v>3730</v>
      </c>
      <c r="B1586" s="4" t="s">
        <v>3737</v>
      </c>
      <c r="C1586" s="4" t="str">
        <f ca="1">IFERROR(__xludf.DUMMYFUNCTION("GOOGLETRANSLATE(D:D,""auto"",""en"")"),"The first phase of the Sino-US economic and trade agreements signed")</f>
        <v>The first phase of the Sino-US economic and trade agreements signed</v>
      </c>
      <c r="D1586" s="5" t="s">
        <v>3738</v>
      </c>
      <c r="E1586" s="4">
        <v>159058</v>
      </c>
    </row>
    <row r="1587" spans="1:5" ht="13.5" hidden="1" customHeight="1">
      <c r="A1587" s="4" t="s">
        <v>3739</v>
      </c>
      <c r="B1587" s="4" t="s">
        <v>3740</v>
      </c>
      <c r="C1587" s="4" t="str">
        <f ca="1">IFERROR(__xludf.DUMMYFUNCTION("GOOGLETRANSLATE(D:D,""auto"",""en"")"),"Fantasy flowers Eye")</f>
        <v>Fantasy flowers Eye</v>
      </c>
      <c r="D1587" s="5" t="s">
        <v>3741</v>
      </c>
      <c r="E1587" s="4">
        <v>156710</v>
      </c>
    </row>
    <row r="1588" spans="1:5" ht="13.5" hidden="1" customHeight="1">
      <c r="A1588" s="4" t="s">
        <v>536</v>
      </c>
      <c r="B1588" s="4" t="s">
        <v>537</v>
      </c>
      <c r="C1588" s="4" t="str">
        <f ca="1">IFERROR(__xludf.DUMMYFUNCTION("GOOGLETRANSLATE(D:D,""auto"",""en"")"),"Chinatown Holmes")</f>
        <v>Chinatown Holmes</v>
      </c>
      <c r="D1588" s="5" t="s">
        <v>538</v>
      </c>
      <c r="E1588" s="4">
        <v>149761</v>
      </c>
    </row>
    <row r="1589" spans="1:5" ht="13.5" hidden="1" customHeight="1">
      <c r="A1589" s="4" t="s">
        <v>3742</v>
      </c>
      <c r="B1589" s="4" t="s">
        <v>3743</v>
      </c>
      <c r="C1589" s="4" t="str">
        <f ca="1">IFERROR(__xludf.DUMMYFUNCTION("GOOGLETRANSLATE(D:D,""auto"",""en"")"),"Galactic space launch Star starter")</f>
        <v>Galactic space launch Star starter</v>
      </c>
      <c r="D1589" s="5" t="s">
        <v>3744</v>
      </c>
      <c r="E1589" s="4">
        <v>145007</v>
      </c>
    </row>
    <row r="1590" spans="1:5" ht="13.5" hidden="1" customHeight="1">
      <c r="A1590" s="4" t="s">
        <v>3745</v>
      </c>
      <c r="B1590" s="4" t="s">
        <v>3746</v>
      </c>
      <c r="C1590" s="4" t="str">
        <f ca="1">IFERROR(__xludf.DUMMYFUNCTION("GOOGLETRANSLATE(D:D,""auto"",""en"")"),"Please listen to good friend")</f>
        <v>Please listen to good friend</v>
      </c>
      <c r="D1590" s="5" t="s">
        <v>3747</v>
      </c>
      <c r="E1590" s="4">
        <v>144781</v>
      </c>
    </row>
    <row r="1591" spans="1:5" ht="13.5" hidden="1" customHeight="1">
      <c r="A1591" s="4" t="s">
        <v>3685</v>
      </c>
      <c r="B1591" s="4" t="s">
        <v>3748</v>
      </c>
      <c r="C1591" s="4" t="str">
        <f ca="1">IFERROR(__xludf.DUMMYFUNCTION("GOOGLETRANSLATE(D:D,""auto"",""en"")"),"Confused behavior from teachers")</f>
        <v>Confused behavior from teachers</v>
      </c>
      <c r="D1591" s="5" t="s">
        <v>3749</v>
      </c>
      <c r="E1591" s="4">
        <v>138818</v>
      </c>
    </row>
    <row r="1592" spans="1:5" ht="13.5" hidden="1" customHeight="1">
      <c r="A1592" s="4" t="s">
        <v>3750</v>
      </c>
      <c r="B1592" s="4" t="s">
        <v>3751</v>
      </c>
      <c r="C1592" s="4" t="str">
        <f ca="1">IFERROR(__xludf.DUMMYFUNCTION("GOOGLETRANSLATE(D:D,""auto"",""en"")"),"One a singing my motherland")</f>
        <v>One a singing my motherland</v>
      </c>
      <c r="D1592" s="5" t="s">
        <v>3752</v>
      </c>
      <c r="E1592" s="4">
        <v>137196</v>
      </c>
    </row>
    <row r="1593" spans="1:5" ht="13.5" hidden="1" customHeight="1">
      <c r="A1593" s="4" t="s">
        <v>3547</v>
      </c>
      <c r="B1593" s="4" t="s">
        <v>3702</v>
      </c>
      <c r="C1593" s="4" t="str">
        <f ca="1">IFERROR(__xludf.DUMMYFUNCTION("GOOGLETRANSLATE(D:D,""auto"",""en"")"),"Security uncle played the piano became popular")</f>
        <v>Security uncle played the piano became popular</v>
      </c>
      <c r="D1593" s="5" t="s">
        <v>3753</v>
      </c>
      <c r="E1593" s="4">
        <v>136958</v>
      </c>
    </row>
    <row r="1594" spans="1:5" ht="13.5" hidden="1" customHeight="1">
      <c r="A1594" s="4" t="s">
        <v>3727</v>
      </c>
      <c r="B1594" s="4" t="s">
        <v>3754</v>
      </c>
      <c r="C1594" s="4" t="str">
        <f ca="1">IFERROR(__xludf.DUMMYFUNCTION("GOOGLETRANSLATE(D:D,""auto"",""en"")"),"Hand off valve into the fire firefighter turn turns over 6000")</f>
        <v>Hand off valve into the fire firefighter turn turns over 6000</v>
      </c>
      <c r="D1594" s="5" t="s">
        <v>3755</v>
      </c>
      <c r="E1594" s="4">
        <v>136907</v>
      </c>
    </row>
    <row r="1595" spans="1:5" ht="13.5" hidden="1" customHeight="1">
      <c r="A1595" s="4" t="s">
        <v>536</v>
      </c>
      <c r="B1595" s="4" t="s">
        <v>3756</v>
      </c>
      <c r="C1595" s="4" t="str">
        <f ca="1">IFERROR(__xludf.DUMMYFUNCTION("GOOGLETRANSLATE(D:D,""auto"",""en"")"),"Cattle gather Guizhou Maotai index closed airport")</f>
        <v>Cattle gather Guizhou Maotai index closed airport</v>
      </c>
      <c r="D1595" s="5" t="s">
        <v>3757</v>
      </c>
      <c r="E1595" s="4">
        <v>136888</v>
      </c>
    </row>
    <row r="1596" spans="1:5" ht="13.5" hidden="1" customHeight="1">
      <c r="A1596" s="4" t="s">
        <v>3758</v>
      </c>
      <c r="B1596" s="4" t="s">
        <v>3650</v>
      </c>
      <c r="C1596" s="4" t="str">
        <f ca="1">IFERROR(__xludf.DUMMYFUNCTION("GOOGLETRANSLATE(D:D,""auto"",""en"")"),"I wait for the Spring Festival holiday")</f>
        <v>I wait for the Spring Festival holiday</v>
      </c>
      <c r="D1596" s="5" t="s">
        <v>3759</v>
      </c>
      <c r="E1596" s="4">
        <v>135034</v>
      </c>
    </row>
    <row r="1597" spans="1:5" ht="13.5" hidden="1" customHeight="1">
      <c r="A1597" s="4" t="s">
        <v>3760</v>
      </c>
      <c r="B1597" s="4" t="s">
        <v>3761</v>
      </c>
      <c r="C1597" s="4" t="str">
        <f ca="1">IFERROR(__xludf.DUMMYFUNCTION("GOOGLETRANSLATE(D:D,""auto"",""en"")"),"Which moment was relieved of romance")</f>
        <v>Which moment was relieved of romance</v>
      </c>
      <c r="D1597" s="5" t="s">
        <v>3762</v>
      </c>
      <c r="E1597" s="4">
        <v>134866</v>
      </c>
    </row>
    <row r="1598" spans="1:5" ht="13.5" hidden="1" customHeight="1">
      <c r="A1598" s="4" t="s">
        <v>3547</v>
      </c>
      <c r="B1598" s="4" t="s">
        <v>3548</v>
      </c>
      <c r="C1598" s="4" t="str">
        <f ca="1">IFERROR(__xludf.DUMMYFUNCTION("GOOGLETRANSLATE(D:D,""auto"",""en"")"),"Russian government resigned en bloc")</f>
        <v>Russian government resigned en bloc</v>
      </c>
      <c r="D1598" s="5" t="s">
        <v>3549</v>
      </c>
      <c r="E1598" s="4">
        <v>122826</v>
      </c>
    </row>
    <row r="1599" spans="1:5" ht="13.5" hidden="1" customHeight="1">
      <c r="A1599" s="4" t="s">
        <v>3763</v>
      </c>
      <c r="B1599" s="4" t="s">
        <v>3764</v>
      </c>
      <c r="C1599" s="4" t="str">
        <f ca="1">IFERROR(__xludf.DUMMYFUNCTION("GOOGLETRANSLATE(D:D,""auto"",""en"")"),"Tree holes rescue mission a year and a half to prevent suicide 1603")</f>
        <v>Tree holes rescue mission a year and a half to prevent suicide 1603</v>
      </c>
      <c r="D1599" s="5" t="s">
        <v>3765</v>
      </c>
      <c r="E1599" s="4">
        <v>114805</v>
      </c>
    </row>
    <row r="1600" spans="1:5" ht="13.5" hidden="1" customHeight="1">
      <c r="C1600" s="4" t="str">
        <f ca="1">IFERROR(__xludf.DUMMYFUNCTION("GOOGLETRANSLATE(D:D,""auto"",""en"")"),"#VALUE!")</f>
        <v>#VALUE!</v>
      </c>
    </row>
    <row r="1601" spans="1:5" ht="13.5" hidden="1" customHeight="1">
      <c r="A1601" s="4" t="s">
        <v>3766</v>
      </c>
      <c r="B1601" s="4" t="s">
        <v>3767</v>
      </c>
      <c r="C1601" s="4" t="str">
        <f ca="1">IFERROR(__xludf.DUMMYFUNCTION("GOOGLETRANSLATE(D:D,""auto"",""en"")"),"Lucky grow up")</f>
        <v>Lucky grow up</v>
      </c>
      <c r="D1601" s="4" t="s">
        <v>3768</v>
      </c>
      <c r="E1601" s="4">
        <v>3188322</v>
      </c>
    </row>
    <row r="1602" spans="1:5" ht="13.5" hidden="1" customHeight="1">
      <c r="A1602" s="4" t="s">
        <v>3769</v>
      </c>
      <c r="B1602" s="4" t="s">
        <v>3770</v>
      </c>
      <c r="C1602" s="4" t="str">
        <f ca="1">IFERROR(__xludf.DUMMYFUNCTION("GOOGLETRANSLATE(D:D,""auto"",""en"")"),"Maserati driver refused to kneel down to apologize")</f>
        <v>Maserati driver refused to kneel down to apologize</v>
      </c>
      <c r="D1602" s="5" t="s">
        <v>3771</v>
      </c>
      <c r="E1602" s="4">
        <v>1804299</v>
      </c>
    </row>
    <row r="1603" spans="1:5" ht="13.5" hidden="1" customHeight="1">
      <c r="A1603" s="4" t="s">
        <v>3772</v>
      </c>
      <c r="B1603" s="4" t="s">
        <v>3773</v>
      </c>
      <c r="C1603" s="4" t="str">
        <f ca="1">IFERROR(__xludf.DUMMYFUNCTION("GOOGLETRANSLATE(D:D,""auto"",""en"")"),"Zhang Yun Lei operation went very well")</f>
        <v>Zhang Yun Lei operation went very well</v>
      </c>
      <c r="D1603" s="5" t="s">
        <v>3774</v>
      </c>
      <c r="E1603" s="4">
        <v>1286751</v>
      </c>
    </row>
    <row r="1604" spans="1:5" ht="13.5" hidden="1" customHeight="1">
      <c r="A1604" s="4" t="s">
        <v>3775</v>
      </c>
      <c r="B1604" s="4" t="s">
        <v>3776</v>
      </c>
      <c r="C1604" s="4" t="str">
        <f ca="1">IFERROR(__xludf.DUMMYFUNCTION("GOOGLETRANSLATE(D:D,""auto"",""en"")"),"Fu Seoul do not represent this era out of parents")</f>
        <v>Fu Seoul do not represent this era out of parents</v>
      </c>
      <c r="D1604" s="5" t="s">
        <v>3777</v>
      </c>
      <c r="E1604" s="4">
        <v>1137742</v>
      </c>
    </row>
    <row r="1605" spans="1:5" ht="13.5" hidden="1" customHeight="1">
      <c r="A1605" s="4" t="s">
        <v>3778</v>
      </c>
      <c r="B1605" s="4" t="s">
        <v>3779</v>
      </c>
      <c r="C1605" s="4" t="str">
        <f ca="1">IFERROR(__xludf.DUMMYFUNCTION("GOOGLETRANSLATE(D:D,""auto"",""en"")"),"Twins")</f>
        <v>Twins</v>
      </c>
      <c r="D1605" s="5" t="s">
        <v>3780</v>
      </c>
      <c r="E1605" s="4">
        <v>1083424</v>
      </c>
    </row>
    <row r="1606" spans="1:5" ht="13.5" hidden="1" customHeight="1">
      <c r="A1606" s="4" t="s">
        <v>3781</v>
      </c>
      <c r="B1606" s="4" t="s">
        <v>3782</v>
      </c>
      <c r="C1606" s="4" t="str">
        <f ca="1">IFERROR(__xludf.DUMMYFUNCTION("GOOGLETRANSLATE(D:D,""auto"",""en"")"),"Luhan birth chart")</f>
        <v>Luhan birth chart</v>
      </c>
      <c r="D1606" s="5" t="s">
        <v>3783</v>
      </c>
      <c r="E1606" s="4">
        <v>900573</v>
      </c>
    </row>
    <row r="1607" spans="1:5" ht="13.5" hidden="1" customHeight="1">
      <c r="A1607" s="4" t="s">
        <v>3784</v>
      </c>
      <c r="B1607" s="4" t="s">
        <v>3785</v>
      </c>
      <c r="C1607" s="4" t="str">
        <f ca="1">IFERROR(__xludf.DUMMYFUNCTION("GOOGLETRANSLATE(D:D,""auto"",""en"")"),"Central enterprises has been zoned to 1.1 trillion yuan of social security")</f>
        <v>Central enterprises has been zoned to 1.1 trillion yuan of social security</v>
      </c>
      <c r="D1607" s="5" t="s">
        <v>3786</v>
      </c>
      <c r="E1607" s="4">
        <v>676076</v>
      </c>
    </row>
    <row r="1608" spans="1:5" ht="13.5" hidden="1" customHeight="1">
      <c r="A1608" s="4" t="s">
        <v>3787</v>
      </c>
      <c r="B1608" s="4" t="s">
        <v>3788</v>
      </c>
      <c r="C1608" s="4" t="str">
        <f ca="1">IFERROR(__xludf.DUMMYFUNCTION("GOOGLETRANSLATE(D:D,""auto"",""en"")"),"Chinese citizens were searched briefing at the Bangkok airport")</f>
        <v>Chinese citizens were searched briefing at the Bangkok airport</v>
      </c>
      <c r="D1608" s="5" t="s">
        <v>3789</v>
      </c>
      <c r="E1608" s="4">
        <v>675679</v>
      </c>
    </row>
    <row r="1609" spans="1:5" ht="13.5" hidden="1" customHeight="1">
      <c r="A1609" s="4" t="s">
        <v>3790</v>
      </c>
      <c r="B1609" s="4" t="s">
        <v>3791</v>
      </c>
      <c r="C1609" s="4" t="str">
        <f ca="1">IFERROR(__xludf.DUMMYFUNCTION("GOOGLETRANSLATE(D:D,""auto"",""en"")"),"Jiang Feng offline")</f>
        <v>Jiang Feng offline</v>
      </c>
      <c r="D1609" s="5" t="s">
        <v>3792</v>
      </c>
      <c r="E1609" s="4">
        <v>658958</v>
      </c>
    </row>
    <row r="1610" spans="1:5" ht="13.5" hidden="1" customHeight="1">
      <c r="A1610" s="4" t="s">
        <v>3793</v>
      </c>
      <c r="B1610" s="4" t="s">
        <v>3794</v>
      </c>
      <c r="C1610" s="4" t="str">
        <f ca="1">IFERROR(__xludf.DUMMYFUNCTION("GOOGLETRANSLATE(D:D,""auto"",""en"")"),"Jackie Chan Yang Yang eating cake")</f>
        <v>Jackie Chan Yang Yang eating cake</v>
      </c>
      <c r="D1610" s="5" t="s">
        <v>3795</v>
      </c>
      <c r="E1610" s="4">
        <v>652659</v>
      </c>
    </row>
    <row r="1611" spans="1:5" ht="13.5" hidden="1" customHeight="1">
      <c r="A1611" s="4" t="s">
        <v>3796</v>
      </c>
      <c r="B1611" s="4" t="s">
        <v>3797</v>
      </c>
      <c r="C1611" s="4" t="str">
        <f ca="1">IFERROR(__xludf.DUMMYFUNCTION("GOOGLETRANSLATE(D:D,""auto"",""en"")"),"Xining to fall into the trap or lost contact with air-raid shelter")</f>
        <v>Xining to fall into the trap or lost contact with air-raid shelter</v>
      </c>
      <c r="D1611" s="5" t="s">
        <v>3798</v>
      </c>
      <c r="E1611" s="4">
        <v>647382</v>
      </c>
    </row>
    <row r="1612" spans="1:5" ht="13.5" hidden="1" customHeight="1">
      <c r="A1612" s="4" t="s">
        <v>3799</v>
      </c>
      <c r="B1612" s="4" t="s">
        <v>3724</v>
      </c>
      <c r="C1612" s="4" t="str">
        <f ca="1">IFERROR(__xludf.DUMMYFUNCTION("GOOGLETRANSLATE(D:D,""auto"",""en"")"),"Green your passport 2 players")</f>
        <v>Green your passport 2 players</v>
      </c>
      <c r="D1612" s="5" t="s">
        <v>3800</v>
      </c>
      <c r="E1612" s="4">
        <v>637907</v>
      </c>
    </row>
    <row r="1613" spans="1:5" ht="13.5" hidden="1" customHeight="1">
      <c r="A1613" s="4" t="s">
        <v>3801</v>
      </c>
      <c r="B1613" s="4" t="s">
        <v>3802</v>
      </c>
      <c r="C1613" s="4" t="str">
        <f ca="1">IFERROR(__xludf.DUMMYFUNCTION("GOOGLETRANSLATE(D:D,""auto"",""en"")"),"Airports of Thailand was forced to search visitors sound")</f>
        <v>Airports of Thailand was forced to search visitors sound</v>
      </c>
      <c r="D1613" s="5" t="s">
        <v>3803</v>
      </c>
      <c r="E1613" s="4">
        <v>627198</v>
      </c>
    </row>
    <row r="1614" spans="1:5" ht="13.5" hidden="1" customHeight="1">
      <c r="A1614" s="4" t="s">
        <v>3661</v>
      </c>
      <c r="B1614" s="4" t="s">
        <v>3662</v>
      </c>
      <c r="C1614" s="4" t="str">
        <f ca="1">IFERROR(__xludf.DUMMYFUNCTION("GOOGLETRANSLATE(D:D,""auto"",""en"")"),"Circle of friends a beam of light background")</f>
        <v>Circle of friends a beam of light background</v>
      </c>
      <c r="D1614" s="5" t="s">
        <v>3663</v>
      </c>
      <c r="E1614" s="4">
        <v>617763</v>
      </c>
    </row>
    <row r="1615" spans="1:5" ht="13.5" hidden="1" customHeight="1">
      <c r="A1615" s="4" t="s">
        <v>3804</v>
      </c>
      <c r="B1615" s="4" t="s">
        <v>3805</v>
      </c>
      <c r="C1615" s="4" t="str">
        <f ca="1">IFERROR(__xludf.DUMMYFUNCTION("GOOGLETRANSLATE(D:D,""auto"",""en"")"),"Putin appointed Medvedev's new role")</f>
        <v>Putin appointed Medvedev's new role</v>
      </c>
      <c r="D1615" s="5" t="s">
        <v>3806</v>
      </c>
      <c r="E1615" s="4">
        <v>602742</v>
      </c>
    </row>
    <row r="1616" spans="1:5" ht="13.5" hidden="1" customHeight="1">
      <c r="A1616" s="4" t="s">
        <v>3807</v>
      </c>
      <c r="B1616" s="4" t="s">
        <v>3808</v>
      </c>
      <c r="C1616" s="4" t="str">
        <f ca="1">IFERROR(__xludf.DUMMYFUNCTION("GOOGLETRANSLATE(D:D,""auto"",""en"")"),"After seeing his girlfriend experience remover")</f>
        <v>After seeing his girlfriend experience remover</v>
      </c>
      <c r="D1616" s="5" t="s">
        <v>3809</v>
      </c>
      <c r="E1616" s="4">
        <v>597010</v>
      </c>
    </row>
    <row r="1617" spans="1:5" ht="13.5" hidden="1" customHeight="1">
      <c r="A1617" s="4" t="s">
        <v>3810</v>
      </c>
      <c r="B1617" s="4" t="s">
        <v>3811</v>
      </c>
      <c r="C1617" s="4" t="str">
        <f ca="1">IFERROR(__xludf.DUMMYFUNCTION("GOOGLETRANSLATE(D:D,""auto"",""en"")"),"One is called the awkward embarrassment for others")</f>
        <v>One is called the awkward embarrassment for others</v>
      </c>
      <c r="D1617" s="5" t="s">
        <v>3812</v>
      </c>
      <c r="E1617" s="4">
        <v>593096</v>
      </c>
    </row>
    <row r="1618" spans="1:5" ht="13.5" hidden="1" customHeight="1">
      <c r="A1618" s="4" t="s">
        <v>3813</v>
      </c>
      <c r="B1618" s="4" t="s">
        <v>3814</v>
      </c>
      <c r="C1618" s="4" t="str">
        <f ca="1">IFERROR(__xludf.DUMMYFUNCTION("GOOGLETRANSLATE(D:D,""auto"",""en"")"),"Chinese women's volleyball rights")</f>
        <v>Chinese women's volleyball rights</v>
      </c>
      <c r="D1618" s="5" t="s">
        <v>3815</v>
      </c>
      <c r="E1618" s="4">
        <v>531041</v>
      </c>
    </row>
    <row r="1619" spans="1:5" ht="13.5" hidden="1" customHeight="1">
      <c r="A1619" s="4" t="s">
        <v>3781</v>
      </c>
      <c r="B1619" s="4" t="s">
        <v>3816</v>
      </c>
      <c r="C1619" s="4" t="str">
        <f ca="1">IFERROR(__xludf.DUMMYFUNCTION("GOOGLETRANSLATE(D:D,""auto"",""en"")"),"Naen build thick brother was born")</f>
        <v>Naen build thick brother was born</v>
      </c>
      <c r="D1619" s="5" t="s">
        <v>3817</v>
      </c>
      <c r="E1619" s="4">
        <v>433453</v>
      </c>
    </row>
    <row r="1620" spans="1:5" ht="13.5" hidden="1" customHeight="1">
      <c r="A1620" s="4" t="s">
        <v>3818</v>
      </c>
      <c r="B1620" s="4" t="s">
        <v>3819</v>
      </c>
      <c r="C1620" s="4" t="str">
        <f ca="1">IFERROR(__xludf.DUMMYFUNCTION("GOOGLETRANSLATE(D:D,""auto"",""en"")"),"The amount of fat and more obvious how little people")</f>
        <v>The amount of fat and more obvious how little people</v>
      </c>
      <c r="D1620" s="5" t="s">
        <v>3820</v>
      </c>
      <c r="E1620" s="4">
        <v>424653</v>
      </c>
    </row>
    <row r="1621" spans="1:5" ht="13.5" hidden="1" customHeight="1">
      <c r="A1621" s="4" t="s">
        <v>3821</v>
      </c>
      <c r="B1621" s="4" t="s">
        <v>3822</v>
      </c>
      <c r="C1621" s="4" t="str">
        <f ca="1">IFERROR(__xludf.DUMMYFUNCTION("GOOGLETRANSLATE(D:D,""auto"",""en"")"),"Wu Yifan hollow glacier blue suit")</f>
        <v>Wu Yifan hollow glacier blue suit</v>
      </c>
      <c r="D1621" s="5" t="s">
        <v>3823</v>
      </c>
      <c r="E1621" s="4">
        <v>401963</v>
      </c>
    </row>
    <row r="1622" spans="1:5" ht="13.5" hidden="1" customHeight="1">
      <c r="A1622" s="4" t="s">
        <v>3824</v>
      </c>
      <c r="B1622" s="4" t="s">
        <v>3825</v>
      </c>
      <c r="C1622" s="4" t="str">
        <f ca="1">IFERROR(__xludf.DUMMYFUNCTION("GOOGLETRANSLATE(D:D,""auto"",""en"")"),"Three views substandard performance")</f>
        <v>Three views substandard performance</v>
      </c>
      <c r="D1622" s="5" t="s">
        <v>3826</v>
      </c>
      <c r="E1622" s="4">
        <v>319341</v>
      </c>
    </row>
    <row r="1623" spans="1:5" ht="13.5" hidden="1" customHeight="1">
      <c r="A1623" s="4" t="s">
        <v>3827</v>
      </c>
      <c r="B1623" s="4" t="s">
        <v>3828</v>
      </c>
      <c r="C1623" s="4" t="str">
        <f ca="1">IFERROR(__xludf.DUMMYFUNCTION("GOOGLETRANSLATE(D:D,""auto"",""en"")"),"Taobao account was closed in 1980")</f>
        <v>Taobao account was closed in 1980</v>
      </c>
      <c r="D1623" s="5" t="s">
        <v>3829</v>
      </c>
      <c r="E1623" s="4">
        <v>313947</v>
      </c>
    </row>
    <row r="1624" spans="1:5" ht="13.5" hidden="1" customHeight="1">
      <c r="A1624" s="4" t="s">
        <v>3830</v>
      </c>
      <c r="B1624" s="4" t="s">
        <v>3831</v>
      </c>
      <c r="C1624" s="4" t="str">
        <f ca="1">IFERROR(__xludf.DUMMYFUNCTION("GOOGLETRANSLATE(D:D,""auto"",""en"")"),"After the 90-year-old boy and 80-year vulgar graffiti painted uncle")</f>
        <v>After the 90-year-old boy and 80-year vulgar graffiti painted uncle</v>
      </c>
      <c r="D1624" s="5" t="s">
        <v>3832</v>
      </c>
      <c r="E1624" s="4">
        <v>306044</v>
      </c>
    </row>
    <row r="1625" spans="1:5" ht="13.5" hidden="1" customHeight="1">
      <c r="A1625" s="4" t="s">
        <v>3833</v>
      </c>
      <c r="B1625" s="4" t="s">
        <v>3834</v>
      </c>
      <c r="C1625" s="4" t="str">
        <f ca="1">IFERROR(__xludf.DUMMYFUNCTION("GOOGLETRANSLATE(D:D,""auto"",""en"")"),"R1SE earthy disco")</f>
        <v>R1SE earthy disco</v>
      </c>
      <c r="D1625" s="5" t="s">
        <v>3835</v>
      </c>
      <c r="E1625" s="4">
        <v>305483</v>
      </c>
    </row>
    <row r="1626" spans="1:5" ht="13.5" hidden="1" customHeight="1">
      <c r="A1626" s="4" t="s">
        <v>3836</v>
      </c>
      <c r="B1626" s="4" t="s">
        <v>3837</v>
      </c>
      <c r="C1626" s="4" t="str">
        <f ca="1">IFERROR(__xludf.DUMMYFUNCTION("GOOGLETRANSLATE(D:D,""auto"",""en"")"),"Guan Xiaotong rat bite bangs")</f>
        <v>Guan Xiaotong rat bite bangs</v>
      </c>
      <c r="D1626" s="5" t="s">
        <v>3838</v>
      </c>
      <c r="E1626" s="4">
        <v>303327</v>
      </c>
    </row>
    <row r="1627" spans="1:5" ht="13.5" hidden="1" customHeight="1">
      <c r="A1627" s="4" t="s">
        <v>3818</v>
      </c>
      <c r="B1627" s="4" t="s">
        <v>3839</v>
      </c>
      <c r="C1627" s="4" t="str">
        <f ca="1">IFERROR(__xludf.DUMMYFUNCTION("GOOGLETRANSLATE(D:D,""auto"",""en"")"),"High-speed service area those days was driven Restaurant")</f>
        <v>High-speed service area those days was driven Restaurant</v>
      </c>
      <c r="D1627" s="5" t="s">
        <v>3840</v>
      </c>
      <c r="E1627" s="4">
        <v>289391</v>
      </c>
    </row>
    <row r="1628" spans="1:5" ht="13.5" hidden="1" customHeight="1">
      <c r="A1628" s="4" t="s">
        <v>3841</v>
      </c>
      <c r="B1628" s="4" t="s">
        <v>3842</v>
      </c>
      <c r="C1628" s="4" t="str">
        <f ca="1">IFERROR(__xludf.DUMMYFUNCTION("GOOGLETRANSLATE(D:D,""auto"",""en"")"),"Turkish President declared send troops to Libya")</f>
        <v>Turkish President declared send troops to Libya</v>
      </c>
      <c r="D1628" s="5" t="s">
        <v>3843</v>
      </c>
      <c r="E1628" s="4">
        <v>274377</v>
      </c>
    </row>
    <row r="1629" spans="1:5" ht="13.5" hidden="1" customHeight="1">
      <c r="A1629" s="4" t="s">
        <v>3844</v>
      </c>
      <c r="B1629" s="4" t="s">
        <v>3845</v>
      </c>
      <c r="C1629" s="4" t="str">
        <f ca="1">IFERROR(__xludf.DUMMYFUNCTION("GOOGLETRANSLATE(D:D,""auto"",""en"")"),"How teachers want students to have a good year")</f>
        <v>How teachers want students to have a good year</v>
      </c>
      <c r="D1629" s="5" t="s">
        <v>3846</v>
      </c>
      <c r="E1629" s="4">
        <v>265380</v>
      </c>
    </row>
    <row r="1630" spans="1:5" ht="13.5" hidden="1" customHeight="1">
      <c r="A1630" s="4" t="s">
        <v>3847</v>
      </c>
      <c r="B1630" s="4" t="s">
        <v>3848</v>
      </c>
      <c r="C1630" s="4" t="str">
        <f ca="1">IFERROR(__xludf.DUMMYFUNCTION("GOOGLETRANSLATE(D:D,""auto"",""en"")"),"Diamond tassel high heels")</f>
        <v>Diamond tassel high heels</v>
      </c>
      <c r="D1630" s="5" t="s">
        <v>3849</v>
      </c>
      <c r="E1630" s="4">
        <v>245280</v>
      </c>
    </row>
    <row r="1631" spans="1:5" ht="13.5" hidden="1" customHeight="1">
      <c r="A1631" s="4" t="s">
        <v>3850</v>
      </c>
      <c r="B1631" s="4" t="s">
        <v>3834</v>
      </c>
      <c r="C1631" s="4" t="str">
        <f ca="1">IFERROR(__xludf.DUMMYFUNCTION("GOOGLETRANSLATE(D:D,""auto"",""en"")"),"Hardcore Mom sent 666 yuan dumplings package")</f>
        <v>Hardcore Mom sent 666 yuan dumplings package</v>
      </c>
      <c r="D1631" s="5" t="s">
        <v>3851</v>
      </c>
      <c r="E1631" s="4">
        <v>238857</v>
      </c>
    </row>
    <row r="1632" spans="1:5" ht="13.5" hidden="1" customHeight="1">
      <c r="A1632" s="4" t="s">
        <v>3852</v>
      </c>
      <c r="B1632" s="4" t="s">
        <v>3853</v>
      </c>
      <c r="C1632" s="4" t="str">
        <f ca="1">IFERROR(__xludf.DUMMYFUNCTION("GOOGLETRANSLATE(D:D,""auto"",""en"")"),"US Mission taxi cab GanXieFei offline")</f>
        <v>US Mission taxi cab GanXieFei offline</v>
      </c>
      <c r="D1632" s="5" t="s">
        <v>3854</v>
      </c>
      <c r="E1632" s="4">
        <v>232763</v>
      </c>
    </row>
    <row r="1633" spans="1:5" ht="13.5" hidden="1" customHeight="1">
      <c r="A1633" s="4" t="s">
        <v>3855</v>
      </c>
      <c r="B1633" s="4" t="s">
        <v>3856</v>
      </c>
      <c r="C1633" s="4" t="str">
        <f ca="1">IFERROR(__xludf.DUMMYFUNCTION("GOOGLETRANSLATE(D:D,""auto"",""en"")"),"2019 Hong Kong tourists decrease by 14.2%")</f>
        <v>2019 Hong Kong tourists decrease by 14.2%</v>
      </c>
      <c r="D1633" s="5" t="s">
        <v>3857</v>
      </c>
      <c r="E1633" s="4">
        <v>221764</v>
      </c>
    </row>
    <row r="1634" spans="1:5" ht="13.5" hidden="1" customHeight="1">
      <c r="A1634" s="4" t="s">
        <v>570</v>
      </c>
      <c r="B1634" s="4" t="s">
        <v>571</v>
      </c>
      <c r="C1634" s="4" t="str">
        <f ca="1">IFERROR(__xludf.DUMMYFUNCTION("GOOGLETRANSLATE(D:D,""auto"",""en"")"),"Wonderful say")</f>
        <v>Wonderful say</v>
      </c>
      <c r="D1634" s="5" t="s">
        <v>572</v>
      </c>
      <c r="E1634" s="4">
        <v>221674</v>
      </c>
    </row>
    <row r="1635" spans="1:5" ht="13.5" hidden="1" customHeight="1">
      <c r="A1635" s="4" t="s">
        <v>3858</v>
      </c>
      <c r="B1635" s="4" t="s">
        <v>3770</v>
      </c>
      <c r="C1635" s="4" t="str">
        <f ca="1">IFERROR(__xludf.DUMMYFUNCTION("GOOGLETRANSLATE(D:D,""auto"",""en"")"),"Zhu Yilong, said the show is more difficult than he thought")</f>
        <v>Zhu Yilong, said the show is more difficult than he thought</v>
      </c>
      <c r="D1635" s="5" t="s">
        <v>3859</v>
      </c>
      <c r="E1635" s="4">
        <v>216393</v>
      </c>
    </row>
    <row r="1636" spans="1:5" ht="13.5" hidden="1" customHeight="1">
      <c r="A1636" s="4" t="s">
        <v>3860</v>
      </c>
      <c r="B1636" s="4" t="s">
        <v>3861</v>
      </c>
      <c r="C1636" s="4" t="str">
        <f ca="1">IFERROR(__xludf.DUMMYFUNCTION("GOOGLETRANSLATE(D:D,""auto"",""en"")"),"FBI has been successfully unlocked iPhone")</f>
        <v>FBI has been successfully unlocked iPhone</v>
      </c>
      <c r="D1636" s="5" t="s">
        <v>3862</v>
      </c>
      <c r="E1636" s="4">
        <v>197885</v>
      </c>
    </row>
    <row r="1637" spans="1:5" ht="13.5" hidden="1" customHeight="1">
      <c r="A1637" s="4" t="s">
        <v>3863</v>
      </c>
      <c r="B1637" s="4" t="s">
        <v>3864</v>
      </c>
      <c r="C1637" s="4" t="str">
        <f ca="1">IFERROR(__xludf.DUMMYFUNCTION("GOOGLETRANSLATE(D:D,""auto"",""en"")"),"Moon ear bone screws")</f>
        <v>Moon ear bone screws</v>
      </c>
      <c r="D1637" s="5" t="s">
        <v>3865</v>
      </c>
      <c r="E1637" s="4">
        <v>197206</v>
      </c>
    </row>
    <row r="1638" spans="1:5" ht="13.5" hidden="1" customHeight="1">
      <c r="A1638" s="4" t="s">
        <v>3866</v>
      </c>
      <c r="B1638" s="4" t="s">
        <v>3710</v>
      </c>
      <c r="C1638" s="4" t="str">
        <f ca="1">IFERROR(__xludf.DUMMYFUNCTION("GOOGLETRANSLATE(D:D,""auto"",""en"")"),"Girls makeup hardest step")</f>
        <v>Girls makeup hardest step</v>
      </c>
      <c r="D1638" s="5" t="s">
        <v>3867</v>
      </c>
      <c r="E1638" s="4">
        <v>196781</v>
      </c>
    </row>
    <row r="1639" spans="1:5" ht="13.5" hidden="1" customHeight="1">
      <c r="A1639" s="4" t="s">
        <v>3868</v>
      </c>
      <c r="B1639" s="4" t="s">
        <v>3869</v>
      </c>
      <c r="C1639" s="4" t="str">
        <f ca="1">IFERROR(__xludf.DUMMYFUNCTION("GOOGLETRANSLATE(D:D,""auto"",""en"")"),"How satisfied winter vacation home for parents")</f>
        <v>How satisfied winter vacation home for parents</v>
      </c>
      <c r="D1639" s="5" t="s">
        <v>3870</v>
      </c>
      <c r="E1639" s="4">
        <v>165842</v>
      </c>
    </row>
    <row r="1640" spans="1:5" ht="13.5" hidden="1" customHeight="1">
      <c r="A1640" s="4" t="s">
        <v>3830</v>
      </c>
      <c r="B1640" s="4" t="s">
        <v>3704</v>
      </c>
      <c r="C1640" s="4" t="str">
        <f ca="1">IFERROR(__xludf.DUMMYFUNCTION("GOOGLETRANSLATE(D:D,""auto"",""en"")"),"Northeast bath")</f>
        <v>Northeast bath</v>
      </c>
      <c r="D1640" s="5" t="s">
        <v>3871</v>
      </c>
      <c r="E1640" s="4">
        <v>165451</v>
      </c>
    </row>
    <row r="1641" spans="1:5" ht="13.5" hidden="1" customHeight="1">
      <c r="A1641" s="4" t="s">
        <v>3872</v>
      </c>
      <c r="B1641" s="4" t="s">
        <v>3873</v>
      </c>
      <c r="C1641" s="4" t="str">
        <f ca="1">IFERROR(__xludf.DUMMYFUNCTION("GOOGLETRANSLATE(D:D,""auto"",""en"")"),"Zhao Rui 16 points")</f>
        <v>Zhao Rui 16 points</v>
      </c>
      <c r="D1641" s="5" t="s">
        <v>3874</v>
      </c>
      <c r="E1641" s="4">
        <v>159233</v>
      </c>
    </row>
    <row r="1642" spans="1:5" ht="13.5" hidden="1" customHeight="1">
      <c r="A1642" s="4" t="s">
        <v>3875</v>
      </c>
      <c r="B1642" s="4" t="s">
        <v>3876</v>
      </c>
      <c r="C1642" s="4" t="str">
        <f ca="1">IFERROR(__xludf.DUMMYFUNCTION("GOOGLETRANSLATE(D:D,""auto"",""en"")"),"Fireman posing for the elderly grandson meal 1095 days")</f>
        <v>Fireman posing for the elderly grandson meal 1095 days</v>
      </c>
      <c r="D1642" s="5" t="s">
        <v>3877</v>
      </c>
      <c r="E1642" s="4">
        <v>156453</v>
      </c>
    </row>
    <row r="1643" spans="1:5" ht="13.5" hidden="1" customHeight="1">
      <c r="A1643" s="4" t="s">
        <v>3878</v>
      </c>
      <c r="B1643" s="4" t="s">
        <v>3879</v>
      </c>
      <c r="C1643" s="4" t="str">
        <f ca="1">IFERROR(__xludf.DUMMYFUNCTION("GOOGLETRANSLATE(D:D,""auto"",""en"")"),"Tucao boy my mother was like a holiday")</f>
        <v>Tucao boy my mother was like a holiday</v>
      </c>
      <c r="D1643" s="5" t="s">
        <v>3880</v>
      </c>
      <c r="E1643" s="4">
        <v>140425</v>
      </c>
    </row>
    <row r="1644" spans="1:5" ht="13.5" hidden="1" customHeight="1">
      <c r="A1644" s="4" t="s">
        <v>3868</v>
      </c>
      <c r="B1644" s="4" t="s">
        <v>3881</v>
      </c>
      <c r="C1644" s="4" t="str">
        <f ca="1">IFERROR(__xludf.DUMMYFUNCTION("GOOGLETRANSLATE(D:D,""auto"",""en"")"),"Magneto, Professor X elderly kiss")</f>
        <v>Magneto, Professor X elderly kiss</v>
      </c>
      <c r="D1644" s="5" t="s">
        <v>3882</v>
      </c>
      <c r="E1644" s="4">
        <v>137633</v>
      </c>
    </row>
    <row r="1645" spans="1:5" ht="13.5" hidden="1" customHeight="1">
      <c r="A1645" s="4" t="s">
        <v>3883</v>
      </c>
      <c r="B1645" s="4" t="s">
        <v>3884</v>
      </c>
      <c r="C1645" s="4" t="str">
        <f ca="1">IFERROR(__xludf.DUMMYFUNCTION("GOOGLETRANSLATE(D:D,""auto"",""en"")"),"Anonymous group off the vest in public")</f>
        <v>Anonymous group off the vest in public</v>
      </c>
      <c r="D1645" s="5" t="s">
        <v>3885</v>
      </c>
      <c r="E1645" s="4">
        <v>123761</v>
      </c>
    </row>
    <row r="1646" spans="1:5" ht="13.5" hidden="1" customHeight="1">
      <c r="A1646" s="4" t="s">
        <v>3886</v>
      </c>
      <c r="B1646" s="4" t="s">
        <v>3887</v>
      </c>
      <c r="C1646" s="4" t="str">
        <f ca="1">IFERROR(__xludf.DUMMYFUNCTION("GOOGLETRANSLATE(D:D,""auto"",""en"")"),"Paraplegic patient with the idea of ​​Coke")</f>
        <v>Paraplegic patient with the idea of ​​Coke</v>
      </c>
      <c r="D1646" s="5" t="s">
        <v>3888</v>
      </c>
      <c r="E1646" s="4">
        <v>111124</v>
      </c>
    </row>
    <row r="1647" spans="1:5" ht="13.5" hidden="1" customHeight="1">
      <c r="A1647" s="4" t="s">
        <v>3889</v>
      </c>
      <c r="B1647" s="4" t="s">
        <v>3890</v>
      </c>
      <c r="C1647" s="4" t="str">
        <f ca="1">IFERROR(__xludf.DUMMYFUNCTION("GOOGLETRANSLATE(D:D,""auto"",""en"")"),"Wedding car parked behind the high-speed Road, and other emergency vehicles")</f>
        <v>Wedding car parked behind the high-speed Road, and other emergency vehicles</v>
      </c>
      <c r="D1647" s="5" t="s">
        <v>3891</v>
      </c>
      <c r="E1647" s="4">
        <v>107119</v>
      </c>
    </row>
    <row r="1648" spans="1:5" ht="13.5" hidden="1" customHeight="1">
      <c r="A1648" s="4" t="s">
        <v>3892</v>
      </c>
      <c r="B1648" s="4" t="s">
        <v>3893</v>
      </c>
      <c r="C1648" s="4" t="str">
        <f ca="1">IFERROR(__xludf.DUMMYFUNCTION("GOOGLETRANSLATE(D:D,""auto"",""en"")"),"Russian State Duma as prime minister agreed Mishu Si Beijing")</f>
        <v>Russian State Duma as prime minister agreed Mishu Si Beijing</v>
      </c>
      <c r="D1648" s="5" t="s">
        <v>3894</v>
      </c>
      <c r="E1648" s="4">
        <v>106720</v>
      </c>
    </row>
    <row r="1649" spans="1:5" ht="13.5" hidden="1" customHeight="1">
      <c r="A1649" s="4" t="s">
        <v>3895</v>
      </c>
      <c r="B1649" s="4" t="s">
        <v>3896</v>
      </c>
      <c r="C1649" s="4" t="str">
        <f ca="1">IFERROR(__xludf.DUMMYFUNCTION("GOOGLETRANSLATE(D:D,""auto"",""en"")"),"Only short-sighted people understand the pain")</f>
        <v>Only short-sighted people understand the pain</v>
      </c>
      <c r="D1649" s="5" t="s">
        <v>3897</v>
      </c>
      <c r="E1649" s="4">
        <v>103419</v>
      </c>
    </row>
    <row r="1650" spans="1:5" ht="13.5" hidden="1" customHeight="1">
      <c r="C1650" s="4" t="str">
        <f ca="1">IFERROR(__xludf.DUMMYFUNCTION("GOOGLETRANSLATE(D:D,""auto"",""en"")"),"#VALUE!")</f>
        <v>#VALUE!</v>
      </c>
    </row>
    <row r="1651" spans="1:5" ht="13.5" hidden="1" customHeight="1">
      <c r="A1651" s="4" t="s">
        <v>3898</v>
      </c>
      <c r="B1651" s="4" t="s">
        <v>3883</v>
      </c>
      <c r="C1651" s="4" t="str">
        <f ca="1">IFERROR(__xludf.DUMMYFUNCTION("GOOGLETRANSLATE(D:D,""auto"",""en"")"),"Chinese Shao received a threatening Express")</f>
        <v>Chinese Shao received a threatening Express</v>
      </c>
      <c r="D1651" s="4" t="s">
        <v>3899</v>
      </c>
      <c r="E1651" s="4">
        <v>4289582</v>
      </c>
    </row>
    <row r="1652" spans="1:5" ht="13.5" hidden="1" customHeight="1">
      <c r="A1652" s="4" t="s">
        <v>3900</v>
      </c>
      <c r="B1652" s="4" t="s">
        <v>3901</v>
      </c>
      <c r="C1652" s="4" t="str">
        <f ca="1">IFERROR(__xludf.DUMMYFUNCTION("GOOGLETRANSLATE(D:D,""auto"",""en"")"),"Song Weilong Zhao Jiali")</f>
        <v>Song Weilong Zhao Jiali</v>
      </c>
      <c r="D1652" s="5" t="s">
        <v>3902</v>
      </c>
      <c r="E1652" s="4">
        <v>2127823</v>
      </c>
    </row>
    <row r="1653" spans="1:5" ht="13.5" hidden="1" customHeight="1">
      <c r="A1653" s="4" t="s">
        <v>3903</v>
      </c>
      <c r="B1653" s="4" t="s">
        <v>3796</v>
      </c>
      <c r="C1653" s="4" t="str">
        <f ca="1">IFERROR(__xludf.DUMMYFUNCTION("GOOGLETRANSLATE(D:D,""auto"",""en"")"),"HyunA dreadlocks")</f>
        <v>HyunA dreadlocks</v>
      </c>
      <c r="D1653" s="5" t="s">
        <v>3904</v>
      </c>
      <c r="E1653" s="4">
        <v>1940734</v>
      </c>
    </row>
    <row r="1654" spans="1:5" ht="13.5" hidden="1" customHeight="1">
      <c r="A1654" s="4" t="s">
        <v>3905</v>
      </c>
      <c r="B1654" s="4" t="s">
        <v>3906</v>
      </c>
      <c r="C1654" s="4" t="str">
        <f ca="1">IFERROR(__xludf.DUMMYFUNCTION("GOOGLETRANSLATE(D:D,""auto"",""en"")"),"Recent Sicong")</f>
        <v>Recent Sicong</v>
      </c>
      <c r="D1654" s="5" t="s">
        <v>3907</v>
      </c>
      <c r="E1654" s="4">
        <v>1060174</v>
      </c>
    </row>
    <row r="1655" spans="1:5" ht="13.5" hidden="1" customHeight="1">
      <c r="A1655" s="4" t="s">
        <v>3841</v>
      </c>
      <c r="B1655" s="4" t="s">
        <v>3886</v>
      </c>
      <c r="C1655" s="4" t="str">
        <f ca="1">IFERROR(__xludf.DUMMYFUNCTION("GOOGLETRANSLATE(D:D,""auto"",""en"")"),"Two Chinese tourists died in accidents in Iceland")</f>
        <v>Two Chinese tourists died in accidents in Iceland</v>
      </c>
      <c r="D1655" s="5" t="s">
        <v>3908</v>
      </c>
      <c r="E1655" s="4">
        <v>1047123</v>
      </c>
    </row>
    <row r="1656" spans="1:5" ht="13.5" hidden="1" customHeight="1">
      <c r="A1656" s="4" t="s">
        <v>3909</v>
      </c>
      <c r="B1656" s="4" t="s">
        <v>3910</v>
      </c>
      <c r="C1656" s="4" t="str">
        <f ca="1">IFERROR(__xludf.DUMMYFUNCTION("GOOGLETRANSLATE(D:D,""auto"",""en"")"),"Chinese mainland total population exceeded 1.4 billion")</f>
        <v>Chinese mainland total population exceeded 1.4 billion</v>
      </c>
      <c r="D1656" s="5" t="s">
        <v>3911</v>
      </c>
      <c r="E1656" s="4">
        <v>967493</v>
      </c>
    </row>
    <row r="1657" spans="1:5" ht="13.5" hidden="1" customHeight="1">
      <c r="A1657" s="4" t="s">
        <v>3912</v>
      </c>
      <c r="B1657" s="4" t="s">
        <v>3913</v>
      </c>
      <c r="C1657" s="4" t="str">
        <f ca="1">IFERROR(__xludf.DUMMYFUNCTION("GOOGLETRANSLATE(D:D,""auto"",""en"")"),"Dumplings earrings")</f>
        <v>Dumplings earrings</v>
      </c>
      <c r="D1657" s="5" t="s">
        <v>3914</v>
      </c>
      <c r="E1657" s="4">
        <v>926959</v>
      </c>
    </row>
    <row r="1658" spans="1:5" ht="13.5" hidden="1" customHeight="1">
      <c r="A1658" s="4" t="s">
        <v>3784</v>
      </c>
      <c r="B1658" s="4" t="s">
        <v>3785</v>
      </c>
      <c r="C1658" s="4" t="str">
        <f ca="1">IFERROR(__xludf.DUMMYFUNCTION("GOOGLETRANSLATE(D:D,""auto"",""en"")"),"Central enterprises has been zoned to 1.1 trillion yuan of social security")</f>
        <v>Central enterprises has been zoned to 1.1 trillion yuan of social security</v>
      </c>
      <c r="D1658" s="5" t="s">
        <v>3786</v>
      </c>
      <c r="E1658" s="4">
        <v>851600</v>
      </c>
    </row>
    <row r="1659" spans="1:5" ht="13.5" hidden="1" customHeight="1">
      <c r="A1659" s="4" t="s">
        <v>3915</v>
      </c>
      <c r="B1659" s="4" t="s">
        <v>3916</v>
      </c>
      <c r="C1659" s="4" t="str">
        <f ca="1">IFERROR(__xludf.DUMMYFUNCTION("GOOGLETRANSLATE(D:D,""auto"",""en"")"),"The world's longest cake 6.5 km")</f>
        <v>The world's longest cake 6.5 km</v>
      </c>
      <c r="D1659" s="5" t="s">
        <v>3917</v>
      </c>
      <c r="E1659" s="4">
        <v>794173</v>
      </c>
    </row>
    <row r="1660" spans="1:5" ht="13.5" hidden="1" customHeight="1">
      <c r="A1660" s="4" t="s">
        <v>3918</v>
      </c>
      <c r="B1660" s="4" t="s">
        <v>3813</v>
      </c>
      <c r="C1660" s="4" t="str">
        <f ca="1">IFERROR(__xludf.DUMMYFUNCTION("GOOGLETRANSLATE(D:D,""auto"",""en"")"),"In small")</f>
        <v>In small</v>
      </c>
      <c r="D1660" s="5" t="s">
        <v>3919</v>
      </c>
      <c r="E1660" s="4">
        <v>607964</v>
      </c>
    </row>
    <row r="1661" spans="1:5" ht="13.5" hidden="1" customHeight="1">
      <c r="A1661" s="4" t="s">
        <v>3841</v>
      </c>
      <c r="B1661" s="4" t="s">
        <v>3920</v>
      </c>
      <c r="C1661" s="4" t="str">
        <f ca="1">IFERROR(__xludf.DUMMYFUNCTION("GOOGLETRANSLATE(D:D,""auto"",""en"")"),"Australian rain ecstasy")</f>
        <v>Australian rain ecstasy</v>
      </c>
      <c r="D1661" s="5" t="s">
        <v>3921</v>
      </c>
      <c r="E1661" s="4">
        <v>483410</v>
      </c>
    </row>
    <row r="1662" spans="1:5" ht="13.5" hidden="1" customHeight="1">
      <c r="A1662" s="4" t="s">
        <v>3922</v>
      </c>
      <c r="B1662" s="4" t="s">
        <v>3923</v>
      </c>
      <c r="C1662" s="4" t="str">
        <f ca="1">IFERROR(__xludf.DUMMYFUNCTION("GOOGLETRANSLATE(D:D,""auto"",""en"")"),"China's per capita GDP exceeded $ 10,000")</f>
        <v>China's per capita GDP exceeded $ 10,000</v>
      </c>
      <c r="D1662" s="5" t="s">
        <v>3924</v>
      </c>
      <c r="E1662" s="4">
        <v>363071</v>
      </c>
    </row>
    <row r="1663" spans="1:5" ht="13.5" hidden="1" customHeight="1">
      <c r="A1663" s="4" t="s">
        <v>3925</v>
      </c>
      <c r="B1663" s="4" t="s">
        <v>3926</v>
      </c>
      <c r="C1663" s="4" t="str">
        <f ca="1">IFERROR(__xludf.DUMMYFUNCTION("GOOGLETRANSLATE(D:D,""auto"",""en"")"),"2019 Chinese people spend 10 trillion yuan online shopping")</f>
        <v>2019 Chinese people spend 10 trillion yuan online shopping</v>
      </c>
      <c r="D1663" s="5" t="s">
        <v>3927</v>
      </c>
      <c r="E1663" s="4">
        <v>327697</v>
      </c>
    </row>
    <row r="1664" spans="1:5" ht="13.5" hidden="1" customHeight="1">
      <c r="A1664" s="4" t="s">
        <v>3928</v>
      </c>
      <c r="B1664" s="4" t="s">
        <v>3929</v>
      </c>
      <c r="C1664" s="4" t="str">
        <f ca="1">IFERROR(__xludf.DUMMYFUNCTION("GOOGLETRANSLATE(D:D,""auto"",""en"")"),"NBA All-Star third round results")</f>
        <v>NBA All-Star third round results</v>
      </c>
      <c r="D1664" s="5" t="s">
        <v>3930</v>
      </c>
      <c r="E1664" s="4">
        <v>307057</v>
      </c>
    </row>
    <row r="1665" spans="1:5" ht="13.5" hidden="1" customHeight="1">
      <c r="A1665" s="4" t="s">
        <v>3766</v>
      </c>
      <c r="B1665" s="4" t="s">
        <v>3767</v>
      </c>
      <c r="C1665" s="4" t="str">
        <f ca="1">IFERROR(__xludf.DUMMYFUNCTION("GOOGLETRANSLATE(D:D,""auto"",""en"")"),"Lucky grow up")</f>
        <v>Lucky grow up</v>
      </c>
      <c r="D1665" s="5" t="s">
        <v>3768</v>
      </c>
      <c r="E1665" s="4">
        <v>287307</v>
      </c>
    </row>
    <row r="1666" spans="1:5" ht="13.5" hidden="1" customHeight="1">
      <c r="A1666" s="4" t="s">
        <v>3931</v>
      </c>
      <c r="B1666" s="4" t="s">
        <v>3932</v>
      </c>
      <c r="C1666" s="4" t="str">
        <f ca="1">IFERROR(__xludf.DUMMYFUNCTION("GOOGLETRANSLATE(D:D,""auto"",""en"")"),"CCTV broadcast news broadcast eat off guard change")</f>
        <v>CCTV broadcast news broadcast eat off guard change</v>
      </c>
      <c r="D1666" s="5" t="s">
        <v>3933</v>
      </c>
      <c r="E1666" s="4">
        <v>286891</v>
      </c>
    </row>
    <row r="1667" spans="1:5" ht="13.5" hidden="1" customHeight="1">
      <c r="A1667" s="4" t="s">
        <v>3934</v>
      </c>
      <c r="B1667" s="4" t="s">
        <v>3935</v>
      </c>
      <c r="C1667" s="4" t="str">
        <f ca="1">IFERROR(__xludf.DUMMYFUNCTION("GOOGLETRANSLATE(D:D,""auto"",""en"")"),"Wow wow chirp Annual Meeting")</f>
        <v>Wow wow chirp Annual Meeting</v>
      </c>
      <c r="D1667" s="5" t="s">
        <v>3936</v>
      </c>
      <c r="E1667" s="4">
        <v>275073</v>
      </c>
    </row>
    <row r="1668" spans="1:5" ht="13.5" hidden="1" customHeight="1">
      <c r="A1668" s="4" t="s">
        <v>3937</v>
      </c>
      <c r="B1668" s="4" t="s">
        <v>3850</v>
      </c>
      <c r="C1668" s="4" t="str">
        <f ca="1">IFERROR(__xludf.DUMMYFUNCTION("GOOGLETRANSLATE(D:D,""auto"",""en"")"),"The first time you wear contact lenses")</f>
        <v>The first time you wear contact lenses</v>
      </c>
      <c r="D1668" s="5" t="s">
        <v>3938</v>
      </c>
      <c r="E1668" s="4">
        <v>270813</v>
      </c>
    </row>
    <row r="1669" spans="1:5" ht="13.5" hidden="1" customHeight="1">
      <c r="A1669" s="4" t="s">
        <v>3939</v>
      </c>
      <c r="B1669" s="4" t="s">
        <v>3787</v>
      </c>
      <c r="C1669" s="4" t="str">
        <f ca="1">IFERROR(__xludf.DUMMYFUNCTION("GOOGLETRANSLATE(D:D,""auto"",""en"")"),"JJ reverse punch fans")</f>
        <v>JJ reverse punch fans</v>
      </c>
      <c r="D1669" s="5" t="s">
        <v>3940</v>
      </c>
      <c r="E1669" s="4">
        <v>262007</v>
      </c>
    </row>
    <row r="1670" spans="1:5" ht="13.5" hidden="1" customHeight="1">
      <c r="A1670" s="4" t="s">
        <v>3941</v>
      </c>
      <c r="B1670" s="4" t="s">
        <v>3942</v>
      </c>
      <c r="C1670" s="4" t="str">
        <f ca="1">IFERROR(__xludf.DUMMYFUNCTION("GOOGLETRANSLATE(D:D,""auto"",""en"")"),"Physics teacher between classes to do fun experiments")</f>
        <v>Physics teacher between classes to do fun experiments</v>
      </c>
      <c r="D1670" s="5" t="s">
        <v>3943</v>
      </c>
      <c r="E1670" s="4">
        <v>261493</v>
      </c>
    </row>
    <row r="1671" spans="1:5" ht="13.5" hidden="1" customHeight="1">
      <c r="A1671" s="4" t="s">
        <v>3944</v>
      </c>
      <c r="B1671" s="4" t="s">
        <v>3945</v>
      </c>
      <c r="C1671" s="4" t="str">
        <f ca="1">IFERROR(__xludf.DUMMYFUNCTION("GOOGLETRANSLATE(D:D,""auto"",""en"")"),"More than quantum fluctuations in speed reading training institutions have been shut down")</f>
        <v>More than quantum fluctuations in speed reading training institutions have been shut down</v>
      </c>
      <c r="D1671" s="5" t="s">
        <v>3946</v>
      </c>
      <c r="E1671" s="4">
        <v>254723</v>
      </c>
    </row>
    <row r="1672" spans="1:5" ht="13.5" hidden="1" customHeight="1">
      <c r="A1672" s="4" t="s">
        <v>3947</v>
      </c>
      <c r="B1672" s="4" t="s">
        <v>3948</v>
      </c>
      <c r="C1672" s="4" t="str">
        <f ca="1">IFERROR(__xludf.DUMMYFUNCTION("GOOGLETRANSLATE(D:D,""auto"",""en"")"),"University President to send 200 red envelopes school students")</f>
        <v>University President to send 200 red envelopes school students</v>
      </c>
      <c r="D1672" s="5" t="s">
        <v>3949</v>
      </c>
      <c r="E1672" s="4">
        <v>182767</v>
      </c>
    </row>
    <row r="1673" spans="1:5" ht="13.5" hidden="1" customHeight="1">
      <c r="A1673" s="4" t="s">
        <v>3950</v>
      </c>
      <c r="B1673" s="4" t="s">
        <v>3951</v>
      </c>
      <c r="C1673" s="4" t="str">
        <f ca="1">IFERROR(__xludf.DUMMYFUNCTION("GOOGLETRANSLATE(D:D,""auto"",""en"")"),"Encounter five years ago to save their loved ones firefighter kneel Thanksgiving")</f>
        <v>Encounter five years ago to save their loved ones firefighter kneel Thanksgiving</v>
      </c>
      <c r="D1673" s="5" t="s">
        <v>3952</v>
      </c>
      <c r="E1673" s="4">
        <v>171201</v>
      </c>
    </row>
    <row r="1674" spans="1:5" ht="13.5" hidden="1" customHeight="1">
      <c r="A1674" s="4" t="s">
        <v>3953</v>
      </c>
      <c r="B1674" s="4" t="s">
        <v>3951</v>
      </c>
      <c r="C1674" s="4" t="str">
        <f ca="1">IFERROR(__xludf.DUMMYFUNCTION("GOOGLETRANSLATE(D:D,""auto"",""en"")"),"Desert Xuehai")</f>
        <v>Desert Xuehai</v>
      </c>
      <c r="D1674" s="5" t="s">
        <v>3954</v>
      </c>
      <c r="E1674" s="4">
        <v>164176</v>
      </c>
    </row>
    <row r="1675" spans="1:5" ht="13.5" hidden="1" customHeight="1">
      <c r="A1675" s="4" t="s">
        <v>3807</v>
      </c>
      <c r="B1675" s="4" t="s">
        <v>3808</v>
      </c>
      <c r="C1675" s="4" t="str">
        <f ca="1">IFERROR(__xludf.DUMMYFUNCTION("GOOGLETRANSLATE(D:D,""auto"",""en"")"),"After seeing his girlfriend experience remover")</f>
        <v>After seeing his girlfriend experience remover</v>
      </c>
      <c r="D1675" s="5" t="s">
        <v>3809</v>
      </c>
      <c r="E1675" s="4">
        <v>160861</v>
      </c>
    </row>
    <row r="1676" spans="1:5" ht="13.5" hidden="1" customHeight="1">
      <c r="A1676" s="4" t="s">
        <v>3955</v>
      </c>
      <c r="B1676" s="4" t="s">
        <v>3956</v>
      </c>
      <c r="C1676" s="4" t="str">
        <f ca="1">IFERROR(__xludf.DUMMYFUNCTION("GOOGLETRANSLATE(D:D,""auto"",""en"")"),"Ingram lore")</f>
        <v>Ingram lore</v>
      </c>
      <c r="D1676" s="5" t="s">
        <v>3957</v>
      </c>
      <c r="E1676" s="4">
        <v>153187</v>
      </c>
    </row>
    <row r="1677" spans="1:5" ht="13.5" hidden="1" customHeight="1">
      <c r="A1677" s="4" t="s">
        <v>3778</v>
      </c>
      <c r="B1677" s="4" t="s">
        <v>3779</v>
      </c>
      <c r="C1677" s="4" t="str">
        <f ca="1">IFERROR(__xludf.DUMMYFUNCTION("GOOGLETRANSLATE(D:D,""auto"",""en"")"),"Twins")</f>
        <v>Twins</v>
      </c>
      <c r="D1677" s="5" t="s">
        <v>3780</v>
      </c>
      <c r="E1677" s="4">
        <v>134542</v>
      </c>
    </row>
    <row r="1678" spans="1:5" ht="13.5" hidden="1" customHeight="1">
      <c r="A1678" s="4" t="s">
        <v>3841</v>
      </c>
      <c r="B1678" s="4" t="s">
        <v>3842</v>
      </c>
      <c r="C1678" s="4" t="str">
        <f ca="1">IFERROR(__xludf.DUMMYFUNCTION("GOOGLETRANSLATE(D:D,""auto"",""en"")"),"Turkish President declared send troops to Libya")</f>
        <v>Turkish President declared send troops to Libya</v>
      </c>
      <c r="D1678" s="5" t="s">
        <v>3843</v>
      </c>
      <c r="E1678" s="4">
        <v>122393</v>
      </c>
    </row>
    <row r="1679" spans="1:5" ht="13.5" hidden="1" customHeight="1">
      <c r="A1679" s="4" t="s">
        <v>3772</v>
      </c>
      <c r="B1679" s="4" t="s">
        <v>3773</v>
      </c>
      <c r="C1679" s="4" t="str">
        <f ca="1">IFERROR(__xludf.DUMMYFUNCTION("GOOGLETRANSLATE(D:D,""auto"",""en"")"),"Zhang Yun Lei operation went very well")</f>
        <v>Zhang Yun Lei operation went very well</v>
      </c>
      <c r="D1679" s="5" t="s">
        <v>3774</v>
      </c>
      <c r="E1679" s="4">
        <v>118506</v>
      </c>
    </row>
    <row r="1680" spans="1:5" ht="13.5" hidden="1" customHeight="1">
      <c r="A1680" s="4" t="s">
        <v>3810</v>
      </c>
      <c r="B1680" s="4" t="s">
        <v>3811</v>
      </c>
      <c r="C1680" s="4" t="str">
        <f ca="1">IFERROR(__xludf.DUMMYFUNCTION("GOOGLETRANSLATE(D:D,""auto"",""en"")"),"One is called the awkward embarrassment for others")</f>
        <v>One is called the awkward embarrassment for others</v>
      </c>
      <c r="D1680" s="5" t="s">
        <v>3812</v>
      </c>
      <c r="E1680" s="4">
        <v>114566</v>
      </c>
    </row>
    <row r="1681" spans="1:5" ht="13.5" hidden="1" customHeight="1">
      <c r="A1681" s="4" t="s">
        <v>3958</v>
      </c>
      <c r="B1681" s="4" t="s">
        <v>3959</v>
      </c>
      <c r="C1681" s="4" t="str">
        <f ca="1">IFERROR(__xludf.DUMMYFUNCTION("GOOGLETRANSLATE(D:D,""auto"",""en"")"),"Scotland to prohibit children practicing header")</f>
        <v>Scotland to prohibit children practicing header</v>
      </c>
      <c r="D1681" s="5" t="s">
        <v>3960</v>
      </c>
      <c r="E1681" s="4">
        <v>112526</v>
      </c>
    </row>
    <row r="1682" spans="1:5" ht="13.5" hidden="1" customHeight="1">
      <c r="A1682" s="4" t="s">
        <v>3961</v>
      </c>
      <c r="B1682" s="4" t="s">
        <v>3962</v>
      </c>
      <c r="C1682" s="4" t="str">
        <f ca="1">IFERROR(__xludf.DUMMYFUNCTION("GOOGLETRANSLATE(D:D,""auto"",""en"")"),"Sichuan-Tibet Railway Co., Ltd. was established")</f>
        <v>Sichuan-Tibet Railway Co., Ltd. was established</v>
      </c>
      <c r="D1682" s="5" t="s">
        <v>3963</v>
      </c>
      <c r="E1682" s="4">
        <v>109268</v>
      </c>
    </row>
    <row r="1683" spans="1:5" ht="13.5" hidden="1" customHeight="1">
      <c r="A1683" s="4" t="s">
        <v>3855</v>
      </c>
      <c r="B1683" s="4" t="s">
        <v>3856</v>
      </c>
      <c r="C1683" s="4" t="str">
        <f ca="1">IFERROR(__xludf.DUMMYFUNCTION("GOOGLETRANSLATE(D:D,""auto"",""en"")"),"2019 Hong Kong tourists decrease by 14.2%")</f>
        <v>2019 Hong Kong tourists decrease by 14.2%</v>
      </c>
      <c r="D1683" s="5" t="s">
        <v>3857</v>
      </c>
      <c r="E1683" s="4">
        <v>105759</v>
      </c>
    </row>
    <row r="1684" spans="1:5" ht="13.5" hidden="1" customHeight="1">
      <c r="A1684" s="4" t="s">
        <v>3964</v>
      </c>
      <c r="B1684" s="4" t="s">
        <v>3965</v>
      </c>
      <c r="C1684" s="4" t="str">
        <f ca="1">IFERROR(__xludf.DUMMYFUNCTION("GOOGLETRANSLATE(D:D,""auto"",""en"")"),"Change the mentality of the Chinese New Year eve")</f>
        <v>Change the mentality of the Chinese New Year eve</v>
      </c>
      <c r="D1684" s="5" t="s">
        <v>3966</v>
      </c>
      <c r="E1684" s="4">
        <v>105333</v>
      </c>
    </row>
    <row r="1685" spans="1:5" ht="13.5" hidden="1" customHeight="1">
      <c r="A1685" s="4" t="s">
        <v>3833</v>
      </c>
      <c r="B1685" s="4" t="s">
        <v>3834</v>
      </c>
      <c r="C1685" s="4" t="str">
        <f ca="1">IFERROR(__xludf.DUMMYFUNCTION("GOOGLETRANSLATE(D:D,""auto"",""en"")"),"R1SE earthy disco")</f>
        <v>R1SE earthy disco</v>
      </c>
      <c r="D1685" s="5" t="s">
        <v>3835</v>
      </c>
      <c r="E1685" s="4">
        <v>101048</v>
      </c>
    </row>
    <row r="1686" spans="1:5" ht="13.5" hidden="1" customHeight="1">
      <c r="A1686" s="4" t="s">
        <v>3824</v>
      </c>
      <c r="B1686" s="4" t="s">
        <v>3825</v>
      </c>
      <c r="C1686" s="4" t="str">
        <f ca="1">IFERROR(__xludf.DUMMYFUNCTION("GOOGLETRANSLATE(D:D,""auto"",""en"")"),"Three views substandard performance")</f>
        <v>Three views substandard performance</v>
      </c>
      <c r="D1686" s="5" t="s">
        <v>3826</v>
      </c>
      <c r="E1686" s="4">
        <v>100401</v>
      </c>
    </row>
    <row r="1687" spans="1:5" ht="13.5" hidden="1" customHeight="1">
      <c r="A1687" s="4" t="s">
        <v>3964</v>
      </c>
      <c r="B1687" s="4" t="s">
        <v>3967</v>
      </c>
      <c r="C1687" s="4" t="str">
        <f ca="1">IFERROR(__xludf.DUMMYFUNCTION("GOOGLETRANSLATE(D:D,""auto"",""en"")"),"Australia's successful rescue of endangered species")</f>
        <v>Australia's successful rescue of endangered species</v>
      </c>
      <c r="D1687" s="5" t="s">
        <v>3968</v>
      </c>
      <c r="E1687" s="4">
        <v>95640</v>
      </c>
    </row>
    <row r="1688" spans="1:5" ht="13.5" hidden="1" customHeight="1">
      <c r="A1688" s="4" t="s">
        <v>3769</v>
      </c>
      <c r="B1688" s="4" t="s">
        <v>3770</v>
      </c>
      <c r="C1688" s="4" t="str">
        <f ca="1">IFERROR(__xludf.DUMMYFUNCTION("GOOGLETRANSLATE(D:D,""auto"",""en"")"),"Maserati driver refused to kneel down to apologize")</f>
        <v>Maserati driver refused to kneel down to apologize</v>
      </c>
      <c r="D1688" s="5" t="s">
        <v>3771</v>
      </c>
      <c r="E1688" s="4">
        <v>82614</v>
      </c>
    </row>
    <row r="1689" spans="1:5" ht="13.5" hidden="1" customHeight="1">
      <c r="A1689" s="4" t="s">
        <v>3847</v>
      </c>
      <c r="B1689" s="4" t="s">
        <v>3848</v>
      </c>
      <c r="C1689" s="4" t="str">
        <f ca="1">IFERROR(__xludf.DUMMYFUNCTION("GOOGLETRANSLATE(D:D,""auto"",""en"")"),"Diamond tassel high heels")</f>
        <v>Diamond tassel high heels</v>
      </c>
      <c r="D1689" s="5" t="s">
        <v>3849</v>
      </c>
      <c r="E1689" s="4">
        <v>78901</v>
      </c>
    </row>
    <row r="1690" spans="1:5" ht="13.5" hidden="1" customHeight="1">
      <c r="A1690" s="4" t="s">
        <v>3821</v>
      </c>
      <c r="B1690" s="4" t="s">
        <v>3822</v>
      </c>
      <c r="C1690" s="4" t="str">
        <f ca="1">IFERROR(__xludf.DUMMYFUNCTION("GOOGLETRANSLATE(D:D,""auto"",""en"")"),"Wu Yifan hollow glacier blue suit")</f>
        <v>Wu Yifan hollow glacier blue suit</v>
      </c>
      <c r="D1690" s="5" t="s">
        <v>3823</v>
      </c>
      <c r="E1690" s="4">
        <v>77953</v>
      </c>
    </row>
    <row r="1691" spans="1:5" ht="13.5" hidden="1" customHeight="1">
      <c r="A1691" s="4" t="s">
        <v>3969</v>
      </c>
      <c r="B1691" s="4" t="s">
        <v>3970</v>
      </c>
      <c r="C1691" s="4" t="str">
        <f ca="1">IFERROR(__xludf.DUMMYFUNCTION("GOOGLETRANSLATE(D:D,""auto"",""en"")"),"Telecom responded LNP pay 50,000 compensation")</f>
        <v>Telecom responded LNP pay 50,000 compensation</v>
      </c>
      <c r="D1691" s="5" t="s">
        <v>3971</v>
      </c>
      <c r="E1691" s="4">
        <v>76418</v>
      </c>
    </row>
    <row r="1692" spans="1:5" ht="13.5" hidden="1" customHeight="1">
      <c r="A1692" s="4" t="s">
        <v>3972</v>
      </c>
      <c r="B1692" s="4" t="s">
        <v>3906</v>
      </c>
      <c r="C1692" s="4" t="str">
        <f ca="1">IFERROR(__xludf.DUMMYFUNCTION("GOOGLETRANSLATE(D:D,""auto"",""en"")"),"The EU intends to disable face recognition in public places")</f>
        <v>The EU intends to disable face recognition in public places</v>
      </c>
      <c r="D1692" s="5" t="s">
        <v>3973</v>
      </c>
      <c r="E1692" s="4">
        <v>76403</v>
      </c>
    </row>
    <row r="1693" spans="1:5" ht="13.5" hidden="1" customHeight="1">
      <c r="A1693" s="4" t="s">
        <v>3974</v>
      </c>
      <c r="B1693" s="4" t="s">
        <v>3975</v>
      </c>
      <c r="C1693" s="4" t="str">
        <f ca="1">IFERROR(__xludf.DUMMYFUNCTION("GOOGLETRANSLATE(D:D,""auto"",""en"")"),"CCTV Spring Festival Evening show a single network")</f>
        <v>CCTV Spring Festival Evening show a single network</v>
      </c>
      <c r="D1693" s="5" t="s">
        <v>3976</v>
      </c>
      <c r="E1693" s="4">
        <v>76094</v>
      </c>
    </row>
    <row r="1694" spans="1:5" ht="13.5" hidden="1" customHeight="1">
      <c r="A1694" s="4" t="s">
        <v>3977</v>
      </c>
      <c r="B1694" s="4" t="s">
        <v>3790</v>
      </c>
      <c r="C1694" s="4" t="str">
        <f ca="1">IFERROR(__xludf.DUMMYFUNCTION("GOOGLETRANSLATE(D:D,""auto"",""en"")"),"Cyberpunk 2077 bouncing")</f>
        <v>Cyberpunk 2077 bouncing</v>
      </c>
      <c r="D1694" s="5" t="s">
        <v>3978</v>
      </c>
      <c r="E1694" s="4">
        <v>75861</v>
      </c>
    </row>
    <row r="1695" spans="1:5" ht="13.5" hidden="1" customHeight="1">
      <c r="A1695" s="4" t="s">
        <v>3979</v>
      </c>
      <c r="B1695" s="4" t="s">
        <v>3975</v>
      </c>
      <c r="C1695" s="4" t="str">
        <f ca="1">IFERROR(__xludf.DUMMYFUNCTION("GOOGLETRANSLATE(D:D,""auto"",""en"")"),"Tolkien's son died")</f>
        <v>Tolkien's son died</v>
      </c>
      <c r="D1695" s="5" t="s">
        <v>3980</v>
      </c>
      <c r="E1695" s="4">
        <v>75646</v>
      </c>
    </row>
    <row r="1696" spans="1:5" ht="13.5" hidden="1" customHeight="1">
      <c r="A1696" s="4" t="s">
        <v>3981</v>
      </c>
      <c r="B1696" s="4" t="s">
        <v>3982</v>
      </c>
      <c r="C1696" s="4" t="str">
        <f ca="1">IFERROR(__xludf.DUMMYFUNCTION("GOOGLETRANSLATE(D:D,""auto"",""en"")"),"The parents stubborn resistance to it")</f>
        <v>The parents stubborn resistance to it</v>
      </c>
      <c r="D1696" s="5" t="s">
        <v>3983</v>
      </c>
      <c r="E1696" s="4">
        <v>75504</v>
      </c>
    </row>
    <row r="1697" spans="1:5" ht="13.5" hidden="1" customHeight="1">
      <c r="A1697" s="4" t="s">
        <v>3775</v>
      </c>
      <c r="B1697" s="4" t="s">
        <v>3776</v>
      </c>
      <c r="C1697" s="4" t="str">
        <f ca="1">IFERROR(__xludf.DUMMYFUNCTION("GOOGLETRANSLATE(D:D,""auto"",""en"")"),"Fu Seoul do not represent this era out of parents")</f>
        <v>Fu Seoul do not represent this era out of parents</v>
      </c>
      <c r="D1697" s="5" t="s">
        <v>3777</v>
      </c>
      <c r="E1697" s="4">
        <v>72399</v>
      </c>
    </row>
    <row r="1698" spans="1:5" ht="13.5" hidden="1" customHeight="1">
      <c r="A1698" s="4" t="s">
        <v>3818</v>
      </c>
      <c r="B1698" s="4" t="s">
        <v>3839</v>
      </c>
      <c r="C1698" s="4" t="str">
        <f ca="1">IFERROR(__xludf.DUMMYFUNCTION("GOOGLETRANSLATE(D:D,""auto"",""en"")"),"High-speed service area those days was driven Restaurant")</f>
        <v>High-speed service area those days was driven Restaurant</v>
      </c>
      <c r="D1698" s="5" t="s">
        <v>3840</v>
      </c>
      <c r="E1698" s="4">
        <v>68405</v>
      </c>
    </row>
    <row r="1699" spans="1:5" ht="13.5" hidden="1" customHeight="1">
      <c r="A1699" s="4" t="s">
        <v>3818</v>
      </c>
      <c r="B1699" s="4" t="s">
        <v>3819</v>
      </c>
      <c r="C1699" s="4" t="str">
        <f ca="1">IFERROR(__xludf.DUMMYFUNCTION("GOOGLETRANSLATE(D:D,""auto"",""en"")"),"The amount of fat and more obvious how little people")</f>
        <v>The amount of fat and more obvious how little people</v>
      </c>
      <c r="D1699" s="5" t="s">
        <v>3820</v>
      </c>
      <c r="E1699" s="4">
        <v>66641</v>
      </c>
    </row>
    <row r="1700" spans="1:5" ht="13.5" hidden="1" customHeight="1">
      <c r="C1700" s="4" t="str">
        <f ca="1">IFERROR(__xludf.DUMMYFUNCTION("GOOGLETRANSLATE(D:D,""auto"",""en"")"),"#VALUE!")</f>
        <v>#VALUE!</v>
      </c>
    </row>
    <row r="1701" spans="1:5" ht="13.5" hidden="1" customHeight="1">
      <c r="A1701" s="4" t="s">
        <v>3984</v>
      </c>
      <c r="B1701" s="4" t="s">
        <v>3985</v>
      </c>
      <c r="C1701" s="4" t="str">
        <f ca="1">IFERROR(__xludf.DUMMYFUNCTION("GOOGLETRANSLATE(D:D,""auto"",""en"")"),"Weida Xun sing this age")</f>
        <v>Weida Xun sing this age</v>
      </c>
      <c r="D1701" s="4" t="s">
        <v>3986</v>
      </c>
      <c r="E1701" s="4">
        <v>1986911</v>
      </c>
    </row>
    <row r="1702" spans="1:5" ht="13.5" hidden="1" customHeight="1">
      <c r="A1702" s="4" t="s">
        <v>3987</v>
      </c>
      <c r="B1702" s="4" t="s">
        <v>3988</v>
      </c>
      <c r="C1702" s="4" t="str">
        <f ca="1">IFERROR(__xludf.DUMMYFUNCTION("GOOGLETRANSLATE(D:D,""auto"",""en"")"),"Our men than women, more than 30.49 million")</f>
        <v>Our men than women, more than 30.49 million</v>
      </c>
      <c r="D1702" s="5" t="s">
        <v>3989</v>
      </c>
      <c r="E1702" s="4">
        <v>819776</v>
      </c>
    </row>
    <row r="1703" spans="1:5" ht="13.5" hidden="1" customHeight="1">
      <c r="A1703" s="4" t="s">
        <v>3990</v>
      </c>
      <c r="B1703" s="4" t="s">
        <v>3905</v>
      </c>
      <c r="C1703" s="4" t="str">
        <f ca="1">IFERROR(__xludf.DUMMYFUNCTION("GOOGLETRANSLATE(D:D,""auto"",""en"")"),"Devon community sealing")</f>
        <v>Devon community sealing</v>
      </c>
      <c r="D1703" s="5" t="s">
        <v>3991</v>
      </c>
      <c r="E1703" s="4">
        <v>793293</v>
      </c>
    </row>
    <row r="1704" spans="1:5" ht="13.5" hidden="1" customHeight="1">
      <c r="A1704" s="4" t="s">
        <v>3992</v>
      </c>
      <c r="B1704" s="4" t="s">
        <v>3993</v>
      </c>
      <c r="C1704" s="4" t="str">
        <f ca="1">IFERROR(__xludf.DUMMYFUNCTION("GOOGLETRANSLATE(D:D,""auto"",""en"")"),"Wendy Zhang Yi test scores")</f>
        <v>Wendy Zhang Yi test scores</v>
      </c>
      <c r="D1704" s="5" t="s">
        <v>3994</v>
      </c>
      <c r="E1704" s="4">
        <v>731432</v>
      </c>
    </row>
    <row r="1705" spans="1:5" ht="13.5" hidden="1" customHeight="1">
      <c r="A1705" s="4" t="s">
        <v>959</v>
      </c>
      <c r="B1705" s="4" t="s">
        <v>960</v>
      </c>
      <c r="C1705" s="4" t="str">
        <f ca="1">IFERROR(__xludf.DUMMYFUNCTION("GOOGLETRANSLATE(D:D,""auto"",""en"")"),"Under Jinyi")</f>
        <v>Under Jinyi</v>
      </c>
      <c r="D1705" s="5" t="s">
        <v>961</v>
      </c>
      <c r="E1705" s="4">
        <v>697326</v>
      </c>
    </row>
    <row r="1706" spans="1:5" ht="13.5" hidden="1" customHeight="1">
      <c r="A1706" s="4" t="s">
        <v>3995</v>
      </c>
      <c r="B1706" s="4" t="s">
        <v>3996</v>
      </c>
      <c r="C1706" s="4" t="str">
        <f ca="1">IFERROR(__xludf.DUMMYFUNCTION("GOOGLETRANSLATE(D:D,""auto"",""en"")"),"Wu Jing cake to eat the props")</f>
        <v>Wu Jing cake to eat the props</v>
      </c>
      <c r="D1706" s="5" t="s">
        <v>3997</v>
      </c>
      <c r="E1706" s="4">
        <v>643901</v>
      </c>
    </row>
    <row r="1707" spans="1:5" ht="13.5" hidden="1" customHeight="1">
      <c r="A1707" s="4" t="s">
        <v>3998</v>
      </c>
      <c r="B1707" s="4" t="s">
        <v>3999</v>
      </c>
      <c r="C1707" s="4" t="str">
        <f ca="1">IFERROR(__xludf.DUMMYFUNCTION("GOOGLETRANSLATE(D:D,""auto"",""en"")"),"Maserati driver drunk driving trial crying")</f>
        <v>Maserati driver drunk driving trial crying</v>
      </c>
      <c r="D1707" s="5" t="s">
        <v>4000</v>
      </c>
      <c r="E1707" s="4">
        <v>467840</v>
      </c>
    </row>
    <row r="1708" spans="1:5" ht="13.5" hidden="1" customHeight="1">
      <c r="A1708" s="4" t="s">
        <v>4001</v>
      </c>
      <c r="B1708" s="4" t="s">
        <v>4002</v>
      </c>
      <c r="C1708" s="4" t="str">
        <f ca="1">IFERROR(__xludf.DUMMYFUNCTION("GOOGLETRANSLATE(D:D,""auto"",""en"")"),"25 Chinese tourists were slightly injured in a car accident in Nepal")</f>
        <v>25 Chinese tourists were slightly injured in a car accident in Nepal</v>
      </c>
      <c r="D1708" s="5" t="s">
        <v>4003</v>
      </c>
      <c r="E1708" s="4">
        <v>446385</v>
      </c>
    </row>
    <row r="1709" spans="1:5" ht="13.5" hidden="1" customHeight="1">
      <c r="A1709" s="4" t="s">
        <v>4004</v>
      </c>
      <c r="B1709" s="4" t="s">
        <v>4005</v>
      </c>
      <c r="C1709" s="4" t="str">
        <f ca="1">IFERROR(__xludf.DUMMYFUNCTION("GOOGLETRANSLATE(D:D,""auto"",""en"")"),"Comfort ZHU Guang right Nigel Amat group of comic monologues")</f>
        <v>Comfort ZHU Guang right Nigel Amat group of comic monologues</v>
      </c>
      <c r="D1709" s="5" t="s">
        <v>4006</v>
      </c>
      <c r="E1709" s="4">
        <v>440589</v>
      </c>
    </row>
    <row r="1710" spans="1:5" ht="13.5" hidden="1" customHeight="1">
      <c r="A1710" s="4" t="s">
        <v>4007</v>
      </c>
      <c r="B1710" s="4" t="s">
        <v>4008</v>
      </c>
      <c r="C1710" s="4" t="str">
        <f ca="1">IFERROR(__xludf.DUMMYFUNCTION("GOOGLETRANSLATE(D:D,""auto"",""en"")"),"Rocket Girl lyrics to Hey Sen")</f>
        <v>Rocket Girl lyrics to Hey Sen</v>
      </c>
      <c r="D1710" s="5" t="s">
        <v>4009</v>
      </c>
      <c r="E1710" s="4">
        <v>440353</v>
      </c>
    </row>
    <row r="1711" spans="1:5" ht="13.5" hidden="1" customHeight="1">
      <c r="A1711" s="4" t="s">
        <v>4010</v>
      </c>
      <c r="B1711" s="4" t="s">
        <v>4011</v>
      </c>
      <c r="C1711" s="4" t="str">
        <f ca="1">IFERROR(__xludf.DUMMYFUNCTION("GOOGLETRANSLATE(D:D,""auto"",""en"")"),"February overseas Chinese citizens passport Global Office")</f>
        <v>February overseas Chinese citizens passport Global Office</v>
      </c>
      <c r="D1711" s="5" t="s">
        <v>4012</v>
      </c>
      <c r="E1711" s="4">
        <v>438187</v>
      </c>
    </row>
    <row r="1712" spans="1:5" ht="13.5" hidden="1" customHeight="1">
      <c r="A1712" s="4" t="s">
        <v>4013</v>
      </c>
      <c r="B1712" s="4" t="s">
        <v>4014</v>
      </c>
      <c r="C1712" s="4" t="str">
        <f ca="1">IFERROR(__xludf.DUMMYFUNCTION("GOOGLETRANSLATE(D:D,""auto"",""en"")"),"eStar beat the FPX")</f>
        <v>eStar beat the FPX</v>
      </c>
      <c r="D1712" s="5" t="s">
        <v>4015</v>
      </c>
      <c r="E1712" s="4">
        <v>435839</v>
      </c>
    </row>
    <row r="1713" spans="1:5" ht="13.5" hidden="1" customHeight="1">
      <c r="A1713" s="4" t="s">
        <v>4016</v>
      </c>
      <c r="B1713" s="4" t="s">
        <v>4017</v>
      </c>
      <c r="C1713" s="4" t="str">
        <f ca="1">IFERROR(__xludf.DUMMYFUNCTION("GOOGLETRANSLATE(D:D,""auto"",""en"")"),"Culture &amp; Tourism Ministry to cancel qualification nine five-star hotel")</f>
        <v>Culture &amp; Tourism Ministry to cancel qualification nine five-star hotel</v>
      </c>
      <c r="D1713" s="5" t="s">
        <v>4018</v>
      </c>
      <c r="E1713" s="4">
        <v>433616</v>
      </c>
    </row>
    <row r="1714" spans="1:5" ht="13.5" hidden="1" customHeight="1">
      <c r="A1714" s="4" t="s">
        <v>3898</v>
      </c>
      <c r="B1714" s="4" t="s">
        <v>3883</v>
      </c>
      <c r="C1714" s="4" t="str">
        <f ca="1">IFERROR(__xludf.DUMMYFUNCTION("GOOGLETRANSLATE(D:D,""auto"",""en"")"),"Chinese Shao received a threatening Express")</f>
        <v>Chinese Shao received a threatening Express</v>
      </c>
      <c r="D1714" s="5" t="s">
        <v>3899</v>
      </c>
      <c r="E1714" s="4">
        <v>433304</v>
      </c>
    </row>
    <row r="1715" spans="1:5" ht="13.5" hidden="1" customHeight="1">
      <c r="A1715" s="4" t="s">
        <v>4019</v>
      </c>
      <c r="B1715" s="4" t="s">
        <v>4020</v>
      </c>
      <c r="C1715" s="4" t="str">
        <f ca="1">IFERROR(__xludf.DUMMYFUNCTION("GOOGLETRANSLATE(D:D,""auto"",""en"")"),"The second batch of national centralized procurement of drugs an average reduction of 53%")</f>
        <v>The second batch of national centralized procurement of drugs an average reduction of 53%</v>
      </c>
      <c r="D1715" s="5" t="s">
        <v>4021</v>
      </c>
      <c r="E1715" s="4">
        <v>431045</v>
      </c>
    </row>
    <row r="1716" spans="1:5" ht="13.5" hidden="1" customHeight="1">
      <c r="A1716" s="4" t="s">
        <v>4022</v>
      </c>
      <c r="B1716" s="4" t="s">
        <v>4023</v>
      </c>
      <c r="C1716" s="4" t="str">
        <f ca="1">IFERROR(__xludf.DUMMYFUNCTION("GOOGLETRANSLATE(D:D,""auto"",""en"")"),"Film Chinese women's volleyball team was renamed")</f>
        <v>Film Chinese women's volleyball team was renamed</v>
      </c>
      <c r="D1716" s="5" t="s">
        <v>4024</v>
      </c>
      <c r="E1716" s="4">
        <v>429065</v>
      </c>
    </row>
    <row r="1717" spans="1:5" ht="13.5" hidden="1" customHeight="1">
      <c r="A1717" s="4" t="s">
        <v>4025</v>
      </c>
      <c r="B1717" s="4" t="s">
        <v>4026</v>
      </c>
      <c r="C1717" s="4" t="str">
        <f ca="1">IFERROR(__xludf.DUMMYFUNCTION("GOOGLETRANSLATE(D:D,""auto"",""en"")"),"It was the most painful experience a physiological")</f>
        <v>It was the most painful experience a physiological</v>
      </c>
      <c r="D1717" s="5" t="s">
        <v>4027</v>
      </c>
      <c r="E1717" s="4">
        <v>426914</v>
      </c>
    </row>
    <row r="1718" spans="1:5" ht="13.5" hidden="1" customHeight="1">
      <c r="A1718" s="4" t="s">
        <v>4028</v>
      </c>
      <c r="B1718" s="4" t="s">
        <v>4029</v>
      </c>
      <c r="C1718" s="4" t="str">
        <f ca="1">IFERROR(__xludf.DUMMYFUNCTION("GOOGLETRANSLATE(D:D,""auto"",""en"")"),"Hua Wuque on-line")</f>
        <v>Hua Wuque on-line</v>
      </c>
      <c r="D1718" s="5" t="s">
        <v>4030</v>
      </c>
      <c r="E1718" s="4">
        <v>425714</v>
      </c>
    </row>
    <row r="1719" spans="1:5" ht="13.5" hidden="1" customHeight="1">
      <c r="A1719" s="4" t="s">
        <v>4031</v>
      </c>
      <c r="B1719" s="4" t="s">
        <v>4032</v>
      </c>
      <c r="C1719" s="4" t="str">
        <f ca="1">IFERROR(__xludf.DUMMYFUNCTION("GOOGLETRANSLATE(D:D,""auto"",""en"")"),"Start your mother call you yet")</f>
        <v>Start your mother call you yet</v>
      </c>
      <c r="D1719" s="5" t="s">
        <v>4033</v>
      </c>
      <c r="E1719" s="4">
        <v>422898</v>
      </c>
    </row>
    <row r="1720" spans="1:5" ht="13.5" hidden="1" customHeight="1">
      <c r="A1720" s="4" t="s">
        <v>4034</v>
      </c>
      <c r="B1720" s="4" t="s">
        <v>4035</v>
      </c>
      <c r="C1720" s="4" t="str">
        <f ca="1">IFERROR(__xludf.DUMMYFUNCTION("GOOGLETRANSLATE(D:D,""auto"",""en"")"),"Zhou Zhennan new hairstyle")</f>
        <v>Zhou Zhennan new hairstyle</v>
      </c>
      <c r="D1720" s="5" t="s">
        <v>4036</v>
      </c>
      <c r="E1720" s="4">
        <v>421404</v>
      </c>
    </row>
    <row r="1721" spans="1:5" ht="13.5" hidden="1" customHeight="1">
      <c r="A1721" s="4" t="s">
        <v>4037</v>
      </c>
      <c r="B1721" s="4" t="s">
        <v>4038</v>
      </c>
      <c r="C1721" s="4" t="str">
        <f ca="1">IFERROR(__xludf.DUMMYFUNCTION("GOOGLETRANSLATE(D:D,""auto"",""en"")"),"Eddie Oh Se-hoon in frame")</f>
        <v>Eddie Oh Se-hoon in frame</v>
      </c>
      <c r="D1721" s="5" t="s">
        <v>4039</v>
      </c>
      <c r="E1721" s="4">
        <v>421069</v>
      </c>
    </row>
    <row r="1722" spans="1:5" ht="13.5" hidden="1" customHeight="1">
      <c r="A1722" s="4" t="s">
        <v>4040</v>
      </c>
      <c r="B1722" s="4" t="s">
        <v>4041</v>
      </c>
      <c r="C1722" s="4" t="str">
        <f ca="1">IFERROR(__xludf.DUMMYFUNCTION("GOOGLETRANSLATE(D:D,""auto"",""en"")"),"Search and rescue dogs go to the doctor seized a small turtle hibernation")</f>
        <v>Search and rescue dogs go to the doctor seized a small turtle hibernation</v>
      </c>
      <c r="D1722" s="5" t="s">
        <v>4042</v>
      </c>
      <c r="E1722" s="4">
        <v>415760</v>
      </c>
    </row>
    <row r="1723" spans="1:5" ht="13.5" hidden="1" customHeight="1">
      <c r="A1723" s="4" t="s">
        <v>4043</v>
      </c>
      <c r="B1723" s="4" t="s">
        <v>4044</v>
      </c>
      <c r="C1723" s="4" t="str">
        <f ca="1">IFERROR(__xludf.DUMMYFUNCTION("GOOGLETRANSLATE(D:D,""auto"",""en"")"),"PDD")</f>
        <v>PDD</v>
      </c>
      <c r="D1723" s="5" t="s">
        <v>4045</v>
      </c>
      <c r="E1723" s="4">
        <v>383332</v>
      </c>
    </row>
    <row r="1724" spans="1:5" ht="13.5" hidden="1" customHeight="1">
      <c r="A1724" s="4" t="s">
        <v>4046</v>
      </c>
      <c r="B1724" s="4" t="s">
        <v>4047</v>
      </c>
      <c r="C1724" s="4" t="str">
        <f ca="1">IFERROR(__xludf.DUMMYFUNCTION("GOOGLETRANSLATE(D:D,""auto"",""en"")"),"Garrison Officers rotation departures")</f>
        <v>Garrison Officers rotation departures</v>
      </c>
      <c r="D1724" s="5" t="s">
        <v>4048</v>
      </c>
      <c r="E1724" s="4">
        <v>382992</v>
      </c>
    </row>
    <row r="1725" spans="1:5" ht="13.5" hidden="1" customHeight="1">
      <c r="A1725" s="4" t="s">
        <v>4049</v>
      </c>
      <c r="B1725" s="4" t="s">
        <v>4050</v>
      </c>
      <c r="C1725" s="4" t="str">
        <f ca="1">IFERROR(__xludf.DUMMYFUNCTION("GOOGLETRANSLATE(D:D,""auto"",""en"")"),"Zhang Kaiyi back")</f>
        <v>Zhang Kaiyi back</v>
      </c>
      <c r="D1725" s="5" t="s">
        <v>4051</v>
      </c>
      <c r="E1725" s="4">
        <v>368428</v>
      </c>
    </row>
    <row r="1726" spans="1:5" ht="13.5" hidden="1" customHeight="1">
      <c r="A1726" s="4" t="s">
        <v>4052</v>
      </c>
      <c r="B1726" s="4" t="s">
        <v>4053</v>
      </c>
      <c r="C1726" s="4" t="str">
        <f ca="1">IFERROR(__xludf.DUMMYFUNCTION("GOOGLETRANSLATE(D:D,""auto"",""en"")"),"In fact, 2020 has been finished")</f>
        <v>In fact, 2020 has been finished</v>
      </c>
      <c r="D1726" s="5" t="s">
        <v>4054</v>
      </c>
      <c r="E1726" s="4">
        <v>307603</v>
      </c>
    </row>
    <row r="1727" spans="1:5" ht="13.5" hidden="1" customHeight="1">
      <c r="A1727" s="4" t="s">
        <v>4055</v>
      </c>
      <c r="B1727" s="4" t="s">
        <v>4056</v>
      </c>
      <c r="C1727" s="4" t="str">
        <f ca="1">IFERROR(__xludf.DUMMYFUNCTION("GOOGLETRANSLATE(D:D,""auto"",""en"")"),"When Ao propylene see Monkey King Bar")</f>
        <v>When Ao propylene see Monkey King Bar</v>
      </c>
      <c r="D1727" s="5" t="s">
        <v>4057</v>
      </c>
      <c r="E1727" s="4">
        <v>244822</v>
      </c>
    </row>
    <row r="1728" spans="1:5" ht="13.5" hidden="1" customHeight="1">
      <c r="A1728" s="4" t="s">
        <v>3995</v>
      </c>
      <c r="B1728" s="4" t="s">
        <v>4058</v>
      </c>
      <c r="C1728" s="4" t="str">
        <f ca="1">IFERROR(__xludf.DUMMYFUNCTION("GOOGLETRANSLATE(D:D,""auto"",""en"")"),"The age of the baby fancy feast grandmother made bread")</f>
        <v>The age of the baby fancy feast grandmother made bread</v>
      </c>
      <c r="D1728" s="5" t="s">
        <v>4059</v>
      </c>
      <c r="E1728" s="4">
        <v>236157</v>
      </c>
    </row>
    <row r="1729" spans="1:5" ht="13.5" hidden="1" customHeight="1">
      <c r="A1729" s="4" t="s">
        <v>4060</v>
      </c>
      <c r="B1729" s="4" t="s">
        <v>4061</v>
      </c>
      <c r="C1729" s="4" t="str">
        <f ca="1">IFERROR(__xludf.DUMMYFUNCTION("GOOGLETRANSLATE(D:D,""auto"",""en"")"),"Beijing February 2 marriage registration appointment")</f>
        <v>Beijing February 2 marriage registration appointment</v>
      </c>
      <c r="D1729" s="5" t="s">
        <v>4062</v>
      </c>
      <c r="E1729" s="4">
        <v>232644</v>
      </c>
    </row>
    <row r="1730" spans="1:5" ht="13.5" hidden="1" customHeight="1">
      <c r="A1730" s="4" t="s">
        <v>4063</v>
      </c>
      <c r="B1730" s="4" t="s">
        <v>4064</v>
      </c>
      <c r="C1730" s="4" t="str">
        <f ca="1">IFERROR(__xludf.DUMMYFUNCTION("GOOGLETRANSLATE(D:D,""auto"",""en"")"),"Bloomer ultimate trailer")</f>
        <v>Bloomer ultimate trailer</v>
      </c>
      <c r="D1730" s="5" t="s">
        <v>4065</v>
      </c>
      <c r="E1730" s="4">
        <v>219232</v>
      </c>
    </row>
    <row r="1731" spans="1:5" ht="13.5" hidden="1" customHeight="1">
      <c r="A1731" s="4" t="s">
        <v>4066</v>
      </c>
      <c r="B1731" s="4" t="s">
        <v>4038</v>
      </c>
      <c r="C1731" s="4" t="str">
        <f ca="1">IFERROR(__xludf.DUMMYFUNCTION("GOOGLETRANSLATE(D:D,""auto"",""en"")"),"Party Secretary of the General Assembly on the cadres Rage")</f>
        <v>Party Secretary of the General Assembly on the cadres Rage</v>
      </c>
      <c r="D1731" s="5" t="s">
        <v>4067</v>
      </c>
      <c r="E1731" s="4">
        <v>217185</v>
      </c>
    </row>
    <row r="1732" spans="1:5" ht="13.5" hidden="1" customHeight="1">
      <c r="A1732" s="4" t="s">
        <v>4068</v>
      </c>
      <c r="B1732" s="4" t="s">
        <v>3939</v>
      </c>
      <c r="C1732" s="4" t="str">
        <f ca="1">IFERROR(__xludf.DUMMYFUNCTION("GOOGLETRANSLATE(D:D,""auto"",""en"")"),"Rule,")</f>
        <v>Rule,</v>
      </c>
      <c r="D1732" s="5" t="s">
        <v>4069</v>
      </c>
      <c r="E1732" s="4">
        <v>213428</v>
      </c>
    </row>
    <row r="1733" spans="1:5" ht="13.5" hidden="1" customHeight="1">
      <c r="A1733" s="4" t="s">
        <v>4070</v>
      </c>
      <c r="B1733" s="4" t="s">
        <v>4071</v>
      </c>
      <c r="C1733" s="4" t="str">
        <f ca="1">IFERROR(__xludf.DUMMYFUNCTION("GOOGLETRANSLATE(D:D,""auto"",""en"")"),"Wang Zhelin 51 minutes")</f>
        <v>Wang Zhelin 51 minutes</v>
      </c>
      <c r="D1733" s="5" t="s">
        <v>4072</v>
      </c>
      <c r="E1733" s="4">
        <v>194246</v>
      </c>
    </row>
    <row r="1734" spans="1:5" ht="13.5" hidden="1" customHeight="1">
      <c r="A1734" s="4" t="s">
        <v>4073</v>
      </c>
      <c r="B1734" s="4" t="s">
        <v>4074</v>
      </c>
      <c r="C1734" s="4" t="str">
        <f ca="1">IFERROR(__xludf.DUMMYFUNCTION("GOOGLETRANSLATE(D:D,""auto"",""en"")"),"Deng purple chess stare naked like paper")</f>
        <v>Deng purple chess stare naked like paper</v>
      </c>
      <c r="D1734" s="5" t="s">
        <v>4075</v>
      </c>
      <c r="E1734" s="4">
        <v>160200</v>
      </c>
    </row>
    <row r="1735" spans="1:5" ht="13.5" hidden="1" customHeight="1">
      <c r="A1735" s="4" t="s">
        <v>3998</v>
      </c>
      <c r="B1735" s="4" t="s">
        <v>4076</v>
      </c>
      <c r="C1735" s="4" t="str">
        <f ca="1">IFERROR(__xludf.DUMMYFUNCTION("GOOGLETRANSLATE(D:D,""auto"",""en"")"),"What wonderful logic girls have")</f>
        <v>What wonderful logic girls have</v>
      </c>
      <c r="D1735" s="5" t="s">
        <v>4077</v>
      </c>
      <c r="E1735" s="4">
        <v>156605</v>
      </c>
    </row>
    <row r="1736" spans="1:5" ht="13.5" hidden="1" customHeight="1">
      <c r="A1736" s="4" t="s">
        <v>4078</v>
      </c>
      <c r="B1736" s="4" t="s">
        <v>4079</v>
      </c>
      <c r="C1736" s="4" t="str">
        <f ca="1">IFERROR(__xludf.DUMMYFUNCTION("GOOGLETRANSLATE(D:D,""auto"",""en"")"),"Why just lucky money to children")</f>
        <v>Why just lucky money to children</v>
      </c>
      <c r="D1736" s="5" t="s">
        <v>4080</v>
      </c>
      <c r="E1736" s="4">
        <v>136012</v>
      </c>
    </row>
    <row r="1737" spans="1:5" ht="13.5" hidden="1" customHeight="1">
      <c r="A1737" s="4" t="s">
        <v>4081</v>
      </c>
      <c r="B1737" s="4" t="s">
        <v>4082</v>
      </c>
      <c r="C1737" s="4" t="str">
        <f ca="1">IFERROR(__xludf.DUMMYFUNCTION("GOOGLETRANSLATE(D:D,""auto"",""en"")"),"The metal used in makeup")</f>
        <v>The metal used in makeup</v>
      </c>
      <c r="D1737" s="5" t="s">
        <v>4083</v>
      </c>
      <c r="E1737" s="4">
        <v>134011</v>
      </c>
    </row>
    <row r="1738" spans="1:5" ht="13.5" hidden="1" customHeight="1">
      <c r="A1738" s="4" t="s">
        <v>4084</v>
      </c>
      <c r="B1738" s="4" t="s">
        <v>4085</v>
      </c>
      <c r="C1738" s="4" t="str">
        <f ca="1">IFERROR(__xludf.DUMMYFUNCTION("GOOGLETRANSLATE(D:D,""auto"",""en"")"),"Lonely coffee beans")</f>
        <v>Lonely coffee beans</v>
      </c>
      <c r="D1738" s="5" t="s">
        <v>4086</v>
      </c>
      <c r="E1738" s="4">
        <v>111212</v>
      </c>
    </row>
    <row r="1739" spans="1:5" ht="13.5" hidden="1" customHeight="1">
      <c r="A1739" s="4" t="s">
        <v>4087</v>
      </c>
      <c r="B1739" s="4" t="s">
        <v>4088</v>
      </c>
      <c r="C1739" s="4" t="str">
        <f ca="1">IFERROR(__xludf.DUMMYFUNCTION("GOOGLETRANSLATE(D:D,""auto"",""en"")"),"Dilly Reba teenage sensation dreadlocks")</f>
        <v>Dilly Reba teenage sensation dreadlocks</v>
      </c>
      <c r="D1739" s="5" t="s">
        <v>4089</v>
      </c>
      <c r="E1739" s="4">
        <v>108236</v>
      </c>
    </row>
    <row r="1740" spans="1:5" ht="13.5" hidden="1" customHeight="1">
      <c r="A1740" s="4" t="s">
        <v>4090</v>
      </c>
      <c r="B1740" s="4" t="s">
        <v>4091</v>
      </c>
      <c r="C1740" s="4" t="str">
        <f ca="1">IFERROR(__xludf.DUMMYFUNCTION("GOOGLETRANSLATE(D:D,""auto"",""en"")"),"Wang Xudong")</f>
        <v>Wang Xudong</v>
      </c>
      <c r="D1740" s="5" t="s">
        <v>4092</v>
      </c>
      <c r="E1740" s="4">
        <v>107908</v>
      </c>
    </row>
    <row r="1741" spans="1:5" ht="13.5" hidden="1" customHeight="1">
      <c r="A1741" s="4" t="s">
        <v>4093</v>
      </c>
      <c r="B1741" s="4" t="s">
        <v>3905</v>
      </c>
      <c r="C1741" s="4" t="str">
        <f ca="1">IFERROR(__xludf.DUMMYFUNCTION("GOOGLETRANSLATE(D:D,""auto"",""en"")"),"Mercedes-Benz owners respond drive into the Forbidden City")</f>
        <v>Mercedes-Benz owners respond drive into the Forbidden City</v>
      </c>
      <c r="D1741" s="5" t="s">
        <v>4094</v>
      </c>
      <c r="E1741" s="4">
        <v>107507</v>
      </c>
    </row>
    <row r="1742" spans="1:5" ht="13.5" hidden="1" customHeight="1">
      <c r="A1742" s="4" t="s">
        <v>4095</v>
      </c>
      <c r="B1742" s="4" t="s">
        <v>4096</v>
      </c>
      <c r="C1742" s="4" t="str">
        <f ca="1">IFERROR(__xludf.DUMMYFUNCTION("GOOGLETRANSLATE(D:D,""auto"",""en"")"),"The company made a year-end awards hammer")</f>
        <v>The company made a year-end awards hammer</v>
      </c>
      <c r="D1742" s="5" t="s">
        <v>4097</v>
      </c>
      <c r="E1742" s="4">
        <v>106242</v>
      </c>
    </row>
    <row r="1743" spans="1:5" ht="13.5" hidden="1" customHeight="1">
      <c r="A1743" s="4" t="s">
        <v>4013</v>
      </c>
      <c r="B1743" s="4" t="s">
        <v>4098</v>
      </c>
      <c r="C1743" s="4" t="str">
        <f ca="1">IFERROR(__xludf.DUMMYFUNCTION("GOOGLETRANSLATE(D:D,""auto"",""en"")"),"Under Jinyi renamed contest")</f>
        <v>Under Jinyi renamed contest</v>
      </c>
      <c r="D1743" s="5" t="s">
        <v>4099</v>
      </c>
      <c r="E1743" s="4">
        <v>105528</v>
      </c>
    </row>
    <row r="1744" spans="1:5" ht="13.5" hidden="1" customHeight="1">
      <c r="A1744" s="4" t="s">
        <v>4100</v>
      </c>
      <c r="B1744" s="4" t="s">
        <v>4101</v>
      </c>
      <c r="C1744" s="4" t="str">
        <f ca="1">IFERROR(__xludf.DUMMYFUNCTION("GOOGLETRANSLATE(D:D,""auto"",""en"")"),"New Year social phobia")</f>
        <v>New Year social phobia</v>
      </c>
      <c r="D1744" s="5" t="s">
        <v>4102</v>
      </c>
      <c r="E1744" s="4">
        <v>95239</v>
      </c>
    </row>
    <row r="1745" spans="1:6" ht="13.5" hidden="1" customHeight="1">
      <c r="A1745" s="4" t="s">
        <v>4103</v>
      </c>
      <c r="B1745" s="4" t="s">
        <v>3937</v>
      </c>
      <c r="C1745" s="4" t="str">
        <f ca="1">IFERROR(__xludf.DUMMYFUNCTION("GOOGLETRANSLATE(D:D,""auto"",""en"")"),"Cai Xu Kun wanted to apprentice throwing paper airplanes")</f>
        <v>Cai Xu Kun wanted to apprentice throwing paper airplanes</v>
      </c>
      <c r="D1745" s="5" t="s">
        <v>4104</v>
      </c>
      <c r="E1745" s="4">
        <v>85649</v>
      </c>
    </row>
    <row r="1746" spans="1:6" ht="13.5" hidden="1" customHeight="1">
      <c r="A1746" s="4" t="s">
        <v>4105</v>
      </c>
      <c r="B1746" s="4" t="s">
        <v>4106</v>
      </c>
      <c r="C1746" s="4" t="str">
        <f ca="1">IFERROR(__xludf.DUMMYFUNCTION("GOOGLETRANSLATE(D:D,""auto"",""en"")"),"Shoes Backpack")</f>
        <v>Shoes Backpack</v>
      </c>
      <c r="D1746" s="5" t="s">
        <v>4107</v>
      </c>
      <c r="E1746" s="4">
        <v>43472</v>
      </c>
    </row>
    <row r="1747" spans="1:6" ht="13.5" hidden="1" customHeight="1">
      <c r="A1747" s="4" t="s">
        <v>4108</v>
      </c>
      <c r="B1747" s="4" t="s">
        <v>4058</v>
      </c>
      <c r="C1747" s="4" t="str">
        <f ca="1">IFERROR(__xludf.DUMMYFUNCTION("GOOGLETRANSLATE(D:D,""auto"",""en"")"),"How do routine to ask for a red envelope")</f>
        <v>How do routine to ask for a red envelope</v>
      </c>
      <c r="D1747" s="5" t="s">
        <v>4109</v>
      </c>
      <c r="E1747" s="4">
        <v>40272</v>
      </c>
    </row>
    <row r="1748" spans="1:6" ht="13.5" hidden="1" customHeight="1">
      <c r="A1748" s="4" t="s">
        <v>3974</v>
      </c>
      <c r="B1748" s="4" t="s">
        <v>3975</v>
      </c>
      <c r="C1748" s="4" t="str">
        <f ca="1">IFERROR(__xludf.DUMMYFUNCTION("GOOGLETRANSLATE(D:D,""auto"",""en"")"),"CCTV Spring Festival Evening show a single network")</f>
        <v>CCTV Spring Festival Evening show a single network</v>
      </c>
      <c r="D1748" s="5" t="s">
        <v>3976</v>
      </c>
      <c r="E1748" s="4">
        <v>37514</v>
      </c>
    </row>
    <row r="1749" spans="1:6" ht="13.5" customHeight="1">
      <c r="A1749" s="4" t="s">
        <v>4095</v>
      </c>
      <c r="B1749" s="4" t="s">
        <v>4110</v>
      </c>
      <c r="C1749" s="4" t="str">
        <f ca="1">IFERROR(__xludf.DUMMYFUNCTION("GOOGLETRANSLATE(D:D,""auto"",""en"")"),"Thailand's second discovery of new cases of coronavirus in patients with pneumonia")</f>
        <v>Thailand's second discovery of new cases of coronavirus in patients with pneumonia</v>
      </c>
      <c r="D1749" s="5" t="s">
        <v>4111</v>
      </c>
      <c r="E1749" s="4">
        <v>36069</v>
      </c>
      <c r="F1749">
        <v>1</v>
      </c>
    </row>
    <row r="1750" spans="1:6" ht="13.5" hidden="1" customHeight="1">
      <c r="C1750" s="4" t="str">
        <f ca="1">IFERROR(__xludf.DUMMYFUNCTION("GOOGLETRANSLATE(D:D,""auto"",""en"")"),"#VALUE!")</f>
        <v>#VALUE!</v>
      </c>
    </row>
    <row r="1751" spans="1:6" ht="13.5" hidden="1" customHeight="1">
      <c r="A1751" s="4" t="s">
        <v>4112</v>
      </c>
      <c r="B1751" s="4" t="s">
        <v>4113</v>
      </c>
      <c r="C1751" s="4" t="str">
        <f ca="1">IFERROR(__xludf.DUMMYFUNCTION("GOOGLETRANSLATE(D:D,""auto"",""en"")"),"Koala million people signed up to move into New Zealand")</f>
        <v>Koala million people signed up to move into New Zealand</v>
      </c>
      <c r="D1751" s="4" t="s">
        <v>4114</v>
      </c>
      <c r="E1751" s="4">
        <v>2121956</v>
      </c>
    </row>
    <row r="1752" spans="1:6" ht="13.5" hidden="1" customHeight="1">
      <c r="A1752" s="4" t="s">
        <v>4115</v>
      </c>
      <c r="B1752" s="4" t="s">
        <v>4052</v>
      </c>
      <c r="C1752" s="4" t="str">
        <f ca="1">IFERROR(__xludf.DUMMYFUNCTION("GOOGLETRANSLATE(D:D,""auto"",""en"")"),"After 90 After 00 Yuan Longping Message")</f>
        <v>After 90 After 00 Yuan Longping Message</v>
      </c>
      <c r="D1752" s="5" t="s">
        <v>4116</v>
      </c>
      <c r="E1752" s="4">
        <v>1539369</v>
      </c>
    </row>
    <row r="1753" spans="1:6" ht="13.5" hidden="1" customHeight="1">
      <c r="A1753" s="4" t="s">
        <v>4117</v>
      </c>
      <c r="B1753" s="4" t="s">
        <v>4118</v>
      </c>
      <c r="C1753" s="4" t="str">
        <f ca="1">IFERROR(__xludf.DUMMYFUNCTION("GOOGLETRANSLATE(D:D,""auto"",""en"")"),"Chinese gaming talent gap 500,000")</f>
        <v>Chinese gaming talent gap 500,000</v>
      </c>
      <c r="D1753" s="5" t="s">
        <v>4119</v>
      </c>
      <c r="E1753" s="4">
        <v>1400178</v>
      </c>
    </row>
    <row r="1754" spans="1:6" ht="13.5" hidden="1" customHeight="1">
      <c r="A1754" s="4" t="s">
        <v>4120</v>
      </c>
      <c r="B1754" s="4" t="s">
        <v>4121</v>
      </c>
      <c r="C1754" s="4" t="str">
        <f ca="1">IFERROR(__xludf.DUMMYFUNCTION("GOOGLETRANSLATE(D:D,""auto"",""en"")"),"Go to work tomorrow")</f>
        <v>Go to work tomorrow</v>
      </c>
      <c r="D1754" s="5" t="s">
        <v>4122</v>
      </c>
      <c r="E1754" s="4">
        <v>1383173</v>
      </c>
    </row>
    <row r="1755" spans="1:6" ht="13.5" hidden="1" customHeight="1">
      <c r="A1755" s="4" t="s">
        <v>4123</v>
      </c>
      <c r="B1755" s="4" t="s">
        <v>4124</v>
      </c>
      <c r="C1755" s="4" t="str">
        <f ca="1">IFERROR(__xludf.DUMMYFUNCTION("GOOGLETRANSLATE(D:D,""auto"",""en"")"),"Xining collapse search and rescue ground stop")</f>
        <v>Xining collapse search and rescue ground stop</v>
      </c>
      <c r="D1755" s="5" t="s">
        <v>4125</v>
      </c>
      <c r="E1755" s="4">
        <v>1380731</v>
      </c>
    </row>
    <row r="1756" spans="1:6" ht="13.5" hidden="1" customHeight="1">
      <c r="A1756" s="4" t="s">
        <v>4126</v>
      </c>
      <c r="B1756" s="4" t="s">
        <v>4007</v>
      </c>
      <c r="C1756" s="4" t="str">
        <f ca="1">IFERROR(__xludf.DUMMYFUNCTION("GOOGLETRANSLATE(D:D,""auto"",""en"")"),"Sea-level rise in Indonesia two islands disappear")</f>
        <v>Sea-level rise in Indonesia two islands disappear</v>
      </c>
      <c r="D1756" s="5" t="s">
        <v>4127</v>
      </c>
      <c r="E1756" s="4">
        <v>1339312</v>
      </c>
    </row>
    <row r="1757" spans="1:6" ht="13.5" hidden="1" customHeight="1">
      <c r="A1757" s="4" t="s">
        <v>959</v>
      </c>
      <c r="B1757" s="4" t="s">
        <v>960</v>
      </c>
      <c r="C1757" s="4" t="str">
        <f ca="1">IFERROR(__xludf.DUMMYFUNCTION("GOOGLETRANSLATE(D:D,""auto"",""en"")"),"Under Jinyi")</f>
        <v>Under Jinyi</v>
      </c>
      <c r="D1757" s="5" t="s">
        <v>961</v>
      </c>
      <c r="E1757" s="4">
        <v>1314136</v>
      </c>
    </row>
    <row r="1758" spans="1:6" ht="13.5" hidden="1" customHeight="1">
      <c r="A1758" s="4" t="s">
        <v>4128</v>
      </c>
      <c r="B1758" s="4" t="s">
        <v>4019</v>
      </c>
      <c r="C1758" s="4" t="str">
        <f ca="1">IFERROR(__xludf.DUMMYFUNCTION("GOOGLETRANSLATE(D:D,""auto"",""en"")"),"President of Ukraine rejected the resignation of Prime Minister")</f>
        <v>President of Ukraine rejected the resignation of Prime Minister</v>
      </c>
      <c r="D1758" s="5" t="s">
        <v>4129</v>
      </c>
      <c r="E1758" s="4">
        <v>1296042</v>
      </c>
    </row>
    <row r="1759" spans="1:6" ht="13.5" hidden="1" customHeight="1">
      <c r="A1759" s="4" t="s">
        <v>3990</v>
      </c>
      <c r="B1759" s="4" t="s">
        <v>3905</v>
      </c>
      <c r="C1759" s="4" t="str">
        <f ca="1">IFERROR(__xludf.DUMMYFUNCTION("GOOGLETRANSLATE(D:D,""auto"",""en"")"),"Devon community sealing")</f>
        <v>Devon community sealing</v>
      </c>
      <c r="D1759" s="5" t="s">
        <v>3991</v>
      </c>
      <c r="E1759" s="4">
        <v>1253806</v>
      </c>
    </row>
    <row r="1760" spans="1:6" ht="13.5" hidden="1" customHeight="1">
      <c r="A1760" s="4" t="s">
        <v>4028</v>
      </c>
      <c r="B1760" s="4" t="s">
        <v>4087</v>
      </c>
      <c r="C1760" s="4" t="str">
        <f ca="1">IFERROR(__xludf.DUMMYFUNCTION("GOOGLETRANSLATE(D:D,""auto"",""en"")"),"Two World Natural Heritage fires destroyed more than half")</f>
        <v>Two World Natural Heritage fires destroyed more than half</v>
      </c>
      <c r="D1760" s="5" t="s">
        <v>4130</v>
      </c>
      <c r="E1760" s="4">
        <v>1215996</v>
      </c>
    </row>
    <row r="1761" spans="1:6" ht="13.5" customHeight="1">
      <c r="A1761" s="4" t="s">
        <v>4131</v>
      </c>
      <c r="B1761" s="4" t="s">
        <v>4132</v>
      </c>
      <c r="C1761" s="4" t="str">
        <f ca="1">IFERROR(__xludf.DUMMYFUNCTION("GOOGLETRANSLATE(D:D,""auto"",""en"")"),"Wuhan new novel coronavirus pneumonia cases, 4 cases")</f>
        <v>Wuhan new novel coronavirus pneumonia cases, 4 cases</v>
      </c>
      <c r="D1761" s="5" t="s">
        <v>4133</v>
      </c>
      <c r="E1761" s="4">
        <v>1208670</v>
      </c>
      <c r="F1761">
        <v>1</v>
      </c>
    </row>
    <row r="1762" spans="1:6" ht="13.5" hidden="1" customHeight="1">
      <c r="A1762" s="4" t="s">
        <v>4134</v>
      </c>
      <c r="B1762" s="4" t="s">
        <v>4135</v>
      </c>
      <c r="C1762" s="4" t="str">
        <f ca="1">IFERROR(__xludf.DUMMYFUNCTION("GOOGLETRANSLATE(D:D,""auto"",""en"")"),"Xinjiang Barry Rime")</f>
        <v>Xinjiang Barry Rime</v>
      </c>
      <c r="D1762" s="5" t="s">
        <v>4136</v>
      </c>
      <c r="E1762" s="4">
        <v>1176751</v>
      </c>
    </row>
    <row r="1763" spans="1:6" ht="13.5" hidden="1" customHeight="1">
      <c r="A1763" s="4" t="s">
        <v>3984</v>
      </c>
      <c r="B1763" s="4" t="s">
        <v>3985</v>
      </c>
      <c r="C1763" s="4" t="str">
        <f ca="1">IFERROR(__xludf.DUMMYFUNCTION("GOOGLETRANSLATE(D:D,""auto"",""en"")"),"Weida Xun sing this age")</f>
        <v>Weida Xun sing this age</v>
      </c>
      <c r="D1763" s="5" t="s">
        <v>3986</v>
      </c>
      <c r="E1763" s="4">
        <v>1125339</v>
      </c>
    </row>
    <row r="1764" spans="1:6" ht="13.5" hidden="1" customHeight="1">
      <c r="A1764" s="4" t="s">
        <v>4137</v>
      </c>
      <c r="B1764" s="4" t="s">
        <v>4078</v>
      </c>
      <c r="C1764" s="4" t="str">
        <f ca="1">IFERROR(__xludf.DUMMYFUNCTION("GOOGLETRANSLATE(D:D,""auto"",""en"")"),"Courier business premises, etc. should be around the clock video surveillance")</f>
        <v>Courier business premises, etc. should be around the clock video surveillance</v>
      </c>
      <c r="D1764" s="5" t="s">
        <v>4138</v>
      </c>
      <c r="E1764" s="4">
        <v>1100104</v>
      </c>
    </row>
    <row r="1765" spans="1:6" ht="13.5" hidden="1" customHeight="1">
      <c r="A1765" s="4" t="s">
        <v>4139</v>
      </c>
      <c r="B1765" s="4" t="s">
        <v>4087</v>
      </c>
      <c r="C1765" s="4" t="str">
        <f ca="1">IFERROR(__xludf.DUMMYFUNCTION("GOOGLETRANSLATE(D:D,""auto"",""en"")"),"Japan to open part of the Fukushima nuclear penalty area")</f>
        <v>Japan to open part of the Fukushima nuclear penalty area</v>
      </c>
      <c r="D1765" s="5" t="s">
        <v>4140</v>
      </c>
      <c r="E1765" s="4">
        <v>1070591</v>
      </c>
    </row>
    <row r="1766" spans="1:6" ht="13.5" hidden="1" customHeight="1">
      <c r="A1766" s="4" t="s">
        <v>4141</v>
      </c>
      <c r="B1766" s="4" t="s">
        <v>4142</v>
      </c>
      <c r="C1766" s="4" t="str">
        <f ca="1">IFERROR(__xludf.DUMMYFUNCTION("GOOGLETRANSLATE(D:D,""auto"",""en"")"),"Acne nose stud")</f>
        <v>Acne nose stud</v>
      </c>
      <c r="D1766" s="5" t="s">
        <v>4143</v>
      </c>
      <c r="E1766" s="4">
        <v>1067411</v>
      </c>
    </row>
    <row r="1767" spans="1:6" ht="13.5" hidden="1" customHeight="1">
      <c r="A1767" s="4" t="s">
        <v>4144</v>
      </c>
      <c r="B1767" s="4" t="s">
        <v>3998</v>
      </c>
      <c r="C1767" s="4" t="str">
        <f ca="1">IFERROR(__xludf.DUMMYFUNCTION("GOOGLETRANSLATE(D:D,""auto"",""en"")"),"Your mother the New Year hot head yet")</f>
        <v>Your mother the New Year hot head yet</v>
      </c>
      <c r="D1767" s="5" t="s">
        <v>4145</v>
      </c>
      <c r="E1767" s="4">
        <v>1009913</v>
      </c>
    </row>
    <row r="1768" spans="1:6" ht="13.5" hidden="1" customHeight="1">
      <c r="A1768" s="4" t="s">
        <v>4146</v>
      </c>
      <c r="B1768" s="4" t="s">
        <v>4147</v>
      </c>
      <c r="C1768" s="4" t="str">
        <f ca="1">IFERROR(__xludf.DUMMYFUNCTION("GOOGLETRANSLATE(D:D,""auto"",""en"")"),"Jay Tianjin concert tickets")</f>
        <v>Jay Tianjin concert tickets</v>
      </c>
      <c r="D1768" s="5" t="s">
        <v>4148</v>
      </c>
      <c r="E1768" s="4">
        <v>820090</v>
      </c>
    </row>
    <row r="1769" spans="1:6" ht="13.5" hidden="1" customHeight="1">
      <c r="A1769" s="4" t="s">
        <v>4149</v>
      </c>
      <c r="B1769" s="4" t="s">
        <v>4150</v>
      </c>
      <c r="C1769" s="4" t="str">
        <f ca="1">IFERROR(__xludf.DUMMYFUNCTION("GOOGLETRANSLATE(D:D,""auto"",""en"")"),"20,000 packages of frozen dumplings put playground")</f>
        <v>20,000 packages of frozen dumplings put playground</v>
      </c>
      <c r="D1769" s="5" t="s">
        <v>4151</v>
      </c>
      <c r="E1769" s="4">
        <v>737385</v>
      </c>
    </row>
    <row r="1770" spans="1:6" ht="13.5" hidden="1" customHeight="1">
      <c r="A1770" s="4" t="s">
        <v>4152</v>
      </c>
      <c r="B1770" s="4" t="s">
        <v>4142</v>
      </c>
      <c r="C1770" s="4" t="str">
        <f ca="1">IFERROR(__xludf.DUMMYFUNCTION("GOOGLETRANSLATE(D:D,""auto"",""en"")"),"Forget the name of the show funny scenes")</f>
        <v>Forget the name of the show funny scenes</v>
      </c>
      <c r="D1770" s="5" t="s">
        <v>4153</v>
      </c>
      <c r="E1770" s="4">
        <v>533478</v>
      </c>
    </row>
    <row r="1771" spans="1:6" ht="13.5" hidden="1" customHeight="1">
      <c r="A1771" s="4" t="s">
        <v>4154</v>
      </c>
      <c r="B1771" s="4" t="s">
        <v>4155</v>
      </c>
      <c r="C1771" s="4" t="str">
        <f ca="1">IFERROR(__xludf.DUMMYFUNCTION("GOOGLETRANSLATE(D:D,""auto"",""en"")"),"South Korea this year cover the entire metro 5G")</f>
        <v>South Korea this year cover the entire metro 5G</v>
      </c>
      <c r="D1771" s="5" t="s">
        <v>4156</v>
      </c>
      <c r="E1771" s="4">
        <v>441255</v>
      </c>
    </row>
    <row r="1772" spans="1:6" ht="13.5" hidden="1" customHeight="1">
      <c r="A1772" s="4" t="s">
        <v>4157</v>
      </c>
      <c r="B1772" s="4" t="s">
        <v>4158</v>
      </c>
      <c r="C1772" s="4" t="str">
        <f ca="1">IFERROR(__xludf.DUMMYFUNCTION("GOOGLETRANSLATE(D:D,""auto"",""en"")"),"Tokyo snow")</f>
        <v>Tokyo snow</v>
      </c>
      <c r="D1772" s="5" t="s">
        <v>4159</v>
      </c>
      <c r="E1772" s="4">
        <v>374334</v>
      </c>
    </row>
    <row r="1773" spans="1:6" ht="13.5" hidden="1" customHeight="1">
      <c r="A1773" s="4" t="s">
        <v>4160</v>
      </c>
      <c r="B1773" s="4" t="s">
        <v>4161</v>
      </c>
      <c r="C1773" s="4" t="str">
        <f ca="1">IFERROR(__xludf.DUMMYFUNCTION("GOOGLETRANSLATE(D:D,""auto"",""en"")"),"Cheese steak backpack")</f>
        <v>Cheese steak backpack</v>
      </c>
      <c r="D1773" s="5" t="s">
        <v>4162</v>
      </c>
      <c r="E1773" s="4">
        <v>297464</v>
      </c>
    </row>
    <row r="1774" spans="1:6" ht="13.5" hidden="1" customHeight="1">
      <c r="A1774" s="4" t="s">
        <v>4163</v>
      </c>
      <c r="B1774" s="4" t="s">
        <v>4078</v>
      </c>
      <c r="C1774" s="4" t="str">
        <f ca="1">IFERROR(__xludf.DUMMYFUNCTION("GOOGLETRANSLATE(D:D,""auto"",""en"")"),"Hangzhou clearly higher than the average teacher salary to civil servants")</f>
        <v>Hangzhou clearly higher than the average teacher salary to civil servants</v>
      </c>
      <c r="D1774" s="5" t="s">
        <v>4164</v>
      </c>
      <c r="E1774" s="4">
        <v>241437</v>
      </c>
    </row>
    <row r="1775" spans="1:6" ht="13.5" hidden="1" customHeight="1">
      <c r="A1775" s="4" t="s">
        <v>4165</v>
      </c>
      <c r="B1775" s="4" t="s">
        <v>4158</v>
      </c>
      <c r="C1775" s="4" t="str">
        <f ca="1">IFERROR(__xludf.DUMMYFUNCTION("GOOGLETRANSLATE(D:D,""auto"",""en"")"),"The strong vlog")</f>
        <v>The strong vlog</v>
      </c>
      <c r="D1775" s="5" t="s">
        <v>4166</v>
      </c>
      <c r="E1775" s="4">
        <v>221840</v>
      </c>
    </row>
    <row r="1776" spans="1:6" ht="13.5" hidden="1" customHeight="1">
      <c r="A1776" s="4" t="s">
        <v>4167</v>
      </c>
      <c r="B1776" s="4" t="s">
        <v>4121</v>
      </c>
      <c r="C1776" s="4" t="str">
        <f ca="1">IFERROR(__xludf.DUMMYFUNCTION("GOOGLETRANSLATE(D:D,""auto"",""en"")"),"My hair volume distribution")</f>
        <v>My hair volume distribution</v>
      </c>
      <c r="D1776" s="5" t="s">
        <v>4168</v>
      </c>
      <c r="E1776" s="4">
        <v>198878</v>
      </c>
    </row>
    <row r="1777" spans="1:5" ht="13.5" hidden="1" customHeight="1">
      <c r="A1777" s="4" t="s">
        <v>4022</v>
      </c>
      <c r="B1777" s="4" t="s">
        <v>4023</v>
      </c>
      <c r="C1777" s="4" t="str">
        <f ca="1">IFERROR(__xludf.DUMMYFUNCTION("GOOGLETRANSLATE(D:D,""auto"",""en"")"),"Film Chinese women's volleyball team was renamed")</f>
        <v>Film Chinese women's volleyball team was renamed</v>
      </c>
      <c r="D1777" s="5" t="s">
        <v>4024</v>
      </c>
      <c r="E1777" s="4">
        <v>187694</v>
      </c>
    </row>
    <row r="1778" spans="1:5" ht="13.5" hidden="1" customHeight="1">
      <c r="A1778" s="4" t="s">
        <v>4169</v>
      </c>
      <c r="B1778" s="4" t="s">
        <v>4170</v>
      </c>
      <c r="C1778" s="4" t="str">
        <f ca="1">IFERROR(__xludf.DUMMYFUNCTION("GOOGLETRANSLATE(D:D,""auto"",""en"")"),"Anthony 26,000 points")</f>
        <v>Anthony 26,000 points</v>
      </c>
      <c r="D1778" s="5" t="s">
        <v>4171</v>
      </c>
      <c r="E1778" s="4">
        <v>181060</v>
      </c>
    </row>
    <row r="1779" spans="1:5" ht="13.5" hidden="1" customHeight="1">
      <c r="A1779" s="4" t="s">
        <v>3987</v>
      </c>
      <c r="B1779" s="4" t="s">
        <v>3988</v>
      </c>
      <c r="C1779" s="4" t="str">
        <f ca="1">IFERROR(__xludf.DUMMYFUNCTION("GOOGLETRANSLATE(D:D,""auto"",""en"")"),"Our men than women, more than 30.49 million")</f>
        <v>Our men than women, more than 30.49 million</v>
      </c>
      <c r="D1779" s="5" t="s">
        <v>3989</v>
      </c>
      <c r="E1779" s="4">
        <v>160010</v>
      </c>
    </row>
    <row r="1780" spans="1:5" ht="13.5" hidden="1" customHeight="1">
      <c r="A1780" s="4" t="s">
        <v>4160</v>
      </c>
      <c r="B1780" s="4" t="s">
        <v>4172</v>
      </c>
      <c r="C1780" s="4" t="str">
        <f ca="1">IFERROR(__xludf.DUMMYFUNCTION("GOOGLETRANSLATE(D:D,""auto"",""en"")"),"Digimon restart")</f>
        <v>Digimon restart</v>
      </c>
      <c r="D1780" s="5" t="s">
        <v>4173</v>
      </c>
      <c r="E1780" s="4">
        <v>155806</v>
      </c>
    </row>
    <row r="1781" spans="1:5" ht="13.5" hidden="1" customHeight="1">
      <c r="A1781" s="4" t="s">
        <v>4031</v>
      </c>
      <c r="B1781" s="4" t="s">
        <v>4032</v>
      </c>
      <c r="C1781" s="4" t="str">
        <f ca="1">IFERROR(__xludf.DUMMYFUNCTION("GOOGLETRANSLATE(D:D,""auto"",""en"")"),"Start your mother call you yet")</f>
        <v>Start your mother call you yet</v>
      </c>
      <c r="D1781" s="5" t="s">
        <v>4033</v>
      </c>
      <c r="E1781" s="4">
        <v>153019</v>
      </c>
    </row>
    <row r="1782" spans="1:5" ht="13.5" hidden="1" customHeight="1">
      <c r="A1782" s="4" t="s">
        <v>4174</v>
      </c>
      <c r="B1782" s="4" t="s">
        <v>4175</v>
      </c>
      <c r="C1782" s="4" t="str">
        <f ca="1">IFERROR(__xludf.DUMMYFUNCTION("GOOGLETRANSLATE(D:D,""auto"",""en"")"),"Chinese New Year movie file blossom sale")</f>
        <v>Chinese New Year movie file blossom sale</v>
      </c>
      <c r="D1782" s="5" t="s">
        <v>4176</v>
      </c>
      <c r="E1782" s="4">
        <v>150485</v>
      </c>
    </row>
    <row r="1783" spans="1:5" ht="13.5" hidden="1" customHeight="1">
      <c r="A1783" s="4" t="s">
        <v>4028</v>
      </c>
      <c r="B1783" s="4" t="s">
        <v>4029</v>
      </c>
      <c r="C1783" s="4" t="str">
        <f ca="1">IFERROR(__xludf.DUMMYFUNCTION("GOOGLETRANSLATE(D:D,""auto"",""en"")"),"Hua Wuque on-line")</f>
        <v>Hua Wuque on-line</v>
      </c>
      <c r="D1783" s="5" t="s">
        <v>4030</v>
      </c>
      <c r="E1783" s="4">
        <v>139414</v>
      </c>
    </row>
    <row r="1784" spans="1:5" ht="13.5" hidden="1" customHeight="1">
      <c r="A1784" s="4" t="s">
        <v>4010</v>
      </c>
      <c r="B1784" s="4" t="s">
        <v>4011</v>
      </c>
      <c r="C1784" s="4" t="str">
        <f ca="1">IFERROR(__xludf.DUMMYFUNCTION("GOOGLETRANSLATE(D:D,""auto"",""en"")"),"February overseas Chinese citizens passport Global Office")</f>
        <v>February overseas Chinese citizens passport Global Office</v>
      </c>
      <c r="D1784" s="5" t="s">
        <v>4012</v>
      </c>
      <c r="E1784" s="4">
        <v>132350</v>
      </c>
    </row>
    <row r="1785" spans="1:5" ht="13.5" hidden="1" customHeight="1">
      <c r="A1785" s="4" t="s">
        <v>4031</v>
      </c>
      <c r="B1785" s="4" t="s">
        <v>4177</v>
      </c>
      <c r="C1785" s="4" t="str">
        <f ca="1">IFERROR(__xludf.DUMMYFUNCTION("GOOGLETRANSLATE(D:D,""auto"",""en"")"),"Australia fires animals hero")</f>
        <v>Australia fires animals hero</v>
      </c>
      <c r="D1785" s="5" t="s">
        <v>4178</v>
      </c>
      <c r="E1785" s="4">
        <v>129887</v>
      </c>
    </row>
    <row r="1786" spans="1:5" ht="13.5" hidden="1" customHeight="1">
      <c r="A1786" s="4" t="s">
        <v>4084</v>
      </c>
      <c r="B1786" s="4" t="s">
        <v>4085</v>
      </c>
      <c r="C1786" s="4" t="str">
        <f ca="1">IFERROR(__xludf.DUMMYFUNCTION("GOOGLETRANSLATE(D:D,""auto"",""en"")"),"Lonely coffee beans")</f>
        <v>Lonely coffee beans</v>
      </c>
      <c r="D1786" s="5" t="s">
        <v>4086</v>
      </c>
      <c r="E1786" s="4">
        <v>114449</v>
      </c>
    </row>
    <row r="1787" spans="1:5" ht="13.5" hidden="1" customHeight="1">
      <c r="A1787" s="4" t="s">
        <v>4179</v>
      </c>
      <c r="B1787" s="4" t="s">
        <v>4180</v>
      </c>
      <c r="C1787" s="4" t="str">
        <f ca="1">IFERROR(__xludf.DUMMYFUNCTION("GOOGLETRANSLATE(D:D,""auto"",""en"")"),"Pu Canlie live")</f>
        <v>Pu Canlie live</v>
      </c>
      <c r="D1787" s="5" t="s">
        <v>4181</v>
      </c>
      <c r="E1787" s="4">
        <v>114226</v>
      </c>
    </row>
    <row r="1788" spans="1:5" ht="13.5" hidden="1" customHeight="1">
      <c r="A1788" s="4" t="s">
        <v>4025</v>
      </c>
      <c r="B1788" s="4" t="s">
        <v>4026</v>
      </c>
      <c r="C1788" s="4" t="str">
        <f ca="1">IFERROR(__xludf.DUMMYFUNCTION("GOOGLETRANSLATE(D:D,""auto"",""en"")"),"It was the most painful experience a physiological")</f>
        <v>It was the most painful experience a physiological</v>
      </c>
      <c r="D1788" s="5" t="s">
        <v>4027</v>
      </c>
      <c r="E1788" s="4">
        <v>106031</v>
      </c>
    </row>
    <row r="1789" spans="1:5" ht="13.5" hidden="1" customHeight="1">
      <c r="A1789" s="4" t="s">
        <v>4182</v>
      </c>
      <c r="B1789" s="4" t="s">
        <v>4183</v>
      </c>
      <c r="C1789" s="4" t="str">
        <f ca="1">IFERROR(__xludf.DUMMYFUNCTION("GOOGLETRANSLATE(D:D,""auto"",""en"")"),"Xi'an fog")</f>
        <v>Xi'an fog</v>
      </c>
      <c r="D1789" s="5" t="s">
        <v>4184</v>
      </c>
      <c r="E1789" s="4">
        <v>104557</v>
      </c>
    </row>
    <row r="1790" spans="1:5" ht="13.5" hidden="1" customHeight="1">
      <c r="A1790" s="4" t="s">
        <v>4185</v>
      </c>
      <c r="B1790" s="4" t="s">
        <v>4186</v>
      </c>
      <c r="C1790" s="4" t="str">
        <f ca="1">IFERROR(__xludf.DUMMYFUNCTION("GOOGLETRANSLATE(D:D,""auto"",""en"")"),"Russian passenger plane in the unfinished track down false success")</f>
        <v>Russian passenger plane in the unfinished track down false success</v>
      </c>
      <c r="D1790" s="5" t="s">
        <v>4187</v>
      </c>
      <c r="E1790" s="4">
        <v>101066</v>
      </c>
    </row>
    <row r="1791" spans="1:5" ht="13.5" hidden="1" customHeight="1">
      <c r="A1791" s="4" t="s">
        <v>4188</v>
      </c>
      <c r="B1791" s="4" t="s">
        <v>4189</v>
      </c>
      <c r="C1791" s="4" t="str">
        <f ca="1">IFERROR(__xludf.DUMMYFUNCTION("GOOGLETRANSLATE(D:D,""auto"",""en"")"),"Pearl Diamond Makeup")</f>
        <v>Pearl Diamond Makeup</v>
      </c>
      <c r="D1791" s="5" t="s">
        <v>4190</v>
      </c>
      <c r="E1791" s="4">
        <v>99248</v>
      </c>
    </row>
    <row r="1792" spans="1:5" ht="13.5" hidden="1" customHeight="1">
      <c r="A1792" s="4" t="s">
        <v>4040</v>
      </c>
      <c r="B1792" s="4" t="s">
        <v>4041</v>
      </c>
      <c r="C1792" s="4" t="str">
        <f ca="1">IFERROR(__xludf.DUMMYFUNCTION("GOOGLETRANSLATE(D:D,""auto"",""en"")"),"Search and rescue dogs go to the doctor seized a small turtle hibernation")</f>
        <v>Search and rescue dogs go to the doctor seized a small turtle hibernation</v>
      </c>
      <c r="D1792" s="5" t="s">
        <v>4042</v>
      </c>
      <c r="E1792" s="4">
        <v>98301</v>
      </c>
    </row>
    <row r="1793" spans="1:5" ht="13.5" hidden="1" customHeight="1">
      <c r="A1793" s="4" t="s">
        <v>4191</v>
      </c>
      <c r="B1793" s="4" t="s">
        <v>4192</v>
      </c>
      <c r="C1793" s="4" t="str">
        <f ca="1">IFERROR(__xludf.DUMMYFUNCTION("GOOGLETRANSLATE(D:D,""auto"",""en"")"),"Korean court sentenced the world number 70% of all parties responsible for the accident")</f>
        <v>Korean court sentenced the world number 70% of all parties responsible for the accident</v>
      </c>
      <c r="D1793" s="5" t="s">
        <v>4193</v>
      </c>
      <c r="E1793" s="4">
        <v>91643</v>
      </c>
    </row>
    <row r="1794" spans="1:5" ht="13.5" hidden="1" customHeight="1">
      <c r="A1794" s="4" t="s">
        <v>4037</v>
      </c>
      <c r="B1794" s="4" t="s">
        <v>4038</v>
      </c>
      <c r="C1794" s="4" t="str">
        <f ca="1">IFERROR(__xludf.DUMMYFUNCTION("GOOGLETRANSLATE(D:D,""auto"",""en"")"),"Eddie Oh Se-hoon in frame")</f>
        <v>Eddie Oh Se-hoon in frame</v>
      </c>
      <c r="D1794" s="5" t="s">
        <v>4039</v>
      </c>
      <c r="E1794" s="4">
        <v>89073</v>
      </c>
    </row>
    <row r="1795" spans="1:5" ht="13.5" hidden="1" customHeight="1">
      <c r="A1795" s="4" t="s">
        <v>4034</v>
      </c>
      <c r="B1795" s="4" t="s">
        <v>4035</v>
      </c>
      <c r="C1795" s="4" t="str">
        <f ca="1">IFERROR(__xludf.DUMMYFUNCTION("GOOGLETRANSLATE(D:D,""auto"",""en"")"),"Zhou Zhennan new hairstyle")</f>
        <v>Zhou Zhennan new hairstyle</v>
      </c>
      <c r="D1795" s="5" t="s">
        <v>4036</v>
      </c>
      <c r="E1795" s="4">
        <v>86886</v>
      </c>
    </row>
    <row r="1796" spans="1:5" ht="13.5" hidden="1" customHeight="1">
      <c r="A1796" s="4" t="s">
        <v>4049</v>
      </c>
      <c r="B1796" s="4" t="s">
        <v>4050</v>
      </c>
      <c r="C1796" s="4" t="str">
        <f ca="1">IFERROR(__xludf.DUMMYFUNCTION("GOOGLETRANSLATE(D:D,""auto"",""en"")"),"Zhang Kaiyi back")</f>
        <v>Zhang Kaiyi back</v>
      </c>
      <c r="D1796" s="5" t="s">
        <v>4051</v>
      </c>
      <c r="E1796" s="4">
        <v>80596</v>
      </c>
    </row>
    <row r="1797" spans="1:5" ht="13.5" hidden="1" customHeight="1">
      <c r="A1797" s="4" t="s">
        <v>4194</v>
      </c>
      <c r="B1797" s="4" t="s">
        <v>4124</v>
      </c>
      <c r="C1797" s="4" t="str">
        <f ca="1">IFERROR(__xludf.DUMMYFUNCTION("GOOGLETRANSLATE(D:D,""auto"",""en"")"),"Shaanxi repair pagoda in Myanmar")</f>
        <v>Shaanxi repair pagoda in Myanmar</v>
      </c>
      <c r="D1797" s="5" t="s">
        <v>4195</v>
      </c>
      <c r="E1797" s="4">
        <v>79996</v>
      </c>
    </row>
    <row r="1798" spans="1:5" ht="13.5" hidden="1" customHeight="1">
      <c r="A1798" s="4" t="s">
        <v>4055</v>
      </c>
      <c r="B1798" s="4" t="s">
        <v>4056</v>
      </c>
      <c r="C1798" s="4" t="str">
        <f ca="1">IFERROR(__xludf.DUMMYFUNCTION("GOOGLETRANSLATE(D:D,""auto"",""en"")"),"When Ao propylene see Monkey King Bar")</f>
        <v>When Ao propylene see Monkey King Bar</v>
      </c>
      <c r="D1798" s="5" t="s">
        <v>4057</v>
      </c>
      <c r="E1798" s="4">
        <v>76858</v>
      </c>
    </row>
    <row r="1799" spans="1:5" ht="13.5" hidden="1" customHeight="1">
      <c r="A1799" s="4" t="s">
        <v>4055</v>
      </c>
      <c r="B1799" s="4" t="s">
        <v>4196</v>
      </c>
      <c r="C1799" s="4" t="str">
        <f ca="1">IFERROR(__xludf.DUMMYFUNCTION("GOOGLETRANSLATE(D:D,""auto"",""en"")"),"How do you see poor tour")</f>
        <v>How do you see poor tour</v>
      </c>
      <c r="D1799" s="5" t="s">
        <v>4197</v>
      </c>
      <c r="E1799" s="4">
        <v>76578</v>
      </c>
    </row>
    <row r="1800" spans="1:5" ht="13.5" hidden="1" customHeight="1">
      <c r="C1800" s="4" t="str">
        <f ca="1">IFERROR(__xludf.DUMMYFUNCTION("GOOGLETRANSLATE(D:D,""auto"",""en"")"),"#VALUE!")</f>
        <v>#VALUE!</v>
      </c>
    </row>
    <row r="1801" spans="1:5" ht="13.5" hidden="1" customHeight="1">
      <c r="A1801" s="4" t="s">
        <v>4198</v>
      </c>
      <c r="B1801" s="4" t="s">
        <v>4199</v>
      </c>
      <c r="C1801" s="4" t="str">
        <f ca="1">IFERROR(__xludf.DUMMYFUNCTION("GOOGLETRANSLATE(D:D,""auto"",""en"")"),"Geng Xu Zheng Xi with Xi to Yi smelt one thousand concert tickets")</f>
        <v>Geng Xu Zheng Xi with Xi to Yi smelt one thousand concert tickets</v>
      </c>
      <c r="D1801" s="4" t="s">
        <v>4200</v>
      </c>
      <c r="E1801" s="4">
        <v>2274212</v>
      </c>
    </row>
    <row r="1802" spans="1:5" ht="13.5" hidden="1" customHeight="1">
      <c r="A1802" s="4" t="s">
        <v>4201</v>
      </c>
      <c r="B1802" s="4" t="s">
        <v>4202</v>
      </c>
      <c r="C1802" s="4" t="str">
        <f ca="1">IFERROR(__xludf.DUMMYFUNCTION("GOOGLETRANSLATE(D:D,""auto"",""en"")"),"Maserati case victim's wife to disclose details of the trial")</f>
        <v>Maserati case victim's wife to disclose details of the trial</v>
      </c>
      <c r="D1802" s="5" t="s">
        <v>4203</v>
      </c>
      <c r="E1802" s="4">
        <v>1367309</v>
      </c>
    </row>
    <row r="1803" spans="1:5" ht="13.5" hidden="1" customHeight="1">
      <c r="A1803" s="4" t="s">
        <v>4204</v>
      </c>
      <c r="B1803" s="4" t="s">
        <v>4205</v>
      </c>
      <c r="C1803" s="4" t="str">
        <f ca="1">IFERROR(__xludf.DUMMYFUNCTION("GOOGLETRANSLATE(D:D,""auto"",""en"")"),"Lu Yi eight years old")</f>
        <v>Lu Yi eight years old</v>
      </c>
      <c r="D1803" s="5" t="s">
        <v>4206</v>
      </c>
      <c r="E1803" s="4">
        <v>1289102</v>
      </c>
    </row>
    <row r="1804" spans="1:5" ht="13.5" hidden="1" customHeight="1">
      <c r="A1804" s="4" t="s">
        <v>4207</v>
      </c>
      <c r="B1804" s="4" t="s">
        <v>4115</v>
      </c>
      <c r="C1804" s="4" t="str">
        <f ca="1">IFERROR(__xludf.DUMMYFUNCTION("GOOGLETRANSLATE(D:D,""auto"",""en"")"),"Li Qin Li is now the show backstage photo")</f>
        <v>Li Qin Li is now the show backstage photo</v>
      </c>
      <c r="D1804" s="5" t="s">
        <v>4208</v>
      </c>
      <c r="E1804" s="4">
        <v>1161337</v>
      </c>
    </row>
    <row r="1805" spans="1:5" ht="13.5" hidden="1" customHeight="1">
      <c r="A1805" s="4" t="s">
        <v>4209</v>
      </c>
      <c r="B1805" s="4" t="s">
        <v>4210</v>
      </c>
      <c r="C1805" s="4" t="str">
        <f ca="1">IFERROR(__xludf.DUMMYFUNCTION("GOOGLETRANSLATE(D:D,""auto"",""en"")"),"Shirley brother ins")</f>
        <v>Shirley brother ins</v>
      </c>
      <c r="D1805" s="5" t="s">
        <v>4211</v>
      </c>
      <c r="E1805" s="4">
        <v>972805</v>
      </c>
    </row>
    <row r="1806" spans="1:5" ht="13.5" hidden="1" customHeight="1">
      <c r="A1806" s="4" t="s">
        <v>4212</v>
      </c>
      <c r="B1806" s="4" t="s">
        <v>4213</v>
      </c>
      <c r="C1806" s="4" t="str">
        <f ca="1">IFERROR(__xludf.DUMMYFUNCTION("GOOGLETRANSLATE(D:D,""auto"",""en"")"),"Zhan Qingyun BBking")</f>
        <v>Zhan Qingyun BBking</v>
      </c>
      <c r="D1806" s="5" t="s">
        <v>4214</v>
      </c>
      <c r="E1806" s="4">
        <v>959977</v>
      </c>
    </row>
    <row r="1807" spans="1:5" ht="13.5" hidden="1" customHeight="1">
      <c r="A1807" s="4" t="s">
        <v>4215</v>
      </c>
      <c r="B1807" s="4" t="s">
        <v>4216</v>
      </c>
      <c r="C1807" s="4" t="str">
        <f ca="1">IFERROR(__xludf.DUMMYFUNCTION("GOOGLETRANSLATE(D:D,""auto"",""en"")"),"Zhao Yin Yin funny")</f>
        <v>Zhao Yin Yin funny</v>
      </c>
      <c r="D1807" s="5" t="s">
        <v>4217</v>
      </c>
      <c r="E1807" s="4">
        <v>941297</v>
      </c>
    </row>
    <row r="1808" spans="1:5" ht="13.5" hidden="1" customHeight="1">
      <c r="A1808" s="4" t="s">
        <v>4218</v>
      </c>
      <c r="B1808" s="4" t="s">
        <v>4219</v>
      </c>
      <c r="C1808" s="4" t="str">
        <f ca="1">IFERROR(__xludf.DUMMYFUNCTION("GOOGLETRANSLATE(D:D,""auto"",""en"")"),"Another koala habitat island fire out of control")</f>
        <v>Another koala habitat island fire out of control</v>
      </c>
      <c r="D1808" s="5" t="s">
        <v>4220</v>
      </c>
      <c r="E1808" s="4">
        <v>921920</v>
      </c>
    </row>
    <row r="1809" spans="1:5" ht="13.5" hidden="1" customHeight="1">
      <c r="A1809" s="4" t="s">
        <v>4221</v>
      </c>
      <c r="B1809" s="4" t="s">
        <v>4123</v>
      </c>
      <c r="C1809" s="4" t="str">
        <f ca="1">IFERROR(__xludf.DUMMYFUNCTION("GOOGLETRANSLATE(D:D,""auto"",""en"")"),"In the second quarter forefront of big power diplomacy")</f>
        <v>In the second quarter forefront of big power diplomacy</v>
      </c>
      <c r="D1809" s="5" t="s">
        <v>4222</v>
      </c>
      <c r="E1809" s="4">
        <v>909323</v>
      </c>
    </row>
    <row r="1810" spans="1:5" ht="13.5" hidden="1" customHeight="1">
      <c r="A1810" s="4" t="s">
        <v>4223</v>
      </c>
      <c r="B1810" s="4" t="s">
        <v>4224</v>
      </c>
      <c r="C1810" s="4" t="str">
        <f ca="1">IFERROR(__xludf.DUMMYFUNCTION("GOOGLETRANSLATE(D:D,""auto"",""en"")"),"Qiu morning reading the letter")</f>
        <v>Qiu morning reading the letter</v>
      </c>
      <c r="D1810" s="5" t="s">
        <v>4225</v>
      </c>
      <c r="E1810" s="4">
        <v>877619</v>
      </c>
    </row>
    <row r="1811" spans="1:5" ht="13.5" hidden="1" customHeight="1">
      <c r="A1811" s="4" t="s">
        <v>4226</v>
      </c>
      <c r="B1811" s="4" t="s">
        <v>4216</v>
      </c>
      <c r="C1811" s="4" t="str">
        <f ca="1">IFERROR(__xludf.DUMMYFUNCTION("GOOGLETRANSLATE(D:D,""auto"",""en"")"),"Xiaozhan mindful quit staying up late")</f>
        <v>Xiaozhan mindful quit staying up late</v>
      </c>
      <c r="D1811" s="5" t="s">
        <v>4227</v>
      </c>
      <c r="E1811" s="4">
        <v>872237</v>
      </c>
    </row>
    <row r="1812" spans="1:5" ht="13.5" hidden="1" customHeight="1">
      <c r="A1812" s="4" t="s">
        <v>4228</v>
      </c>
      <c r="B1812" s="4" t="s">
        <v>4229</v>
      </c>
      <c r="C1812" s="4" t="str">
        <f ca="1">IFERROR(__xludf.DUMMYFUNCTION("GOOGLETRANSLATE(D:D,""auto"",""en"")"),"Australian fire and water are two different worlds")</f>
        <v>Australian fire and water are two different worlds</v>
      </c>
      <c r="D1812" s="5" t="s">
        <v>4230</v>
      </c>
      <c r="E1812" s="4">
        <v>872168</v>
      </c>
    </row>
    <row r="1813" spans="1:5" ht="13.5" hidden="1" customHeight="1">
      <c r="A1813" s="4" t="s">
        <v>4231</v>
      </c>
      <c r="B1813" s="4" t="s">
        <v>4232</v>
      </c>
      <c r="C1813" s="4" t="str">
        <f ca="1">IFERROR(__xludf.DUMMYFUNCTION("GOOGLETRANSLATE(D:D,""auto"",""en"")"),"JAL Boeing 787 cockpit glass cracking")</f>
        <v>JAL Boeing 787 cockpit glass cracking</v>
      </c>
      <c r="D1813" s="5" t="s">
        <v>4233</v>
      </c>
      <c r="E1813" s="4">
        <v>872135</v>
      </c>
    </row>
    <row r="1814" spans="1:5" ht="13.5" hidden="1" customHeight="1">
      <c r="A1814" s="4" t="s">
        <v>4234</v>
      </c>
      <c r="B1814" s="4" t="s">
        <v>4235</v>
      </c>
      <c r="C1814" s="4" t="str">
        <f ca="1">IFERROR(__xludf.DUMMYFUNCTION("GOOGLETRANSLATE(D:D,""auto"",""en"")"),"Flower said Finals")</f>
        <v>Flower said Finals</v>
      </c>
      <c r="D1814" s="5" t="s">
        <v>4236</v>
      </c>
      <c r="E1814" s="4">
        <v>871960</v>
      </c>
    </row>
    <row r="1815" spans="1:5" ht="13.5" hidden="1" customHeight="1">
      <c r="A1815" s="4" t="s">
        <v>4237</v>
      </c>
      <c r="B1815" s="4" t="s">
        <v>4238</v>
      </c>
      <c r="C1815" s="4" t="str">
        <f ca="1">IFERROR(__xludf.DUMMYFUNCTION("GOOGLETRANSLATE(D:D,""auto"",""en"")"),"Sun Yang 200 meters freestyle gold medal")</f>
        <v>Sun Yang 200 meters freestyle gold medal</v>
      </c>
      <c r="D1815" s="5" t="s">
        <v>4239</v>
      </c>
      <c r="E1815" s="4">
        <v>871917</v>
      </c>
    </row>
    <row r="1816" spans="1:5" ht="13.5" hidden="1" customHeight="1">
      <c r="A1816" s="4" t="s">
        <v>4240</v>
      </c>
      <c r="B1816" s="4" t="s">
        <v>4241</v>
      </c>
      <c r="C1816" s="4" t="str">
        <f ca="1">IFERROR(__xludf.DUMMYFUNCTION("GOOGLETRANSLATE(D:D,""auto"",""en"")"),"Parents of children infusion nurse interrupted nasal bone")</f>
        <v>Parents of children infusion nurse interrupted nasal bone</v>
      </c>
      <c r="D1816" s="5" t="s">
        <v>4242</v>
      </c>
      <c r="E1816" s="4">
        <v>871781</v>
      </c>
    </row>
    <row r="1817" spans="1:5" ht="13.5" hidden="1" customHeight="1">
      <c r="A1817" s="4" t="s">
        <v>4243</v>
      </c>
      <c r="B1817" s="4" t="s">
        <v>4244</v>
      </c>
      <c r="C1817" s="4" t="str">
        <f ca="1">IFERROR(__xludf.DUMMYFUNCTION("GOOGLETRANSLATE(D:D,""auto"",""en"")"),"Chongqing scenic let bungee pig")</f>
        <v>Chongqing scenic let bungee pig</v>
      </c>
      <c r="D1817" s="5" t="s">
        <v>4245</v>
      </c>
      <c r="E1817" s="4">
        <v>871767</v>
      </c>
    </row>
    <row r="1818" spans="1:5" ht="13.5" hidden="1" customHeight="1">
      <c r="A1818" s="4" t="s">
        <v>4215</v>
      </c>
      <c r="B1818" s="4" t="s">
        <v>4199</v>
      </c>
      <c r="C1818" s="4" t="str">
        <f ca="1">IFERROR(__xludf.DUMMYFUNCTION("GOOGLETRANSLATE(D:D,""auto"",""en"")"),"Girls have been raped Hui Shi case the defendant reprieve")</f>
        <v>Girls have been raped Hui Shi case the defendant reprieve</v>
      </c>
      <c r="D1818" s="5" t="s">
        <v>4246</v>
      </c>
      <c r="E1818" s="4">
        <v>866158</v>
      </c>
    </row>
    <row r="1819" spans="1:5" ht="13.5" hidden="1" customHeight="1">
      <c r="A1819" s="4" t="s">
        <v>4247</v>
      </c>
      <c r="B1819" s="4" t="s">
        <v>4248</v>
      </c>
      <c r="C1819" s="4" t="str">
        <f ca="1">IFERROR(__xludf.DUMMYFUNCTION("GOOGLETRANSLATE(D:D,""auto"",""en"")"),"Love tenth landing concentrated subtitles notice")</f>
        <v>Love tenth landing concentrated subtitles notice</v>
      </c>
      <c r="D1819" s="5" t="s">
        <v>4249</v>
      </c>
      <c r="E1819" s="4">
        <v>733790</v>
      </c>
    </row>
    <row r="1820" spans="1:5" ht="13.5" hidden="1" customHeight="1">
      <c r="A1820" s="4" t="s">
        <v>4198</v>
      </c>
      <c r="B1820" s="4" t="s">
        <v>4250</v>
      </c>
      <c r="C1820" s="4" t="str">
        <f ca="1">IFERROR(__xludf.DUMMYFUNCTION("GOOGLETRANSLATE(D:D,""auto"",""en"")"),"Girls three-piece New Year")</f>
        <v>Girls three-piece New Year</v>
      </c>
      <c r="D1820" s="5" t="s">
        <v>4251</v>
      </c>
      <c r="E1820" s="4">
        <v>659003</v>
      </c>
    </row>
    <row r="1821" spans="1:5" ht="13.5" hidden="1" customHeight="1">
      <c r="A1821" s="4" t="s">
        <v>4252</v>
      </c>
      <c r="B1821" s="4" t="s">
        <v>4253</v>
      </c>
      <c r="C1821" s="4" t="str">
        <f ca="1">IFERROR(__xludf.DUMMYFUNCTION("GOOGLETRANSLATE(D:D,""auto"",""en"")"),"People's Daily commentary drive into the Forbidden City")</f>
        <v>People's Daily commentary drive into the Forbidden City</v>
      </c>
      <c r="D1821" s="5" t="s">
        <v>4254</v>
      </c>
      <c r="E1821" s="4">
        <v>643215</v>
      </c>
    </row>
    <row r="1822" spans="1:5" ht="13.5" hidden="1" customHeight="1">
      <c r="A1822" s="4" t="s">
        <v>4255</v>
      </c>
      <c r="B1822" s="4" t="s">
        <v>4235</v>
      </c>
      <c r="C1822" s="4" t="str">
        <f ca="1">IFERROR(__xludf.DUMMYFUNCTION("GOOGLETRANSLATE(D:D,""auto"",""en"")"),"3D reduction woman driving across the whole Forbidden City")</f>
        <v>3D reduction woman driving across the whole Forbidden City</v>
      </c>
      <c r="D1822" s="5" t="s">
        <v>4256</v>
      </c>
      <c r="E1822" s="4">
        <v>536970</v>
      </c>
    </row>
    <row r="1823" spans="1:5" ht="13.5" hidden="1" customHeight="1">
      <c r="A1823" s="4" t="s">
        <v>4257</v>
      </c>
      <c r="B1823" s="4" t="s">
        <v>4258</v>
      </c>
      <c r="C1823" s="4" t="str">
        <f ca="1">IFERROR(__xludf.DUMMYFUNCTION("GOOGLETRANSLATE(D:D,""auto"",""en"")"),"News Network Delay")</f>
        <v>News Network Delay</v>
      </c>
      <c r="D1823" s="5" t="s">
        <v>4259</v>
      </c>
      <c r="E1823" s="4">
        <v>519175</v>
      </c>
    </row>
    <row r="1824" spans="1:5" ht="13.5" hidden="1" customHeight="1">
      <c r="A1824" s="4" t="s">
        <v>4223</v>
      </c>
      <c r="B1824" s="4" t="s">
        <v>4241</v>
      </c>
      <c r="C1824" s="4" t="str">
        <f ca="1">IFERROR(__xludf.DUMMYFUNCTION("GOOGLETRANSLATE(D:D,""auto"",""en"")"),"Couples railway station seven minutes reunion")</f>
        <v>Couples railway station seven minutes reunion</v>
      </c>
      <c r="D1824" s="5" t="s">
        <v>4260</v>
      </c>
      <c r="E1824" s="4">
        <v>366461</v>
      </c>
    </row>
    <row r="1825" spans="1:5" ht="13.5" hidden="1" customHeight="1">
      <c r="A1825" s="4" t="s">
        <v>4261</v>
      </c>
      <c r="B1825" s="4" t="s">
        <v>4202</v>
      </c>
      <c r="C1825" s="4" t="str">
        <f ca="1">IFERROR(__xludf.DUMMYFUNCTION("GOOGLETRANSLATE(D:D,""auto"",""en"")"),"The company let substandard performance male employees to wear stockings dancing")</f>
        <v>The company let substandard performance male employees to wear stockings dancing</v>
      </c>
      <c r="D1825" s="5" t="s">
        <v>4262</v>
      </c>
      <c r="E1825" s="4">
        <v>346689</v>
      </c>
    </row>
    <row r="1826" spans="1:5" ht="13.5" hidden="1" customHeight="1">
      <c r="A1826" s="4" t="s">
        <v>1471</v>
      </c>
      <c r="B1826" s="4" t="s">
        <v>1472</v>
      </c>
      <c r="C1826" s="4" t="str">
        <f ca="1">IFERROR(__xludf.DUMMYFUNCTION("GOOGLETRANSLATE(D:D,""auto"",""en"")"),"Read the text Festival")</f>
        <v>Read the text Festival</v>
      </c>
      <c r="D1826" s="5" t="s">
        <v>1473</v>
      </c>
      <c r="E1826" s="4">
        <v>320461</v>
      </c>
    </row>
    <row r="1827" spans="1:5" ht="13.5" hidden="1" customHeight="1">
      <c r="A1827" s="4" t="s">
        <v>4263</v>
      </c>
      <c r="B1827" s="4" t="s">
        <v>4264</v>
      </c>
      <c r="C1827" s="4" t="str">
        <f ca="1">IFERROR(__xludf.DUMMYFUNCTION("GOOGLETRANSLATE(D:D,""auto"",""en"")"),"Xu Zheng imitate Cam")</f>
        <v>Xu Zheng imitate Cam</v>
      </c>
      <c r="D1827" s="5" t="s">
        <v>4265</v>
      </c>
      <c r="E1827" s="4">
        <v>309905</v>
      </c>
    </row>
    <row r="1828" spans="1:5" ht="13.5" hidden="1" customHeight="1">
      <c r="A1828" s="4" t="s">
        <v>4266</v>
      </c>
      <c r="B1828" s="4" t="s">
        <v>4267</v>
      </c>
      <c r="C1828" s="4" t="str">
        <f ca="1">IFERROR(__xludf.DUMMYFUNCTION("GOOGLETRANSLATE(D:D,""auto"",""en"")"),"Tucao Assembly")</f>
        <v>Tucao Assembly</v>
      </c>
      <c r="D1828" s="5" t="s">
        <v>4268</v>
      </c>
      <c r="E1828" s="4">
        <v>297146</v>
      </c>
    </row>
    <row r="1829" spans="1:5" ht="13.5" hidden="1" customHeight="1">
      <c r="A1829" s="4" t="s">
        <v>4269</v>
      </c>
      <c r="B1829" s="4" t="s">
        <v>4270</v>
      </c>
      <c r="C1829" s="4" t="str">
        <f ca="1">IFERROR(__xludf.DUMMYFUNCTION("GOOGLETRANSLATE(D:D,""auto"",""en"")"),"2020 China-Myanmar Cultural Tourism")</f>
        <v>2020 China-Myanmar Cultural Tourism</v>
      </c>
      <c r="D1829" s="5" t="s">
        <v>4271</v>
      </c>
      <c r="E1829" s="4">
        <v>295043</v>
      </c>
    </row>
    <row r="1830" spans="1:5" ht="13.5" hidden="1" customHeight="1">
      <c r="A1830" s="4" t="s">
        <v>4272</v>
      </c>
      <c r="B1830" s="4" t="s">
        <v>4273</v>
      </c>
      <c r="C1830" s="4" t="str">
        <f ca="1">IFERROR(__xludf.DUMMYFUNCTION("GOOGLETRANSLATE(D:D,""auto"",""en"")"),"Pei Xiuzhi Events News map")</f>
        <v>Pei Xiuzhi Events News map</v>
      </c>
      <c r="D1830" s="5" t="s">
        <v>4274</v>
      </c>
      <c r="E1830" s="4">
        <v>294091</v>
      </c>
    </row>
    <row r="1831" spans="1:5" ht="13.5" hidden="1" customHeight="1">
      <c r="A1831" s="4" t="s">
        <v>4275</v>
      </c>
      <c r="B1831" s="4" t="s">
        <v>4276</v>
      </c>
      <c r="C1831" s="4" t="str">
        <f ca="1">IFERROR(__xludf.DUMMYFUNCTION("GOOGLETRANSLATE(D:D,""auto"",""en"")"),"ZICO AnySong dance")</f>
        <v>ZICO AnySong dance</v>
      </c>
      <c r="D1831" s="5" t="s">
        <v>4277</v>
      </c>
      <c r="E1831" s="4">
        <v>284923</v>
      </c>
    </row>
    <row r="1832" spans="1:5" ht="13.5" hidden="1" customHeight="1">
      <c r="A1832" s="4" t="s">
        <v>4278</v>
      </c>
      <c r="B1832" s="4" t="s">
        <v>4279</v>
      </c>
      <c r="C1832" s="4" t="str">
        <f ca="1">IFERROR(__xludf.DUMMYFUNCTION("GOOGLETRANSLATE(D:D,""auto"",""en"")"),"Wang Junkai drive yourself to participate in the show Townhouse")</f>
        <v>Wang Junkai drive yourself to participate in the show Townhouse</v>
      </c>
      <c r="D1832" s="5" t="s">
        <v>4280</v>
      </c>
      <c r="E1832" s="4">
        <v>261477</v>
      </c>
    </row>
    <row r="1833" spans="1:5" ht="13.5" hidden="1" customHeight="1">
      <c r="A1833" s="4" t="s">
        <v>1471</v>
      </c>
      <c r="B1833" s="4" t="s">
        <v>4241</v>
      </c>
      <c r="C1833" s="4" t="str">
        <f ca="1">IFERROR(__xludf.DUMMYFUNCTION("GOOGLETRANSLATE(D:D,""auto"",""en"")"),"Zhangjiajie Tianzi picturesque clouds")</f>
        <v>Zhangjiajie Tianzi picturesque clouds</v>
      </c>
      <c r="D1833" s="5" t="s">
        <v>4281</v>
      </c>
      <c r="E1833" s="4">
        <v>243816</v>
      </c>
    </row>
    <row r="1834" spans="1:5" ht="13.5" hidden="1" customHeight="1">
      <c r="A1834" s="4" t="s">
        <v>4282</v>
      </c>
      <c r="B1834" s="4" t="s">
        <v>4169</v>
      </c>
      <c r="C1834" s="4" t="str">
        <f ca="1">IFERROR(__xludf.DUMMYFUNCTION("GOOGLETRANSLATE(D:D,""auto"",""en"")"),"Iran and Europe is willing to negotiate the Iranian nuclear agreement")</f>
        <v>Iran and Europe is willing to negotiate the Iranian nuclear agreement</v>
      </c>
      <c r="D1834" s="5" t="s">
        <v>4283</v>
      </c>
      <c r="E1834" s="4">
        <v>241355</v>
      </c>
    </row>
    <row r="1835" spans="1:5" ht="13.5" hidden="1" customHeight="1">
      <c r="A1835" s="4" t="s">
        <v>4272</v>
      </c>
      <c r="B1835" s="4" t="s">
        <v>4284</v>
      </c>
      <c r="C1835" s="4" t="str">
        <f ca="1">IFERROR(__xludf.DUMMYFUNCTION("GOOGLETRANSLATE(D:D,""auto"",""en"")"),"World's shortest man dies")</f>
        <v>World's shortest man dies</v>
      </c>
      <c r="D1835" s="5" t="s">
        <v>4285</v>
      </c>
      <c r="E1835" s="4">
        <v>240369</v>
      </c>
    </row>
    <row r="1836" spans="1:5" ht="13.5" hidden="1" customHeight="1">
      <c r="A1836" s="4" t="s">
        <v>4286</v>
      </c>
      <c r="B1836" s="4" t="s">
        <v>4287</v>
      </c>
      <c r="C1836" s="4" t="str">
        <f ca="1">IFERROR(__xludf.DUMMYFUNCTION("GOOGLETRANSLATE(D:D,""auto"",""en"")"),"Do not walk when play phone")</f>
        <v>Do not walk when play phone</v>
      </c>
      <c r="D1836" s="5" t="s">
        <v>4288</v>
      </c>
      <c r="E1836" s="4">
        <v>220376</v>
      </c>
    </row>
    <row r="1837" spans="1:5" ht="13.5" hidden="1" customHeight="1">
      <c r="A1837" s="4" t="s">
        <v>4289</v>
      </c>
      <c r="B1837" s="4" t="s">
        <v>4290</v>
      </c>
      <c r="C1837" s="4" t="str">
        <f ca="1">IFERROR(__xludf.DUMMYFUNCTION("GOOGLETRANSLATE(D:D,""auto"",""en"")"),"Phone paste reluctant to delete the photos")</f>
        <v>Phone paste reluctant to delete the photos</v>
      </c>
      <c r="D1837" s="5" t="s">
        <v>4291</v>
      </c>
      <c r="E1837" s="4">
        <v>182769</v>
      </c>
    </row>
    <row r="1838" spans="1:5" ht="13.5" hidden="1" customHeight="1">
      <c r="A1838" s="4" t="s">
        <v>4278</v>
      </c>
      <c r="B1838" s="4" t="s">
        <v>4292</v>
      </c>
      <c r="C1838" s="4" t="str">
        <f ca="1">IFERROR(__xludf.DUMMYFUNCTION("GOOGLETRANSLATE(D:D,""auto"",""en"")"),"Angela Shanghai concert")</f>
        <v>Angela Shanghai concert</v>
      </c>
      <c r="D1838" s="5" t="s">
        <v>4293</v>
      </c>
      <c r="E1838" s="4">
        <v>171728</v>
      </c>
    </row>
    <row r="1839" spans="1:5" ht="13.5" hidden="1" customHeight="1">
      <c r="A1839" s="4" t="s">
        <v>4294</v>
      </c>
      <c r="B1839" s="4" t="s">
        <v>4295</v>
      </c>
      <c r="C1839" s="4" t="str">
        <f ca="1">IFERROR(__xludf.DUMMYFUNCTION("GOOGLETRANSLATE(D:D,""auto"",""en"")"),"Female university graduates adoption of more than 100 stray cats")</f>
        <v>Female university graduates adoption of more than 100 stray cats</v>
      </c>
      <c r="D1839" s="5" t="s">
        <v>4296</v>
      </c>
      <c r="E1839" s="4">
        <v>170298</v>
      </c>
    </row>
    <row r="1840" spans="1:5" ht="13.5" hidden="1" customHeight="1">
      <c r="A1840" s="4" t="s">
        <v>4297</v>
      </c>
      <c r="B1840" s="4" t="s">
        <v>4298</v>
      </c>
      <c r="C1840" s="4" t="str">
        <f ca="1">IFERROR(__xludf.DUMMYFUNCTION("GOOGLETRANSLATE(D:D,""auto"",""en"")"),"New Year's sale of the hundreds of millions at the box office")</f>
        <v>New Year's sale of the hundreds of millions at the box office</v>
      </c>
      <c r="D1840" s="5" t="s">
        <v>4299</v>
      </c>
      <c r="E1840" s="4">
        <v>169265</v>
      </c>
    </row>
    <row r="1841" spans="1:5" ht="13.5" hidden="1" customHeight="1">
      <c r="A1841" s="4" t="s">
        <v>4223</v>
      </c>
      <c r="B1841" s="4" t="s">
        <v>4300</v>
      </c>
      <c r="C1841" s="4" t="str">
        <f ca="1">IFERROR(__xludf.DUMMYFUNCTION("GOOGLETRANSLATE(D:D,""auto"",""en"")"),"Northern red envelopes it is really great")</f>
        <v>Northern red envelopes it is really great</v>
      </c>
      <c r="D1841" s="5" t="s">
        <v>4301</v>
      </c>
      <c r="E1841" s="4">
        <v>143870</v>
      </c>
    </row>
    <row r="1842" spans="1:5" ht="13.5" hidden="1" customHeight="1">
      <c r="A1842" s="4" t="s">
        <v>4302</v>
      </c>
      <c r="B1842" s="4" t="s">
        <v>4188</v>
      </c>
      <c r="C1842" s="4" t="str">
        <f ca="1">IFERROR(__xludf.DUMMYFUNCTION("GOOGLETRANSLATE(D:D,""auto"",""en"")"),"Ouyang Nana Liu Qi large")</f>
        <v>Ouyang Nana Liu Qi large</v>
      </c>
      <c r="D1842" s="5" t="s">
        <v>4303</v>
      </c>
      <c r="E1842" s="4">
        <v>138677</v>
      </c>
    </row>
    <row r="1843" spans="1:5" ht="13.5" hidden="1" customHeight="1">
      <c r="A1843" s="4" t="s">
        <v>4304</v>
      </c>
      <c r="B1843" s="4" t="s">
        <v>4152</v>
      </c>
      <c r="C1843" s="4" t="str">
        <f ca="1">IFERROR(__xludf.DUMMYFUNCTION("GOOGLETRANSLATE(D:D,""auto"",""en"")"),"Li Yi Feng Yan side view of life")</f>
        <v>Li Yi Feng Yan side view of life</v>
      </c>
      <c r="D1843" s="5" t="s">
        <v>4305</v>
      </c>
      <c r="E1843" s="4">
        <v>128177</v>
      </c>
    </row>
    <row r="1844" spans="1:5" ht="13.5" hidden="1" customHeight="1">
      <c r="A1844" s="4" t="s">
        <v>4306</v>
      </c>
      <c r="B1844" s="4" t="s">
        <v>4307</v>
      </c>
      <c r="C1844" s="4" t="str">
        <f ca="1">IFERROR(__xludf.DUMMYFUNCTION("GOOGLETRANSLATE(D:D,""auto"",""en"")"),"Married couples get together reservation registration 20200202")</f>
        <v>Married couples get together reservation registration 20200202</v>
      </c>
      <c r="D1844" s="5" t="s">
        <v>4308</v>
      </c>
      <c r="E1844" s="4">
        <v>128050</v>
      </c>
    </row>
    <row r="1845" spans="1:5" ht="13.5" hidden="1" customHeight="1">
      <c r="A1845" s="4" t="s">
        <v>4309</v>
      </c>
      <c r="B1845" s="4" t="s">
        <v>4310</v>
      </c>
      <c r="C1845" s="4" t="str">
        <f ca="1">IFERROR(__xludf.DUMMYFUNCTION("GOOGLETRANSLATE(D:D,""auto"",""en"")"),"Song Qian carrying pots of soup")</f>
        <v>Song Qian carrying pots of soup</v>
      </c>
      <c r="D1845" s="5" t="s">
        <v>4311</v>
      </c>
      <c r="E1845" s="4">
        <v>117706</v>
      </c>
    </row>
    <row r="1846" spans="1:5" ht="13.5" hidden="1" customHeight="1">
      <c r="A1846" s="4" t="s">
        <v>4312</v>
      </c>
      <c r="B1846" s="4" t="s">
        <v>4313</v>
      </c>
      <c r="C1846" s="4" t="str">
        <f ca="1">IFERROR(__xludf.DUMMYFUNCTION("GOOGLETRANSLATE(D:D,""auto"",""en"")"),"Play the most delicious meals stars")</f>
        <v>Play the most delicious meals stars</v>
      </c>
      <c r="D1846" s="5" t="s">
        <v>4314</v>
      </c>
      <c r="E1846" s="4">
        <v>115648</v>
      </c>
    </row>
    <row r="1847" spans="1:5" ht="13.5" hidden="1" customHeight="1">
      <c r="A1847" s="4" t="s">
        <v>4282</v>
      </c>
      <c r="B1847" s="4" t="s">
        <v>4292</v>
      </c>
      <c r="C1847" s="4" t="str">
        <f ca="1">IFERROR(__xludf.DUMMYFUNCTION("GOOGLETRANSLATE(D:D,""auto"",""en"")"),"City wall of Nanjing Jinling spectacular lantern reproduction")</f>
        <v>City wall of Nanjing Jinling spectacular lantern reproduction</v>
      </c>
      <c r="D1847" s="5" t="s">
        <v>4315</v>
      </c>
      <c r="E1847" s="4">
        <v>109161</v>
      </c>
    </row>
    <row r="1848" spans="1:5" ht="13.5" hidden="1" customHeight="1">
      <c r="A1848" s="4" t="s">
        <v>4316</v>
      </c>
      <c r="B1848" s="4" t="s">
        <v>4317</v>
      </c>
      <c r="C1848" s="4" t="str">
        <f ca="1">IFERROR(__xludf.DUMMYFUNCTION("GOOGLETRANSLATE(D:D,""auto"",""en"")"),"Koala is exposed to rain")</f>
        <v>Koala is exposed to rain</v>
      </c>
      <c r="D1848" s="5" t="s">
        <v>4318</v>
      </c>
      <c r="E1848" s="4">
        <v>92988</v>
      </c>
    </row>
    <row r="1849" spans="1:5" ht="13.5" hidden="1" customHeight="1">
      <c r="A1849" s="4" t="s">
        <v>4316</v>
      </c>
      <c r="B1849" s="4" t="s">
        <v>4319</v>
      </c>
      <c r="C1849" s="4" t="str">
        <f ca="1">IFERROR(__xludf.DUMMYFUNCTION("GOOGLETRANSLATE(D:D,""auto"",""en"")"),"When the flash cappella met Spring Festival")</f>
        <v>When the flash cappella met Spring Festival</v>
      </c>
      <c r="D1849" s="5" t="s">
        <v>4320</v>
      </c>
      <c r="E1849" s="4">
        <v>82755</v>
      </c>
    </row>
    <row r="1850" spans="1:5" ht="13.5" hidden="1" customHeight="1">
      <c r="C1850" s="4" t="str">
        <f ca="1">IFERROR(__xludf.DUMMYFUNCTION("GOOGLETRANSLATE(D:D,""auto"",""en"")"),"#VALUE!")</f>
        <v>#VALUE!</v>
      </c>
    </row>
    <row r="1851" spans="1:5" ht="13.5" hidden="1" customHeight="1">
      <c r="A1851" s="4" t="s">
        <v>4321</v>
      </c>
      <c r="B1851" s="4" t="s">
        <v>4322</v>
      </c>
      <c r="C1851" s="4" t="str">
        <f ca="1">IFERROR(__xludf.DUMMYFUNCTION("GOOGLETRANSLATE(D:D,""auto"",""en"")"),"Omi requires exposure of sexual harassment of students delete posts")</f>
        <v>Omi requires exposure of sexual harassment of students delete posts</v>
      </c>
      <c r="D1851" s="4" t="s">
        <v>4323</v>
      </c>
      <c r="E1851" s="4">
        <v>3756793</v>
      </c>
    </row>
    <row r="1852" spans="1:5" ht="13.5" hidden="1" customHeight="1">
      <c r="A1852" s="4" t="s">
        <v>4324</v>
      </c>
      <c r="B1852" s="4" t="s">
        <v>4325</v>
      </c>
      <c r="C1852" s="4" t="str">
        <f ca="1">IFERROR(__xludf.DUMMYFUNCTION("GOOGLETRANSLATE(D:D,""auto"",""en"")"),"Na Ying Faye Wong won OST")</f>
        <v>Na Ying Faye Wong won OST</v>
      </c>
      <c r="D1852" s="5" t="s">
        <v>4326</v>
      </c>
      <c r="E1852" s="4">
        <v>1434899</v>
      </c>
    </row>
    <row r="1853" spans="1:5" ht="13.5" hidden="1" customHeight="1">
      <c r="A1853" s="4" t="s">
        <v>4327</v>
      </c>
      <c r="B1853" s="4" t="s">
        <v>4328</v>
      </c>
      <c r="C1853" s="4" t="str">
        <f ca="1">IFERROR(__xludf.DUMMYFUNCTION("GOOGLETRANSLATE(D:D,""auto"",""en"")"),"Last Dance top")</f>
        <v>Last Dance top</v>
      </c>
      <c r="D1853" s="5" t="s">
        <v>4329</v>
      </c>
      <c r="E1853" s="4">
        <v>1188040</v>
      </c>
    </row>
    <row r="1854" spans="1:5" ht="13.5" hidden="1" customHeight="1">
      <c r="A1854" s="4" t="s">
        <v>4330</v>
      </c>
      <c r="B1854" s="4" t="s">
        <v>4331</v>
      </c>
      <c r="C1854" s="4" t="str">
        <f ca="1">IFERROR(__xludf.DUMMYFUNCTION("GOOGLETRANSLATE(D:D,""auto"",""en"")"),"Zhang Ruoyun get ringtones")</f>
        <v>Zhang Ruoyun get ringtones</v>
      </c>
      <c r="D1854" s="5" t="s">
        <v>4332</v>
      </c>
      <c r="E1854" s="4">
        <v>1033259</v>
      </c>
    </row>
    <row r="1855" spans="1:5" ht="13.5" hidden="1" customHeight="1">
      <c r="A1855" s="4" t="s">
        <v>4333</v>
      </c>
      <c r="B1855" s="4" t="s">
        <v>4334</v>
      </c>
      <c r="C1855" s="4" t="str">
        <f ca="1">IFERROR(__xludf.DUMMYFUNCTION("GOOGLETRANSLATE(D:D,""auto"",""en"")"),"Simon Yam situation")</f>
        <v>Simon Yam situation</v>
      </c>
      <c r="D1855" s="5" t="s">
        <v>4335</v>
      </c>
      <c r="E1855" s="4">
        <v>931027</v>
      </c>
    </row>
    <row r="1856" spans="1:5" ht="13.5" hidden="1" customHeight="1">
      <c r="A1856" s="4" t="s">
        <v>4336</v>
      </c>
      <c r="B1856" s="4" t="s">
        <v>4337</v>
      </c>
      <c r="C1856" s="4" t="str">
        <f ca="1">IFERROR(__xludf.DUMMYFUNCTION("GOOGLETRANSLATE(D:D,""auto"",""en"")"),"Conductor 90 minutes schematic drawing 807 points")</f>
        <v>Conductor 90 minutes schematic drawing 807 points</v>
      </c>
      <c r="D1856" s="5" t="s">
        <v>4338</v>
      </c>
      <c r="E1856" s="4">
        <v>722532</v>
      </c>
    </row>
    <row r="1857" spans="1:6" ht="13.5" customHeight="1">
      <c r="A1857" s="4" t="s">
        <v>4339</v>
      </c>
      <c r="B1857" s="4" t="s">
        <v>4212</v>
      </c>
      <c r="C1857" s="4" t="str">
        <f ca="1">IFERROR(__xludf.DUMMYFUNCTION("GOOGLETRANSLATE(D:D,""auto"",""en"")"),"Experts say the overall Wuhan coronavirus pneumonia can be cured")</f>
        <v>Experts say the overall Wuhan coronavirus pneumonia can be cured</v>
      </c>
      <c r="D1857" s="5" t="s">
        <v>4340</v>
      </c>
      <c r="E1857" s="4">
        <v>678683</v>
      </c>
      <c r="F1857">
        <v>1</v>
      </c>
    </row>
    <row r="1858" spans="1:6" ht="13.5" hidden="1" customHeight="1">
      <c r="A1858" s="4" t="s">
        <v>4341</v>
      </c>
      <c r="B1858" s="4" t="s">
        <v>4342</v>
      </c>
      <c r="C1858" s="4" t="str">
        <f ca="1">IFERROR(__xludf.DUMMYFUNCTION("GOOGLETRANSLATE(D:D,""auto"",""en"")"),"LV president into a new world's richest man")</f>
        <v>LV president into a new world's richest man</v>
      </c>
      <c r="D1858" s="5" t="s">
        <v>4343</v>
      </c>
      <c r="E1858" s="4">
        <v>664595</v>
      </c>
    </row>
    <row r="1859" spans="1:6" ht="13.5" hidden="1" customHeight="1">
      <c r="A1859" s="4" t="s">
        <v>4344</v>
      </c>
      <c r="B1859" s="4" t="s">
        <v>4345</v>
      </c>
      <c r="C1859" s="4" t="str">
        <f ca="1">IFERROR(__xludf.DUMMYFUNCTION("GOOGLETRANSLATE(D:D,""auto"",""en"")"),"Second-generation personal credit reports are not included utilities")</f>
        <v>Second-generation personal credit reports are not included utilities</v>
      </c>
      <c r="D1859" s="5" t="s">
        <v>4346</v>
      </c>
      <c r="E1859" s="4">
        <v>614050</v>
      </c>
    </row>
    <row r="1860" spans="1:6" ht="13.5" hidden="1" customHeight="1">
      <c r="A1860" s="4" t="s">
        <v>4347</v>
      </c>
      <c r="B1860" s="4" t="s">
        <v>4348</v>
      </c>
      <c r="C1860" s="4" t="str">
        <f ca="1">IFERROR(__xludf.DUMMYFUNCTION("GOOGLETRANSLATE(D:D,""auto"",""en"")"),"Baby koala thirsty ground to lick rain")</f>
        <v>Baby koala thirsty ground to lick rain</v>
      </c>
      <c r="D1860" s="5" t="s">
        <v>4349</v>
      </c>
      <c r="E1860" s="4">
        <v>593028</v>
      </c>
    </row>
    <row r="1861" spans="1:6" ht="13.5" hidden="1" customHeight="1">
      <c r="A1861" s="4" t="s">
        <v>4350</v>
      </c>
      <c r="B1861" s="4" t="s">
        <v>4223</v>
      </c>
      <c r="C1861" s="4" t="str">
        <f ca="1">IFERROR(__xludf.DUMMYFUNCTION("GOOGLETRANSLATE(D:D,""auto"",""en"")"),"Poison the Queen who set collapse site")</f>
        <v>Poison the Queen who set collapse site</v>
      </c>
      <c r="D1861" s="5" t="s">
        <v>4351</v>
      </c>
      <c r="E1861" s="4">
        <v>563539</v>
      </c>
    </row>
    <row r="1862" spans="1:6" ht="13.5" hidden="1" customHeight="1">
      <c r="A1862" s="4" t="s">
        <v>4352</v>
      </c>
      <c r="B1862" s="4" t="s">
        <v>4353</v>
      </c>
      <c r="C1862" s="4" t="str">
        <f ca="1">IFERROR(__xludf.DUMMYFUNCTION("GOOGLETRANSLATE(D:D,""auto"",""en"")"),"Wang Yibo trotting staff clap")</f>
        <v>Wang Yibo trotting staff clap</v>
      </c>
      <c r="D1862" s="5" t="s">
        <v>4354</v>
      </c>
      <c r="E1862" s="4">
        <v>554625</v>
      </c>
    </row>
    <row r="1863" spans="1:6" ht="13.5" hidden="1" customHeight="1">
      <c r="A1863" s="4" t="s">
        <v>4336</v>
      </c>
      <c r="B1863" s="4" t="s">
        <v>4355</v>
      </c>
      <c r="C1863" s="4" t="str">
        <f ca="1">IFERROR(__xludf.DUMMYFUNCTION("GOOGLETRANSLATE(D:D,""auto"",""en"")"),"Why is there a reverse phenomenon of spring")</f>
        <v>Why is there a reverse phenomenon of spring</v>
      </c>
      <c r="D1863" s="5" t="s">
        <v>4356</v>
      </c>
      <c r="E1863" s="4">
        <v>417783</v>
      </c>
    </row>
    <row r="1864" spans="1:6" ht="13.5" hidden="1" customHeight="1">
      <c r="A1864" s="4" t="s">
        <v>4357</v>
      </c>
      <c r="B1864" s="4" t="s">
        <v>4358</v>
      </c>
      <c r="C1864" s="4" t="str">
        <f ca="1">IFERROR(__xludf.DUMMYFUNCTION("GOOGLETRANSLATE(D:D,""auto"",""en"")"),"Year before last 5 days")</f>
        <v>Year before last 5 days</v>
      </c>
      <c r="D1864" s="5" t="s">
        <v>4359</v>
      </c>
      <c r="E1864" s="4">
        <v>407520</v>
      </c>
    </row>
    <row r="1865" spans="1:6" ht="13.5" customHeight="1">
      <c r="A1865" s="4" t="s">
        <v>4360</v>
      </c>
      <c r="B1865" s="4" t="s">
        <v>4361</v>
      </c>
      <c r="C1865" s="4" t="str">
        <f ca="1">IFERROR(__xludf.DUMMYFUNCTION("GOOGLETRANSLATE(D:D,""auto"",""en"")"),"Wuhan new novel coronavirus pneumonia cases, 17 cases")</f>
        <v>Wuhan new novel coronavirus pneumonia cases, 17 cases</v>
      </c>
      <c r="D1865" s="5" t="s">
        <v>4362</v>
      </c>
      <c r="E1865" s="4">
        <v>401791</v>
      </c>
      <c r="F1865">
        <v>1</v>
      </c>
    </row>
    <row r="1866" spans="1:6" ht="13.5" hidden="1" customHeight="1">
      <c r="A1866" s="4" t="s">
        <v>4363</v>
      </c>
      <c r="B1866" s="4" t="s">
        <v>4364</v>
      </c>
      <c r="C1866" s="4" t="str">
        <f ca="1">IFERROR(__xludf.DUMMYFUNCTION("GOOGLETRANSLATE(D:D,""auto"",""en"")"),"Godfrey embarrassing Mom and Dad to see the premiere")</f>
        <v>Godfrey embarrassing Mom and Dad to see the premiere</v>
      </c>
      <c r="D1866" s="5" t="s">
        <v>4365</v>
      </c>
      <c r="E1866" s="4">
        <v>383220</v>
      </c>
    </row>
    <row r="1867" spans="1:6" ht="13.5" hidden="1" customHeight="1">
      <c r="A1867" s="4" t="s">
        <v>4339</v>
      </c>
      <c r="B1867" s="4" t="s">
        <v>4366</v>
      </c>
      <c r="C1867" s="4" t="str">
        <f ca="1">IFERROR(__xludf.DUMMYFUNCTION("GOOGLETRANSLATE(D:D,""auto"",""en"")"),"Paintings stolen 22 years ago hidden in the walls")</f>
        <v>Paintings stolen 22 years ago hidden in the walls</v>
      </c>
      <c r="D1867" s="5" t="s">
        <v>4367</v>
      </c>
      <c r="E1867" s="4">
        <v>378948</v>
      </c>
    </row>
    <row r="1868" spans="1:6" ht="13.5" hidden="1" customHeight="1">
      <c r="A1868" s="4" t="s">
        <v>4368</v>
      </c>
      <c r="B1868" s="4" t="s">
        <v>4221</v>
      </c>
      <c r="C1868" s="4" t="str">
        <f ca="1">IFERROR(__xludf.DUMMYFUNCTION("GOOGLETRANSLATE(D:D,""auto"",""en"")"),"Poor pursuit of fine living")</f>
        <v>Poor pursuit of fine living</v>
      </c>
      <c r="D1868" s="5" t="s">
        <v>4369</v>
      </c>
      <c r="E1868" s="4">
        <v>371651</v>
      </c>
    </row>
    <row r="1869" spans="1:6" ht="13.5" hidden="1" customHeight="1">
      <c r="A1869" s="4" t="s">
        <v>1169</v>
      </c>
      <c r="B1869" s="4" t="s">
        <v>1170</v>
      </c>
      <c r="C1869" s="4" t="str">
        <f ca="1">IFERROR(__xludf.DUMMYFUNCTION("GOOGLETRANSLATE(D:D,""auto"",""en"")"),"want to see you")</f>
        <v>want to see you</v>
      </c>
      <c r="D1869" s="5" t="s">
        <v>1171</v>
      </c>
      <c r="E1869" s="4">
        <v>342747</v>
      </c>
    </row>
    <row r="1870" spans="1:6" ht="13.5" hidden="1" customHeight="1">
      <c r="A1870" s="4" t="s">
        <v>4370</v>
      </c>
      <c r="B1870" s="4" t="s">
        <v>4371</v>
      </c>
      <c r="C1870" s="4" t="str">
        <f ca="1">IFERROR(__xludf.DUMMYFUNCTION("GOOGLETRANSLATE(D:D,""auto"",""en"")"),"The most misunderstood relatives professional")</f>
        <v>The most misunderstood relatives professional</v>
      </c>
      <c r="D1870" s="5" t="s">
        <v>4372</v>
      </c>
      <c r="E1870" s="4">
        <v>311372</v>
      </c>
    </row>
    <row r="1871" spans="1:6" ht="13.5" hidden="1" customHeight="1">
      <c r="A1871" s="4" t="s">
        <v>4373</v>
      </c>
      <c r="B1871" s="4" t="s">
        <v>4223</v>
      </c>
      <c r="C1871" s="4" t="str">
        <f ca="1">IFERROR(__xludf.DUMMYFUNCTION("GOOGLETRANSLATE(D:D,""auto"",""en"")"),"Wang Ou Review")</f>
        <v>Wang Ou Review</v>
      </c>
      <c r="D1871" s="5" t="s">
        <v>4374</v>
      </c>
      <c r="E1871" s="4">
        <v>299102</v>
      </c>
    </row>
    <row r="1872" spans="1:6" ht="13.5" hidden="1" customHeight="1">
      <c r="A1872" s="4" t="s">
        <v>4370</v>
      </c>
      <c r="B1872" s="4" t="s">
        <v>4337</v>
      </c>
      <c r="C1872" s="4" t="str">
        <f ca="1">IFERROR(__xludf.DUMMYFUNCTION("GOOGLETRANSLATE(D:D,""auto"",""en"")"),"At the annual meeting the performance standards not climb three times")</f>
        <v>At the annual meeting the performance standards not climb three times</v>
      </c>
      <c r="D1872" s="5" t="s">
        <v>4375</v>
      </c>
      <c r="E1872" s="4">
        <v>237298</v>
      </c>
    </row>
    <row r="1873" spans="1:5" ht="13.5" hidden="1" customHeight="1">
      <c r="A1873" s="4" t="s">
        <v>4376</v>
      </c>
      <c r="B1873" s="4" t="s">
        <v>4377</v>
      </c>
      <c r="C1873" s="4" t="str">
        <f ca="1">IFERROR(__xludf.DUMMYFUNCTION("GOOGLETRANSLATE(D:D,""auto"",""en"")"),"3 Don explore the hundreds of millions the first day of sale")</f>
        <v>3 Don explore the hundreds of millions the first day of sale</v>
      </c>
      <c r="D1873" s="5" t="s">
        <v>4378</v>
      </c>
      <c r="E1873" s="4">
        <v>205820</v>
      </c>
    </row>
    <row r="1874" spans="1:5" ht="13.5" hidden="1" customHeight="1">
      <c r="A1874" s="4" t="s">
        <v>4379</v>
      </c>
      <c r="B1874" s="4" t="s">
        <v>4361</v>
      </c>
      <c r="C1874" s="4" t="str">
        <f ca="1">IFERROR(__xludf.DUMMYFUNCTION("GOOGLETRANSLATE(D:D,""auto"",""en"")"),"Hali Mei root will give up the royal title")</f>
        <v>Hali Mei root will give up the royal title</v>
      </c>
      <c r="D1874" s="5" t="s">
        <v>4380</v>
      </c>
      <c r="E1874" s="4">
        <v>203279</v>
      </c>
    </row>
    <row r="1875" spans="1:5" ht="13.5" hidden="1" customHeight="1">
      <c r="A1875" s="4" t="s">
        <v>4381</v>
      </c>
      <c r="B1875" s="4" t="s">
        <v>4382</v>
      </c>
      <c r="C1875" s="4" t="str">
        <f ca="1">IFERROR(__xludf.DUMMYFUNCTION("GOOGLETRANSLATE(D:D,""auto"",""en"")"),"29 provinces released in 2020 GDP target")</f>
        <v>29 provinces released in 2020 GDP target</v>
      </c>
      <c r="D1875" s="5" t="s">
        <v>4383</v>
      </c>
      <c r="E1875" s="4">
        <v>199677</v>
      </c>
    </row>
    <row r="1876" spans="1:5" ht="13.5" hidden="1" customHeight="1">
      <c r="A1876" s="4" t="s">
        <v>4384</v>
      </c>
      <c r="B1876" s="4" t="s">
        <v>4385</v>
      </c>
      <c r="C1876" s="4" t="str">
        <f ca="1">IFERROR(__xludf.DUMMYFUNCTION("GOOGLETRANSLATE(D:D,""auto"",""en"")"),"Zhong Chuxi white lace skirt")</f>
        <v>Zhong Chuxi white lace skirt</v>
      </c>
      <c r="D1876" s="5" t="s">
        <v>4386</v>
      </c>
      <c r="E1876" s="4">
        <v>198918</v>
      </c>
    </row>
    <row r="1877" spans="1:5" ht="13.5" hidden="1" customHeight="1">
      <c r="A1877" s="4" t="s">
        <v>4387</v>
      </c>
      <c r="B1877" s="4" t="s">
        <v>4334</v>
      </c>
      <c r="C1877" s="4" t="str">
        <f ca="1">IFERROR(__xludf.DUMMYFUNCTION("GOOGLETRANSLATE(D:D,""auto"",""en"")"),"Jay birthday party scene photos")</f>
        <v>Jay birthday party scene photos</v>
      </c>
      <c r="D1877" s="5" t="s">
        <v>4388</v>
      </c>
      <c r="E1877" s="4">
        <v>195105</v>
      </c>
    </row>
    <row r="1878" spans="1:5" ht="13.5" hidden="1" customHeight="1">
      <c r="A1878" s="4" t="s">
        <v>4389</v>
      </c>
      <c r="B1878" s="4" t="s">
        <v>4390</v>
      </c>
      <c r="C1878" s="4" t="str">
        <f ca="1">IFERROR(__xludf.DUMMYFUNCTION("GOOGLETRANSLATE(D:D,""auto"",""en"")"),"Fu Online")</f>
        <v>Fu Online</v>
      </c>
      <c r="D1878" s="5" t="s">
        <v>4391</v>
      </c>
      <c r="E1878" s="4">
        <v>190730</v>
      </c>
    </row>
    <row r="1879" spans="1:5" ht="13.5" hidden="1" customHeight="1">
      <c r="A1879" s="4" t="s">
        <v>4392</v>
      </c>
      <c r="B1879" s="4" t="s">
        <v>4393</v>
      </c>
      <c r="C1879" s="4" t="str">
        <f ca="1">IFERROR(__xludf.DUMMYFUNCTION("GOOGLETRANSLATE(D:D,""auto"",""en"")"),"US couple guilty of kidnapping a high-speed chase to save the girl child")</f>
        <v>US couple guilty of kidnapping a high-speed chase to save the girl child</v>
      </c>
      <c r="D1879" s="5" t="s">
        <v>4394</v>
      </c>
      <c r="E1879" s="4">
        <v>183863</v>
      </c>
    </row>
    <row r="1880" spans="1:5" ht="13.5" hidden="1" customHeight="1">
      <c r="A1880" s="4" t="s">
        <v>4395</v>
      </c>
      <c r="B1880" s="4" t="s">
        <v>4396</v>
      </c>
      <c r="C1880" s="4" t="str">
        <f ca="1">IFERROR(__xludf.DUMMYFUNCTION("GOOGLETRANSLATE(D:D,""auto"",""en"")"),"Lakers Rockets")</f>
        <v>Lakers Rockets</v>
      </c>
      <c r="D1880" s="5" t="s">
        <v>4397</v>
      </c>
      <c r="E1880" s="4">
        <v>179908</v>
      </c>
    </row>
    <row r="1881" spans="1:5" ht="13.5" hidden="1" customHeight="1">
      <c r="A1881" s="4" t="s">
        <v>4398</v>
      </c>
      <c r="B1881" s="4" t="s">
        <v>4328</v>
      </c>
      <c r="C1881" s="4" t="str">
        <f ca="1">IFERROR(__xludf.DUMMYFUNCTION("GOOGLETRANSLATE(D:D,""auto"",""en"")"),"Fans protest requires Admiralty big retreat team")</f>
        <v>Fans protest requires Admiralty big retreat team</v>
      </c>
      <c r="D1881" s="5" t="s">
        <v>4399</v>
      </c>
      <c r="E1881" s="4">
        <v>178814</v>
      </c>
    </row>
    <row r="1882" spans="1:5" ht="13.5" hidden="1" customHeight="1">
      <c r="A1882" s="4" t="s">
        <v>4370</v>
      </c>
      <c r="B1882" s="4" t="s">
        <v>4400</v>
      </c>
      <c r="C1882" s="4" t="str">
        <f ca="1">IFERROR(__xludf.DUMMYFUNCTION("GOOGLETRANSLATE(D:D,""auto"",""en"")"),"Xu Zheng Guo Jingfei Tucao")</f>
        <v>Xu Zheng Guo Jingfei Tucao</v>
      </c>
      <c r="D1882" s="5" t="s">
        <v>4401</v>
      </c>
      <c r="E1882" s="4">
        <v>173055</v>
      </c>
    </row>
    <row r="1883" spans="1:5" ht="13.5" hidden="1" customHeight="1">
      <c r="A1883" s="4" t="s">
        <v>4243</v>
      </c>
      <c r="B1883" s="4" t="s">
        <v>4244</v>
      </c>
      <c r="C1883" s="4" t="str">
        <f ca="1">IFERROR(__xludf.DUMMYFUNCTION("GOOGLETRANSLATE(D:D,""auto"",""en"")"),"Chongqing scenic let bungee pig")</f>
        <v>Chongqing scenic let bungee pig</v>
      </c>
      <c r="D1883" s="5" t="s">
        <v>4245</v>
      </c>
      <c r="E1883" s="4">
        <v>163535</v>
      </c>
    </row>
    <row r="1884" spans="1:5" ht="13.5" hidden="1" customHeight="1">
      <c r="A1884" s="4" t="s">
        <v>4255</v>
      </c>
      <c r="B1884" s="4" t="s">
        <v>4235</v>
      </c>
      <c r="C1884" s="4" t="str">
        <f ca="1">IFERROR(__xludf.DUMMYFUNCTION("GOOGLETRANSLATE(D:D,""auto"",""en"")"),"3D reduction woman driving across the whole Forbidden City")</f>
        <v>3D reduction woman driving across the whole Forbidden City</v>
      </c>
      <c r="D1884" s="5" t="s">
        <v>4256</v>
      </c>
      <c r="E1884" s="4">
        <v>146645</v>
      </c>
    </row>
    <row r="1885" spans="1:5" ht="13.5" hidden="1" customHeight="1">
      <c r="A1885" s="4" t="s">
        <v>4402</v>
      </c>
      <c r="B1885" s="4" t="s">
        <v>4309</v>
      </c>
      <c r="C1885" s="4" t="str">
        <f ca="1">IFERROR(__xludf.DUMMYFUNCTION("GOOGLETRANSLATE(D:D,""auto"",""en"")"),"If ordinary life you will regret it")</f>
        <v>If ordinary life you will regret it</v>
      </c>
      <c r="D1885" s="5" t="s">
        <v>4403</v>
      </c>
      <c r="E1885" s="4">
        <v>142467</v>
      </c>
    </row>
    <row r="1886" spans="1:5" ht="13.5" hidden="1" customHeight="1">
      <c r="A1886" s="4" t="s">
        <v>4404</v>
      </c>
      <c r="B1886" s="4" t="s">
        <v>4405</v>
      </c>
      <c r="C1886" s="4" t="str">
        <f ca="1">IFERROR(__xludf.DUMMYFUNCTION("GOOGLETRANSLATE(D:D,""auto"",""en"")"),"Li Yuchun to girl")</f>
        <v>Li Yuchun to girl</v>
      </c>
      <c r="D1886" s="5" t="s">
        <v>4406</v>
      </c>
      <c r="E1886" s="4">
        <v>139628</v>
      </c>
    </row>
    <row r="1887" spans="1:5" ht="13.5" hidden="1" customHeight="1">
      <c r="A1887" s="4" t="s">
        <v>4379</v>
      </c>
      <c r="B1887" s="4" t="s">
        <v>4328</v>
      </c>
      <c r="C1887" s="4" t="str">
        <f ca="1">IFERROR(__xludf.DUMMYFUNCTION("GOOGLETRANSLATE(D:D,""auto"",""en"")"),"May the bright girl standing in the world at")</f>
        <v>May the bright girl standing in the world at</v>
      </c>
      <c r="D1887" s="5" t="s">
        <v>4407</v>
      </c>
      <c r="E1887" s="4">
        <v>138483</v>
      </c>
    </row>
    <row r="1888" spans="1:5" ht="13.5" hidden="1" customHeight="1">
      <c r="A1888" s="4" t="s">
        <v>4392</v>
      </c>
      <c r="B1888" s="4" t="s">
        <v>4353</v>
      </c>
      <c r="C1888" s="4" t="str">
        <f ca="1">IFERROR(__xludf.DUMMYFUNCTION("GOOGLETRANSLATE(D:D,""auto"",""en"")"),"Chinese Academy of Sciences Magnolia programming language developers to apologize")</f>
        <v>Chinese Academy of Sciences Magnolia programming language developers to apologize</v>
      </c>
      <c r="D1888" s="5" t="s">
        <v>4408</v>
      </c>
      <c r="E1888" s="4">
        <v>130833</v>
      </c>
    </row>
    <row r="1889" spans="1:5" ht="13.5" hidden="1" customHeight="1">
      <c r="A1889" s="4" t="s">
        <v>4409</v>
      </c>
      <c r="B1889" s="4" t="s">
        <v>4275</v>
      </c>
      <c r="C1889" s="4" t="str">
        <f ca="1">IFERROR(__xludf.DUMMYFUNCTION("GOOGLETRANSLATE(D:D,""auto"",""en"")"),"After the confession was the most wonderful way to rebuff")</f>
        <v>After the confession was the most wonderful way to rebuff</v>
      </c>
      <c r="D1889" s="5" t="s">
        <v>4410</v>
      </c>
      <c r="E1889" s="4">
        <v>129890</v>
      </c>
    </row>
    <row r="1890" spans="1:5" ht="13.5" hidden="1" customHeight="1">
      <c r="A1890" s="4" t="s">
        <v>4392</v>
      </c>
      <c r="B1890" s="4" t="s">
        <v>4411</v>
      </c>
      <c r="C1890" s="4" t="str">
        <f ca="1">IFERROR(__xludf.DUMMYFUNCTION("GOOGLETRANSLATE(D:D,""auto"",""en"")"),"The gap between the North and South of the New Year")</f>
        <v>The gap between the North and South of the New Year</v>
      </c>
      <c r="D1890" s="5" t="s">
        <v>4412</v>
      </c>
      <c r="E1890" s="4">
        <v>125082</v>
      </c>
    </row>
    <row r="1891" spans="1:5" ht="13.5" hidden="1" customHeight="1">
      <c r="A1891" s="4" t="s">
        <v>4413</v>
      </c>
      <c r="B1891" s="4" t="s">
        <v>4414</v>
      </c>
      <c r="C1891" s="4" t="str">
        <f ca="1">IFERROR(__xludf.DUMMYFUNCTION("GOOGLETRANSLATE(D:D,""auto"",""en"")"),"He Jiuhua ankle")</f>
        <v>He Jiuhua ankle</v>
      </c>
      <c r="D1891" s="5" t="s">
        <v>4415</v>
      </c>
      <c r="E1891" s="4">
        <v>124897</v>
      </c>
    </row>
    <row r="1892" spans="1:5" ht="13.5" hidden="1" customHeight="1">
      <c r="A1892" s="4" t="s">
        <v>4416</v>
      </c>
      <c r="B1892" s="4" t="s">
        <v>4364</v>
      </c>
      <c r="C1892" s="4" t="str">
        <f ca="1">IFERROR(__xludf.DUMMYFUNCTION("GOOGLETRANSLATE(D:D,""auto"",""en"")"),"Australia Wombat cave to protect other animals")</f>
        <v>Australia Wombat cave to protect other animals</v>
      </c>
      <c r="D1892" s="5" t="s">
        <v>4417</v>
      </c>
      <c r="E1892" s="4">
        <v>124047</v>
      </c>
    </row>
    <row r="1893" spans="1:5" ht="13.5" hidden="1" customHeight="1">
      <c r="A1893" s="4" t="s">
        <v>4418</v>
      </c>
      <c r="B1893" s="4" t="s">
        <v>4419</v>
      </c>
      <c r="C1893" s="4" t="str">
        <f ca="1">IFERROR(__xludf.DUMMYFUNCTION("GOOGLETRANSLATE(D:D,""auto"",""en"")"),"Many colleges and universities to lay off more than 1,300 graduate students")</f>
        <v>Many colleges and universities to lay off more than 1,300 graduate students</v>
      </c>
      <c r="D1893" s="5" t="s">
        <v>4420</v>
      </c>
      <c r="E1893" s="4">
        <v>122295</v>
      </c>
    </row>
    <row r="1894" spans="1:5" ht="13.5" hidden="1" customHeight="1">
      <c r="A1894" s="4" t="s">
        <v>4421</v>
      </c>
      <c r="B1894" s="4" t="s">
        <v>4419</v>
      </c>
      <c r="C1894" s="4" t="str">
        <f ca="1">IFERROR(__xludf.DUMMYFUNCTION("GOOGLETRANSLATE(D:D,""auto"",""en"")"),"Guan Xiaotong A cloud sync Ga God")</f>
        <v>Guan Xiaotong A cloud sync Ga God</v>
      </c>
      <c r="D1894" s="5" t="s">
        <v>4422</v>
      </c>
      <c r="E1894" s="4">
        <v>121318</v>
      </c>
    </row>
    <row r="1895" spans="1:5" ht="13.5" hidden="1" customHeight="1">
      <c r="A1895" s="4" t="s">
        <v>4423</v>
      </c>
      <c r="B1895" s="4" t="s">
        <v>4424</v>
      </c>
      <c r="C1895" s="4" t="str">
        <f ca="1">IFERROR(__xludf.DUMMYFUNCTION("GOOGLETRANSLATE(D:D,""auto"",""en"")"),"Trail Blazers Kings Trading")</f>
        <v>Trail Blazers Kings Trading</v>
      </c>
      <c r="D1895" s="5" t="s">
        <v>4425</v>
      </c>
      <c r="E1895" s="4">
        <v>120378</v>
      </c>
    </row>
    <row r="1896" spans="1:5" ht="13.5" hidden="1" customHeight="1">
      <c r="A1896" s="4" t="s">
        <v>4392</v>
      </c>
      <c r="B1896" s="4" t="s">
        <v>4228</v>
      </c>
      <c r="C1896" s="4" t="str">
        <f ca="1">IFERROR(__xludf.DUMMYFUNCTION("GOOGLETRANSLATE(D:D,""auto"",""en"")"),"Song Yin")</f>
        <v>Song Yin</v>
      </c>
      <c r="D1896" s="5" t="s">
        <v>4426</v>
      </c>
      <c r="E1896" s="4">
        <v>120172</v>
      </c>
    </row>
    <row r="1897" spans="1:5" ht="13.5" hidden="1" customHeight="1">
      <c r="A1897" s="4" t="s">
        <v>4409</v>
      </c>
      <c r="B1897" s="4" t="s">
        <v>4427</v>
      </c>
      <c r="C1897" s="4" t="str">
        <f ca="1">IFERROR(__xludf.DUMMYFUNCTION("GOOGLETRANSLATE(D:D,""auto"",""en"")"),"A proof home for the holiday photos")</f>
        <v>A proof home for the holiday photos</v>
      </c>
      <c r="D1897" s="5" t="s">
        <v>4428</v>
      </c>
      <c r="E1897" s="4">
        <v>117390</v>
      </c>
    </row>
    <row r="1898" spans="1:5" ht="13.5" hidden="1" customHeight="1">
      <c r="A1898" s="4" t="s">
        <v>4204</v>
      </c>
      <c r="B1898" s="4" t="s">
        <v>4205</v>
      </c>
      <c r="C1898" s="4" t="str">
        <f ca="1">IFERROR(__xludf.DUMMYFUNCTION("GOOGLETRANSLATE(D:D,""auto"",""en"")"),"Lu Yi eight years old")</f>
        <v>Lu Yi eight years old</v>
      </c>
      <c r="D1898" s="5" t="s">
        <v>4206</v>
      </c>
      <c r="E1898" s="4">
        <v>115270</v>
      </c>
    </row>
    <row r="1899" spans="1:5" ht="13.5" hidden="1" customHeight="1">
      <c r="A1899" s="4" t="s">
        <v>4240</v>
      </c>
      <c r="B1899" s="4" t="s">
        <v>4241</v>
      </c>
      <c r="C1899" s="4" t="str">
        <f ca="1">IFERROR(__xludf.DUMMYFUNCTION("GOOGLETRANSLATE(D:D,""auto"",""en"")"),"Parents of children infusion nurse interrupted nasal bone")</f>
        <v>Parents of children infusion nurse interrupted nasal bone</v>
      </c>
      <c r="D1899" s="5" t="s">
        <v>4242</v>
      </c>
      <c r="E1899" s="4">
        <v>105070</v>
      </c>
    </row>
    <row r="1900" spans="1:5" ht="13.5" hidden="1" customHeight="1">
      <c r="C1900" s="4" t="str">
        <f ca="1">IFERROR(__xludf.DUMMYFUNCTION("GOOGLETRANSLATE(D:D,""auto"",""en"")"),"#VALUE!")</f>
        <v>#VALUE!</v>
      </c>
    </row>
    <row r="1901" spans="1:5" ht="13.5" hidden="1" customHeight="1">
      <c r="A1901" s="4" t="s">
        <v>4429</v>
      </c>
      <c r="B1901" s="4" t="s">
        <v>4430</v>
      </c>
      <c r="C1901" s="4" t="str">
        <f ca="1">IFERROR(__xludf.DUMMYFUNCTION("GOOGLETRANSLATE(D:D,""auto"",""en"")"),"Sun Yi cute")</f>
        <v>Sun Yi cute</v>
      </c>
      <c r="D1901" s="4" t="s">
        <v>4431</v>
      </c>
      <c r="E1901" s="4">
        <v>2620106</v>
      </c>
    </row>
    <row r="1902" spans="1:5" ht="13.5" hidden="1" customHeight="1">
      <c r="A1902" s="4" t="s">
        <v>4432</v>
      </c>
      <c r="B1902" s="4" t="s">
        <v>4433</v>
      </c>
      <c r="C1902" s="4" t="str">
        <f ca="1">IFERROR(__xludf.DUMMYFUNCTION("GOOGLETRANSLATE(D:D,""auto"",""en"")"),"Chongqing Palm Springs Fire Department caused by smoking")</f>
        <v>Chongqing Palm Springs Fire Department caused by smoking</v>
      </c>
      <c r="D1902" s="5" t="s">
        <v>4434</v>
      </c>
      <c r="E1902" s="4">
        <v>2199678</v>
      </c>
    </row>
    <row r="1903" spans="1:5" ht="13.5" hidden="1" customHeight="1">
      <c r="A1903" s="4" t="s">
        <v>4435</v>
      </c>
      <c r="B1903" s="4" t="s">
        <v>4436</v>
      </c>
      <c r="C1903" s="4" t="str">
        <f ca="1">IFERROR(__xludf.DUMMYFUNCTION("GOOGLETRANSLATE(D:D,""auto"",""en"")"),"Love apartment Barrage")</f>
        <v>Love apartment Barrage</v>
      </c>
      <c r="D1903" s="5" t="s">
        <v>4437</v>
      </c>
      <c r="E1903" s="4">
        <v>1847731</v>
      </c>
    </row>
    <row r="1904" spans="1:5" ht="13.5" hidden="1" customHeight="1">
      <c r="A1904" s="4" t="s">
        <v>4438</v>
      </c>
      <c r="B1904" s="4" t="s">
        <v>4439</v>
      </c>
      <c r="C1904" s="4" t="str">
        <f ca="1">IFERROR(__xludf.DUMMYFUNCTION("GOOGLETRANSLATE(D:D,""auto"",""en"")"),"HyunA and her boyfriend kissing in the pool")</f>
        <v>HyunA and her boyfriend kissing in the pool</v>
      </c>
      <c r="D1904" s="5" t="s">
        <v>4440</v>
      </c>
      <c r="E1904" s="4">
        <v>1647719</v>
      </c>
    </row>
    <row r="1905" spans="1:6" ht="13.5" hidden="1" customHeight="1">
      <c r="A1905" s="4" t="s">
        <v>4441</v>
      </c>
      <c r="B1905" s="4" t="s">
        <v>4442</v>
      </c>
      <c r="C1905" s="4" t="str">
        <f ca="1">IFERROR(__xludf.DUMMYFUNCTION("GOOGLETRANSLATE(D:D,""auto"",""en"")"),"Kim Su Hyon love playing landing")</f>
        <v>Kim Su Hyon love playing landing</v>
      </c>
      <c r="D1905" s="5" t="s">
        <v>4443</v>
      </c>
      <c r="E1905" s="4">
        <v>1141827</v>
      </c>
    </row>
    <row r="1906" spans="1:6" ht="13.5" hidden="1" customHeight="1">
      <c r="A1906" s="4" t="s">
        <v>4444</v>
      </c>
      <c r="B1906" s="4" t="s">
        <v>4327</v>
      </c>
      <c r="C1906" s="4" t="str">
        <f ca="1">IFERROR(__xludf.DUMMYFUNCTION("GOOGLETRANSLATE(D:D,""auto"",""en"")"),"On this the fast Diplodocus")</f>
        <v>On this the fast Diplodocus</v>
      </c>
      <c r="D1906" s="5" t="s">
        <v>4445</v>
      </c>
      <c r="E1906" s="4">
        <v>1028711</v>
      </c>
    </row>
    <row r="1907" spans="1:6" ht="13.5" hidden="1" customHeight="1">
      <c r="A1907" s="4" t="s">
        <v>4446</v>
      </c>
      <c r="B1907" s="4" t="s">
        <v>4447</v>
      </c>
      <c r="C1907" s="4" t="str">
        <f ca="1">IFERROR(__xludf.DUMMYFUNCTION("GOOGLETRANSLATE(D:D,""auto"",""en"")"),"Australian forest fires caused by the irreversible loss")</f>
        <v>Australian forest fires caused by the irreversible loss</v>
      </c>
      <c r="D1907" s="5" t="s">
        <v>4448</v>
      </c>
      <c r="E1907" s="4">
        <v>928817</v>
      </c>
    </row>
    <row r="1908" spans="1:6" ht="13.5" hidden="1" customHeight="1">
      <c r="A1908" s="4" t="s">
        <v>4449</v>
      </c>
      <c r="B1908" s="4" t="s">
        <v>4450</v>
      </c>
      <c r="C1908" s="4" t="str">
        <f ca="1">IFERROR(__xludf.DUMMYFUNCTION("GOOGLETRANSLATE(D:D,""auto"",""en"")"),"Megan Palace batch father when Wal-Mart")</f>
        <v>Megan Palace batch father when Wal-Mart</v>
      </c>
      <c r="D1908" s="5" t="s">
        <v>4451</v>
      </c>
      <c r="E1908" s="4">
        <v>897843</v>
      </c>
    </row>
    <row r="1909" spans="1:6" ht="13.5" hidden="1" customHeight="1">
      <c r="A1909" s="4" t="s">
        <v>4452</v>
      </c>
      <c r="B1909" s="4" t="s">
        <v>4453</v>
      </c>
      <c r="C1909" s="4" t="str">
        <f ca="1">IFERROR(__xludf.DUMMYFUNCTION("GOOGLETRANSLATE(D:D,""auto"",""en"")"),"iBoy powder is male pro")</f>
        <v>iBoy powder is male pro</v>
      </c>
      <c r="D1909" s="5" t="s">
        <v>4454</v>
      </c>
      <c r="E1909" s="4">
        <v>895868</v>
      </c>
    </row>
    <row r="1910" spans="1:6" ht="13.5" hidden="1" customHeight="1">
      <c r="A1910" s="4" t="s">
        <v>2608</v>
      </c>
      <c r="B1910" s="4" t="s">
        <v>2609</v>
      </c>
      <c r="C1910" s="4" t="str">
        <f ca="1">IFERROR(__xludf.DUMMYFUNCTION("GOOGLETRANSLATE(D:D,""auto"",""en"")"),"Landing of love")</f>
        <v>Landing of love</v>
      </c>
      <c r="D1910" s="5" t="s">
        <v>2610</v>
      </c>
      <c r="E1910" s="4">
        <v>895243</v>
      </c>
    </row>
    <row r="1911" spans="1:6" ht="13.5" hidden="1" customHeight="1">
      <c r="A1911" s="4" t="s">
        <v>4455</v>
      </c>
      <c r="B1911" s="4" t="s">
        <v>4456</v>
      </c>
      <c r="C1911" s="4" t="str">
        <f ca="1">IFERROR(__xludf.DUMMYFUNCTION("GOOGLETRANSLATE(D:D,""auto"",""en"")"),"Zhou deep Hacken our song title")</f>
        <v>Zhou deep Hacken our song title</v>
      </c>
      <c r="D1911" s="5" t="s">
        <v>4457</v>
      </c>
      <c r="E1911" s="4">
        <v>856800</v>
      </c>
    </row>
    <row r="1912" spans="1:6" ht="13.5" hidden="1" customHeight="1">
      <c r="A1912" s="4" t="s">
        <v>959</v>
      </c>
      <c r="B1912" s="4" t="s">
        <v>960</v>
      </c>
      <c r="C1912" s="4" t="str">
        <f ca="1">IFERROR(__xludf.DUMMYFUNCTION("GOOGLETRANSLATE(D:D,""auto"",""en"")"),"Under Jinyi")</f>
        <v>Under Jinyi</v>
      </c>
      <c r="D1912" s="5" t="s">
        <v>961</v>
      </c>
      <c r="E1912" s="4">
        <v>581802</v>
      </c>
    </row>
    <row r="1913" spans="1:6" ht="13.5" hidden="1" customHeight="1">
      <c r="A1913" s="4" t="s">
        <v>4458</v>
      </c>
      <c r="B1913" s="4" t="s">
        <v>4459</v>
      </c>
      <c r="C1913" s="4" t="str">
        <f ca="1">IFERROR(__xludf.DUMMYFUNCTION("GOOGLETRANSLATE(D:D,""auto"",""en"")"),"Kashi 6.4 earthquake")</f>
        <v>Kashi 6.4 earthquake</v>
      </c>
      <c r="D1913" s="5" t="s">
        <v>4460</v>
      </c>
      <c r="E1913" s="4">
        <v>448056</v>
      </c>
    </row>
    <row r="1914" spans="1:6" ht="13.5" customHeight="1">
      <c r="A1914" s="4" t="s">
        <v>4441</v>
      </c>
      <c r="B1914" s="4" t="s">
        <v>4461</v>
      </c>
      <c r="C1914" s="4" t="str">
        <f ca="1">IFERROR(__xludf.DUMMYFUNCTION("GOOGLETRANSLATE(D:D,""auto"",""en"")"),"Novel coronavirus infection source has not been found")</f>
        <v>Novel coronavirus infection source has not been found</v>
      </c>
      <c r="D1914" s="5" t="s">
        <v>4462</v>
      </c>
      <c r="E1914" s="4">
        <v>431434</v>
      </c>
      <c r="F1914">
        <v>1</v>
      </c>
    </row>
    <row r="1915" spans="1:6" ht="13.5" hidden="1" customHeight="1">
      <c r="A1915" s="4" t="s">
        <v>4463</v>
      </c>
      <c r="B1915" s="4" t="s">
        <v>4464</v>
      </c>
      <c r="C1915" s="4" t="str">
        <f ca="1">IFERROR(__xludf.DUMMYFUNCTION("GOOGLETRANSLATE(D:D,""auto"",""en"")"),"National Bureau of Statistics population decline reason to talk about birth")</f>
        <v>National Bureau of Statistics population decline reason to talk about birth</v>
      </c>
      <c r="D1915" s="5" t="s">
        <v>4465</v>
      </c>
      <c r="E1915" s="4">
        <v>425771</v>
      </c>
    </row>
    <row r="1916" spans="1:6" ht="13.5" hidden="1" customHeight="1">
      <c r="A1916" s="4" t="s">
        <v>4466</v>
      </c>
      <c r="B1916" s="4" t="s">
        <v>4467</v>
      </c>
      <c r="C1916" s="4" t="str">
        <f ca="1">IFERROR(__xludf.DUMMYFUNCTION("GOOGLETRANSLATE(D:D,""auto"",""en"")"),"Students help people luggage suddenly vaginal bleeding")</f>
        <v>Students help people luggage suddenly vaginal bleeding</v>
      </c>
      <c r="D1916" s="5" t="s">
        <v>4468</v>
      </c>
      <c r="E1916" s="4">
        <v>425624</v>
      </c>
    </row>
    <row r="1917" spans="1:6" ht="13.5" hidden="1" customHeight="1">
      <c r="A1917" s="4" t="s">
        <v>4469</v>
      </c>
      <c r="B1917" s="4" t="s">
        <v>4470</v>
      </c>
      <c r="C1917" s="4" t="str">
        <f ca="1">IFERROR(__xludf.DUMMYFUNCTION("GOOGLETRANSLATE(D:D,""auto"",""en"")"),"English bad brother staying in a hotel")</f>
        <v>English bad brother staying in a hotel</v>
      </c>
      <c r="D1917" s="5" t="s">
        <v>4471</v>
      </c>
      <c r="E1917" s="4">
        <v>425379</v>
      </c>
    </row>
    <row r="1918" spans="1:6" ht="13.5" hidden="1" customHeight="1">
      <c r="A1918" s="4" t="s">
        <v>4472</v>
      </c>
      <c r="B1918" s="4" t="s">
        <v>4473</v>
      </c>
      <c r="C1918" s="4" t="str">
        <f ca="1">IFERROR(__xludf.DUMMYFUNCTION("GOOGLETRANSLATE(D:D,""auto"",""en"")"),"Mori Butterfly arm lines")</f>
        <v>Mori Butterfly arm lines</v>
      </c>
      <c r="D1918" s="5" t="s">
        <v>4474</v>
      </c>
      <c r="E1918" s="4">
        <v>425057</v>
      </c>
    </row>
    <row r="1919" spans="1:6" ht="13.5" hidden="1" customHeight="1">
      <c r="A1919" s="4" t="s">
        <v>4475</v>
      </c>
      <c r="B1919" s="4" t="s">
        <v>4476</v>
      </c>
      <c r="C1919" s="4" t="str">
        <f ca="1">IFERROR(__xludf.DUMMYFUNCTION("GOOGLETRANSLATE(D:D,""auto"",""en"")"),"Zhejiang Education Department tortured soul")</f>
        <v>Zhejiang Education Department tortured soul</v>
      </c>
      <c r="D1919" s="5" t="s">
        <v>4477</v>
      </c>
      <c r="E1919" s="4">
        <v>328769</v>
      </c>
    </row>
    <row r="1920" spans="1:6" ht="13.5" hidden="1" customHeight="1">
      <c r="A1920" s="4" t="s">
        <v>4478</v>
      </c>
      <c r="B1920" s="4" t="s">
        <v>4479</v>
      </c>
      <c r="C1920" s="4" t="str">
        <f ca="1">IFERROR(__xludf.DUMMYFUNCTION("GOOGLETRANSLATE(D:D,""auto"",""en"")"),"How to stimulate the take-out point at home mom")</f>
        <v>How to stimulate the take-out point at home mom</v>
      </c>
      <c r="D1920" s="5" t="s">
        <v>4480</v>
      </c>
      <c r="E1920" s="4">
        <v>325529</v>
      </c>
    </row>
    <row r="1921" spans="1:5" ht="13.5" hidden="1" customHeight="1">
      <c r="A1921" s="4" t="s">
        <v>4481</v>
      </c>
      <c r="B1921" s="4" t="s">
        <v>4482</v>
      </c>
      <c r="C1921" s="4" t="str">
        <f ca="1">IFERROR(__xludf.DUMMYFUNCTION("GOOGLETRANSLATE(D:D,""auto"",""en"")"),"Xiaozhan Na Ying heart Chorus")</f>
        <v>Xiaozhan Na Ying heart Chorus</v>
      </c>
      <c r="D1921" s="5" t="s">
        <v>4483</v>
      </c>
      <c r="E1921" s="4">
        <v>324856</v>
      </c>
    </row>
    <row r="1922" spans="1:5" ht="13.5" hidden="1" customHeight="1">
      <c r="A1922" s="4" t="s">
        <v>4484</v>
      </c>
      <c r="B1922" s="4" t="s">
        <v>4485</v>
      </c>
      <c r="C1922" s="4" t="str">
        <f ca="1">IFERROR(__xludf.DUMMYFUNCTION("GOOGLETRANSLATE(D:D,""auto"",""en"")"),"Teenager found to save drowning victims was his grandfather")</f>
        <v>Teenager found to save drowning victims was his grandfather</v>
      </c>
      <c r="D1922" s="5" t="s">
        <v>4486</v>
      </c>
      <c r="E1922" s="4">
        <v>321426</v>
      </c>
    </row>
    <row r="1923" spans="1:5" ht="13.5" hidden="1" customHeight="1">
      <c r="A1923" s="4" t="s">
        <v>4452</v>
      </c>
      <c r="B1923" s="4" t="s">
        <v>4482</v>
      </c>
      <c r="C1923" s="4" t="str">
        <f ca="1">IFERROR(__xludf.DUMMYFUNCTION("GOOGLETRANSLATE(D:D,""auto"",""en"")"),"University of Southampton Mail")</f>
        <v>University of Southampton Mail</v>
      </c>
      <c r="D1923" s="5" t="s">
        <v>4487</v>
      </c>
      <c r="E1923" s="4">
        <v>296512</v>
      </c>
    </row>
    <row r="1924" spans="1:5" ht="13.5" hidden="1" customHeight="1">
      <c r="A1924" s="4" t="s">
        <v>4488</v>
      </c>
      <c r="B1924" s="4" t="s">
        <v>4489</v>
      </c>
      <c r="C1924" s="4" t="str">
        <f ca="1">IFERROR(__xludf.DUMMYFUNCTION("GOOGLETRANSLATE(D:D,""auto"",""en"")"),"Koala mother refused to worry about the safety of the baby rescued")</f>
        <v>Koala mother refused to worry about the safety of the baby rescued</v>
      </c>
      <c r="D1924" s="5" t="s">
        <v>4490</v>
      </c>
      <c r="E1924" s="4">
        <v>280121</v>
      </c>
    </row>
    <row r="1925" spans="1:5" ht="13.5" hidden="1" customHeight="1">
      <c r="A1925" s="4" t="s">
        <v>4491</v>
      </c>
      <c r="B1925" s="4" t="s">
        <v>4482</v>
      </c>
      <c r="C1925" s="4" t="str">
        <f ca="1">IFERROR(__xludf.DUMMYFUNCTION("GOOGLETRANSLATE(D:D,""auto"",""en"")"),"Dad how to do this too Sand Sculpture")</f>
        <v>Dad how to do this too Sand Sculpture</v>
      </c>
      <c r="D1925" s="5" t="s">
        <v>4492</v>
      </c>
      <c r="E1925" s="4">
        <v>269097</v>
      </c>
    </row>
    <row r="1926" spans="1:5" ht="13.5" hidden="1" customHeight="1">
      <c r="A1926" s="4" t="s">
        <v>4493</v>
      </c>
      <c r="B1926" s="4" t="s">
        <v>4494</v>
      </c>
      <c r="C1926" s="4" t="str">
        <f ca="1">IFERROR(__xludf.DUMMYFUNCTION("GOOGLETRANSLATE(D:D,""auto"",""en"")"),"Yang Yang white suit vacuo")</f>
        <v>Yang Yang white suit vacuo</v>
      </c>
      <c r="D1926" s="5" t="s">
        <v>4495</v>
      </c>
      <c r="E1926" s="4">
        <v>267755</v>
      </c>
    </row>
    <row r="1927" spans="1:5" ht="13.5" hidden="1" customHeight="1">
      <c r="A1927" s="4" t="s">
        <v>4496</v>
      </c>
      <c r="B1927" s="4" t="s">
        <v>4497</v>
      </c>
      <c r="C1927" s="4" t="str">
        <f ca="1">IFERROR(__xludf.DUMMYFUNCTION("GOOGLETRANSLATE(D:D,""auto"",""en"")"),"Uncle of migrant workers outside the station to change 15 yuan new shoes")</f>
        <v>Uncle of migrant workers outside the station to change 15 yuan new shoes</v>
      </c>
      <c r="D1927" s="5" t="s">
        <v>4498</v>
      </c>
      <c r="E1927" s="4">
        <v>263079</v>
      </c>
    </row>
    <row r="1928" spans="1:5" ht="13.5" hidden="1" customHeight="1">
      <c r="A1928" s="4" t="s">
        <v>4499</v>
      </c>
      <c r="B1928" s="4" t="s">
        <v>4500</v>
      </c>
      <c r="C1928" s="4" t="str">
        <f ca="1">IFERROR(__xludf.DUMMYFUNCTION("GOOGLETRANSLATE(D:D,""auto"",""en"")"),"The reason Starchaser girls short of money")</f>
        <v>The reason Starchaser girls short of money</v>
      </c>
      <c r="D1928" s="5" t="s">
        <v>4501</v>
      </c>
      <c r="E1928" s="4">
        <v>251281</v>
      </c>
    </row>
    <row r="1929" spans="1:5" ht="13.5" hidden="1" customHeight="1">
      <c r="A1929" s="4" t="s">
        <v>4502</v>
      </c>
      <c r="B1929" s="4" t="s">
        <v>4503</v>
      </c>
      <c r="C1929" s="4" t="str">
        <f ca="1">IFERROR(__xludf.DUMMYFUNCTION("GOOGLETRANSLATE(D:D,""auto"",""en"")"),"2019 national marriage registration 9.471 million pairs")</f>
        <v>2019 national marriage registration 9.471 million pairs</v>
      </c>
      <c r="D1929" s="5" t="s">
        <v>4504</v>
      </c>
      <c r="E1929" s="4">
        <v>246038</v>
      </c>
    </row>
    <row r="1930" spans="1:5" ht="13.5" hidden="1" customHeight="1">
      <c r="A1930" s="4" t="s">
        <v>1169</v>
      </c>
      <c r="B1930" s="4" t="s">
        <v>1170</v>
      </c>
      <c r="C1930" s="4" t="str">
        <f ca="1">IFERROR(__xludf.DUMMYFUNCTION("GOOGLETRANSLATE(D:D,""auto"",""en"")"),"want to see you")</f>
        <v>want to see you</v>
      </c>
      <c r="D1930" s="5" t="s">
        <v>1171</v>
      </c>
      <c r="E1930" s="4">
        <v>241648</v>
      </c>
    </row>
    <row r="1931" spans="1:5" ht="13.5" hidden="1" customHeight="1">
      <c r="A1931" s="4" t="s">
        <v>4505</v>
      </c>
      <c r="B1931" s="4" t="s">
        <v>4506</v>
      </c>
      <c r="C1931" s="4" t="str">
        <f ca="1">IFERROR(__xludf.DUMMYFUNCTION("GOOGLETRANSLATE(D:D,""auto"",""en"")"),"Wu Bai me how so much")</f>
        <v>Wu Bai me how so much</v>
      </c>
      <c r="D1931" s="5" t="s">
        <v>4507</v>
      </c>
      <c r="E1931" s="4">
        <v>230435</v>
      </c>
    </row>
    <row r="1932" spans="1:5" ht="13.5" hidden="1" customHeight="1">
      <c r="A1932" s="4" t="s">
        <v>4508</v>
      </c>
      <c r="B1932" s="4" t="s">
        <v>4509</v>
      </c>
      <c r="C1932" s="4" t="str">
        <f ca="1">IFERROR(__xludf.DUMMYFUNCTION("GOOGLETRANSLATE(D:D,""auto"",""en"")"),"Love made an emergency landing 11 Set Preview")</f>
        <v>Love made an emergency landing 11 Set Preview</v>
      </c>
      <c r="D1932" s="5" t="s">
        <v>4510</v>
      </c>
      <c r="E1932" s="4">
        <v>223074</v>
      </c>
    </row>
    <row r="1933" spans="1:5" ht="13.5" hidden="1" customHeight="1">
      <c r="A1933" s="4" t="s">
        <v>4511</v>
      </c>
      <c r="B1933" s="4" t="s">
        <v>4512</v>
      </c>
      <c r="C1933" s="4" t="str">
        <f ca="1">IFERROR(__xludf.DUMMYFUNCTION("GOOGLETRANSLATE(D:D,""auto"",""en"")"),"Sichuan was hit three family members of patients doctors")</f>
        <v>Sichuan was hit three family members of patients doctors</v>
      </c>
      <c r="D1933" s="5" t="s">
        <v>4513</v>
      </c>
      <c r="E1933" s="4">
        <v>189920</v>
      </c>
    </row>
    <row r="1934" spans="1:5" ht="13.5" hidden="1" customHeight="1">
      <c r="A1934" s="4" t="s">
        <v>4514</v>
      </c>
      <c r="B1934" s="4" t="s">
        <v>4515</v>
      </c>
      <c r="C1934" s="4" t="str">
        <f ca="1">IFERROR(__xludf.DUMMYFUNCTION("GOOGLETRANSLATE(D:D,""auto"",""en"")"),"2020 Beijing college entrance examination time was changed to 4 days")</f>
        <v>2020 Beijing college entrance examination time was changed to 4 days</v>
      </c>
      <c r="D1934" s="5" t="s">
        <v>4516</v>
      </c>
      <c r="E1934" s="4">
        <v>184035</v>
      </c>
    </row>
    <row r="1935" spans="1:5" ht="13.5" hidden="1" customHeight="1">
      <c r="A1935" s="4" t="s">
        <v>4517</v>
      </c>
      <c r="B1935" s="4" t="s">
        <v>4482</v>
      </c>
      <c r="C1935" s="4" t="str">
        <f ca="1">IFERROR(__xludf.DUMMYFUNCTION("GOOGLETRANSLATE(D:D,""auto"",""en"")"),"A cloud Ga singer Qiuniao")</f>
        <v>A cloud Ga singer Qiuniao</v>
      </c>
      <c r="D1935" s="5" t="s">
        <v>4518</v>
      </c>
      <c r="E1935" s="4">
        <v>179001</v>
      </c>
    </row>
    <row r="1936" spans="1:5" ht="13.5" hidden="1" customHeight="1">
      <c r="A1936" s="4" t="s">
        <v>4519</v>
      </c>
      <c r="B1936" s="4" t="s">
        <v>4333</v>
      </c>
      <c r="C1936" s="4" t="str">
        <f ca="1">IFERROR(__xludf.DUMMYFUNCTION("GOOGLETRANSLATE(D:D,""auto"",""en"")"),"Ayumi Hamasaki father son")</f>
        <v>Ayumi Hamasaki father son</v>
      </c>
      <c r="D1936" s="5" t="s">
        <v>4520</v>
      </c>
      <c r="E1936" s="4">
        <v>167291</v>
      </c>
    </row>
    <row r="1937" spans="1:6" ht="13.5" hidden="1" customHeight="1">
      <c r="A1937" s="4" t="s">
        <v>4521</v>
      </c>
      <c r="B1937" s="4" t="s">
        <v>4522</v>
      </c>
      <c r="C1937" s="4" t="str">
        <f ca="1">IFERROR(__xludf.DUMMYFUNCTION("GOOGLETRANSLATE(D:D,""auto"",""en"")"),"F-20 F-16 F-10C with box off")</f>
        <v>F-20 F-16 F-10C with box off</v>
      </c>
      <c r="D1937" s="5" t="s">
        <v>4523</v>
      </c>
      <c r="E1937" s="4">
        <v>164195</v>
      </c>
    </row>
    <row r="1938" spans="1:6" ht="13.5" hidden="1" customHeight="1">
      <c r="A1938" s="4" t="s">
        <v>4524</v>
      </c>
      <c r="B1938" s="4" t="s">
        <v>4525</v>
      </c>
      <c r="C1938" s="4" t="str">
        <f ca="1">IFERROR(__xludf.DUMMYFUNCTION("GOOGLETRANSLATE(D:D,""auto"",""en"")"),"Xu Guanghan large snow")</f>
        <v>Xu Guanghan large snow</v>
      </c>
      <c r="D1938" s="5" t="s">
        <v>4526</v>
      </c>
      <c r="E1938" s="4">
        <v>159348</v>
      </c>
    </row>
    <row r="1939" spans="1:6" ht="13.5" hidden="1" customHeight="1">
      <c r="A1939" s="4" t="s">
        <v>4472</v>
      </c>
      <c r="B1939" s="4" t="s">
        <v>4527</v>
      </c>
      <c r="C1939" s="4" t="str">
        <f ca="1">IFERROR(__xludf.DUMMYFUNCTION("GOOGLETRANSLATE(D:D,""auto"",""en"")"),"How girls love to hoard goods")</f>
        <v>How girls love to hoard goods</v>
      </c>
      <c r="D1939" s="5" t="s">
        <v>4528</v>
      </c>
      <c r="E1939" s="4">
        <v>149284</v>
      </c>
    </row>
    <row r="1940" spans="1:6" ht="13.5" hidden="1" customHeight="1">
      <c r="A1940" s="4" t="s">
        <v>4529</v>
      </c>
      <c r="B1940" s="4" t="s">
        <v>4497</v>
      </c>
      <c r="C1940" s="4" t="str">
        <f ca="1">IFERROR(__xludf.DUMMYFUNCTION("GOOGLETRANSLATE(D:D,""auto"",""en"")"),"Shanxi Shuozhou God first spring as beautiful as paradise")</f>
        <v>Shanxi Shuozhou God first spring as beautiful as paradise</v>
      </c>
      <c r="D1940" s="5" t="s">
        <v>4530</v>
      </c>
      <c r="E1940" s="4">
        <v>142546</v>
      </c>
    </row>
    <row r="1941" spans="1:6" ht="13.5" customHeight="1">
      <c r="A1941" s="4" t="s">
        <v>4531</v>
      </c>
      <c r="B1941" s="4" t="s">
        <v>4532</v>
      </c>
      <c r="C1941" s="4" t="str">
        <f ca="1">IFERROR(__xludf.DUMMYFUNCTION("GOOGLETRANSLATE(D:D,""auto"",""en"")"),"Wuhan airport train station to detect body temperature")</f>
        <v>Wuhan airport train station to detect body temperature</v>
      </c>
      <c r="D1941" s="5" t="s">
        <v>4533</v>
      </c>
      <c r="E1941" s="4">
        <v>130403</v>
      </c>
      <c r="F1941">
        <v>1</v>
      </c>
    </row>
    <row r="1942" spans="1:6" ht="13.5" hidden="1" customHeight="1">
      <c r="A1942" s="4" t="s">
        <v>4534</v>
      </c>
      <c r="B1942" s="4" t="s">
        <v>4535</v>
      </c>
      <c r="C1942" s="4" t="str">
        <f ca="1">IFERROR(__xludf.DUMMYFUNCTION("GOOGLETRANSLATE(D:D,""auto"",""en"")"),"Ouyang Nana meteor earrings")</f>
        <v>Ouyang Nana meteor earrings</v>
      </c>
      <c r="D1942" s="5" t="s">
        <v>4536</v>
      </c>
      <c r="E1942" s="4">
        <v>129053</v>
      </c>
    </row>
    <row r="1943" spans="1:6" ht="13.5" hidden="1" customHeight="1">
      <c r="A1943" s="4" t="s">
        <v>4537</v>
      </c>
      <c r="B1943" s="4" t="s">
        <v>4538</v>
      </c>
      <c r="C1943" s="4" t="str">
        <f ca="1">IFERROR(__xludf.DUMMYFUNCTION("GOOGLETRANSLATE(D:D,""auto"",""en"")"),"Obesity and diabetes or contagious")</f>
        <v>Obesity and diabetes or contagious</v>
      </c>
      <c r="D1943" s="5" t="s">
        <v>4539</v>
      </c>
      <c r="E1943" s="4">
        <v>127646</v>
      </c>
    </row>
    <row r="1944" spans="1:6" ht="13.5" hidden="1" customHeight="1">
      <c r="A1944" s="4" t="s">
        <v>4529</v>
      </c>
      <c r="B1944" s="4" t="s">
        <v>4540</v>
      </c>
      <c r="C1944" s="4" t="str">
        <f ca="1">IFERROR(__xludf.DUMMYFUNCTION("GOOGLETRANSLATE(D:D,""auto"",""en"")"),"How can efforts in order to attract the cat")</f>
        <v>How can efforts in order to attract the cat</v>
      </c>
      <c r="D1944" s="5" t="s">
        <v>4541</v>
      </c>
      <c r="E1944" s="4">
        <v>120283</v>
      </c>
    </row>
    <row r="1945" spans="1:6" ht="13.5" hidden="1" customHeight="1">
      <c r="A1945" s="4" t="s">
        <v>4542</v>
      </c>
      <c r="B1945" s="4" t="s">
        <v>4543</v>
      </c>
      <c r="C1945" s="4" t="str">
        <f ca="1">IFERROR(__xludf.DUMMYFUNCTION("GOOGLETRANSLATE(D:D,""auto"",""en"")"),"Year of the Rat Ring")</f>
        <v>Year of the Rat Ring</v>
      </c>
      <c r="D1945" s="5" t="s">
        <v>4544</v>
      </c>
      <c r="E1945" s="4">
        <v>119122</v>
      </c>
    </row>
    <row r="1946" spans="1:6" ht="13.5" hidden="1" customHeight="1">
      <c r="A1946" s="4" t="s">
        <v>4514</v>
      </c>
      <c r="B1946" s="4" t="s">
        <v>4545</v>
      </c>
      <c r="C1946" s="4" t="str">
        <f ca="1">IFERROR(__xludf.DUMMYFUNCTION("GOOGLETRANSLATE(D:D,""auto"",""en"")"),"Yao Shunxi")</f>
        <v>Yao Shunxi</v>
      </c>
      <c r="D1946" s="5" t="s">
        <v>4546</v>
      </c>
      <c r="E1946" s="4">
        <v>115123</v>
      </c>
    </row>
    <row r="1947" spans="1:6" ht="13.5" hidden="1" customHeight="1">
      <c r="A1947" s="4" t="s">
        <v>4547</v>
      </c>
      <c r="B1947" s="4" t="s">
        <v>4548</v>
      </c>
      <c r="C1947" s="4" t="str">
        <f ca="1">IFERROR(__xludf.DUMMYFUNCTION("GOOGLETRANSLATE(D:D,""auto"",""en"")"),"Look after the children were pinched face")</f>
        <v>Look after the children were pinched face</v>
      </c>
      <c r="D1947" s="5" t="s">
        <v>4549</v>
      </c>
      <c r="E1947" s="4">
        <v>115010</v>
      </c>
    </row>
    <row r="1948" spans="1:6" ht="13.5" hidden="1" customHeight="1">
      <c r="A1948" s="4" t="s">
        <v>4550</v>
      </c>
      <c r="B1948" s="4" t="s">
        <v>4551</v>
      </c>
      <c r="C1948" s="4" t="str">
        <f ca="1">IFERROR(__xludf.DUMMYFUNCTION("GOOGLETRANSLATE(D:D,""auto"",""en"")"),"If you can rent a home for the holiday objects")</f>
        <v>If you can rent a home for the holiday objects</v>
      </c>
      <c r="D1948" s="5" t="s">
        <v>4552</v>
      </c>
      <c r="E1948" s="4">
        <v>112969</v>
      </c>
    </row>
    <row r="1949" spans="1:6" ht="13.5" hidden="1" customHeight="1">
      <c r="A1949" s="4" t="s">
        <v>4553</v>
      </c>
      <c r="B1949" s="4" t="s">
        <v>4368</v>
      </c>
      <c r="C1949" s="4" t="str">
        <f ca="1">IFERROR(__xludf.DUMMYFUNCTION("GOOGLETRANSLATE(D:D,""auto"",""en"")"),"Women with children threw firecrackers lead to a manhole explosion")</f>
        <v>Women with children threw firecrackers lead to a manhole explosion</v>
      </c>
      <c r="D1949" s="5" t="s">
        <v>4554</v>
      </c>
      <c r="E1949" s="4">
        <v>102602</v>
      </c>
    </row>
    <row r="1950" spans="1:6" ht="13.5" hidden="1" customHeight="1">
      <c r="C1950" s="4" t="str">
        <f ca="1">IFERROR(__xludf.DUMMYFUNCTION("GOOGLETRANSLATE(D:D,""auto"",""en"")"),"#VALUE!")</f>
        <v>#VALUE!</v>
      </c>
    </row>
    <row r="1951" spans="1:6" ht="13.5" hidden="1" customHeight="1">
      <c r="A1951" s="4" t="s">
        <v>4555</v>
      </c>
      <c r="B1951" s="4" t="s">
        <v>4556</v>
      </c>
      <c r="C1951" s="4" t="str">
        <f ca="1">IFERROR(__xludf.DUMMYFUNCTION("GOOGLETRANSLATE(D:D,""auto"",""en"")"),"Exit royal Hou Hali first sound")</f>
        <v>Exit royal Hou Hali first sound</v>
      </c>
      <c r="D1951" s="4" t="s">
        <v>4557</v>
      </c>
      <c r="E1951" s="4">
        <v>1773308</v>
      </c>
    </row>
    <row r="1952" spans="1:6" ht="13.5" hidden="1" customHeight="1">
      <c r="A1952" s="4" t="s">
        <v>4558</v>
      </c>
      <c r="B1952" s="4" t="s">
        <v>4559</v>
      </c>
      <c r="C1952" s="4" t="str">
        <f ca="1">IFERROR(__xludf.DUMMYFUNCTION("GOOGLETRANSLATE(D:D,""auto"",""en"")"),"Two Chinese citizens have been killed in the streets of Madrid")</f>
        <v>Two Chinese citizens have been killed in the streets of Madrid</v>
      </c>
      <c r="D1952" s="5" t="s">
        <v>4560</v>
      </c>
      <c r="E1952" s="4">
        <v>976222</v>
      </c>
    </row>
    <row r="1953" spans="1:6" ht="13.5" hidden="1" customHeight="1">
      <c r="A1953" s="4" t="s">
        <v>4561</v>
      </c>
      <c r="B1953" s="4" t="s">
        <v>4562</v>
      </c>
      <c r="C1953" s="4" t="str">
        <f ca="1">IFERROR(__xludf.DUMMYFUNCTION("GOOGLETRANSLATE(D:D,""auto"",""en"")"),"Li Ziwei wreck")</f>
        <v>Li Ziwei wreck</v>
      </c>
      <c r="D1953" s="5" t="s">
        <v>4563</v>
      </c>
      <c r="E1953" s="4">
        <v>857736</v>
      </c>
    </row>
    <row r="1954" spans="1:6" ht="13.5" hidden="1" customHeight="1">
      <c r="A1954" s="4" t="s">
        <v>4564</v>
      </c>
      <c r="B1954" s="4" t="s">
        <v>4565</v>
      </c>
      <c r="C1954" s="4" t="str">
        <f ca="1">IFERROR(__xludf.DUMMYFUNCTION("GOOGLETRANSLATE(D:D,""auto"",""en"")"),"Earthquake pick up the phone call a halt trains do not run")</f>
        <v>Earthquake pick up the phone call a halt trains do not run</v>
      </c>
      <c r="D1954" s="5" t="s">
        <v>4566</v>
      </c>
      <c r="E1954" s="4">
        <v>853106</v>
      </c>
    </row>
    <row r="1955" spans="1:6" ht="13.5" hidden="1" customHeight="1">
      <c r="A1955" s="4" t="s">
        <v>4567</v>
      </c>
      <c r="B1955" s="4" t="s">
        <v>4568</v>
      </c>
      <c r="C1955" s="4" t="str">
        <f ca="1">IFERROR(__xludf.DUMMYFUNCTION("GOOGLETRANSLATE(D:D,""auto"",""en"")"),"Right Zhi-long blue suit")</f>
        <v>Right Zhi-long blue suit</v>
      </c>
      <c r="D1955" s="5" t="s">
        <v>4569</v>
      </c>
      <c r="E1955" s="4">
        <v>848008</v>
      </c>
    </row>
    <row r="1956" spans="1:6" ht="13.5" hidden="1" customHeight="1">
      <c r="A1956" s="4" t="s">
        <v>4429</v>
      </c>
      <c r="B1956" s="4" t="s">
        <v>4430</v>
      </c>
      <c r="C1956" s="4" t="str">
        <f ca="1">IFERROR(__xludf.DUMMYFUNCTION("GOOGLETRANSLATE(D:D,""auto"",""en"")"),"Sun Yi cute")</f>
        <v>Sun Yi cute</v>
      </c>
      <c r="D1956" s="5" t="s">
        <v>4431</v>
      </c>
      <c r="E1956" s="4">
        <v>840131</v>
      </c>
    </row>
    <row r="1957" spans="1:6" ht="13.5" hidden="1" customHeight="1">
      <c r="A1957" s="4" t="s">
        <v>4570</v>
      </c>
      <c r="B1957" s="4" t="s">
        <v>4519</v>
      </c>
      <c r="C1957" s="4" t="str">
        <f ca="1">IFERROR(__xludf.DUMMYFUNCTION("GOOGLETRANSLATE(D:D,""auto"",""en"")"),"Himalayan avalanche four tourists lost contact")</f>
        <v>Himalayan avalanche four tourists lost contact</v>
      </c>
      <c r="D1957" s="5" t="s">
        <v>4571</v>
      </c>
      <c r="E1957" s="4">
        <v>826079</v>
      </c>
    </row>
    <row r="1958" spans="1:6" ht="13.5" hidden="1" customHeight="1">
      <c r="A1958" s="4" t="s">
        <v>4572</v>
      </c>
      <c r="B1958" s="4" t="s">
        <v>4573</v>
      </c>
      <c r="C1958" s="4" t="str">
        <f ca="1">IFERROR(__xludf.DUMMYFUNCTION("GOOGLETRANSLATE(D:D,""auto"",""en"")"),"Megan quit the British royal family on the occasion praised by the Queen")</f>
        <v>Megan quit the British royal family on the occasion praised by the Queen</v>
      </c>
      <c r="D1958" s="5" t="s">
        <v>4574</v>
      </c>
      <c r="E1958" s="4">
        <v>816888</v>
      </c>
    </row>
    <row r="1959" spans="1:6" ht="13.5" customHeight="1">
      <c r="A1959" s="4" t="s">
        <v>4575</v>
      </c>
      <c r="B1959" s="4" t="s">
        <v>4576</v>
      </c>
      <c r="C1959" s="4" t="str">
        <f ca="1">IFERROR(__xludf.DUMMYFUNCTION("GOOGLETRANSLATE(D:D,""auto"",""en"")"),"Zhejiang found that symptoms of 5 patients Zhejiang and Wuhan to have fever")</f>
        <v>Zhejiang found that symptoms of 5 patients Zhejiang and Wuhan to have fever</v>
      </c>
      <c r="D1959" s="5" t="s">
        <v>4577</v>
      </c>
      <c r="E1959" s="4">
        <v>811650</v>
      </c>
      <c r="F1959">
        <v>1</v>
      </c>
    </row>
    <row r="1960" spans="1:6" ht="13.5" customHeight="1">
      <c r="A1960" s="4" t="s">
        <v>4578</v>
      </c>
      <c r="B1960" s="4" t="s">
        <v>4579</v>
      </c>
      <c r="C1960" s="4" t="str">
        <f ca="1">IFERROR(__xludf.DUMMYFUNCTION("GOOGLETRANSLATE(D:D,""auto"",""en"")"),"Wuhan Wei Jian Commission issued a high incidence of viral pneumonia Notes")</f>
        <v>Wuhan Wei Jian Commission issued a high incidence of viral pneumonia Notes</v>
      </c>
      <c r="D1960" s="5" t="s">
        <v>4580</v>
      </c>
      <c r="E1960" s="4">
        <v>801465</v>
      </c>
      <c r="F1960">
        <v>1</v>
      </c>
    </row>
    <row r="1961" spans="1:6" ht="13.5" customHeight="1">
      <c r="A1961" s="4" t="s">
        <v>4581</v>
      </c>
      <c r="B1961" s="4" t="s">
        <v>4582</v>
      </c>
      <c r="C1961" s="4" t="str">
        <f ca="1">IFERROR(__xludf.DUMMYFUNCTION("GOOGLETRANSLATE(D:D,""auto"",""en"")"),"Shenzhen and another eight cases of novel coronavirus pneumonia cases observed")</f>
        <v>Shenzhen and another eight cases of novel coronavirus pneumonia cases observed</v>
      </c>
      <c r="D1961" s="5" t="s">
        <v>4583</v>
      </c>
      <c r="E1961" s="4">
        <v>794022</v>
      </c>
      <c r="F1961">
        <v>1</v>
      </c>
    </row>
    <row r="1962" spans="1:6" ht="13.5" customHeight="1">
      <c r="A1962" s="4" t="s">
        <v>4584</v>
      </c>
      <c r="B1962" s="4" t="s">
        <v>4585</v>
      </c>
      <c r="C1962" s="4" t="str">
        <f ca="1">IFERROR(__xludf.DUMMYFUNCTION("GOOGLETRANSLATE(D:D,""auto"",""en"")"),"Wuhan new new 136 cases of pneumonia")</f>
        <v>Wuhan new new 136 cases of pneumonia</v>
      </c>
      <c r="D1962" s="5" t="s">
        <v>4586</v>
      </c>
      <c r="E1962" s="4">
        <v>789899</v>
      </c>
      <c r="F1962">
        <v>1</v>
      </c>
    </row>
    <row r="1963" spans="1:6" ht="13.5" customHeight="1">
      <c r="A1963" s="4" t="s">
        <v>4587</v>
      </c>
      <c r="B1963" s="4" t="s">
        <v>4588</v>
      </c>
      <c r="C1963" s="4" t="str">
        <f ca="1">IFERROR(__xludf.DUMMYFUNCTION("GOOGLETRANSLATE(D:D,""auto"",""en"")"),"Beijing confirmed two cases of novel coronavirus infection pneumonia")</f>
        <v>Beijing confirmed two cases of novel coronavirus infection pneumonia</v>
      </c>
      <c r="D1963" s="5" t="s">
        <v>4589</v>
      </c>
      <c r="E1963" s="4">
        <v>787716</v>
      </c>
      <c r="F1963">
        <v>1</v>
      </c>
    </row>
    <row r="1964" spans="1:6" ht="13.5" hidden="1" customHeight="1">
      <c r="A1964" s="4" t="s">
        <v>4590</v>
      </c>
      <c r="B1964" s="4" t="s">
        <v>4591</v>
      </c>
      <c r="C1964" s="4" t="str">
        <f ca="1">IFERROR(__xludf.DUMMYFUNCTION("GOOGLETRANSLATE(D:D,""auto"",""en"")"),"Zhongxiang funeral")</f>
        <v>Zhongxiang funeral</v>
      </c>
      <c r="D1964" s="5" t="s">
        <v>4592</v>
      </c>
      <c r="E1964" s="4">
        <v>691359</v>
      </c>
    </row>
    <row r="1965" spans="1:6" ht="13.5" customHeight="1">
      <c r="A1965" s="4" t="s">
        <v>4587</v>
      </c>
      <c r="B1965" s="4" t="s">
        <v>4534</v>
      </c>
      <c r="C1965" s="4" t="str">
        <f ca="1">IFERROR(__xludf.DUMMYFUNCTION("GOOGLETRANSLATE(D:D,""auto"",""en"")"),"Guangdong diagnosed one case of novel coronavirus infections pneumonia")</f>
        <v>Guangdong diagnosed one case of novel coronavirus infections pneumonia</v>
      </c>
      <c r="D1965" s="5" t="s">
        <v>4593</v>
      </c>
      <c r="E1965" s="4">
        <v>639889</v>
      </c>
      <c r="F1965">
        <v>1</v>
      </c>
    </row>
    <row r="1966" spans="1:6" ht="13.5" hidden="1" customHeight="1">
      <c r="A1966" s="4" t="s">
        <v>4594</v>
      </c>
      <c r="B1966" s="4" t="s">
        <v>4595</v>
      </c>
      <c r="C1966" s="4" t="str">
        <f ca="1">IFERROR(__xludf.DUMMYFUNCTION("GOOGLETRANSLATE(D:D,""auto"",""en"")"),"Mom really fight for my blind date")</f>
        <v>Mom really fight for my blind date</v>
      </c>
      <c r="D1966" s="5" t="s">
        <v>4596</v>
      </c>
      <c r="E1966" s="4">
        <v>556681</v>
      </c>
    </row>
    <row r="1967" spans="1:6" ht="13.5" hidden="1" customHeight="1">
      <c r="A1967" s="4" t="s">
        <v>4597</v>
      </c>
      <c r="B1967" s="4" t="s">
        <v>4598</v>
      </c>
      <c r="C1967" s="4" t="str">
        <f ca="1">IFERROR(__xludf.DUMMYFUNCTION("GOOGLETRANSLATE(D:D,""auto"",""en"")"),"100,000 paper towels can dry swimming pool water")</f>
        <v>100,000 paper towels can dry swimming pool water</v>
      </c>
      <c r="D1967" s="5" t="s">
        <v>4599</v>
      </c>
      <c r="E1967" s="4">
        <v>510505</v>
      </c>
    </row>
    <row r="1968" spans="1:6" ht="13.5" hidden="1" customHeight="1">
      <c r="A1968" s="4" t="s">
        <v>4600</v>
      </c>
      <c r="B1968" s="4" t="s">
        <v>4601</v>
      </c>
      <c r="C1968" s="4" t="str">
        <f ca="1">IFERROR(__xludf.DUMMYFUNCTION("GOOGLETRANSLATE(D:D,""auto"",""en"")"),"Bacheng students cram Korea")</f>
        <v>Bacheng students cram Korea</v>
      </c>
      <c r="D1968" s="5" t="s">
        <v>4602</v>
      </c>
      <c r="E1968" s="4">
        <v>427387</v>
      </c>
    </row>
    <row r="1969" spans="1:6" ht="13.5" hidden="1" customHeight="1">
      <c r="A1969" s="4" t="s">
        <v>4603</v>
      </c>
      <c r="B1969" s="4" t="s">
        <v>4604</v>
      </c>
      <c r="C1969" s="4" t="str">
        <f ca="1">IFERROR(__xludf.DUMMYFUNCTION("GOOGLETRANSLATE(D:D,""auto"",""en"")"),"Cracker Barrel Bag")</f>
        <v>Cracker Barrel Bag</v>
      </c>
      <c r="D1969" s="5" t="s">
        <v>4605</v>
      </c>
      <c r="E1969" s="4">
        <v>422805</v>
      </c>
    </row>
    <row r="1970" spans="1:6" ht="13.5" hidden="1" customHeight="1">
      <c r="A1970" s="4" t="s">
        <v>4558</v>
      </c>
      <c r="B1970" s="4" t="s">
        <v>4606</v>
      </c>
      <c r="C1970" s="4" t="str">
        <f ca="1">IFERROR(__xludf.DUMMYFUNCTION("GOOGLETRANSLATE(D:D,""auto"",""en"")"),"Canada after blizzard")</f>
        <v>Canada after blizzard</v>
      </c>
      <c r="D1970" s="5" t="s">
        <v>4607</v>
      </c>
      <c r="E1970" s="4">
        <v>343476</v>
      </c>
    </row>
    <row r="1971" spans="1:6" ht="13.5" hidden="1" customHeight="1">
      <c r="A1971" s="4" t="s">
        <v>4608</v>
      </c>
      <c r="B1971" s="4" t="s">
        <v>4609</v>
      </c>
      <c r="C1971" s="4" t="str">
        <f ca="1">IFERROR(__xludf.DUMMYFUNCTION("GOOGLETRANSLATE(D:D,""auto"",""en"")"),"When you say nothing to wear to her boyfriend")</f>
        <v>When you say nothing to wear to her boyfriend</v>
      </c>
      <c r="D1971" s="5" t="s">
        <v>4610</v>
      </c>
      <c r="E1971" s="4">
        <v>312489</v>
      </c>
    </row>
    <row r="1972" spans="1:6" ht="13.5" hidden="1" customHeight="1">
      <c r="A1972" s="4" t="s">
        <v>4611</v>
      </c>
      <c r="B1972" s="4" t="s">
        <v>4612</v>
      </c>
      <c r="C1972" s="4" t="str">
        <f ca="1">IFERROR(__xludf.DUMMYFUNCTION("GOOGLETRANSLATE(D:D,""auto"",""en"")"),"See you Mobius ring")</f>
        <v>See you Mobius ring</v>
      </c>
      <c r="D1972" s="5" t="s">
        <v>4613</v>
      </c>
      <c r="E1972" s="4">
        <v>306854</v>
      </c>
    </row>
    <row r="1973" spans="1:6" ht="13.5" hidden="1" customHeight="1">
      <c r="A1973" s="4" t="s">
        <v>4614</v>
      </c>
      <c r="B1973" s="4" t="s">
        <v>4615</v>
      </c>
      <c r="C1973" s="4" t="str">
        <f ca="1">IFERROR(__xludf.DUMMYFUNCTION("GOOGLETRANSLATE(D:D,""auto"",""en"")"),"National use up to 10 names")</f>
        <v>National use up to 10 names</v>
      </c>
      <c r="D1973" s="5" t="s">
        <v>4616</v>
      </c>
      <c r="E1973" s="4">
        <v>301600</v>
      </c>
    </row>
    <row r="1974" spans="1:6" ht="13.5" hidden="1" customHeight="1">
      <c r="A1974" s="4" t="s">
        <v>4567</v>
      </c>
      <c r="B1974" s="4" t="s">
        <v>4604</v>
      </c>
      <c r="C1974" s="4" t="str">
        <f ca="1">IFERROR(__xludf.DUMMYFUNCTION("GOOGLETRANSLATE(D:D,""auto"",""en"")"),"Boys and girls gifts will send a bold")</f>
        <v>Boys and girls gifts will send a bold</v>
      </c>
      <c r="D1974" s="5" t="s">
        <v>4617</v>
      </c>
      <c r="E1974" s="4">
        <v>278187</v>
      </c>
    </row>
    <row r="1975" spans="1:6" ht="13.5" hidden="1" customHeight="1">
      <c r="A1975" s="4" t="s">
        <v>4618</v>
      </c>
      <c r="B1975" s="4" t="s">
        <v>4547</v>
      </c>
      <c r="C1975" s="4" t="str">
        <f ca="1">IFERROR(__xludf.DUMMYFUNCTION("GOOGLETRANSLATE(D:D,""auto"",""en"")"),"Subject to an unexpected hug")</f>
        <v>Subject to an unexpected hug</v>
      </c>
      <c r="D1975" s="5" t="s">
        <v>4619</v>
      </c>
      <c r="E1975" s="4">
        <v>263308</v>
      </c>
    </row>
    <row r="1976" spans="1:6" ht="13.5" hidden="1" customHeight="1">
      <c r="A1976" s="4" t="s">
        <v>4466</v>
      </c>
      <c r="B1976" s="4" t="s">
        <v>4467</v>
      </c>
      <c r="C1976" s="4" t="str">
        <f ca="1">IFERROR(__xludf.DUMMYFUNCTION("GOOGLETRANSLATE(D:D,""auto"",""en"")"),"Students help people luggage suddenly vaginal bleeding")</f>
        <v>Students help people luggage suddenly vaginal bleeding</v>
      </c>
      <c r="D1976" s="5" t="s">
        <v>4468</v>
      </c>
      <c r="E1976" s="4">
        <v>263183</v>
      </c>
    </row>
    <row r="1977" spans="1:6" ht="13.5" hidden="1" customHeight="1">
      <c r="A1977" s="4" t="s">
        <v>4620</v>
      </c>
      <c r="B1977" s="4" t="s">
        <v>4534</v>
      </c>
      <c r="C1977" s="4" t="str">
        <f ca="1">IFERROR(__xludf.DUMMYFUNCTION("GOOGLETRANSLATE(D:D,""auto"",""en"")"),"Big Chill")</f>
        <v>Big Chill</v>
      </c>
      <c r="D1977" s="5" t="s">
        <v>4621</v>
      </c>
      <c r="E1977" s="4">
        <v>238064</v>
      </c>
    </row>
    <row r="1978" spans="1:6" ht="13.5" hidden="1" customHeight="1">
      <c r="A1978" s="4" t="s">
        <v>4449</v>
      </c>
      <c r="B1978" s="4" t="s">
        <v>4450</v>
      </c>
      <c r="C1978" s="4" t="str">
        <f ca="1">IFERROR(__xludf.DUMMYFUNCTION("GOOGLETRANSLATE(D:D,""auto"",""en"")"),"Megan Palace batch father when Wal-Mart")</f>
        <v>Megan Palace batch father when Wal-Mart</v>
      </c>
      <c r="D1978" s="5" t="s">
        <v>4451</v>
      </c>
      <c r="E1978" s="4">
        <v>236521</v>
      </c>
    </row>
    <row r="1979" spans="1:6" ht="13.5" hidden="1" customHeight="1">
      <c r="A1979" s="4" t="s">
        <v>4429</v>
      </c>
      <c r="B1979" s="4" t="s">
        <v>4622</v>
      </c>
      <c r="C1979" s="4" t="str">
        <f ca="1">IFERROR(__xludf.DUMMYFUNCTION("GOOGLETRANSLATE(D:D,""auto"",""en"")"),"5G domestic mobile phone shipments over 13.77 million")</f>
        <v>5G domestic mobile phone shipments over 13.77 million</v>
      </c>
      <c r="D1979" s="5" t="s">
        <v>4623</v>
      </c>
      <c r="E1979" s="4">
        <v>235841</v>
      </c>
    </row>
    <row r="1980" spans="1:6" ht="13.5" hidden="1" customHeight="1">
      <c r="A1980" s="4" t="s">
        <v>4435</v>
      </c>
      <c r="B1980" s="4" t="s">
        <v>4436</v>
      </c>
      <c r="C1980" s="4" t="str">
        <f ca="1">IFERROR(__xludf.DUMMYFUNCTION("GOOGLETRANSLATE(D:D,""auto"",""en"")"),"Love apartment Barrage")</f>
        <v>Love apartment Barrage</v>
      </c>
      <c r="D1980" s="5" t="s">
        <v>4437</v>
      </c>
      <c r="E1980" s="4">
        <v>204957</v>
      </c>
    </row>
    <row r="1981" spans="1:6" ht="13.5" hidden="1" customHeight="1">
      <c r="A1981" s="4" t="s">
        <v>2608</v>
      </c>
      <c r="B1981" s="4" t="s">
        <v>2609</v>
      </c>
      <c r="C1981" s="4" t="str">
        <f ca="1">IFERROR(__xludf.DUMMYFUNCTION("GOOGLETRANSLATE(D:D,""auto"",""en"")"),"Landing of love")</f>
        <v>Landing of love</v>
      </c>
      <c r="D1981" s="5" t="s">
        <v>2610</v>
      </c>
      <c r="E1981" s="4">
        <v>161518</v>
      </c>
    </row>
    <row r="1982" spans="1:6" ht="13.5" customHeight="1">
      <c r="A1982" s="4" t="s">
        <v>4624</v>
      </c>
      <c r="B1982" s="4" t="s">
        <v>4625</v>
      </c>
      <c r="C1982" s="4" t="str">
        <f ca="1">IFERROR(__xludf.DUMMYFUNCTION("GOOGLETRANSLATE(D:D,""auto"",""en"")"),"Shanghai to strengthen screening of suspected cases")</f>
        <v>Shanghai to strengthen screening of suspected cases</v>
      </c>
      <c r="D1982" s="5" t="s">
        <v>4626</v>
      </c>
      <c r="E1982" s="4">
        <v>154343</v>
      </c>
      <c r="F1982">
        <v>1</v>
      </c>
    </row>
    <row r="1983" spans="1:6" ht="13.5" hidden="1" customHeight="1">
      <c r="A1983" s="4" t="s">
        <v>4502</v>
      </c>
      <c r="B1983" s="4" t="s">
        <v>4503</v>
      </c>
      <c r="C1983" s="4" t="str">
        <f ca="1">IFERROR(__xludf.DUMMYFUNCTION("GOOGLETRANSLATE(D:D,""auto"",""en"")"),"2019 national marriage registration 9.471 million pairs")</f>
        <v>2019 national marriage registration 9.471 million pairs</v>
      </c>
      <c r="D1983" s="5" t="s">
        <v>4504</v>
      </c>
      <c r="E1983" s="4">
        <v>153817</v>
      </c>
    </row>
    <row r="1984" spans="1:6" ht="13.5" hidden="1" customHeight="1">
      <c r="A1984" s="4" t="s">
        <v>959</v>
      </c>
      <c r="B1984" s="4" t="s">
        <v>960</v>
      </c>
      <c r="C1984" s="4" t="str">
        <f ca="1">IFERROR(__xludf.DUMMYFUNCTION("GOOGLETRANSLATE(D:D,""auto"",""en"")"),"Under Jinyi")</f>
        <v>Under Jinyi</v>
      </c>
      <c r="D1984" s="5" t="s">
        <v>961</v>
      </c>
      <c r="E1984" s="4">
        <v>153766</v>
      </c>
    </row>
    <row r="1985" spans="1:6" ht="13.5" customHeight="1">
      <c r="A1985" s="4" t="s">
        <v>4441</v>
      </c>
      <c r="B1985" s="4" t="s">
        <v>4461</v>
      </c>
      <c r="C1985" s="4" t="str">
        <f ca="1">IFERROR(__xludf.DUMMYFUNCTION("GOOGLETRANSLATE(D:D,""auto"",""en"")"),"Novel coronavirus infection source has not been found")</f>
        <v>Novel coronavirus infection source has not been found</v>
      </c>
      <c r="D1985" s="5" t="s">
        <v>4462</v>
      </c>
      <c r="E1985" s="4">
        <v>145597</v>
      </c>
      <c r="F1985">
        <v>1</v>
      </c>
    </row>
    <row r="1986" spans="1:6" ht="13.5" hidden="1" customHeight="1">
      <c r="A1986" s="4" t="s">
        <v>4441</v>
      </c>
      <c r="B1986" s="4" t="s">
        <v>4442</v>
      </c>
      <c r="C1986" s="4" t="str">
        <f ca="1">IFERROR(__xludf.DUMMYFUNCTION("GOOGLETRANSLATE(D:D,""auto"",""en"")"),"Kim Su Hyon love playing landing")</f>
        <v>Kim Su Hyon love playing landing</v>
      </c>
      <c r="D1986" s="5" t="s">
        <v>4443</v>
      </c>
      <c r="E1986" s="4">
        <v>135414</v>
      </c>
    </row>
    <row r="1987" spans="1:6" ht="13.5" hidden="1" customHeight="1">
      <c r="A1987" s="4" t="s">
        <v>4627</v>
      </c>
      <c r="B1987" s="4" t="s">
        <v>4628</v>
      </c>
      <c r="C1987" s="4" t="str">
        <f ca="1">IFERROR(__xludf.DUMMYFUNCTION("GOOGLETRANSLATE(D:D,""auto"",""en"")"),"C Ronaldo scored twice")</f>
        <v>C Ronaldo scored twice</v>
      </c>
      <c r="D1987" s="5" t="s">
        <v>4629</v>
      </c>
      <c r="E1987" s="4">
        <v>124689</v>
      </c>
    </row>
    <row r="1988" spans="1:6" ht="13.5" hidden="1" customHeight="1">
      <c r="A1988" s="4" t="s">
        <v>4630</v>
      </c>
      <c r="B1988" s="4" t="s">
        <v>4631</v>
      </c>
      <c r="C1988" s="4" t="str">
        <f ca="1">IFERROR(__xludf.DUMMYFUNCTION("GOOGLETRANSLATE(D:D,""auto"",""en"")"),"Yangtze River sewage into the river mouth there are more than 60,000")</f>
        <v>Yangtze River sewage into the river mouth there are more than 60,000</v>
      </c>
      <c r="D1988" s="5" t="s">
        <v>4632</v>
      </c>
      <c r="E1988" s="4">
        <v>107060</v>
      </c>
    </row>
    <row r="1989" spans="1:6" ht="13.5" hidden="1" customHeight="1">
      <c r="A1989" s="4" t="s">
        <v>4633</v>
      </c>
      <c r="B1989" s="4" t="s">
        <v>4634</v>
      </c>
      <c r="C1989" s="4" t="str">
        <f ca="1">IFERROR(__xludf.DUMMYFUNCTION("GOOGLETRANSLATE(D:D,""auto"",""en"")"),"Disability cat is the placement of bionic prostheses")</f>
        <v>Disability cat is the placement of bionic prostheses</v>
      </c>
      <c r="D1989" s="5" t="s">
        <v>4635</v>
      </c>
      <c r="E1989" s="4">
        <v>106258</v>
      </c>
    </row>
    <row r="1990" spans="1:6" ht="13.5" hidden="1" customHeight="1">
      <c r="A1990" s="4" t="s">
        <v>4624</v>
      </c>
      <c r="B1990" s="4" t="s">
        <v>4636</v>
      </c>
      <c r="C1990" s="4" t="str">
        <f ca="1">IFERROR(__xludf.DUMMYFUNCTION("GOOGLETRANSLATE(D:D,""auto"",""en"")"),"Been a city want to go")</f>
        <v>Been a city want to go</v>
      </c>
      <c r="D1990" s="5" t="s">
        <v>4637</v>
      </c>
      <c r="E1990" s="4">
        <v>104629</v>
      </c>
    </row>
    <row r="1991" spans="1:6" ht="13.5" hidden="1" customHeight="1">
      <c r="A1991" s="4" t="s">
        <v>4455</v>
      </c>
      <c r="B1991" s="4" t="s">
        <v>4456</v>
      </c>
      <c r="C1991" s="4" t="str">
        <f ca="1">IFERROR(__xludf.DUMMYFUNCTION("GOOGLETRANSLATE(D:D,""auto"",""en"")"),"Zhou deep Hacken our song title")</f>
        <v>Zhou deep Hacken our song title</v>
      </c>
      <c r="D1991" s="5" t="s">
        <v>4457</v>
      </c>
      <c r="E1991" s="4">
        <v>102430</v>
      </c>
    </row>
    <row r="1992" spans="1:6" ht="13.5" hidden="1" customHeight="1">
      <c r="A1992" s="4" t="s">
        <v>4638</v>
      </c>
      <c r="B1992" s="4" t="s">
        <v>4519</v>
      </c>
      <c r="C1992" s="4" t="str">
        <f ca="1">IFERROR(__xludf.DUMMYFUNCTION("GOOGLETRANSLATE(D:D,""auto"",""en"")"),"Philippines bricks made of volcanic ash")</f>
        <v>Philippines bricks made of volcanic ash</v>
      </c>
      <c r="D1992" s="5" t="s">
        <v>4639</v>
      </c>
      <c r="E1992" s="4">
        <v>97837</v>
      </c>
    </row>
    <row r="1993" spans="1:6" ht="13.5" hidden="1" customHeight="1">
      <c r="A1993" s="4" t="s">
        <v>4444</v>
      </c>
      <c r="B1993" s="4" t="s">
        <v>4327</v>
      </c>
      <c r="C1993" s="4" t="str">
        <f ca="1">IFERROR(__xludf.DUMMYFUNCTION("GOOGLETRANSLATE(D:D,""auto"",""en"")"),"On this the fast Diplodocus")</f>
        <v>On this the fast Diplodocus</v>
      </c>
      <c r="D1993" s="5" t="s">
        <v>4445</v>
      </c>
      <c r="E1993" s="4">
        <v>93625</v>
      </c>
    </row>
    <row r="1994" spans="1:6" ht="13.5" hidden="1" customHeight="1">
      <c r="A1994" s="4" t="s">
        <v>4640</v>
      </c>
      <c r="B1994" s="4" t="s">
        <v>4641</v>
      </c>
      <c r="C1994" s="4" t="str">
        <f ca="1">IFERROR(__xludf.DUMMYFUNCTION("GOOGLETRANSLATE(D:D,""auto"",""en"")"),"A dream come true an experience")</f>
        <v>A dream come true an experience</v>
      </c>
      <c r="D1994" s="5" t="s">
        <v>4642</v>
      </c>
      <c r="E1994" s="4">
        <v>87511</v>
      </c>
    </row>
    <row r="1995" spans="1:6" ht="13.5" hidden="1" customHeight="1">
      <c r="A1995" s="4" t="s">
        <v>4469</v>
      </c>
      <c r="B1995" s="4" t="s">
        <v>4470</v>
      </c>
      <c r="C1995" s="4" t="str">
        <f ca="1">IFERROR(__xludf.DUMMYFUNCTION("GOOGLETRANSLATE(D:D,""auto"",""en"")"),"English bad brother staying in a hotel")</f>
        <v>English bad brother staying in a hotel</v>
      </c>
      <c r="D1995" s="5" t="s">
        <v>4471</v>
      </c>
      <c r="E1995" s="4">
        <v>79867</v>
      </c>
    </row>
    <row r="1996" spans="1:6" ht="13.5" hidden="1" customHeight="1">
      <c r="A1996" s="4" t="s">
        <v>4643</v>
      </c>
      <c r="B1996" s="4" t="s">
        <v>4609</v>
      </c>
      <c r="C1996" s="4" t="str">
        <f ca="1">IFERROR(__xludf.DUMMYFUNCTION("GOOGLETRANSLATE(D:D,""auto"",""en"")"),"Hawaii shooting")</f>
        <v>Hawaii shooting</v>
      </c>
      <c r="D1996" s="5" t="s">
        <v>4644</v>
      </c>
      <c r="E1996" s="4">
        <v>79371</v>
      </c>
    </row>
    <row r="1997" spans="1:6" ht="13.5" hidden="1" customHeight="1">
      <c r="A1997" s="4" t="s">
        <v>4493</v>
      </c>
      <c r="B1997" s="4" t="s">
        <v>4494</v>
      </c>
      <c r="C1997" s="4" t="str">
        <f ca="1">IFERROR(__xludf.DUMMYFUNCTION("GOOGLETRANSLATE(D:D,""auto"",""en"")"),"Yang Yang white suit vacuo")</f>
        <v>Yang Yang white suit vacuo</v>
      </c>
      <c r="D1997" s="5" t="s">
        <v>4495</v>
      </c>
      <c r="E1997" s="4">
        <v>75794</v>
      </c>
    </row>
    <row r="1998" spans="1:6" ht="13.5" hidden="1" customHeight="1">
      <c r="A1998" s="4" t="s">
        <v>4478</v>
      </c>
      <c r="B1998" s="4" t="s">
        <v>4479</v>
      </c>
      <c r="C1998" s="4" t="str">
        <f ca="1">IFERROR(__xludf.DUMMYFUNCTION("GOOGLETRANSLATE(D:D,""auto"",""en"")"),"How to stimulate the take-out point at home mom")</f>
        <v>How to stimulate the take-out point at home mom</v>
      </c>
      <c r="D1998" s="5" t="s">
        <v>4480</v>
      </c>
      <c r="E1998" s="4">
        <v>68940</v>
      </c>
    </row>
    <row r="1999" spans="1:6" ht="13.5" hidden="1" customHeight="1">
      <c r="C1999" s="4" t="str">
        <f ca="1">IFERROR(__xludf.DUMMYFUNCTION("GOOGLETRANSLATE(D:D,""auto"",""en"")"),"#VALUE!")</f>
        <v>#VALUE!</v>
      </c>
    </row>
    <row r="2000" spans="1:6" ht="13.5" customHeight="1">
      <c r="A2000" s="4" t="s">
        <v>4645</v>
      </c>
      <c r="B2000" s="4" t="s">
        <v>4646</v>
      </c>
      <c r="C2000" s="4" t="str">
        <f ca="1">IFERROR(__xludf.DUMMYFUNCTION("GOOGLETRANSLATE(D:D,""auto"",""en"")"),"Domestic confirmed 217 cases of novel coronavirus pneumonia cases")</f>
        <v>Domestic confirmed 217 cases of novel coronavirus pneumonia cases</v>
      </c>
      <c r="D2000" s="4" t="s">
        <v>4647</v>
      </c>
      <c r="E2000" s="4">
        <v>3634194</v>
      </c>
      <c r="F2000">
        <v>1</v>
      </c>
    </row>
    <row r="2001" spans="1:6" ht="13.5" customHeight="1">
      <c r="A2001" s="4" t="s">
        <v>4648</v>
      </c>
      <c r="B2001" s="4" t="s">
        <v>4649</v>
      </c>
      <c r="C2001" s="4" t="str">
        <f ca="1">IFERROR(__xludf.DUMMYFUNCTION("GOOGLETRANSLATE(D:D,""auto"",""en"")"),"Zhong Nanshan, who certainly novel coronavirus pneumonia successor")</f>
        <v>Zhong Nanshan, who certainly novel coronavirus pneumonia successor</v>
      </c>
      <c r="D2001" s="5" t="s">
        <v>4650</v>
      </c>
      <c r="E2001" s="4">
        <v>2524197</v>
      </c>
      <c r="F2001">
        <v>1</v>
      </c>
    </row>
    <row r="2002" spans="1:6" ht="13.5" hidden="1" customHeight="1">
      <c r="A2002" s="4" t="s">
        <v>4651</v>
      </c>
      <c r="B2002" s="4" t="s">
        <v>4652</v>
      </c>
      <c r="C2002" s="4" t="str">
        <f ca="1">IFERROR(__xludf.DUMMYFUNCTION("GOOGLETRANSLATE(D:D,""auto"",""en"")"),"How hard to train a physician")</f>
        <v>How hard to train a physician</v>
      </c>
      <c r="D2002" s="5" t="s">
        <v>4653</v>
      </c>
      <c r="E2002" s="4">
        <v>1599199</v>
      </c>
    </row>
    <row r="2003" spans="1:6" ht="13.5" customHeight="1">
      <c r="A2003" s="4" t="s">
        <v>4654</v>
      </c>
      <c r="B2003" s="4" t="s">
        <v>4655</v>
      </c>
      <c r="C2003" s="4" t="str">
        <f ca="1">IFERROR(__xludf.DUMMYFUNCTION("GOOGLETRANSLATE(D:D,""auto"",""en"")"),"New infectious than SARS coronavirus weak")</f>
        <v>New infectious than SARS coronavirus weak</v>
      </c>
      <c r="D2003" s="5" t="s">
        <v>4656</v>
      </c>
      <c r="E2003" s="4">
        <v>1563224</v>
      </c>
      <c r="F2003">
        <v>1</v>
      </c>
    </row>
    <row r="2004" spans="1:6" ht="13.5" hidden="1" customHeight="1">
      <c r="A2004" s="4" t="s">
        <v>4657</v>
      </c>
      <c r="B2004" s="4" t="s">
        <v>4658</v>
      </c>
      <c r="C2004" s="4" t="str">
        <f ca="1">IFERROR(__xludf.DUMMYFUNCTION("GOOGLETRANSLATE(D:D,""auto"",""en"")"),"Last Song Dandan on Spring Festival")</f>
        <v>Last Song Dandan on Spring Festival</v>
      </c>
      <c r="D2004" s="5" t="s">
        <v>4659</v>
      </c>
      <c r="E2004" s="4">
        <v>1285947</v>
      </c>
    </row>
    <row r="2005" spans="1:6" ht="13.5" customHeight="1">
      <c r="A2005" s="4" t="s">
        <v>4660</v>
      </c>
      <c r="B2005" s="4" t="s">
        <v>4661</v>
      </c>
      <c r="C2005" s="4" t="str">
        <f ca="1">IFERROR(__xludf.DUMMYFUNCTION("GOOGLETRANSLATE(D:D,""auto"",""en"")"),"Shanghai confirmed the first case of novel coronavirus infection pneumonia")</f>
        <v>Shanghai confirmed the first case of novel coronavirus infection pneumonia</v>
      </c>
      <c r="D2005" s="5" t="s">
        <v>4662</v>
      </c>
      <c r="E2005" s="4">
        <v>988285</v>
      </c>
      <c r="F2005">
        <v>1</v>
      </c>
    </row>
    <row r="2006" spans="1:6" ht="13.5" hidden="1" customHeight="1">
      <c r="A2006" s="4" t="s">
        <v>4663</v>
      </c>
      <c r="B2006" s="4" t="s">
        <v>4664</v>
      </c>
      <c r="C2006" s="4" t="str">
        <f ca="1">IFERROR(__xludf.DUMMYFUNCTION("GOOGLETRANSLATE(D:D,""auto"",""en"")"),"Yuan summer jealous")</f>
        <v>Yuan summer jealous</v>
      </c>
      <c r="D2006" s="5" t="s">
        <v>4665</v>
      </c>
      <c r="E2006" s="4">
        <v>820046</v>
      </c>
    </row>
    <row r="2007" spans="1:6" ht="13.5" hidden="1" customHeight="1">
      <c r="A2007" s="4" t="s">
        <v>4666</v>
      </c>
      <c r="B2007" s="4" t="s">
        <v>4667</v>
      </c>
      <c r="C2007" s="4" t="str">
        <f ca="1">IFERROR(__xludf.DUMMYFUNCTION("GOOGLETRANSLATE(D:D,""auto"",""en"")"),"Qi Wei Lee Seung-Hyun FIG hand misalignment")</f>
        <v>Qi Wei Lee Seung-Hyun FIG hand misalignment</v>
      </c>
      <c r="D2007" s="5" t="s">
        <v>4668</v>
      </c>
      <c r="E2007" s="4">
        <v>810290</v>
      </c>
    </row>
    <row r="2008" spans="1:6" ht="13.5" hidden="1" customHeight="1">
      <c r="A2008" s="4" t="s">
        <v>4669</v>
      </c>
      <c r="B2008" s="4" t="s">
        <v>4670</v>
      </c>
      <c r="C2008" s="4" t="str">
        <f ca="1">IFERROR(__xludf.DUMMYFUNCTION("GOOGLETRANSLATE(D:D,""auto"",""en"")"),"Beijing Health Medical health committee to respond to violent incidents injury")</f>
        <v>Beijing Health Medical health committee to respond to violent incidents injury</v>
      </c>
      <c r="D2008" s="5" t="s">
        <v>4671</v>
      </c>
      <c r="E2008" s="4">
        <v>805942</v>
      </c>
    </row>
    <row r="2009" spans="1:6" ht="13.5" hidden="1" customHeight="1">
      <c r="A2009" s="4" t="s">
        <v>1169</v>
      </c>
      <c r="B2009" s="4" t="s">
        <v>1170</v>
      </c>
      <c r="C2009" s="4" t="str">
        <f ca="1">IFERROR(__xludf.DUMMYFUNCTION("GOOGLETRANSLATE(D:D,""auto"",""en"")"),"want to see you")</f>
        <v>want to see you</v>
      </c>
      <c r="D2009" s="5" t="s">
        <v>1171</v>
      </c>
      <c r="E2009" s="4">
        <v>696027</v>
      </c>
    </row>
    <row r="2010" spans="1:6" ht="13.5" hidden="1" customHeight="1">
      <c r="A2010" s="4" t="s">
        <v>4672</v>
      </c>
      <c r="B2010" s="4" t="s">
        <v>4594</v>
      </c>
      <c r="C2010" s="4" t="str">
        <f ca="1">IFERROR(__xludf.DUMMYFUNCTION("GOOGLETRANSLATE(D:D,""auto"",""en"")"),"Qi Dan Mianhua plums")</f>
        <v>Qi Dan Mianhua plums</v>
      </c>
      <c r="D2010" s="5" t="s">
        <v>4673</v>
      </c>
      <c r="E2010" s="4">
        <v>574920</v>
      </c>
    </row>
    <row r="2011" spans="1:6" ht="13.5" hidden="1" customHeight="1">
      <c r="A2011" s="4" t="s">
        <v>4674</v>
      </c>
      <c r="B2011" s="4" t="s">
        <v>4675</v>
      </c>
      <c r="C2011" s="4" t="str">
        <f ca="1">IFERROR(__xludf.DUMMYFUNCTION("GOOGLETRANSLATE(D:D,""auto"",""en"")"),"Chinese Medicine Association in recognition of Hong Mao Pharmaceutical violation is punished")</f>
        <v>Chinese Medicine Association in recognition of Hong Mao Pharmaceutical violation is punished</v>
      </c>
      <c r="D2011" s="5" t="s">
        <v>4676</v>
      </c>
      <c r="E2011" s="4">
        <v>406411</v>
      </c>
    </row>
    <row r="2012" spans="1:6" ht="13.5" hidden="1" customHeight="1">
      <c r="A2012" s="4" t="s">
        <v>4677</v>
      </c>
      <c r="B2012" s="4" t="s">
        <v>4678</v>
      </c>
      <c r="C2012" s="4" t="str">
        <f ca="1">IFERROR(__xludf.DUMMYFUNCTION("GOOGLETRANSLATE(D:D,""auto"",""en"")"),"Kimura light Greek style Little Red Riding Hood")</f>
        <v>Kimura light Greek style Little Red Riding Hood</v>
      </c>
      <c r="D2012" s="5" t="s">
        <v>4679</v>
      </c>
      <c r="E2012" s="4">
        <v>326477</v>
      </c>
    </row>
    <row r="2013" spans="1:6" ht="13.5" hidden="1" customHeight="1">
      <c r="A2013" s="4" t="s">
        <v>4680</v>
      </c>
      <c r="B2013" s="4" t="s">
        <v>4681</v>
      </c>
      <c r="C2013" s="4" t="str">
        <f ca="1">IFERROR(__xludf.DUMMYFUNCTION("GOOGLETRANSLATE(D:D,""auto"",""en"")"),"For fans Liu Hao Ran Shiba Inu attract attention")</f>
        <v>For fans Liu Hao Ran Shiba Inu attract attention</v>
      </c>
      <c r="D2013" s="5" t="s">
        <v>4682</v>
      </c>
      <c r="E2013" s="4">
        <v>323868</v>
      </c>
    </row>
    <row r="2014" spans="1:6" ht="13.5" customHeight="1">
      <c r="A2014" s="4" t="s">
        <v>4683</v>
      </c>
      <c r="B2014" s="4" t="s">
        <v>4684</v>
      </c>
      <c r="C2014" s="4" t="str">
        <f ca="1">IFERROR(__xludf.DUMMYFUNCTION("GOOGLETRANSLATE(D:D,""auto"",""en"")"),"One minute science coronavirus")</f>
        <v>One minute science coronavirus</v>
      </c>
      <c r="D2014" s="5" t="s">
        <v>4685</v>
      </c>
      <c r="E2014" s="4">
        <v>323315</v>
      </c>
      <c r="F2014">
        <v>1</v>
      </c>
    </row>
    <row r="2015" spans="1:6" ht="13.5" customHeight="1">
      <c r="A2015" s="4" t="s">
        <v>4686</v>
      </c>
      <c r="B2015" s="4" t="s">
        <v>4687</v>
      </c>
      <c r="C2015" s="4" t="str">
        <f ca="1">IFERROR(__xludf.DUMMYFUNCTION("GOOGLETRANSLATE(D:D,""auto"",""en"")"),"There are medical staff were infected novel coronavirus pneumonia")</f>
        <v>There are medical staff were infected novel coronavirus pneumonia</v>
      </c>
      <c r="D2015" s="5" t="s">
        <v>4688</v>
      </c>
      <c r="E2015" s="4">
        <v>322842</v>
      </c>
      <c r="F2015">
        <v>1</v>
      </c>
    </row>
    <row r="2016" spans="1:6" ht="13.5" hidden="1" customHeight="1">
      <c r="A2016" s="4" t="s">
        <v>4689</v>
      </c>
      <c r="B2016" s="4" t="s">
        <v>4690</v>
      </c>
      <c r="C2016" s="4" t="str">
        <f ca="1">IFERROR(__xludf.DUMMYFUNCTION("GOOGLETRANSLATE(D:D,""auto"",""en"")"),"Wang Luo Dan 2020 first awkward scene")</f>
        <v>Wang Luo Dan 2020 first awkward scene</v>
      </c>
      <c r="D2016" s="5" t="s">
        <v>4691</v>
      </c>
      <c r="E2016" s="4">
        <v>321383</v>
      </c>
    </row>
    <row r="2017" spans="1:6" ht="13.5" customHeight="1">
      <c r="A2017" s="4" t="s">
        <v>4692</v>
      </c>
      <c r="B2017" s="4" t="s">
        <v>4693</v>
      </c>
      <c r="C2017" s="4" t="str">
        <f ca="1">IFERROR(__xludf.DUMMYFUNCTION("GOOGLETRANSLATE(D:D,""auto"",""en"")"),"Zhong Nanshan")</f>
        <v>Zhong Nanshan</v>
      </c>
      <c r="D2017" s="5" t="s">
        <v>4694</v>
      </c>
      <c r="E2017" s="4">
        <v>320727</v>
      </c>
      <c r="F2017">
        <v>1</v>
      </c>
    </row>
    <row r="2018" spans="1:6" ht="13.5" customHeight="1">
      <c r="A2018" s="4" t="s">
        <v>4672</v>
      </c>
      <c r="B2018" s="4" t="s">
        <v>4695</v>
      </c>
      <c r="C2018" s="4" t="str">
        <f ca="1">IFERROR(__xludf.DUMMYFUNCTION("GOOGLETRANSLATE(D:D,""auto"",""en"")"),"Wuhan fever clinics list")</f>
        <v>Wuhan fever clinics list</v>
      </c>
      <c r="D2018" s="5" t="s">
        <v>4696</v>
      </c>
      <c r="E2018" s="4">
        <v>319828</v>
      </c>
      <c r="F2018">
        <v>1</v>
      </c>
    </row>
    <row r="2019" spans="1:6" ht="13.5" hidden="1" customHeight="1">
      <c r="A2019" s="4" t="s">
        <v>4697</v>
      </c>
      <c r="B2019" s="4" t="s">
        <v>4681</v>
      </c>
      <c r="C2019" s="4" t="str">
        <f ca="1">IFERROR(__xludf.DUMMYFUNCTION("GOOGLETRANSLATE(D:D,""auto"",""en"")"),"Niki pregnancy")</f>
        <v>Niki pregnancy</v>
      </c>
      <c r="D2019" s="5" t="s">
        <v>4698</v>
      </c>
      <c r="E2019" s="4">
        <v>318531</v>
      </c>
    </row>
    <row r="2020" spans="1:6" ht="13.5" hidden="1" customHeight="1">
      <c r="A2020" s="4" t="s">
        <v>4699</v>
      </c>
      <c r="B2020" s="4" t="s">
        <v>4700</v>
      </c>
      <c r="C2020" s="4" t="str">
        <f ca="1">IFERROR(__xludf.DUMMYFUNCTION("GOOGLETRANSLATE(D:D,""auto"",""en"")"),"Miss Japan 2020 title")</f>
        <v>Miss Japan 2020 title</v>
      </c>
      <c r="D2020" s="5" t="s">
        <v>4701</v>
      </c>
      <c r="E2020" s="4">
        <v>317525</v>
      </c>
    </row>
    <row r="2021" spans="1:6" ht="13.5" hidden="1" customHeight="1">
      <c r="A2021" s="4" t="s">
        <v>4702</v>
      </c>
      <c r="B2021" s="4" t="s">
        <v>4703</v>
      </c>
      <c r="C2021" s="4" t="str">
        <f ca="1">IFERROR(__xludf.DUMMYFUNCTION("GOOGLETRANSLATE(D:D,""auto"",""en"")"),"The hospital should set up security")</f>
        <v>The hospital should set up security</v>
      </c>
      <c r="D2021" s="5" t="s">
        <v>4704</v>
      </c>
      <c r="E2021" s="4">
        <v>316681</v>
      </c>
    </row>
    <row r="2022" spans="1:6" ht="13.5" hidden="1" customHeight="1">
      <c r="A2022" s="4" t="s">
        <v>4702</v>
      </c>
      <c r="B2022" s="4" t="s">
        <v>4705</v>
      </c>
      <c r="C2022" s="4" t="str">
        <f ca="1">IFERROR(__xludf.DUMMYFUNCTION("GOOGLETRANSLATE(D:D,""auto"",""en"")"),"The actual gap between online dating and now Ben's")</f>
        <v>The actual gap between online dating and now Ben's</v>
      </c>
      <c r="D2022" s="5" t="s">
        <v>4706</v>
      </c>
      <c r="E2022" s="4">
        <v>316483</v>
      </c>
    </row>
    <row r="2023" spans="1:6" ht="13.5" hidden="1" customHeight="1">
      <c r="A2023" s="4" t="s">
        <v>4707</v>
      </c>
      <c r="B2023" s="4" t="s">
        <v>4708</v>
      </c>
      <c r="C2023" s="4" t="str">
        <f ca="1">IFERROR(__xludf.DUMMYFUNCTION("GOOGLETRANSLATE(D:D,""auto"",""en"")"),"Lipstick charging treasure")</f>
        <v>Lipstick charging treasure</v>
      </c>
      <c r="D2023" s="5" t="s">
        <v>4709</v>
      </c>
      <c r="E2023" s="4">
        <v>286756</v>
      </c>
    </row>
    <row r="2024" spans="1:6" ht="13.5" hidden="1" customHeight="1">
      <c r="A2024" s="4" t="s">
        <v>4710</v>
      </c>
      <c r="B2024" s="4" t="s">
        <v>4711</v>
      </c>
      <c r="C2024" s="4" t="str">
        <f ca="1">IFERROR(__xludf.DUMMYFUNCTION("GOOGLETRANSLATE(D:D,""auto"",""en"")"),"ETC does not display tolls indicted lawyer")</f>
        <v>ETC does not display tolls indicted lawyer</v>
      </c>
      <c r="D2024" s="5" t="s">
        <v>4712</v>
      </c>
      <c r="E2024" s="4">
        <v>286478</v>
      </c>
    </row>
    <row r="2025" spans="1:6" ht="13.5" customHeight="1">
      <c r="A2025" s="4" t="s">
        <v>4713</v>
      </c>
      <c r="B2025" s="4" t="s">
        <v>4714</v>
      </c>
      <c r="C2025" s="4" t="str">
        <f ca="1">IFERROR(__xludf.DUMMYFUNCTION("GOOGLETRANSLATE(D:D,""auto"",""en"")"),"Medical surgical mask")</f>
        <v>Medical surgical mask</v>
      </c>
      <c r="D2025" s="5" t="s">
        <v>4715</v>
      </c>
      <c r="E2025" s="4">
        <v>269210</v>
      </c>
      <c r="F2025">
        <v>1</v>
      </c>
    </row>
    <row r="2026" spans="1:6" ht="13.5" hidden="1" customHeight="1">
      <c r="A2026" s="4" t="s">
        <v>4716</v>
      </c>
      <c r="B2026" s="4" t="s">
        <v>4717</v>
      </c>
      <c r="C2026" s="4" t="str">
        <f ca="1">IFERROR(__xludf.DUMMYFUNCTION("GOOGLETRANSLATE(D:D,""auto"",""en"")"),"Do not tie a rubber band hair")</f>
        <v>Do not tie a rubber band hair</v>
      </c>
      <c r="D2026" s="5" t="s">
        <v>4718</v>
      </c>
      <c r="E2026" s="4">
        <v>244753</v>
      </c>
    </row>
    <row r="2027" spans="1:6" ht="13.5" hidden="1" customHeight="1">
      <c r="A2027" s="4" t="s">
        <v>4719</v>
      </c>
      <c r="B2027" s="4" t="s">
        <v>4564</v>
      </c>
      <c r="C2027" s="4" t="str">
        <f ca="1">IFERROR(__xludf.DUMMYFUNCTION("GOOGLETRANSLATE(D:D,""auto"",""en"")"),"Playground buried corpse case was executed criminals Du Shaoping")</f>
        <v>Playground buried corpse case was executed criminals Du Shaoping</v>
      </c>
      <c r="D2027" s="5" t="s">
        <v>4720</v>
      </c>
      <c r="E2027" s="4">
        <v>231671</v>
      </c>
    </row>
    <row r="2028" spans="1:6" ht="13.5" hidden="1" customHeight="1">
      <c r="A2028" s="4" t="s">
        <v>4721</v>
      </c>
      <c r="B2028" s="4" t="s">
        <v>4684</v>
      </c>
      <c r="C2028" s="4" t="str">
        <f ca="1">IFERROR(__xludf.DUMMYFUNCTION("GOOGLETRANSLATE(D:D,""auto"",""en"")"),"Chaoyang Hospital")</f>
        <v>Chaoyang Hospital</v>
      </c>
      <c r="D2028" s="5" t="s">
        <v>4722</v>
      </c>
      <c r="E2028" s="4">
        <v>228508</v>
      </c>
    </row>
    <row r="2029" spans="1:6" ht="13.5" hidden="1" customHeight="1">
      <c r="A2029" s="4" t="s">
        <v>4723</v>
      </c>
      <c r="B2029" s="4" t="s">
        <v>4724</v>
      </c>
      <c r="C2029" s="4" t="str">
        <f ca="1">IFERROR(__xludf.DUMMYFUNCTION("GOOGLETRANSLATE(D:D,""auto"",""en"")"),"Sansei III pillow book given file")</f>
        <v>Sansei III pillow book given file</v>
      </c>
      <c r="D2029" s="5" t="s">
        <v>4725</v>
      </c>
      <c r="E2029" s="4">
        <v>220314</v>
      </c>
    </row>
    <row r="2030" spans="1:6" ht="13.5" hidden="1" customHeight="1">
      <c r="A2030" s="4" t="s">
        <v>4726</v>
      </c>
      <c r="B2030" s="4" t="s">
        <v>4717</v>
      </c>
      <c r="C2030" s="4" t="str">
        <f ca="1">IFERROR(__xludf.DUMMYFUNCTION("GOOGLETRANSLATE(D:D,""auto"",""en"")"),"Lin Yun children with a la carte Chinese")</f>
        <v>Lin Yun children with a la carte Chinese</v>
      </c>
      <c r="D2030" s="5" t="s">
        <v>4727</v>
      </c>
      <c r="E2030" s="4">
        <v>204150</v>
      </c>
    </row>
    <row r="2031" spans="1:6" ht="13.5" hidden="1" customHeight="1">
      <c r="A2031" s="4" t="s">
        <v>4728</v>
      </c>
      <c r="B2031" s="4" t="s">
        <v>4584</v>
      </c>
      <c r="C2031" s="4" t="str">
        <f ca="1">IFERROR(__xludf.DUMMYFUNCTION("GOOGLETRANSLATE(D:D,""auto"",""en"")"),"When you express outage")</f>
        <v>When you express outage</v>
      </c>
      <c r="D2031" s="5" t="s">
        <v>4729</v>
      </c>
      <c r="E2031" s="4">
        <v>198388</v>
      </c>
    </row>
    <row r="2032" spans="1:6" ht="13.5" hidden="1" customHeight="1">
      <c r="A2032" s="4" t="s">
        <v>4730</v>
      </c>
      <c r="B2032" s="4" t="s">
        <v>4731</v>
      </c>
      <c r="C2032" s="4" t="str">
        <f ca="1">IFERROR(__xludf.DUMMYFUNCTION("GOOGLETRANSLATE(D:D,""auto"",""en"")"),"Chinese space station in orbit construction task will be kicked off")</f>
        <v>Chinese space station in orbit construction task will be kicked off</v>
      </c>
      <c r="D2032" s="5" t="s">
        <v>4732</v>
      </c>
      <c r="E2032" s="4">
        <v>186450</v>
      </c>
    </row>
    <row r="2033" spans="1:6" ht="13.5" hidden="1" customHeight="1">
      <c r="A2033" s="4" t="s">
        <v>4733</v>
      </c>
      <c r="B2033" s="4" t="s">
        <v>4734</v>
      </c>
      <c r="C2033" s="4" t="str">
        <f ca="1">IFERROR(__xludf.DUMMYFUNCTION("GOOGLETRANSLATE(D:D,""auto"",""en"")"),"After the holidays become servants of brothers")</f>
        <v>After the holidays become servants of brothers</v>
      </c>
      <c r="D2033" s="5" t="s">
        <v>4735</v>
      </c>
      <c r="E2033" s="4">
        <v>185137</v>
      </c>
    </row>
    <row r="2034" spans="1:6" ht="13.5" hidden="1" customHeight="1">
      <c r="A2034" s="4" t="s">
        <v>4736</v>
      </c>
      <c r="B2034" s="4" t="s">
        <v>4705</v>
      </c>
      <c r="C2034" s="4" t="str">
        <f ca="1">IFERROR(__xludf.DUMMYFUNCTION("GOOGLETRANSLATE(D:D,""auto"",""en"")"),"What does not match the age and generational experience")</f>
        <v>What does not match the age and generational experience</v>
      </c>
      <c r="D2034" s="5" t="s">
        <v>4737</v>
      </c>
      <c r="E2034" s="4">
        <v>171827</v>
      </c>
    </row>
    <row r="2035" spans="1:6" ht="13.5" hidden="1" customHeight="1">
      <c r="A2035" s="4" t="s">
        <v>4578</v>
      </c>
      <c r="B2035" s="4" t="s">
        <v>4738</v>
      </c>
      <c r="C2035" s="4" t="str">
        <f ca="1">IFERROR(__xludf.DUMMYFUNCTION("GOOGLETRANSLATE(D:D,""auto"",""en"")"),"Hardcore apology boyfriend")</f>
        <v>Hardcore apology boyfriend</v>
      </c>
      <c r="D2035" s="5" t="s">
        <v>4739</v>
      </c>
      <c r="E2035" s="4">
        <v>157785</v>
      </c>
    </row>
    <row r="2036" spans="1:6" ht="13.5" hidden="1" customHeight="1">
      <c r="A2036" s="4" t="s">
        <v>4740</v>
      </c>
      <c r="B2036" s="4" t="s">
        <v>4741</v>
      </c>
      <c r="C2036" s="4" t="str">
        <f ca="1">IFERROR(__xludf.DUMMYFUNCTION("GOOGLETRANSLATE(D:D,""auto"",""en"")"),"Australia fires hail disaster area")</f>
        <v>Australia fires hail disaster area</v>
      </c>
      <c r="D2036" s="5" t="s">
        <v>4742</v>
      </c>
      <c r="E2036" s="4">
        <v>153270</v>
      </c>
    </row>
    <row r="2037" spans="1:6" ht="13.5" hidden="1" customHeight="1">
      <c r="A2037" s="4" t="s">
        <v>4743</v>
      </c>
      <c r="B2037" s="4" t="s">
        <v>4744</v>
      </c>
      <c r="C2037" s="4" t="str">
        <f ca="1">IFERROR(__xludf.DUMMYFUNCTION("GOOGLETRANSLATE(D:D,""auto"",""en"")"),"Brother at home is turn off the lights artifact")</f>
        <v>Brother at home is turn off the lights artifact</v>
      </c>
      <c r="D2037" s="5" t="s">
        <v>4745</v>
      </c>
      <c r="E2037" s="4">
        <v>140276</v>
      </c>
    </row>
    <row r="2038" spans="1:6" ht="13.5" hidden="1" customHeight="1">
      <c r="A2038" s="4" t="s">
        <v>4746</v>
      </c>
      <c r="B2038" s="4" t="s">
        <v>4747</v>
      </c>
      <c r="C2038" s="4" t="str">
        <f ca="1">IFERROR(__xludf.DUMMYFUNCTION("GOOGLETRANSLATE(D:D,""auto"",""en"")"),"The number of CCTV Spring Festival evening language class program record")</f>
        <v>The number of CCTV Spring Festival evening language class program record</v>
      </c>
      <c r="D2038" s="5" t="s">
        <v>4748</v>
      </c>
      <c r="E2038" s="4">
        <v>140160</v>
      </c>
    </row>
    <row r="2039" spans="1:6" ht="13.5" hidden="1" customHeight="1">
      <c r="A2039" s="4" t="s">
        <v>4749</v>
      </c>
      <c r="B2039" s="4" t="s">
        <v>4750</v>
      </c>
      <c r="C2039" s="4" t="str">
        <f ca="1">IFERROR(__xludf.DUMMYFUNCTION("GOOGLETRANSLATE(D:D,""auto"",""en"")"),"JJ Shanghai concert tickets")</f>
        <v>JJ Shanghai concert tickets</v>
      </c>
      <c r="D2039" s="5" t="s">
        <v>4751</v>
      </c>
      <c r="E2039" s="4">
        <v>139293</v>
      </c>
    </row>
    <row r="2040" spans="1:6" ht="13.5" hidden="1" customHeight="1">
      <c r="A2040" s="4" t="s">
        <v>4752</v>
      </c>
      <c r="B2040" s="4" t="s">
        <v>4753</v>
      </c>
      <c r="C2040" s="4" t="str">
        <f ca="1">IFERROR(__xludf.DUMMYFUNCTION("GOOGLETRANSLATE(D:D,""auto"",""en"")"),"Parents lying bed to make breakfast routine son")</f>
        <v>Parents lying bed to make breakfast routine son</v>
      </c>
      <c r="D2040" s="5" t="s">
        <v>4754</v>
      </c>
      <c r="E2040" s="4">
        <v>138072</v>
      </c>
    </row>
    <row r="2041" spans="1:6" ht="13.5" hidden="1" customHeight="1">
      <c r="A2041" s="4" t="s">
        <v>4697</v>
      </c>
      <c r="B2041" s="4" t="s">
        <v>4705</v>
      </c>
      <c r="C2041" s="4" t="str">
        <f ca="1">IFERROR(__xludf.DUMMYFUNCTION("GOOGLETRANSLATE(D:D,""auto"",""en"")"),"Red lantern earrings")</f>
        <v>Red lantern earrings</v>
      </c>
      <c r="D2041" s="5" t="s">
        <v>4755</v>
      </c>
      <c r="E2041" s="4">
        <v>133431</v>
      </c>
    </row>
    <row r="2042" spans="1:6" ht="13.5" customHeight="1">
      <c r="A2042" s="4" t="s">
        <v>4756</v>
      </c>
      <c r="B2042" s="4" t="s">
        <v>4757</v>
      </c>
      <c r="C2042" s="4" t="str">
        <f ca="1">IFERROR(__xludf.DUMMYFUNCTION("GOOGLETRANSLATE(D:D,""auto"",""en"")"),"Ministry of Foreign Affairs to respond to the new coronavirus infection epidemic pneumonia")</f>
        <v>Ministry of Foreign Affairs to respond to the new coronavirus infection epidemic pneumonia</v>
      </c>
      <c r="D2042" s="5" t="s">
        <v>4758</v>
      </c>
      <c r="E2042" s="4">
        <v>127154</v>
      </c>
      <c r="F2042">
        <v>1</v>
      </c>
    </row>
    <row r="2043" spans="1:6" ht="13.5" hidden="1" customHeight="1">
      <c r="A2043" s="4" t="s">
        <v>4759</v>
      </c>
      <c r="B2043" s="4" t="s">
        <v>4760</v>
      </c>
      <c r="C2043" s="4" t="str">
        <f ca="1">IFERROR(__xludf.DUMMYFUNCTION("GOOGLETRANSLATE(D:D,""auto"",""en"")"),"Show wisdom states")</f>
        <v>Show wisdom states</v>
      </c>
      <c r="D2043" s="5" t="s">
        <v>4761</v>
      </c>
      <c r="E2043" s="4">
        <v>118304</v>
      </c>
    </row>
    <row r="2044" spans="1:6" ht="13.5" hidden="1" customHeight="1">
      <c r="A2044" s="4" t="s">
        <v>4762</v>
      </c>
      <c r="B2044" s="4" t="s">
        <v>4763</v>
      </c>
      <c r="C2044" s="4" t="str">
        <f ca="1">IFERROR(__xludf.DUMMYFUNCTION("GOOGLETRANSLATE(D:D,""auto"",""en"")"),"Lisa oblique fringe")</f>
        <v>Lisa oblique fringe</v>
      </c>
      <c r="D2044" s="5" t="s">
        <v>4764</v>
      </c>
      <c r="E2044" s="4">
        <v>111290</v>
      </c>
    </row>
    <row r="2045" spans="1:6" ht="13.5" hidden="1" customHeight="1">
      <c r="A2045" s="4" t="s">
        <v>4765</v>
      </c>
      <c r="B2045" s="4" t="s">
        <v>4766</v>
      </c>
      <c r="C2045" s="4" t="str">
        <f ca="1">IFERROR(__xludf.DUMMYFUNCTION("GOOGLETRANSLATE(D:D,""auto"",""en"")"),"90 guy in one million stocking points to the village")</f>
        <v>90 guy in one million stocking points to the village</v>
      </c>
      <c r="D2045" s="5" t="s">
        <v>4767</v>
      </c>
      <c r="E2045" s="4">
        <v>93079</v>
      </c>
    </row>
    <row r="2046" spans="1:6" ht="13.5" hidden="1" customHeight="1">
      <c r="A2046" s="4" t="s">
        <v>4768</v>
      </c>
      <c r="B2046" s="4" t="s">
        <v>4769</v>
      </c>
      <c r="C2046" s="4" t="str">
        <f ca="1">IFERROR(__xludf.DUMMYFUNCTION("GOOGLETRANSLATE(D:D,""auto"",""en"")"),"CCTV Spring Festival Evening Fourth row")</f>
        <v>CCTV Spring Festival Evening Fourth row</v>
      </c>
      <c r="D2046" s="5" t="s">
        <v>4770</v>
      </c>
      <c r="E2046" s="4">
        <v>92253</v>
      </c>
    </row>
    <row r="2047" spans="1:6" ht="13.5" hidden="1" customHeight="1">
      <c r="A2047" s="4" t="s">
        <v>4771</v>
      </c>
      <c r="B2047" s="4" t="s">
        <v>4772</v>
      </c>
      <c r="C2047" s="4" t="str">
        <f ca="1">IFERROR(__xludf.DUMMYFUNCTION("GOOGLETRANSLATE(D:D,""auto"",""en"")"),"Wang Huiwen US group will withdraw specific management services")</f>
        <v>Wang Huiwen US group will withdraw specific management services</v>
      </c>
      <c r="D2047" s="5" t="s">
        <v>4773</v>
      </c>
      <c r="E2047" s="4">
        <v>81070</v>
      </c>
    </row>
    <row r="2048" spans="1:6" ht="13.5" hidden="1" customHeight="1">
      <c r="A2048" s="4" t="s">
        <v>4774</v>
      </c>
      <c r="B2048" s="4" t="s">
        <v>4775</v>
      </c>
      <c r="C2048" s="4" t="str">
        <f ca="1">IFERROR(__xludf.DUMMYFUNCTION("GOOGLETRANSLATE(D:D,""auto"",""en"")"),"How to treat female toilet urinal set for boys")</f>
        <v>How to treat female toilet urinal set for boys</v>
      </c>
      <c r="D2048" s="5" t="s">
        <v>4776</v>
      </c>
      <c r="E2048" s="4">
        <v>64800</v>
      </c>
    </row>
    <row r="2049" spans="1:6" ht="13.5" hidden="1" customHeight="1">
      <c r="C2049" s="4" t="str">
        <f ca="1">IFERROR(__xludf.DUMMYFUNCTION("GOOGLETRANSLATE(D:D,""auto"",""en"")"),"#VALUE!")</f>
        <v>#VALUE!</v>
      </c>
    </row>
    <row r="2050" spans="1:6" ht="13.5" hidden="1" customHeight="1">
      <c r="A2050" s="4" t="s">
        <v>4777</v>
      </c>
      <c r="B2050" s="4" t="s">
        <v>4778</v>
      </c>
      <c r="C2050" s="4" t="str">
        <f ca="1">IFERROR(__xludf.DUMMYFUNCTION("GOOGLETRANSLATE(D:D,""auto"",""en"")"),"Colleagues see a doctor to succeed Dr. Tao Yong")</f>
        <v>Colleagues see a doctor to succeed Dr. Tao Yong</v>
      </c>
      <c r="D2050" s="4" t="s">
        <v>4779</v>
      </c>
      <c r="E2050" s="4">
        <v>3832917</v>
      </c>
    </row>
    <row r="2051" spans="1:6" ht="13.5" customHeight="1">
      <c r="A2051" s="4" t="s">
        <v>4780</v>
      </c>
      <c r="B2051" s="4" t="s">
        <v>4781</v>
      </c>
      <c r="C2051" s="4" t="str">
        <f ca="1">IFERROR(__xludf.DUMMYFUNCTION("GOOGLETRANSLATE(D:D,""auto"",""en"")"),"Wuhan 15 medical staff infected with the new coronavirus")</f>
        <v>Wuhan 15 medical staff infected with the new coronavirus</v>
      </c>
      <c r="D2051" s="5" t="s">
        <v>4782</v>
      </c>
      <c r="E2051" s="4">
        <v>2819942</v>
      </c>
      <c r="F2051">
        <v>1</v>
      </c>
    </row>
    <row r="2052" spans="1:6" ht="13.5" hidden="1" customHeight="1">
      <c r="A2052" s="4" t="s">
        <v>4783</v>
      </c>
      <c r="B2052" s="4" t="s">
        <v>4784</v>
      </c>
      <c r="C2052" s="4" t="str">
        <f ca="1">IFERROR(__xludf.DUMMYFUNCTION("GOOGLETRANSLATE(D:D,""auto"",""en"")"),"People wear pajamas to travel by public exposure")</f>
        <v>People wear pajamas to travel by public exposure</v>
      </c>
      <c r="D2052" s="5" t="s">
        <v>4785</v>
      </c>
      <c r="E2052" s="4">
        <v>2180222</v>
      </c>
    </row>
    <row r="2053" spans="1:6" ht="13.5" customHeight="1">
      <c r="A2053" s="4" t="s">
        <v>4780</v>
      </c>
      <c r="B2053" s="4" t="s">
        <v>4786</v>
      </c>
      <c r="C2053" s="4" t="str">
        <f ca="1">IFERROR(__xludf.DUMMYFUNCTION("GOOGLETRANSLATE(D:D,""auto"",""en"")"),"Novel coronavirus pneumonia included legal infectious diseases")</f>
        <v>Novel coronavirus pneumonia included legal infectious diseases</v>
      </c>
      <c r="D2053" s="5" t="s">
        <v>4787</v>
      </c>
      <c r="E2053" s="4">
        <v>1866712</v>
      </c>
      <c r="F2053">
        <v>1</v>
      </c>
    </row>
    <row r="2054" spans="1:6" ht="13.5" hidden="1" customHeight="1">
      <c r="A2054" s="4" t="s">
        <v>4788</v>
      </c>
      <c r="B2054" s="4" t="s">
        <v>4723</v>
      </c>
      <c r="C2054" s="4" t="str">
        <f ca="1">IFERROR(__xludf.DUMMYFUNCTION("GOOGLETRANSLATE(D:D,""auto"",""en"")"),"Hao Yi Xuan Officer")</f>
        <v>Hao Yi Xuan Officer</v>
      </c>
      <c r="D2054" s="5" t="s">
        <v>4789</v>
      </c>
      <c r="E2054" s="4">
        <v>1274491</v>
      </c>
    </row>
    <row r="2055" spans="1:6" ht="13.5" hidden="1" customHeight="1">
      <c r="A2055" s="4" t="s">
        <v>4790</v>
      </c>
      <c r="B2055" s="4" t="s">
        <v>4702</v>
      </c>
      <c r="C2055" s="4" t="str">
        <f ca="1">IFERROR(__xludf.DUMMYFUNCTION("GOOGLETRANSLATE(D:D,""auto"",""en"")"),"Yiyangqianxi opera style")</f>
        <v>Yiyangqianxi opera style</v>
      </c>
      <c r="D2055" s="5" t="s">
        <v>4791</v>
      </c>
      <c r="E2055" s="4">
        <v>1156752</v>
      </c>
    </row>
    <row r="2056" spans="1:6" ht="13.5" customHeight="1">
      <c r="A2056" s="4" t="s">
        <v>4648</v>
      </c>
      <c r="B2056" s="4" t="s">
        <v>4649</v>
      </c>
      <c r="C2056" s="4" t="str">
        <f ca="1">IFERROR(__xludf.DUMMYFUNCTION("GOOGLETRANSLATE(D:D,""auto"",""en"")"),"Zhong Nanshan, who certainly novel coronavirus pneumonia successor")</f>
        <v>Zhong Nanshan, who certainly novel coronavirus pneumonia successor</v>
      </c>
      <c r="D2056" s="5" t="s">
        <v>4650</v>
      </c>
      <c r="E2056" s="4">
        <v>1148414</v>
      </c>
      <c r="F2056">
        <v>1</v>
      </c>
    </row>
    <row r="2057" spans="1:6" ht="13.5" hidden="1" customHeight="1">
      <c r="A2057" s="4" t="s">
        <v>4719</v>
      </c>
      <c r="B2057" s="4" t="s">
        <v>4564</v>
      </c>
      <c r="C2057" s="4" t="str">
        <f ca="1">IFERROR(__xludf.DUMMYFUNCTION("GOOGLETRANSLATE(D:D,""auto"",""en"")"),"Playground buried corpse case was executed criminals Du Shaoping")</f>
        <v>Playground buried corpse case was executed criminals Du Shaoping</v>
      </c>
      <c r="D2057" s="5" t="s">
        <v>4720</v>
      </c>
      <c r="E2057" s="4">
        <v>1117973</v>
      </c>
    </row>
    <row r="2058" spans="1:6" ht="13.5" hidden="1" customHeight="1">
      <c r="A2058" s="4" t="s">
        <v>4792</v>
      </c>
      <c r="B2058" s="4" t="s">
        <v>4793</v>
      </c>
      <c r="C2058" s="4" t="str">
        <f ca="1">IFERROR(__xludf.DUMMYFUNCTION("GOOGLETRANSLATE(D:D,""auto"",""en"")"),"President of the National Palace apology")</f>
        <v>President of the National Palace apology</v>
      </c>
      <c r="D2058" s="5" t="s">
        <v>4794</v>
      </c>
      <c r="E2058" s="4">
        <v>1094971</v>
      </c>
    </row>
    <row r="2059" spans="1:6" ht="13.5" hidden="1" customHeight="1">
      <c r="A2059" s="4" t="s">
        <v>4795</v>
      </c>
      <c r="B2059" s="4" t="s">
        <v>4762</v>
      </c>
      <c r="C2059" s="4" t="str">
        <f ca="1">IFERROR(__xludf.DUMMYFUNCTION("GOOGLETRANSLATE(D:D,""auto"",""en"")"),"2019 rankings Family Names")</f>
        <v>2019 rankings Family Names</v>
      </c>
      <c r="D2059" s="5" t="s">
        <v>4796</v>
      </c>
      <c r="E2059" s="4">
        <v>1072914</v>
      </c>
    </row>
    <row r="2060" spans="1:6" ht="13.5" hidden="1" customHeight="1">
      <c r="A2060" s="4" t="s">
        <v>1169</v>
      </c>
      <c r="B2060" s="4" t="s">
        <v>1170</v>
      </c>
      <c r="C2060" s="4" t="str">
        <f ca="1">IFERROR(__xludf.DUMMYFUNCTION("GOOGLETRANSLATE(D:D,""auto"",""en"")"),"want to see you")</f>
        <v>want to see you</v>
      </c>
      <c r="D2060" s="5" t="s">
        <v>1171</v>
      </c>
      <c r="E2060" s="4">
        <v>1067734</v>
      </c>
    </row>
    <row r="2061" spans="1:6" ht="13.5" hidden="1" customHeight="1">
      <c r="A2061" s="4" t="s">
        <v>4663</v>
      </c>
      <c r="B2061" s="4" t="s">
        <v>4664</v>
      </c>
      <c r="C2061" s="4" t="str">
        <f ca="1">IFERROR(__xludf.DUMMYFUNCTION("GOOGLETRANSLATE(D:D,""auto"",""en"")"),"Yuan summer jealous")</f>
        <v>Yuan summer jealous</v>
      </c>
      <c r="D2061" s="5" t="s">
        <v>4665</v>
      </c>
      <c r="E2061" s="4">
        <v>1042323</v>
      </c>
    </row>
    <row r="2062" spans="1:6" ht="13.5" hidden="1" customHeight="1">
      <c r="A2062" s="4" t="s">
        <v>4666</v>
      </c>
      <c r="B2062" s="4" t="s">
        <v>4667</v>
      </c>
      <c r="C2062" s="4" t="str">
        <f ca="1">IFERROR(__xludf.DUMMYFUNCTION("GOOGLETRANSLATE(D:D,""auto"",""en"")"),"Qi Wei Lee Seung-Hyun FIG hand misalignment")</f>
        <v>Qi Wei Lee Seung-Hyun FIG hand misalignment</v>
      </c>
      <c r="D2062" s="5" t="s">
        <v>4668</v>
      </c>
      <c r="E2062" s="4">
        <v>1013725</v>
      </c>
    </row>
    <row r="2063" spans="1:6" ht="13.5" hidden="1" customHeight="1">
      <c r="A2063" s="4" t="s">
        <v>4657</v>
      </c>
      <c r="B2063" s="4" t="s">
        <v>4658</v>
      </c>
      <c r="C2063" s="4" t="str">
        <f ca="1">IFERROR(__xludf.DUMMYFUNCTION("GOOGLETRANSLATE(D:D,""auto"",""en"")"),"Last Song Dandan on Spring Festival")</f>
        <v>Last Song Dandan on Spring Festival</v>
      </c>
      <c r="D2063" s="5" t="s">
        <v>4659</v>
      </c>
      <c r="E2063" s="4">
        <v>1008303</v>
      </c>
    </row>
    <row r="2064" spans="1:6" ht="13.5" hidden="1" customHeight="1">
      <c r="A2064" s="4" t="s">
        <v>4672</v>
      </c>
      <c r="B2064" s="4" t="s">
        <v>4594</v>
      </c>
      <c r="C2064" s="4" t="str">
        <f ca="1">IFERROR(__xludf.DUMMYFUNCTION("GOOGLETRANSLATE(D:D,""auto"",""en"")"),"Qi Dan Mianhua plums")</f>
        <v>Qi Dan Mianhua plums</v>
      </c>
      <c r="D2064" s="5" t="s">
        <v>4673</v>
      </c>
      <c r="E2064" s="4">
        <v>970224</v>
      </c>
    </row>
    <row r="2065" spans="1:6" ht="13.5" hidden="1" customHeight="1">
      <c r="A2065" s="4" t="s">
        <v>4797</v>
      </c>
      <c r="B2065" s="4" t="s">
        <v>4660</v>
      </c>
      <c r="C2065" s="4" t="str">
        <f ca="1">IFERROR(__xludf.DUMMYFUNCTION("GOOGLETRANSLATE(D:D,""auto"",""en"")"),"Huang Xiaoming baby birthday feast for the small sponge")</f>
        <v>Huang Xiaoming baby birthday feast for the small sponge</v>
      </c>
      <c r="D2065" s="5" t="s">
        <v>4798</v>
      </c>
      <c r="E2065" s="4">
        <v>967233</v>
      </c>
    </row>
    <row r="2066" spans="1:6" ht="13.5" hidden="1" customHeight="1">
      <c r="A2066" s="4" t="s">
        <v>4799</v>
      </c>
      <c r="B2066" s="4" t="s">
        <v>4800</v>
      </c>
      <c r="C2066" s="4" t="str">
        <f ca="1">IFERROR(__xludf.DUMMYFUNCTION("GOOGLETRANSLATE(D:D,""auto"",""en"")"),"Debt 170 000 141 would like to pay off points")</f>
        <v>Debt 170 000 141 would like to pay off points</v>
      </c>
      <c r="D2066" s="5" t="s">
        <v>4801</v>
      </c>
      <c r="E2066" s="4">
        <v>933540</v>
      </c>
    </row>
    <row r="2067" spans="1:6" ht="13.5" hidden="1" customHeight="1">
      <c r="A2067" s="4" t="s">
        <v>4802</v>
      </c>
      <c r="B2067" s="4" t="s">
        <v>4803</v>
      </c>
      <c r="C2067" s="4" t="str">
        <f ca="1">IFERROR(__xludf.DUMMYFUNCTION("GOOGLETRANSLATE(D:D,""auto"",""en"")"),"Lee Dong-wook bathtub photo")</f>
        <v>Lee Dong-wook bathtub photo</v>
      </c>
      <c r="D2067" s="5" t="s">
        <v>4804</v>
      </c>
      <c r="E2067" s="4">
        <v>925671</v>
      </c>
    </row>
    <row r="2068" spans="1:6" ht="13.5" customHeight="1">
      <c r="A2068" s="4" t="s">
        <v>4805</v>
      </c>
      <c r="B2068" s="4" t="s">
        <v>4806</v>
      </c>
      <c r="C2068" s="4" t="str">
        <f ca="1">IFERROR(__xludf.DUMMYFUNCTION("GOOGLETRANSLATE(D:D,""auto"",""en"")"),"How to prevent the spring novel coronavirus")</f>
        <v>How to prevent the spring novel coronavirus</v>
      </c>
      <c r="D2068" s="5" t="s">
        <v>4807</v>
      </c>
      <c r="E2068" s="4">
        <v>718917</v>
      </c>
      <c r="F2068">
        <v>1</v>
      </c>
    </row>
    <row r="2069" spans="1:6" ht="13.5" hidden="1" customHeight="1">
      <c r="A2069" s="4" t="s">
        <v>4808</v>
      </c>
      <c r="B2069" s="4" t="s">
        <v>4697</v>
      </c>
      <c r="C2069" s="4" t="str">
        <f ca="1">IFERROR(__xludf.DUMMYFUNCTION("GOOGLETRANSLATE(D:D,""auto"",""en"")"),"Changsha, the first time to play with friends")</f>
        <v>Changsha, the first time to play with friends</v>
      </c>
      <c r="D2069" s="5" t="s">
        <v>4809</v>
      </c>
      <c r="E2069" s="4">
        <v>710008</v>
      </c>
    </row>
    <row r="2070" spans="1:6" ht="13.5" hidden="1" customHeight="1">
      <c r="A2070" s="4" t="s">
        <v>4810</v>
      </c>
      <c r="B2070" s="4" t="s">
        <v>4811</v>
      </c>
      <c r="C2070" s="4" t="str">
        <f ca="1">IFERROR(__xludf.DUMMYFUNCTION("GOOGLETRANSLATE(D:D,""auto"",""en"")"),"Chan said they would cooperate and ease of Xi smelt one thousand")</f>
        <v>Chan said they would cooperate and ease of Xi smelt one thousand</v>
      </c>
      <c r="D2070" s="5" t="s">
        <v>4812</v>
      </c>
      <c r="E2070" s="4">
        <v>664936</v>
      </c>
    </row>
    <row r="2071" spans="1:6" ht="13.5" hidden="1" customHeight="1">
      <c r="A2071" s="4" t="s">
        <v>4813</v>
      </c>
      <c r="B2071" s="4" t="s">
        <v>4814</v>
      </c>
      <c r="C2071" s="4" t="str">
        <f ca="1">IFERROR(__xludf.DUMMYFUNCTION("GOOGLETRANSLATE(D:D,""auto"",""en"")"),"Dr Tao Yong has helped patients reduce costs")</f>
        <v>Dr Tao Yong has helped patients reduce costs</v>
      </c>
      <c r="D2071" s="5" t="s">
        <v>4815</v>
      </c>
      <c r="E2071" s="4">
        <v>503871</v>
      </c>
    </row>
    <row r="2072" spans="1:6" ht="13.5" customHeight="1">
      <c r="A2072" s="4" t="s">
        <v>4692</v>
      </c>
      <c r="B2072" s="4" t="s">
        <v>4693</v>
      </c>
      <c r="C2072" s="4" t="str">
        <f ca="1">IFERROR(__xludf.DUMMYFUNCTION("GOOGLETRANSLATE(D:D,""auto"",""en"")"),"Zhong Nanshan")</f>
        <v>Zhong Nanshan</v>
      </c>
      <c r="D2072" s="5" t="s">
        <v>4694</v>
      </c>
      <c r="E2072" s="4">
        <v>495174</v>
      </c>
      <c r="F2072">
        <v>1</v>
      </c>
    </row>
    <row r="2073" spans="1:6" ht="13.5" customHeight="1">
      <c r="A2073" s="4" t="s">
        <v>4816</v>
      </c>
      <c r="B2073" s="4" t="s">
        <v>4817</v>
      </c>
      <c r="C2073" s="4" t="str">
        <f ca="1">IFERROR(__xludf.DUMMYFUNCTION("GOOGLETRANSLATE(D:D,""auto"",""en"")"),"Zhu Yilong encourage doctors Fans")</f>
        <v>Zhu Yilong encourage doctors Fans</v>
      </c>
      <c r="D2073" s="5" t="s">
        <v>4818</v>
      </c>
      <c r="E2073" s="4">
        <v>480761</v>
      </c>
      <c r="F2073">
        <v>1</v>
      </c>
    </row>
    <row r="2074" spans="1:6" ht="13.5" hidden="1" customHeight="1">
      <c r="A2074" s="4" t="s">
        <v>4819</v>
      </c>
      <c r="B2074" s="4" t="s">
        <v>4820</v>
      </c>
      <c r="C2074" s="4" t="str">
        <f ca="1">IFERROR(__xludf.DUMMYFUNCTION("GOOGLETRANSLATE(D:D,""auto"",""en"")"),"Noisy upstairs downstairs Zhuangzhenlouqi fight back")</f>
        <v>Noisy upstairs downstairs Zhuangzhenlouqi fight back</v>
      </c>
      <c r="D2074" s="5" t="s">
        <v>4821</v>
      </c>
      <c r="E2074" s="4">
        <v>426194</v>
      </c>
    </row>
    <row r="2075" spans="1:6" ht="13.5" hidden="1" customHeight="1">
      <c r="A2075" s="4" t="s">
        <v>4822</v>
      </c>
      <c r="B2075" s="4" t="s">
        <v>4728</v>
      </c>
      <c r="C2075" s="4" t="str">
        <f ca="1">IFERROR(__xludf.DUMMYFUNCTION("GOOGLETRANSLATE(D:D,""auto"",""en"")"),"The school is part of the United States to double")</f>
        <v>The school is part of the United States to double</v>
      </c>
      <c r="D2075" s="5" t="s">
        <v>4823</v>
      </c>
      <c r="E2075" s="4">
        <v>381541</v>
      </c>
    </row>
    <row r="2076" spans="1:6" ht="13.5" hidden="1" customHeight="1">
      <c r="A2076" s="4" t="s">
        <v>4824</v>
      </c>
      <c r="B2076" s="4" t="s">
        <v>4781</v>
      </c>
      <c r="C2076" s="4" t="str">
        <f ca="1">IFERROR(__xludf.DUMMYFUNCTION("GOOGLETRANSLATE(D:D,""auto"",""en"")"),"Zheng Shuang Liu Qi style")</f>
        <v>Zheng Shuang Liu Qi style</v>
      </c>
      <c r="D2076" s="5" t="s">
        <v>4825</v>
      </c>
      <c r="E2076" s="4">
        <v>347475</v>
      </c>
    </row>
    <row r="2077" spans="1:6" ht="13.5" hidden="1" customHeight="1">
      <c r="A2077" s="4" t="s">
        <v>4730</v>
      </c>
      <c r="B2077" s="4" t="s">
        <v>4731</v>
      </c>
      <c r="C2077" s="4" t="str">
        <f ca="1">IFERROR(__xludf.DUMMYFUNCTION("GOOGLETRANSLATE(D:D,""auto"",""en"")"),"Chinese space station in orbit construction task will be kicked off")</f>
        <v>Chinese space station in orbit construction task will be kicked off</v>
      </c>
      <c r="D2077" s="5" t="s">
        <v>4732</v>
      </c>
      <c r="E2077" s="4">
        <v>340411</v>
      </c>
    </row>
    <row r="2078" spans="1:6" ht="13.5" hidden="1" customHeight="1">
      <c r="A2078" s="4" t="s">
        <v>4826</v>
      </c>
      <c r="B2078" s="4" t="s">
        <v>4811</v>
      </c>
      <c r="C2078" s="4" t="str">
        <f ca="1">IFERROR(__xludf.DUMMYFUNCTION("GOOGLETRANSLATE(D:D,""auto"",""en"")"),"Charles Prince Harry or privately funded couple")</f>
        <v>Charles Prince Harry or privately funded couple</v>
      </c>
      <c r="D2078" s="5" t="s">
        <v>4827</v>
      </c>
      <c r="E2078" s="4">
        <v>338476</v>
      </c>
    </row>
    <row r="2079" spans="1:6" ht="13.5" hidden="1" customHeight="1">
      <c r="A2079" s="4" t="s">
        <v>4828</v>
      </c>
      <c r="B2079" s="4" t="s">
        <v>4829</v>
      </c>
      <c r="C2079" s="4" t="str">
        <f ca="1">IFERROR(__xludf.DUMMYFUNCTION("GOOGLETRANSLATE(D:D,""auto"",""en"")"),"75 prisoners escape jail dig Paraguay")</f>
        <v>75 prisoners escape jail dig Paraguay</v>
      </c>
      <c r="D2079" s="5" t="s">
        <v>4830</v>
      </c>
      <c r="E2079" s="4">
        <v>338009</v>
      </c>
    </row>
    <row r="2080" spans="1:6" ht="13.5" customHeight="1">
      <c r="A2080" s="4" t="s">
        <v>4831</v>
      </c>
      <c r="B2080" s="4" t="s">
        <v>4832</v>
      </c>
      <c r="C2080" s="4" t="str">
        <f ca="1">IFERROR(__xludf.DUMMYFUNCTION("GOOGLETRANSLATE(D:D,""auto"",""en"")"),"Read a novel coronavirus pneumonia map")</f>
        <v>Read a novel coronavirus pneumonia map</v>
      </c>
      <c r="D2080" s="5" t="s">
        <v>4833</v>
      </c>
      <c r="E2080" s="4">
        <v>327916</v>
      </c>
      <c r="F2080">
        <v>1</v>
      </c>
    </row>
    <row r="2081" spans="1:6" ht="13.5" hidden="1" customHeight="1">
      <c r="A2081" s="4" t="s">
        <v>4834</v>
      </c>
      <c r="B2081" s="4" t="s">
        <v>4835</v>
      </c>
      <c r="C2081" s="4" t="str">
        <f ca="1">IFERROR(__xludf.DUMMYFUNCTION("GOOGLETRANSLATE(D:D,""auto"",""en"")"),"Wang Yuan Yang Zi Angela Spring Festival Chorus")</f>
        <v>Wang Yuan Yang Zi Angela Spring Festival Chorus</v>
      </c>
      <c r="D2081" s="5" t="s">
        <v>4836</v>
      </c>
      <c r="E2081" s="4">
        <v>283405</v>
      </c>
    </row>
    <row r="2082" spans="1:6" ht="13.5" hidden="1" customHeight="1">
      <c r="A2082" s="4" t="s">
        <v>4837</v>
      </c>
      <c r="B2082" s="4" t="s">
        <v>4674</v>
      </c>
      <c r="C2082" s="4" t="str">
        <f ca="1">IFERROR(__xludf.DUMMYFUNCTION("GOOGLETRANSLATE(D:D,""auto"",""en"")"),"Donuts backpack")</f>
        <v>Donuts backpack</v>
      </c>
      <c r="D2082" s="5" t="s">
        <v>4838</v>
      </c>
      <c r="E2082" s="4">
        <v>277421</v>
      </c>
    </row>
    <row r="2083" spans="1:6" ht="13.5" hidden="1" customHeight="1">
      <c r="A2083" s="4" t="s">
        <v>4839</v>
      </c>
      <c r="B2083" s="4" t="s">
        <v>4840</v>
      </c>
      <c r="C2083" s="4" t="str">
        <f ca="1">IFERROR(__xludf.DUMMYFUNCTION("GOOGLETRANSLATE(D:D,""auto"",""en"")"),"Nice to feel at home when waste")</f>
        <v>Nice to feel at home when waste</v>
      </c>
      <c r="D2083" s="5" t="s">
        <v>4841</v>
      </c>
      <c r="E2083" s="4">
        <v>276762</v>
      </c>
    </row>
    <row r="2084" spans="1:6" ht="13.5" hidden="1" customHeight="1">
      <c r="A2084" s="4" t="s">
        <v>4834</v>
      </c>
      <c r="B2084" s="4" t="s">
        <v>4842</v>
      </c>
      <c r="C2084" s="4" t="str">
        <f ca="1">IFERROR(__xludf.DUMMYFUNCTION("GOOGLETRANSLATE(D:D,""auto"",""en"")"),"31 provinces in 2019 income standings")</f>
        <v>31 provinces in 2019 income standings</v>
      </c>
      <c r="D2084" s="5" t="s">
        <v>4843</v>
      </c>
      <c r="E2084" s="4">
        <v>264143</v>
      </c>
    </row>
    <row r="2085" spans="1:6" ht="13.5" hidden="1" customHeight="1">
      <c r="A2085" s="4" t="s">
        <v>4844</v>
      </c>
      <c r="B2085" s="4" t="s">
        <v>4845</v>
      </c>
      <c r="C2085" s="4" t="str">
        <f ca="1">IFERROR(__xludf.DUMMYFUNCTION("GOOGLETRANSLATE(D:D,""auto"",""en"")"),"How much money to spend New Year 90")</f>
        <v>How much money to spend New Year 90</v>
      </c>
      <c r="D2085" s="5" t="s">
        <v>4846</v>
      </c>
      <c r="E2085" s="4">
        <v>229805</v>
      </c>
    </row>
    <row r="2086" spans="1:6" ht="13.5" hidden="1" customHeight="1">
      <c r="A2086" s="4" t="s">
        <v>4847</v>
      </c>
      <c r="B2086" s="4" t="s">
        <v>4820</v>
      </c>
      <c r="C2086" s="4" t="str">
        <f ca="1">IFERROR(__xludf.DUMMYFUNCTION("GOOGLETRANSLATE(D:D,""auto"",""en"")"),"17 a third Harden")</f>
        <v>17 a third Harden</v>
      </c>
      <c r="D2086" s="5" t="s">
        <v>4848</v>
      </c>
      <c r="E2086" s="4">
        <v>199052</v>
      </c>
    </row>
    <row r="2087" spans="1:6" ht="13.5" hidden="1" customHeight="1">
      <c r="A2087" s="4" t="s">
        <v>4849</v>
      </c>
      <c r="B2087" s="4" t="s">
        <v>4845</v>
      </c>
      <c r="C2087" s="4" t="str">
        <f ca="1">IFERROR(__xludf.DUMMYFUNCTION("GOOGLETRANSLATE(D:D,""auto"",""en"")"),"Or is required to buy short take long to get off the station")</f>
        <v>Or is required to buy short take long to get off the station</v>
      </c>
      <c r="D2087" s="5" t="s">
        <v>4850</v>
      </c>
      <c r="E2087" s="4">
        <v>177663</v>
      </c>
    </row>
    <row r="2088" spans="1:6" ht="13.5" customHeight="1">
      <c r="A2088" s="4" t="s">
        <v>4654</v>
      </c>
      <c r="B2088" s="4" t="s">
        <v>4655</v>
      </c>
      <c r="C2088" s="4" t="str">
        <f ca="1">IFERROR(__xludf.DUMMYFUNCTION("GOOGLETRANSLATE(D:D,""auto"",""en"")"),"New infectious than SARS coronavirus weak")</f>
        <v>New infectious than SARS coronavirus weak</v>
      </c>
      <c r="D2088" s="5" t="s">
        <v>4656</v>
      </c>
      <c r="E2088" s="4">
        <v>163413</v>
      </c>
      <c r="F2088">
        <v>1</v>
      </c>
    </row>
    <row r="2089" spans="1:6" ht="13.5" hidden="1" customHeight="1">
      <c r="A2089" s="4" t="s">
        <v>4689</v>
      </c>
      <c r="B2089" s="4" t="s">
        <v>4690</v>
      </c>
      <c r="C2089" s="4" t="str">
        <f ca="1">IFERROR(__xludf.DUMMYFUNCTION("GOOGLETRANSLATE(D:D,""auto"",""en"")"),"Wang Luo Dan 2020 first awkward scene")</f>
        <v>Wang Luo Dan 2020 first awkward scene</v>
      </c>
      <c r="D2089" s="5" t="s">
        <v>4691</v>
      </c>
      <c r="E2089" s="4">
        <v>154005</v>
      </c>
    </row>
    <row r="2090" spans="1:6" ht="13.5" hidden="1" customHeight="1">
      <c r="A2090" s="4" t="s">
        <v>4851</v>
      </c>
      <c r="B2090" s="4" t="s">
        <v>4852</v>
      </c>
      <c r="C2090" s="4" t="str">
        <f ca="1">IFERROR(__xludf.DUMMYFUNCTION("GOOGLETRANSLATE(D:D,""auto"",""en"")"),"What is the first tattoo experience")</f>
        <v>What is the first tattoo experience</v>
      </c>
      <c r="D2090" s="5" t="s">
        <v>4853</v>
      </c>
      <c r="E2090" s="4">
        <v>133522</v>
      </c>
    </row>
    <row r="2091" spans="1:6" ht="13.5" customHeight="1">
      <c r="A2091" s="4" t="s">
        <v>4672</v>
      </c>
      <c r="B2091" s="4" t="s">
        <v>4695</v>
      </c>
      <c r="C2091" s="4" t="str">
        <f ca="1">IFERROR(__xludf.DUMMYFUNCTION("GOOGLETRANSLATE(D:D,""auto"",""en"")"),"Wuhan fever clinics list")</f>
        <v>Wuhan fever clinics list</v>
      </c>
      <c r="D2091" s="5" t="s">
        <v>4696</v>
      </c>
      <c r="E2091" s="4">
        <v>128027</v>
      </c>
      <c r="F2091">
        <v>1</v>
      </c>
    </row>
    <row r="2092" spans="1:6" ht="13.5" hidden="1" customHeight="1">
      <c r="A2092" s="4" t="s">
        <v>4854</v>
      </c>
      <c r="B2092" s="4" t="s">
        <v>4743</v>
      </c>
      <c r="C2092" s="4" t="str">
        <f ca="1">IFERROR(__xludf.DUMMYFUNCTION("GOOGLETRANSLATE(D:D,""auto"",""en"")"),"Double what it was like target people")</f>
        <v>Double what it was like target people</v>
      </c>
      <c r="D2092" s="5" t="s">
        <v>4855</v>
      </c>
      <c r="E2092" s="4">
        <v>113453</v>
      </c>
    </row>
    <row r="2093" spans="1:6" ht="13.5" hidden="1" customHeight="1">
      <c r="A2093" s="4" t="s">
        <v>4699</v>
      </c>
      <c r="B2093" s="4" t="s">
        <v>4700</v>
      </c>
      <c r="C2093" s="4" t="str">
        <f ca="1">IFERROR(__xludf.DUMMYFUNCTION("GOOGLETRANSLATE(D:D,""auto"",""en"")"),"Miss Japan 2020 title")</f>
        <v>Miss Japan 2020 title</v>
      </c>
      <c r="D2093" s="5" t="s">
        <v>4701</v>
      </c>
      <c r="E2093" s="4">
        <v>107854</v>
      </c>
    </row>
    <row r="2094" spans="1:6" ht="13.5" hidden="1" customHeight="1">
      <c r="A2094" s="4" t="s">
        <v>4651</v>
      </c>
      <c r="B2094" s="4" t="s">
        <v>4652</v>
      </c>
      <c r="C2094" s="4" t="str">
        <f ca="1">IFERROR(__xludf.DUMMYFUNCTION("GOOGLETRANSLATE(D:D,""auto"",""en"")"),"How hard to train a physician")</f>
        <v>How hard to train a physician</v>
      </c>
      <c r="D2094" s="5" t="s">
        <v>4653</v>
      </c>
      <c r="E2094" s="4">
        <v>102582</v>
      </c>
    </row>
    <row r="2095" spans="1:6" ht="13.5" hidden="1" customHeight="1">
      <c r="A2095" s="4" t="s">
        <v>4856</v>
      </c>
      <c r="B2095" s="4" t="s">
        <v>4857</v>
      </c>
      <c r="C2095" s="4" t="str">
        <f ca="1">IFERROR(__xludf.DUMMYFUNCTION("GOOGLETRANSLATE(D:D,""auto"",""en"")"),"Yue Yunpeng Spring Festival are beautiful people except me")</f>
        <v>Yue Yunpeng Spring Festival are beautiful people except me</v>
      </c>
      <c r="D2095" s="5" t="s">
        <v>4858</v>
      </c>
      <c r="E2095" s="4">
        <v>99033</v>
      </c>
    </row>
    <row r="2096" spans="1:6" ht="13.5" hidden="1" customHeight="1">
      <c r="A2096" s="4" t="s">
        <v>4651</v>
      </c>
      <c r="B2096" s="4" t="s">
        <v>4859</v>
      </c>
      <c r="C2096" s="4" t="str">
        <f ca="1">IFERROR(__xludf.DUMMYFUNCTION("GOOGLETRANSLATE(D:D,""auto"",""en"")"),"White House disco scene")</f>
        <v>White House disco scene</v>
      </c>
      <c r="D2096" s="5" t="s">
        <v>4860</v>
      </c>
      <c r="E2096" s="4">
        <v>96771</v>
      </c>
    </row>
    <row r="2097" spans="1:6" ht="13.5" hidden="1" customHeight="1">
      <c r="A2097" s="4" t="s">
        <v>4861</v>
      </c>
      <c r="B2097" s="4" t="s">
        <v>4862</v>
      </c>
      <c r="C2097" s="4" t="str">
        <f ca="1">IFERROR(__xludf.DUMMYFUNCTION("GOOGLETRANSLATE(D:D,""auto"",""en"")"),"Experience is what forced blind date")</f>
        <v>Experience is what forced blind date</v>
      </c>
      <c r="D2097" s="5" t="s">
        <v>4863</v>
      </c>
      <c r="E2097" s="4">
        <v>96736</v>
      </c>
    </row>
    <row r="2098" spans="1:6" ht="13.5" hidden="1" customHeight="1">
      <c r="A2098" s="4" t="s">
        <v>4669</v>
      </c>
      <c r="B2098" s="4" t="s">
        <v>4670</v>
      </c>
      <c r="C2098" s="4" t="str">
        <f ca="1">IFERROR(__xludf.DUMMYFUNCTION("GOOGLETRANSLATE(D:D,""auto"",""en"")"),"Beijing Health Medical health committee to respond to violent incidents injury")</f>
        <v>Beijing Health Medical health committee to respond to violent incidents injury</v>
      </c>
      <c r="D2098" s="5" t="s">
        <v>4671</v>
      </c>
      <c r="E2098" s="4">
        <v>83603</v>
      </c>
    </row>
    <row r="2099" spans="1:6" ht="13.5" hidden="1" customHeight="1">
      <c r="C2099" s="4" t="str">
        <f ca="1">IFERROR(__xludf.DUMMYFUNCTION("GOOGLETRANSLATE(D:D,""auto"",""en"")"),"#VALUE!")</f>
        <v>#VALUE!</v>
      </c>
    </row>
    <row r="2100" spans="1:6" ht="13.5" customHeight="1">
      <c r="A2100" s="4" t="s">
        <v>4864</v>
      </c>
      <c r="B2100" s="4" t="s">
        <v>4865</v>
      </c>
      <c r="C2100" s="4" t="str">
        <f ca="1">IFERROR(__xludf.DUMMYFUNCTION("GOOGLETRANSLATE(D:D,""auto"",""en"")"),"Domestic confirmed 291 cases of novel coronavirus pneumonia cases")</f>
        <v>Domestic confirmed 291 cases of novel coronavirus pneumonia cases</v>
      </c>
      <c r="D2100" s="4" t="s">
        <v>4866</v>
      </c>
      <c r="E2100" s="4">
        <v>3456072</v>
      </c>
      <c r="F2100">
        <v>1</v>
      </c>
    </row>
    <row r="2101" spans="1:6" ht="13.5" hidden="1" customHeight="1">
      <c r="A2101" s="4" t="s">
        <v>4867</v>
      </c>
      <c r="B2101" s="4" t="s">
        <v>4868</v>
      </c>
      <c r="C2101" s="4" t="str">
        <f ca="1">IFERROR(__xludf.DUMMYFUNCTION("GOOGLETRANSLATE(D:D,""auto"",""en"")"),"Ahn Jae-hyun fat")</f>
        <v>Ahn Jae-hyun fat</v>
      </c>
      <c r="D2101" s="5" t="s">
        <v>4869</v>
      </c>
      <c r="E2101" s="4">
        <v>2685816</v>
      </c>
    </row>
    <row r="2102" spans="1:6" ht="13.5" customHeight="1">
      <c r="A2102" s="4" t="s">
        <v>4870</v>
      </c>
      <c r="B2102" s="4" t="s">
        <v>4871</v>
      </c>
      <c r="C2102" s="4" t="str">
        <f ca="1">IFERROR(__xludf.DUMMYFUNCTION("GOOGLETRANSLATE(D:D,""auto"",""en"")"),"New Huanggang new 12 cases of pneumonia")</f>
        <v>New Huanggang new 12 cases of pneumonia</v>
      </c>
      <c r="D2102" s="5" t="s">
        <v>4872</v>
      </c>
      <c r="E2102" s="4">
        <v>2487000</v>
      </c>
      <c r="F2102">
        <v>1</v>
      </c>
    </row>
    <row r="2103" spans="1:6" ht="13.5" customHeight="1">
      <c r="A2103" s="4" t="s">
        <v>4873</v>
      </c>
      <c r="B2103" s="4" t="s">
        <v>4874</v>
      </c>
      <c r="C2103" s="4" t="str">
        <f ca="1">IFERROR(__xludf.DUMMYFUNCTION("GOOGLETRANSLATE(D:D,""auto"",""en"")"),"Sichuan confirmed the first case of new pneumonia")</f>
        <v>Sichuan confirmed the first case of new pneumonia</v>
      </c>
      <c r="D2103" s="5" t="s">
        <v>4875</v>
      </c>
      <c r="E2103" s="4">
        <v>2016238</v>
      </c>
      <c r="F2103">
        <v>1</v>
      </c>
    </row>
    <row r="2104" spans="1:6" ht="13.5" hidden="1" customHeight="1">
      <c r="A2104" s="4" t="s">
        <v>4876</v>
      </c>
      <c r="B2104" s="4" t="s">
        <v>4877</v>
      </c>
      <c r="C2104" s="4" t="str">
        <f ca="1">IFERROR(__xludf.DUMMYFUNCTION("GOOGLETRANSLATE(D:D,""auto"",""en"")"),"Shen Airport modeling")</f>
        <v>Shen Airport modeling</v>
      </c>
      <c r="D2104" s="5" t="s">
        <v>4878</v>
      </c>
      <c r="E2104" s="4">
        <v>1686731</v>
      </c>
    </row>
    <row r="2105" spans="1:6" ht="13.5" hidden="1" customHeight="1">
      <c r="A2105" s="4" t="s">
        <v>4879</v>
      </c>
      <c r="B2105" s="4" t="s">
        <v>4880</v>
      </c>
      <c r="C2105" s="4" t="str">
        <f ca="1">IFERROR(__xludf.DUMMYFUNCTION("GOOGLETRANSLATE(D:D,""auto"",""en"")"),"Philippines capsized vessel carrying Chinese tourists")</f>
        <v>Philippines capsized vessel carrying Chinese tourists</v>
      </c>
      <c r="D2105" s="5" t="s">
        <v>4881</v>
      </c>
      <c r="E2105" s="4">
        <v>1471659</v>
      </c>
    </row>
    <row r="2106" spans="1:6" ht="13.5" customHeight="1">
      <c r="A2106" s="4" t="s">
        <v>4873</v>
      </c>
      <c r="B2106" s="4" t="s">
        <v>4882</v>
      </c>
      <c r="C2106" s="4" t="str">
        <f ca="1">IFERROR(__xludf.DUMMYFUNCTION("GOOGLETRANSLATE(D:D,""auto"",""en"")"),"Beijing add new cases of pneumonia five cases")</f>
        <v>Beijing add new cases of pneumonia five cases</v>
      </c>
      <c r="D2106" s="5" t="s">
        <v>4883</v>
      </c>
      <c r="E2106" s="4">
        <v>1227895</v>
      </c>
      <c r="F2106">
        <v>1</v>
      </c>
    </row>
    <row r="2107" spans="1:6" ht="13.5" hidden="1" customHeight="1">
      <c r="A2107" s="4" t="s">
        <v>4719</v>
      </c>
      <c r="B2107" s="4" t="s">
        <v>4564</v>
      </c>
      <c r="C2107" s="4" t="str">
        <f ca="1">IFERROR(__xludf.DUMMYFUNCTION("GOOGLETRANSLATE(D:D,""auto"",""en"")"),"Playground buried corpse case was executed criminals Du Shaoping")</f>
        <v>Playground buried corpse case was executed criminals Du Shaoping</v>
      </c>
      <c r="D2107" s="5" t="s">
        <v>4720</v>
      </c>
      <c r="E2107" s="4">
        <v>1193685</v>
      </c>
    </row>
    <row r="2108" spans="1:6" ht="13.5" customHeight="1">
      <c r="A2108" s="4" t="s">
        <v>4884</v>
      </c>
      <c r="B2108" s="4" t="s">
        <v>4885</v>
      </c>
      <c r="C2108" s="4" t="str">
        <f ca="1">IFERROR(__xludf.DUMMYFUNCTION("GOOGLETRANSLATE(D:D,""auto"",""en"")"),"The new Wuhan treatment of patients with pneumonia by the government foot the bill")</f>
        <v>The new Wuhan treatment of patients with pneumonia by the government foot the bill</v>
      </c>
      <c r="D2108" s="5" t="s">
        <v>4886</v>
      </c>
      <c r="E2108" s="4">
        <v>1193466</v>
      </c>
      <c r="F2108">
        <v>1</v>
      </c>
    </row>
    <row r="2109" spans="1:6" ht="13.5" hidden="1" customHeight="1">
      <c r="A2109" s="4" t="s">
        <v>4887</v>
      </c>
      <c r="B2109" s="4" t="s">
        <v>4888</v>
      </c>
      <c r="C2109" s="4" t="str">
        <f ca="1">IFERROR(__xludf.DUMMYFUNCTION("GOOGLETRANSLATE(D:D,""auto"",""en"")"),"Ginger Star interviewed Zhang Yixing")</f>
        <v>Ginger Star interviewed Zhang Yixing</v>
      </c>
      <c r="D2109" s="5" t="s">
        <v>4889</v>
      </c>
      <c r="E2109" s="4">
        <v>1121116</v>
      </c>
    </row>
    <row r="2110" spans="1:6" ht="13.5" hidden="1" customHeight="1">
      <c r="A2110" s="4" t="s">
        <v>4890</v>
      </c>
      <c r="B2110" s="4" t="s">
        <v>4871</v>
      </c>
      <c r="C2110" s="4" t="str">
        <f ca="1">IFERROR(__xludf.DUMMYFUNCTION("GOOGLETRANSLATE(D:D,""auto"",""en"")"),"Evaluation of patients to doctors Tao Yong")</f>
        <v>Evaluation of patients to doctors Tao Yong</v>
      </c>
      <c r="D2110" s="5" t="s">
        <v>4891</v>
      </c>
      <c r="E2110" s="4">
        <v>1115686</v>
      </c>
    </row>
    <row r="2111" spans="1:6" ht="13.5" customHeight="1">
      <c r="A2111" s="4" t="s">
        <v>4892</v>
      </c>
      <c r="B2111" s="4" t="s">
        <v>4893</v>
      </c>
      <c r="C2111" s="4" t="str">
        <f ca="1">IFERROR(__xludf.DUMMYFUNCTION("GOOGLETRANSLATE(D:D,""auto"",""en"")"),"Wuhan Flights involving free refund")</f>
        <v>Wuhan Flights involving free refund</v>
      </c>
      <c r="D2111" s="5" t="s">
        <v>4894</v>
      </c>
      <c r="E2111" s="4">
        <v>810608</v>
      </c>
      <c r="F2111">
        <v>1</v>
      </c>
    </row>
    <row r="2112" spans="1:6" ht="13.5" hidden="1" customHeight="1">
      <c r="A2112" s="4" t="s">
        <v>4895</v>
      </c>
      <c r="B2112" s="4" t="s">
        <v>4896</v>
      </c>
      <c r="C2112" s="4" t="str">
        <f ca="1">IFERROR(__xludf.DUMMYFUNCTION("GOOGLETRANSLATE(D:D,""auto"",""en"")"),"Australian platypus face extinction")</f>
        <v>Australian platypus face extinction</v>
      </c>
      <c r="D2112" s="5" t="s">
        <v>4897</v>
      </c>
      <c r="E2112" s="4">
        <v>595494</v>
      </c>
    </row>
    <row r="2113" spans="1:6" ht="13.5" hidden="1" customHeight="1">
      <c r="A2113" s="4" t="s">
        <v>4898</v>
      </c>
      <c r="B2113" s="4" t="s">
        <v>4899</v>
      </c>
      <c r="C2113" s="4" t="str">
        <f ca="1">IFERROR(__xludf.DUMMYFUNCTION("GOOGLETRANSLATE(D:D,""auto"",""en"")"),"Aaron your camera for me is the muzzle")</f>
        <v>Aaron your camera for me is the muzzle</v>
      </c>
      <c r="D2113" s="5" t="s">
        <v>4900</v>
      </c>
      <c r="E2113" s="4">
        <v>532269</v>
      </c>
    </row>
    <row r="2114" spans="1:6" ht="13.5" hidden="1" customHeight="1">
      <c r="A2114" s="4" t="s">
        <v>4901</v>
      </c>
      <c r="B2114" s="4" t="s">
        <v>4902</v>
      </c>
      <c r="C2114" s="4" t="str">
        <f ca="1">IFERROR(__xludf.DUMMYFUNCTION("GOOGLETRANSLATE(D:D,""auto"",""en"")"),"Guo Xu Cai Kunting")</f>
        <v>Guo Xu Cai Kunting</v>
      </c>
      <c r="D2114" s="5" t="s">
        <v>4903</v>
      </c>
      <c r="E2114" s="4">
        <v>516866</v>
      </c>
    </row>
    <row r="2115" spans="1:6" ht="13.5" hidden="1" customHeight="1">
      <c r="A2115" s="4" t="s">
        <v>4904</v>
      </c>
      <c r="B2115" s="4" t="s">
        <v>4905</v>
      </c>
      <c r="C2115" s="4" t="str">
        <f ca="1">IFERROR(__xludf.DUMMYFUNCTION("GOOGLETRANSLATE(D:D,""auto"",""en"")"),"Women's hair length 190 cm")</f>
        <v>Women's hair length 190 cm</v>
      </c>
      <c r="D2115" s="5" t="s">
        <v>4906</v>
      </c>
      <c r="E2115" s="4">
        <v>515605</v>
      </c>
    </row>
    <row r="2116" spans="1:6" ht="13.5" hidden="1" customHeight="1">
      <c r="A2116" s="4" t="s">
        <v>4907</v>
      </c>
      <c r="B2116" s="4" t="s">
        <v>4905</v>
      </c>
      <c r="C2116" s="4" t="str">
        <f ca="1">IFERROR(__xludf.DUMMYFUNCTION("GOOGLETRANSLATE(D:D,""auto"",""en"")"),"Guangdong beat Xinjiang")</f>
        <v>Guangdong beat Xinjiang</v>
      </c>
      <c r="D2116" s="5" t="s">
        <v>4908</v>
      </c>
      <c r="E2116" s="4">
        <v>503761</v>
      </c>
    </row>
    <row r="2117" spans="1:6" ht="13.5" customHeight="1">
      <c r="A2117" s="4" t="s">
        <v>4909</v>
      </c>
      <c r="B2117" s="4" t="s">
        <v>4910</v>
      </c>
      <c r="C2117" s="4" t="str">
        <f ca="1">IFERROR(__xludf.DUMMYFUNCTION("GOOGLETRANSLATE(D:D,""auto"",""en"")"),"Guangzhou Metro temperature screening")</f>
        <v>Guangzhou Metro temperature screening</v>
      </c>
      <c r="D2117" s="5" t="s">
        <v>4911</v>
      </c>
      <c r="E2117" s="4">
        <v>502359</v>
      </c>
      <c r="F2117">
        <v>1</v>
      </c>
    </row>
    <row r="2118" spans="1:6" ht="13.5" customHeight="1">
      <c r="A2118" s="4" t="s">
        <v>4912</v>
      </c>
      <c r="B2118" s="4" t="s">
        <v>4913</v>
      </c>
      <c r="C2118" s="4" t="str">
        <f ca="1">IFERROR(__xludf.DUMMYFUNCTION("GOOGLETRANSLATE(D:D,""auto"",""en"")"),"Masks")</f>
        <v>Masks</v>
      </c>
      <c r="D2118" s="5" t="s">
        <v>4914</v>
      </c>
      <c r="E2118" s="4">
        <v>489191</v>
      </c>
      <c r="F2118">
        <v>1</v>
      </c>
    </row>
    <row r="2119" spans="1:6" ht="13.5" hidden="1" customHeight="1">
      <c r="A2119" s="4" t="s">
        <v>4915</v>
      </c>
      <c r="B2119" s="4" t="s">
        <v>4916</v>
      </c>
      <c r="C2119" s="4" t="str">
        <f ca="1">IFERROR(__xludf.DUMMYFUNCTION("GOOGLETRANSLATE(D:D,""auto"",""en"")"),"Zhou Qi Tseng Fan-day clash")</f>
        <v>Zhou Qi Tseng Fan-day clash</v>
      </c>
      <c r="D2119" s="5" t="s">
        <v>4917</v>
      </c>
      <c r="E2119" s="4">
        <v>397696</v>
      </c>
    </row>
    <row r="2120" spans="1:6" ht="13.5" hidden="1" customHeight="1">
      <c r="A2120" s="4" t="s">
        <v>4918</v>
      </c>
      <c r="B2120" s="4" t="s">
        <v>4919</v>
      </c>
      <c r="C2120" s="4" t="str">
        <f ca="1">IFERROR(__xludf.DUMMYFUNCTION("GOOGLETRANSLATE(D:D,""auto"",""en"")"),"Australian female caddy picking bananas requires players")</f>
        <v>Australian female caddy picking bananas requires players</v>
      </c>
      <c r="D2120" s="5" t="s">
        <v>4920</v>
      </c>
      <c r="E2120" s="4">
        <v>384677</v>
      </c>
    </row>
    <row r="2121" spans="1:6" ht="13.5" customHeight="1">
      <c r="A2121" s="4" t="s">
        <v>4921</v>
      </c>
      <c r="B2121" s="4" t="s">
        <v>4922</v>
      </c>
      <c r="C2121" s="4" t="str">
        <f ca="1">IFERROR(__xludf.DUMMYFUNCTION("GOOGLETRANSLATE(D:D,""auto"",""en"")"),"Wuhan Wuhan staff and out of control")</f>
        <v>Wuhan Wuhan staff and out of control</v>
      </c>
      <c r="D2121" s="5" t="s">
        <v>4923</v>
      </c>
      <c r="E2121" s="4">
        <v>343408</v>
      </c>
      <c r="F2121">
        <v>1</v>
      </c>
    </row>
    <row r="2122" spans="1:6" ht="13.5" hidden="1" customHeight="1">
      <c r="A2122" s="4" t="s">
        <v>4924</v>
      </c>
      <c r="B2122" s="4" t="s">
        <v>4925</v>
      </c>
      <c r="C2122" s="4" t="str">
        <f ca="1">IFERROR(__xludf.DUMMYFUNCTION("GOOGLETRANSLATE(D:D,""auto"",""en"")"),"Xiapian transparent package")</f>
        <v>Xiapian transparent package</v>
      </c>
      <c r="D2122" s="5" t="s">
        <v>4926</v>
      </c>
      <c r="E2122" s="4">
        <v>343364</v>
      </c>
    </row>
    <row r="2123" spans="1:6" ht="13.5" customHeight="1">
      <c r="A2123" s="4" t="s">
        <v>4927</v>
      </c>
      <c r="B2123" s="4" t="s">
        <v>4928</v>
      </c>
      <c r="C2123" s="4" t="str">
        <f ca="1">IFERROR(__xludf.DUMMYFUNCTION("GOOGLETRANSLATE(D:D,""auto"",""en"")"),"Wuhan to develop treatment programs")</f>
        <v>Wuhan to develop treatment programs</v>
      </c>
      <c r="D2123" s="5" t="s">
        <v>4929</v>
      </c>
      <c r="E2123" s="4">
        <v>320114</v>
      </c>
      <c r="F2123">
        <v>1</v>
      </c>
    </row>
    <row r="2124" spans="1:6" ht="13.5" customHeight="1">
      <c r="A2124" s="4" t="s">
        <v>4930</v>
      </c>
      <c r="B2124" s="4" t="s">
        <v>4931</v>
      </c>
      <c r="C2124" s="4" t="str">
        <f ca="1">IFERROR(__xludf.DUMMYFUNCTION("GOOGLETRANSLATE(D:D,""auto"",""en"")"),"The main force to buy masks")</f>
        <v>The main force to buy masks</v>
      </c>
      <c r="D2124" s="5" t="s">
        <v>4932</v>
      </c>
      <c r="E2124" s="4">
        <v>306481</v>
      </c>
      <c r="F2124">
        <v>1</v>
      </c>
    </row>
    <row r="2125" spans="1:6" ht="13.5" hidden="1" customHeight="1">
      <c r="A2125" s="4" t="s">
        <v>4933</v>
      </c>
      <c r="B2125" s="4" t="s">
        <v>4934</v>
      </c>
      <c r="C2125" s="4" t="str">
        <f ca="1">IFERROR(__xludf.DUMMYFUNCTION("GOOGLETRANSLATE(D:D,""auto"",""en"")"),"Zhi-long right to see the show modeling")</f>
        <v>Zhi-long right to see the show modeling</v>
      </c>
      <c r="D2125" s="5" t="s">
        <v>4935</v>
      </c>
      <c r="E2125" s="4">
        <v>295415</v>
      </c>
    </row>
    <row r="2126" spans="1:6" ht="13.5" hidden="1" customHeight="1">
      <c r="A2126" s="4" t="s">
        <v>4936</v>
      </c>
      <c r="B2126" s="4" t="s">
        <v>4937</v>
      </c>
      <c r="C2126" s="4" t="str">
        <f ca="1">IFERROR(__xludf.DUMMYFUNCTION("GOOGLETRANSLATE(D:D,""auto"",""en"")"),"New Year visiting relatives you")</f>
        <v>New Year visiting relatives you</v>
      </c>
      <c r="D2126" s="5" t="s">
        <v>4938</v>
      </c>
      <c r="E2126" s="4">
        <v>257242</v>
      </c>
    </row>
    <row r="2127" spans="1:6" ht="13.5" hidden="1" customHeight="1">
      <c r="A2127" s="4" t="s">
        <v>4730</v>
      </c>
      <c r="B2127" s="4" t="s">
        <v>4731</v>
      </c>
      <c r="C2127" s="4" t="str">
        <f ca="1">IFERROR(__xludf.DUMMYFUNCTION("GOOGLETRANSLATE(D:D,""auto"",""en"")"),"Chinese space station in orbit construction task will be kicked off")</f>
        <v>Chinese space station in orbit construction task will be kicked off</v>
      </c>
      <c r="D2127" s="5" t="s">
        <v>4732</v>
      </c>
      <c r="E2127" s="4">
        <v>254041</v>
      </c>
    </row>
    <row r="2128" spans="1:6" ht="13.5" hidden="1" customHeight="1">
      <c r="A2128" s="4" t="s">
        <v>4939</v>
      </c>
      <c r="B2128" s="4" t="s">
        <v>4940</v>
      </c>
      <c r="C2128" s="4" t="str">
        <f ca="1">IFERROR(__xludf.DUMMYFUNCTION("GOOGLETRANSLATE(D:D,""auto"",""en"")"),"ETC toll may be a reconciliation")</f>
        <v>ETC toll may be a reconciliation</v>
      </c>
      <c r="D2128" s="5" t="s">
        <v>4941</v>
      </c>
      <c r="E2128" s="4">
        <v>251229</v>
      </c>
    </row>
    <row r="2129" spans="1:6" ht="13.5" hidden="1" customHeight="1">
      <c r="A2129" s="4" t="s">
        <v>4942</v>
      </c>
      <c r="B2129" s="4" t="s">
        <v>4885</v>
      </c>
      <c r="C2129" s="4" t="str">
        <f ca="1">IFERROR(__xludf.DUMMYFUNCTION("GOOGLETRANSLATE(D:D,""auto"",""en"")"),"Dalian party changed its name to Dalian")</f>
        <v>Dalian party changed its name to Dalian</v>
      </c>
      <c r="D2129" s="5" t="s">
        <v>4943</v>
      </c>
      <c r="E2129" s="4">
        <v>246350</v>
      </c>
    </row>
    <row r="2130" spans="1:6" ht="13.5" hidden="1" customHeight="1">
      <c r="A2130" s="4" t="s">
        <v>4944</v>
      </c>
      <c r="B2130" s="4" t="s">
        <v>4945</v>
      </c>
      <c r="C2130" s="4" t="str">
        <f ca="1">IFERROR(__xludf.DUMMYFUNCTION("GOOGLETRANSLATE(D:D,""auto"",""en"")"),"Jennie peach makeup")</f>
        <v>Jennie peach makeup</v>
      </c>
      <c r="D2130" s="5" t="s">
        <v>4946</v>
      </c>
      <c r="E2130" s="4">
        <v>196280</v>
      </c>
    </row>
    <row r="2131" spans="1:6" ht="13.5" hidden="1" customHeight="1">
      <c r="A2131" s="4" t="s">
        <v>4947</v>
      </c>
      <c r="B2131" s="4" t="s">
        <v>4948</v>
      </c>
      <c r="C2131" s="4" t="str">
        <f ca="1">IFERROR(__xludf.DUMMYFUNCTION("GOOGLETRANSLATE(D:D,""auto"",""en"")"),"Jay brother later to start playing tennis")</f>
        <v>Jay brother later to start playing tennis</v>
      </c>
      <c r="D2131" s="5" t="s">
        <v>4949</v>
      </c>
      <c r="E2131" s="4">
        <v>184719</v>
      </c>
    </row>
    <row r="2132" spans="1:6" ht="13.5" hidden="1" customHeight="1">
      <c r="A2132" s="4" t="s">
        <v>4950</v>
      </c>
      <c r="B2132" s="4" t="s">
        <v>4951</v>
      </c>
      <c r="C2132" s="4" t="str">
        <f ca="1">IFERROR(__xludf.DUMMYFUNCTION("GOOGLETRANSLATE(D:D,""auto"",""en"")"),"Chinese New Year movie file into the copyright warning list")</f>
        <v>Chinese New Year movie file into the copyright warning list</v>
      </c>
      <c r="D2132" s="5" t="s">
        <v>4952</v>
      </c>
      <c r="E2132" s="4">
        <v>168507</v>
      </c>
    </row>
    <row r="2133" spans="1:6" ht="13.5" hidden="1" customHeight="1">
      <c r="A2133" s="4" t="s">
        <v>4953</v>
      </c>
      <c r="B2133" s="4" t="s">
        <v>4954</v>
      </c>
      <c r="C2133" s="4" t="str">
        <f ca="1">IFERROR(__xludf.DUMMYFUNCTION("GOOGLETRANSLATE(D:D,""auto"",""en"")"),"How contemporary students love")</f>
        <v>How contemporary students love</v>
      </c>
      <c r="D2133" s="5" t="s">
        <v>4955</v>
      </c>
      <c r="E2133" s="4">
        <v>165524</v>
      </c>
    </row>
    <row r="2134" spans="1:6" ht="13.5" hidden="1" customHeight="1">
      <c r="A2134" s="4" t="s">
        <v>4944</v>
      </c>
      <c r="B2134" s="4" t="s">
        <v>4824</v>
      </c>
      <c r="C2134" s="4" t="str">
        <f ca="1">IFERROR(__xludf.DUMMYFUNCTION("GOOGLETRANSLATE(D:D,""auto"",""en"")"),"A present Aaron")</f>
        <v>A present Aaron</v>
      </c>
      <c r="D2134" s="5" t="s">
        <v>4956</v>
      </c>
      <c r="E2134" s="4">
        <v>152410</v>
      </c>
    </row>
    <row r="2135" spans="1:6" ht="13.5" hidden="1" customHeight="1">
      <c r="A2135" s="4" t="s">
        <v>4957</v>
      </c>
      <c r="B2135" s="4" t="s">
        <v>4958</v>
      </c>
      <c r="C2135" s="4" t="str">
        <f ca="1">IFERROR(__xludf.DUMMYFUNCTION("GOOGLETRANSLATE(D:D,""auto"",""en"")"),"Australian animals frolicking in the rain")</f>
        <v>Australian animals frolicking in the rain</v>
      </c>
      <c r="D2135" s="5" t="s">
        <v>4959</v>
      </c>
      <c r="E2135" s="4">
        <v>146517</v>
      </c>
    </row>
    <row r="2136" spans="1:6" ht="13.5" hidden="1" customHeight="1">
      <c r="A2136" s="4" t="s">
        <v>4947</v>
      </c>
      <c r="B2136" s="4" t="s">
        <v>4960</v>
      </c>
      <c r="C2136" s="4" t="str">
        <f ca="1">IFERROR(__xludf.DUMMYFUNCTION("GOOGLETRANSLATE(D:D,""auto"",""en"")"),"CCTV Spring Festival for the first time making a movie version of the 2020 Spring Festival")</f>
        <v>CCTV Spring Festival for the first time making a movie version of the 2020 Spring Festival</v>
      </c>
      <c r="D2136" s="5" t="s">
        <v>4961</v>
      </c>
      <c r="E2136" s="4">
        <v>121625</v>
      </c>
    </row>
    <row r="2137" spans="1:6" ht="13.5" hidden="1" customHeight="1">
      <c r="A2137" s="4" t="s">
        <v>4944</v>
      </c>
      <c r="B2137" s="4" t="s">
        <v>4962</v>
      </c>
      <c r="C2137" s="4" t="str">
        <f ca="1">IFERROR(__xludf.DUMMYFUNCTION("GOOGLETRANSLATE(D:D,""auto"",""en"")"),"William Chan Yi Cai Guoqing and Jackson Wang Xi smelt one thousand photo")</f>
        <v>William Chan Yi Cai Guoqing and Jackson Wang Xi smelt one thousand photo</v>
      </c>
      <c r="D2137" s="5" t="s">
        <v>4963</v>
      </c>
      <c r="E2137" s="4">
        <v>118750</v>
      </c>
    </row>
    <row r="2138" spans="1:6" ht="13.5" hidden="1" customHeight="1">
      <c r="A2138" s="4" t="s">
        <v>4944</v>
      </c>
      <c r="B2138" s="4" t="s">
        <v>4964</v>
      </c>
      <c r="C2138" s="4" t="str">
        <f ca="1">IFERROR(__xludf.DUMMYFUNCTION("GOOGLETRANSLATE(D:D,""auto"",""en"")"),"Chocolate Makeup")</f>
        <v>Chocolate Makeup</v>
      </c>
      <c r="D2138" s="5" t="s">
        <v>4965</v>
      </c>
      <c r="E2138" s="4">
        <v>117823</v>
      </c>
    </row>
    <row r="2139" spans="1:6" ht="13.5" hidden="1" customHeight="1">
      <c r="A2139" s="4" t="s">
        <v>4944</v>
      </c>
      <c r="B2139" s="4" t="s">
        <v>4966</v>
      </c>
      <c r="C2139" s="4" t="str">
        <f ca="1">IFERROR(__xludf.DUMMYFUNCTION("GOOGLETRANSLATE(D:D,""auto"",""en"")"),"Your home finale dinner dishes")</f>
        <v>Your home finale dinner dishes</v>
      </c>
      <c r="D2139" s="5" t="s">
        <v>4967</v>
      </c>
      <c r="E2139" s="4">
        <v>114307</v>
      </c>
    </row>
    <row r="2140" spans="1:6" ht="13.5" hidden="1" customHeight="1">
      <c r="A2140" s="4" t="s">
        <v>4831</v>
      </c>
      <c r="B2140" s="4" t="s">
        <v>4968</v>
      </c>
      <c r="C2140" s="4" t="str">
        <f ca="1">IFERROR(__xludf.DUMMYFUNCTION("GOOGLETRANSLATE(D:D,""auto"",""en"")"),"Do not bother people back to your message")</f>
        <v>Do not bother people back to your message</v>
      </c>
      <c r="D2140" s="5" t="s">
        <v>4969</v>
      </c>
      <c r="E2140" s="4">
        <v>103798</v>
      </c>
    </row>
    <row r="2141" spans="1:6" ht="13.5" hidden="1" customHeight="1">
      <c r="A2141" s="4" t="s">
        <v>4944</v>
      </c>
      <c r="B2141" s="4" t="s">
        <v>4970</v>
      </c>
      <c r="C2141" s="4" t="str">
        <f ca="1">IFERROR(__xludf.DUMMYFUNCTION("GOOGLETRANSLATE(D:D,""auto"",""en"")"),"Flying Pig Ctrip where to go change back guarantee")</f>
        <v>Flying Pig Ctrip where to go change back guarantee</v>
      </c>
      <c r="D2141" s="5" t="s">
        <v>4971</v>
      </c>
      <c r="E2141" s="4">
        <v>100392</v>
      </c>
    </row>
    <row r="2142" spans="1:6" ht="13.5" customHeight="1">
      <c r="A2142" s="4" t="s">
        <v>4692</v>
      </c>
      <c r="B2142" s="4" t="s">
        <v>4693</v>
      </c>
      <c r="C2142" s="4" t="str">
        <f ca="1">IFERROR(__xludf.DUMMYFUNCTION("GOOGLETRANSLATE(D:D,""auto"",""en"")"),"Zhong Nanshan")</f>
        <v>Zhong Nanshan</v>
      </c>
      <c r="D2142" s="5" t="s">
        <v>4694</v>
      </c>
      <c r="E2142" s="4">
        <v>97198</v>
      </c>
      <c r="F2142">
        <v>1</v>
      </c>
    </row>
    <row r="2143" spans="1:6" ht="13.5" hidden="1" customHeight="1">
      <c r="A2143" s="4" t="s">
        <v>4972</v>
      </c>
      <c r="B2143" s="4" t="s">
        <v>4973</v>
      </c>
      <c r="C2143" s="4" t="str">
        <f ca="1">IFERROR(__xludf.DUMMYFUNCTION("GOOGLETRANSLATE(D:D,""auto"",""en"")"),"Alien dresses")</f>
        <v>Alien dresses</v>
      </c>
      <c r="D2143" s="5" t="s">
        <v>4974</v>
      </c>
      <c r="E2143" s="4">
        <v>79434</v>
      </c>
    </row>
    <row r="2144" spans="1:6" ht="13.5" hidden="1" customHeight="1">
      <c r="A2144" s="4" t="s">
        <v>4808</v>
      </c>
      <c r="B2144" s="4" t="s">
        <v>4697</v>
      </c>
      <c r="C2144" s="4" t="str">
        <f ca="1">IFERROR(__xludf.DUMMYFUNCTION("GOOGLETRANSLATE(D:D,""auto"",""en"")"),"Changsha, the first time to play with friends")</f>
        <v>Changsha, the first time to play with friends</v>
      </c>
      <c r="D2144" s="5" t="s">
        <v>4809</v>
      </c>
      <c r="E2144" s="4">
        <v>78806</v>
      </c>
    </row>
    <row r="2145" spans="1:6" ht="13.5" customHeight="1">
      <c r="A2145" s="4" t="s">
        <v>4831</v>
      </c>
      <c r="B2145" s="4" t="s">
        <v>4832</v>
      </c>
      <c r="C2145" s="4" t="str">
        <f ca="1">IFERROR(__xludf.DUMMYFUNCTION("GOOGLETRANSLATE(D:D,""auto"",""en"")"),"Read a novel coronavirus pneumonia map")</f>
        <v>Read a novel coronavirus pneumonia map</v>
      </c>
      <c r="D2145" s="5" t="s">
        <v>4833</v>
      </c>
      <c r="E2145" s="4">
        <v>74743</v>
      </c>
      <c r="F2145">
        <v>1</v>
      </c>
    </row>
    <row r="2146" spans="1:6" ht="13.5" hidden="1" customHeight="1">
      <c r="A2146" s="4" t="s">
        <v>4839</v>
      </c>
      <c r="B2146" s="4" t="s">
        <v>4840</v>
      </c>
      <c r="C2146" s="4" t="str">
        <f ca="1">IFERROR(__xludf.DUMMYFUNCTION("GOOGLETRANSLATE(D:D,""auto"",""en"")"),"Nice to feel at home when waste")</f>
        <v>Nice to feel at home when waste</v>
      </c>
      <c r="D2146" s="5" t="s">
        <v>4841</v>
      </c>
      <c r="E2146" s="4">
        <v>72355</v>
      </c>
    </row>
    <row r="2147" spans="1:6" ht="13.5" hidden="1" customHeight="1">
      <c r="A2147" s="4" t="s">
        <v>4975</v>
      </c>
      <c r="B2147" s="4" t="s">
        <v>4976</v>
      </c>
      <c r="C2147" s="4" t="str">
        <f ca="1">IFERROR(__xludf.DUMMYFUNCTION("GOOGLETRANSLATE(D:D,""auto"",""en"")"),"Chinese tourist bus rollover in New Zealand")</f>
        <v>Chinese tourist bus rollover in New Zealand</v>
      </c>
      <c r="D2147" s="5" t="s">
        <v>4977</v>
      </c>
      <c r="E2147" s="4">
        <v>69141</v>
      </c>
    </row>
    <row r="2148" spans="1:6" ht="13.5" hidden="1" customHeight="1">
      <c r="A2148" s="4" t="s">
        <v>4978</v>
      </c>
      <c r="B2148" s="4" t="s">
        <v>4979</v>
      </c>
      <c r="C2148" s="4" t="str">
        <f ca="1">IFERROR(__xludf.DUMMYFUNCTION("GOOGLETRANSLATE(D:D,""auto"",""en"")"),"Former NBA player Delongdiwei Manchester street")</f>
        <v>Former NBA player Delongdiwei Manchester street</v>
      </c>
      <c r="D2148" s="5" t="s">
        <v>4980</v>
      </c>
      <c r="E2148" s="4">
        <v>50611</v>
      </c>
    </row>
    <row r="2149" spans="1:6" ht="13.5" hidden="1" customHeight="1">
      <c r="C2149" s="4" t="str">
        <f ca="1">IFERROR(__xludf.DUMMYFUNCTION("GOOGLETRANSLATE(D:D,""auto"",""en"")"),"#VALUE!")</f>
        <v>#VALUE!</v>
      </c>
    </row>
    <row r="2150" spans="1:6" ht="13.5" customHeight="1">
      <c r="A2150" s="4" t="s">
        <v>4981</v>
      </c>
      <c r="B2150" s="4" t="s">
        <v>4982</v>
      </c>
      <c r="C2150" s="4" t="str">
        <f ca="1">IFERROR(__xludf.DUMMYFUNCTION("GOOGLETRANSLATE(D:D,""auto"",""en"")"),"New confirmed 440 cases of pneumonia 9 died")</f>
        <v>New confirmed 440 cases of pneumonia 9 died</v>
      </c>
      <c r="D2150" s="4" t="s">
        <v>4983</v>
      </c>
      <c r="E2150" s="4">
        <v>10231631</v>
      </c>
      <c r="F2150">
        <v>1</v>
      </c>
    </row>
    <row r="2151" spans="1:6" ht="13.5" customHeight="1">
      <c r="A2151" s="4" t="s">
        <v>4984</v>
      </c>
      <c r="B2151" s="4" t="s">
        <v>4985</v>
      </c>
      <c r="C2151" s="4" t="str">
        <f ca="1">IFERROR(__xludf.DUMMYFUNCTION("GOOGLETRANSLATE(D:D,""auto"",""en"")"),"The new coronavirus is a source of wild animals")</f>
        <v>The new coronavirus is a source of wild animals</v>
      </c>
      <c r="D2151" s="5" t="s">
        <v>4986</v>
      </c>
      <c r="E2151" s="4">
        <v>5678858</v>
      </c>
      <c r="F2151">
        <v>1</v>
      </c>
    </row>
    <row r="2152" spans="1:6" ht="13.5" customHeight="1">
      <c r="A2152" s="4" t="s">
        <v>4987</v>
      </c>
      <c r="B2152" s="4" t="s">
        <v>4730</v>
      </c>
      <c r="C2152" s="4" t="str">
        <f ca="1">IFERROR(__xludf.DUMMYFUNCTION("GOOGLETRANSLATE(D:D,""auto"",""en"")"),"Wuhan letter to the public friend")</f>
        <v>Wuhan letter to the public friend</v>
      </c>
      <c r="D2152" s="5" t="s">
        <v>4988</v>
      </c>
      <c r="E2152" s="4">
        <v>3613705</v>
      </c>
      <c r="F2152">
        <v>1</v>
      </c>
    </row>
    <row r="2153" spans="1:6" ht="13.5" customHeight="1">
      <c r="A2153" s="4" t="s">
        <v>4989</v>
      </c>
      <c r="B2153" s="4" t="s">
        <v>4990</v>
      </c>
      <c r="C2153" s="4" t="str">
        <f ca="1">IFERROR(__xludf.DUMMYFUNCTION("GOOGLETRANSLATE(D:D,""auto"",""en"")"),"New variants may exist pneumonia virus")</f>
        <v>New variants may exist pneumonia virus</v>
      </c>
      <c r="D2153" s="5" t="s">
        <v>4991</v>
      </c>
      <c r="E2153" s="4">
        <v>3606375</v>
      </c>
      <c r="F2153">
        <v>1</v>
      </c>
    </row>
    <row r="2154" spans="1:6" ht="13.5" hidden="1" customHeight="1">
      <c r="A2154" s="4" t="s">
        <v>4992</v>
      </c>
      <c r="B2154" s="4" t="s">
        <v>4993</v>
      </c>
      <c r="C2154" s="4" t="str">
        <f ca="1">IFERROR(__xludf.DUMMYFUNCTION("GOOGLETRANSLATE(D:D,""auto"",""en"")"),"Dilly heat nine")</f>
        <v>Dilly heat nine</v>
      </c>
      <c r="D2154" s="5" t="s">
        <v>4994</v>
      </c>
      <c r="E2154" s="4">
        <v>3023088</v>
      </c>
    </row>
    <row r="2155" spans="1:6" ht="13.5" customHeight="1">
      <c r="A2155" s="4" t="s">
        <v>4995</v>
      </c>
      <c r="B2155" s="4" t="s">
        <v>4996</v>
      </c>
      <c r="C2155" s="4" t="str">
        <f ca="1">IFERROR(__xludf.DUMMYFUNCTION("GOOGLETRANSLATE(D:D,""auto"",""en"")"),"N95 masks")</f>
        <v>N95 masks</v>
      </c>
      <c r="D2155" s="5" t="s">
        <v>4997</v>
      </c>
      <c r="E2155" s="4">
        <v>2871900</v>
      </c>
      <c r="F2155">
        <v>1</v>
      </c>
    </row>
    <row r="2156" spans="1:6" ht="13.5" customHeight="1">
      <c r="A2156" s="4" t="s">
        <v>4998</v>
      </c>
      <c r="B2156" s="4" t="s">
        <v>4999</v>
      </c>
      <c r="C2156" s="4" t="str">
        <f ca="1">IFERROR(__xludf.DUMMYFUNCTION("GOOGLETRANSLATE(D:D,""auto"",""en"")"),"State Council Information Office to respond to new pneumonia")</f>
        <v>State Council Information Office to respond to new pneumonia</v>
      </c>
      <c r="D2156" s="5" t="s">
        <v>5000</v>
      </c>
      <c r="E2156" s="4">
        <v>1999869</v>
      </c>
      <c r="F2156">
        <v>1</v>
      </c>
    </row>
    <row r="2157" spans="1:6" ht="13.5" customHeight="1">
      <c r="A2157" s="4" t="s">
        <v>5001</v>
      </c>
      <c r="B2157" s="4" t="s">
        <v>5002</v>
      </c>
      <c r="C2157" s="4" t="str">
        <f ca="1">IFERROR(__xludf.DUMMYFUNCTION("GOOGLETRANSLATE(D:D,""auto"",""en"")"),"Guangdong masks against drive up the price behavior")</f>
        <v>Guangdong masks against drive up the price behavior</v>
      </c>
      <c r="D2157" s="5" t="s">
        <v>5003</v>
      </c>
      <c r="E2157" s="4">
        <v>1587184</v>
      </c>
      <c r="F2157">
        <v>1</v>
      </c>
    </row>
    <row r="2158" spans="1:6" ht="13.5" hidden="1" customHeight="1">
      <c r="A2158" s="4" t="s">
        <v>5004</v>
      </c>
      <c r="B2158" s="4" t="s">
        <v>5005</v>
      </c>
      <c r="C2158" s="4" t="str">
        <f ca="1">IFERROR(__xludf.DUMMYFUNCTION("GOOGLETRANSLATE(D:D,""auto"",""en"")"),"Chen Sicheng quit impairment counterparts thing")</f>
        <v>Chen Sicheng quit impairment counterparts thing</v>
      </c>
      <c r="D2158" s="5" t="s">
        <v>5006</v>
      </c>
      <c r="E2158" s="4">
        <v>1532669</v>
      </c>
    </row>
    <row r="2159" spans="1:6" ht="13.5" customHeight="1">
      <c r="A2159" s="4" t="s">
        <v>5007</v>
      </c>
      <c r="B2159" s="4" t="s">
        <v>5008</v>
      </c>
      <c r="C2159" s="4" t="str">
        <f ca="1">IFERROR(__xludf.DUMMYFUNCTION("GOOGLETRANSLATE(D:D,""auto"",""en"")"),"CCTV reporter visited Wuhan isolation ward")</f>
        <v>CCTV reporter visited Wuhan isolation ward</v>
      </c>
      <c r="D2159" s="5" t="s">
        <v>5009</v>
      </c>
      <c r="E2159" s="4">
        <v>1462105</v>
      </c>
      <c r="F2159">
        <v>1</v>
      </c>
    </row>
    <row r="2160" spans="1:6" ht="13.5" customHeight="1">
      <c r="A2160" s="4" t="s">
        <v>5010</v>
      </c>
      <c r="B2160" s="4" t="s">
        <v>5011</v>
      </c>
      <c r="C2160" s="4" t="str">
        <f ca="1">IFERROR(__xludf.DUMMYFUNCTION("GOOGLETRANSLATE(D:D,""auto"",""en"")"),"Wei Jian appoint a member of the expert group is isolated")</f>
        <v>Wei Jian appoint a member of the expert group is isolated</v>
      </c>
      <c r="D2160" s="5" t="s">
        <v>5012</v>
      </c>
      <c r="E2160" s="4">
        <v>939431</v>
      </c>
      <c r="F2160">
        <v>1</v>
      </c>
    </row>
    <row r="2161" spans="1:6" ht="13.5" customHeight="1">
      <c r="A2161" s="4" t="s">
        <v>5013</v>
      </c>
      <c r="B2161" s="4" t="s">
        <v>5014</v>
      </c>
      <c r="C2161" s="4" t="str">
        <f ca="1">IFERROR(__xludf.DUMMYFUNCTION("GOOGLETRANSLATE(D:D,""auto"",""en"")"),"84-year-old Zhong Nanshan battles forefront of disease prevention")</f>
        <v>84-year-old Zhong Nanshan battles forefront of disease prevention</v>
      </c>
      <c r="D2161" s="5" t="s">
        <v>5015</v>
      </c>
      <c r="E2161" s="4">
        <v>870344</v>
      </c>
      <c r="F2161">
        <v>1</v>
      </c>
    </row>
    <row r="2162" spans="1:6" ht="13.5" customHeight="1">
      <c r="A2162" s="4" t="s">
        <v>5016</v>
      </c>
      <c r="B2162" s="4" t="s">
        <v>5017</v>
      </c>
      <c r="C2162" s="4" t="str">
        <f ca="1">IFERROR(__xludf.DUMMYFUNCTION("GOOGLETRANSLATE(D:D,""auto"",""en"")"),"Union Hospital orthopedic surgeon voluntary support")</f>
        <v>Union Hospital orthopedic surgeon voluntary support</v>
      </c>
      <c r="D2162" s="5" t="s">
        <v>5018</v>
      </c>
      <c r="E2162" s="4">
        <v>745076</v>
      </c>
      <c r="F2162">
        <v>1</v>
      </c>
    </row>
    <row r="2163" spans="1:6" ht="13.5" hidden="1" customHeight="1">
      <c r="A2163" s="4" t="s">
        <v>5019</v>
      </c>
      <c r="B2163" s="4" t="s">
        <v>5002</v>
      </c>
      <c r="C2163" s="4" t="str">
        <f ca="1">IFERROR(__xludf.DUMMYFUNCTION("GOOGLETRANSLATE(D:D,""auto"",""en"")"),"Year before last 2 days")</f>
        <v>Year before last 2 days</v>
      </c>
      <c r="D2163" s="5" t="s">
        <v>5020</v>
      </c>
      <c r="E2163" s="4">
        <v>621269</v>
      </c>
    </row>
    <row r="2164" spans="1:6" ht="13.5" customHeight="1">
      <c r="A2164" s="4" t="s">
        <v>5021</v>
      </c>
      <c r="B2164" s="4" t="s">
        <v>5022</v>
      </c>
      <c r="C2164" s="4" t="str">
        <f ca="1">IFERROR(__xludf.DUMMYFUNCTION("GOOGLETRANSLATE(D:D,""auto"",""en"")"),"Jiangxi diagnosed two cases of new cases of pneumonia")</f>
        <v>Jiangxi diagnosed two cases of new cases of pneumonia</v>
      </c>
      <c r="D2164" s="5" t="s">
        <v>5023</v>
      </c>
      <c r="E2164" s="4">
        <v>612243</v>
      </c>
      <c r="F2164">
        <v>1</v>
      </c>
    </row>
    <row r="2165" spans="1:6" ht="13.5" customHeight="1">
      <c r="A2165" s="4" t="s">
        <v>5024</v>
      </c>
      <c r="B2165" s="4" t="s">
        <v>5025</v>
      </c>
      <c r="C2165" s="4" t="str">
        <f ca="1">IFERROR(__xludf.DUMMYFUNCTION("GOOGLETRANSLATE(D:D,""auto"",""en"")"),"Wuhan Mayor responded Wan Seder")</f>
        <v>Wuhan Mayor responded Wan Seder</v>
      </c>
      <c r="D2165" s="5" t="s">
        <v>5026</v>
      </c>
      <c r="E2165" s="4">
        <v>591224</v>
      </c>
      <c r="F2165">
        <v>1</v>
      </c>
    </row>
    <row r="2166" spans="1:6" ht="13.5" customHeight="1">
      <c r="A2166" s="4" t="s">
        <v>5027</v>
      </c>
      <c r="B2166" s="4" t="s">
        <v>5028</v>
      </c>
      <c r="C2166" s="4" t="str">
        <f ca="1">IFERROR(__xludf.DUMMYFUNCTION("GOOGLETRANSLATE(D:D,""auto"",""en"")"),"All masks are not allowed Taobao prices")</f>
        <v>All masks are not allowed Taobao prices</v>
      </c>
      <c r="D2166" s="5" t="s">
        <v>5029</v>
      </c>
      <c r="E2166" s="4">
        <v>566357</v>
      </c>
      <c r="F2166">
        <v>1</v>
      </c>
    </row>
    <row r="2167" spans="1:6" ht="13.5" customHeight="1">
      <c r="A2167" s="4" t="s">
        <v>5030</v>
      </c>
      <c r="B2167" s="4" t="s">
        <v>4898</v>
      </c>
      <c r="C2167" s="4" t="str">
        <f ca="1">IFERROR(__xludf.DUMMYFUNCTION("GOOGLETRANSLATE(D:D,""auto"",""en"")"),"9 new facts about the new pneumonia")</f>
        <v>9 new facts about the new pneumonia</v>
      </c>
      <c r="D2167" s="5" t="s">
        <v>5031</v>
      </c>
      <c r="E2167" s="4">
        <v>564009</v>
      </c>
      <c r="F2167">
        <v>1</v>
      </c>
    </row>
    <row r="2168" spans="1:6" ht="13.5" hidden="1" customHeight="1">
      <c r="A2168" s="4" t="s">
        <v>5032</v>
      </c>
      <c r="B2168" s="4" t="s">
        <v>4982</v>
      </c>
      <c r="C2168" s="4" t="str">
        <f ca="1">IFERROR(__xludf.DUMMYFUNCTION("GOOGLETRANSLATE(D:D,""auto"",""en"")"),"Sent by relatives")</f>
        <v>Sent by relatives</v>
      </c>
      <c r="D2168" s="5" t="s">
        <v>5033</v>
      </c>
      <c r="E2168" s="4">
        <v>536711</v>
      </c>
    </row>
    <row r="2169" spans="1:6" ht="13.5" hidden="1" customHeight="1">
      <c r="A2169" s="4" t="s">
        <v>5034</v>
      </c>
      <c r="B2169" s="4" t="s">
        <v>5035</v>
      </c>
      <c r="C2169" s="4" t="str">
        <f ca="1">IFERROR(__xludf.DUMMYFUNCTION("GOOGLETRANSLATE(D:D,""auto"",""en"")"),"Grandmother to granddaughter pink sewing sewing")</f>
        <v>Grandmother to granddaughter pink sewing sewing</v>
      </c>
      <c r="D2169" s="5" t="s">
        <v>5036</v>
      </c>
      <c r="E2169" s="4">
        <v>513363</v>
      </c>
    </row>
    <row r="2170" spans="1:6" ht="13.5" hidden="1" customHeight="1">
      <c r="A2170" s="4" t="s">
        <v>5037</v>
      </c>
      <c r="B2170" s="4" t="s">
        <v>5038</v>
      </c>
      <c r="C2170" s="4" t="str">
        <f ca="1">IFERROR(__xludf.DUMMYFUNCTION("GOOGLETRANSLATE(D:D,""auto"",""en"")"),"Jiong Ma")</f>
        <v>Jiong Ma</v>
      </c>
      <c r="D2170" s="5" t="s">
        <v>5039</v>
      </c>
      <c r="E2170" s="4">
        <v>507365</v>
      </c>
    </row>
    <row r="2171" spans="1:6" ht="13.5" customHeight="1">
      <c r="A2171" s="4" t="s">
        <v>5040</v>
      </c>
      <c r="B2171" s="4" t="s">
        <v>5041</v>
      </c>
      <c r="C2171" s="4" t="str">
        <f ca="1">IFERROR(__xludf.DUMMYFUNCTION("GOOGLETRANSLATE(D:D,""auto"",""en"")"),"Masks business 3 times salary back to the factory to work overtime to make")</f>
        <v>Masks business 3 times salary back to the factory to work overtime to make</v>
      </c>
      <c r="D2171" s="5" t="s">
        <v>5042</v>
      </c>
      <c r="E2171" s="4">
        <v>493282</v>
      </c>
      <c r="F2171">
        <v>1</v>
      </c>
    </row>
    <row r="2172" spans="1:6" ht="13.5" hidden="1" customHeight="1">
      <c r="A2172" s="4" t="s">
        <v>5043</v>
      </c>
      <c r="B2172" s="4" t="s">
        <v>5044</v>
      </c>
      <c r="C2172" s="4" t="str">
        <f ca="1">IFERROR(__xludf.DUMMYFUNCTION("GOOGLETRANSLATE(D:D,""auto"",""en"")"),"Tornado egg board practices")</f>
        <v>Tornado egg board practices</v>
      </c>
      <c r="D2172" s="5" t="s">
        <v>5045</v>
      </c>
      <c r="E2172" s="4">
        <v>491520</v>
      </c>
    </row>
    <row r="2173" spans="1:6" ht="13.5" customHeight="1">
      <c r="A2173" s="4" t="s">
        <v>5046</v>
      </c>
      <c r="B2173" s="4" t="s">
        <v>5047</v>
      </c>
      <c r="C2173" s="4" t="str">
        <f ca="1">IFERROR(__xludf.DUMMYFUNCTION("GOOGLETRANSLATE(D:D,""auto"",""en"")"),"Changsha new cases diagnosed the first case of pneumonia")</f>
        <v>Changsha new cases diagnosed the first case of pneumonia</v>
      </c>
      <c r="D2173" s="5" t="s">
        <v>5048</v>
      </c>
      <c r="E2173" s="4">
        <v>490829</v>
      </c>
      <c r="F2173">
        <v>1</v>
      </c>
    </row>
    <row r="2174" spans="1:6" ht="13.5" customHeight="1">
      <c r="A2174" s="4" t="s">
        <v>5049</v>
      </c>
      <c r="B2174" s="4" t="s">
        <v>5008</v>
      </c>
      <c r="C2174" s="4" t="str">
        <f ca="1">IFERROR(__xludf.DUMMYFUNCTION("GOOGLETRANSLATE(D:D,""auto"",""en"")"),"Hubei new release strengthen prevention and control of pneumonia notice")</f>
        <v>Hubei new release strengthen prevention and control of pneumonia notice</v>
      </c>
      <c r="D2174" s="5" t="s">
        <v>5050</v>
      </c>
      <c r="E2174" s="4">
        <v>389450</v>
      </c>
      <c r="F2174">
        <v>1</v>
      </c>
    </row>
    <row r="2175" spans="1:6" ht="13.5" customHeight="1">
      <c r="A2175" s="4" t="s">
        <v>5051</v>
      </c>
      <c r="B2175" s="4" t="s">
        <v>5052</v>
      </c>
      <c r="C2175" s="4" t="str">
        <f ca="1">IFERROR(__xludf.DUMMYFUNCTION("GOOGLETRANSLATE(D:D,""auto"",""en"")"),"The United States confirmed the first case of new cases of pneumonia")</f>
        <v>The United States confirmed the first case of new cases of pneumonia</v>
      </c>
      <c r="D2175" s="5" t="s">
        <v>5053</v>
      </c>
      <c r="E2175" s="4">
        <v>363329</v>
      </c>
      <c r="F2175">
        <v>1</v>
      </c>
    </row>
    <row r="2176" spans="1:6" ht="13.5" customHeight="1">
      <c r="A2176" s="4" t="s">
        <v>5054</v>
      </c>
      <c r="B2176" s="4" t="s">
        <v>4831</v>
      </c>
      <c r="C2176" s="4" t="str">
        <f ca="1">IFERROR(__xludf.DUMMYFUNCTION("GOOGLETRANSLATE(D:D,""auto"",""en"")"),"Wuhan epidemic prevention and control fully upgraded")</f>
        <v>Wuhan epidemic prevention and control fully upgraded</v>
      </c>
      <c r="D2176" s="5" t="s">
        <v>5055</v>
      </c>
      <c r="E2176" s="4">
        <v>357586</v>
      </c>
      <c r="F2176">
        <v>1</v>
      </c>
    </row>
    <row r="2177" spans="1:6" ht="13.5" hidden="1" customHeight="1">
      <c r="A2177" s="4" t="s">
        <v>5056</v>
      </c>
      <c r="B2177" s="4" t="s">
        <v>5014</v>
      </c>
      <c r="C2177" s="4" t="str">
        <f ca="1">IFERROR(__xludf.DUMMYFUNCTION("GOOGLETRANSLATE(D:D,""auto"",""en"")"),"Sven yuppie glasses kill")</f>
        <v>Sven yuppie glasses kill</v>
      </c>
      <c r="D2177" s="5" t="s">
        <v>5057</v>
      </c>
      <c r="E2177" s="4">
        <v>352768</v>
      </c>
    </row>
    <row r="2178" spans="1:6" ht="13.5" hidden="1" customHeight="1">
      <c r="A2178" s="4" t="s">
        <v>5058</v>
      </c>
      <c r="B2178" s="4" t="s">
        <v>5059</v>
      </c>
      <c r="C2178" s="4" t="str">
        <f ca="1">IFERROR(__xludf.DUMMYFUNCTION("GOOGLETRANSLATE(D:D,""auto"",""en"")"),"Don explore the ultimate 3 trailer")</f>
        <v>Don explore the ultimate 3 trailer</v>
      </c>
      <c r="D2178" s="5" t="s">
        <v>5060</v>
      </c>
      <c r="E2178" s="4">
        <v>351766</v>
      </c>
    </row>
    <row r="2179" spans="1:6" ht="13.5" hidden="1" customHeight="1">
      <c r="A2179" s="4" t="s">
        <v>5061</v>
      </c>
      <c r="B2179" s="4" t="s">
        <v>5062</v>
      </c>
      <c r="C2179" s="4" t="str">
        <f ca="1">IFERROR(__xludf.DUMMYFUNCTION("GOOGLETRANSLATE(D:D,""auto"",""en"")"),"5 minutes recording the daughter of 20 years of growth")</f>
        <v>5 minutes recording the daughter of 20 years of growth</v>
      </c>
      <c r="D2179" s="5" t="s">
        <v>5063</v>
      </c>
      <c r="E2179" s="4">
        <v>347714</v>
      </c>
    </row>
    <row r="2180" spans="1:6" ht="13.5" hidden="1" customHeight="1">
      <c r="A2180" s="4" t="s">
        <v>4867</v>
      </c>
      <c r="B2180" s="4" t="s">
        <v>4868</v>
      </c>
      <c r="C2180" s="4" t="str">
        <f ca="1">IFERROR(__xludf.DUMMYFUNCTION("GOOGLETRANSLATE(D:D,""auto"",""en"")"),"Ahn Jae-hyun fat")</f>
        <v>Ahn Jae-hyun fat</v>
      </c>
      <c r="D2180" s="5" t="s">
        <v>4869</v>
      </c>
      <c r="E2180" s="4">
        <v>248525</v>
      </c>
    </row>
    <row r="2181" spans="1:6" ht="13.5" customHeight="1">
      <c r="A2181" s="4" t="s">
        <v>5064</v>
      </c>
      <c r="B2181" s="4" t="s">
        <v>4831</v>
      </c>
      <c r="C2181" s="4" t="str">
        <f ca="1">IFERROR(__xludf.DUMMYFUNCTION("GOOGLETRANSLATE(D:D,""auto"",""en"")"),"Armed medical worker")</f>
        <v>Armed medical worker</v>
      </c>
      <c r="D2181" s="5" t="s">
        <v>5065</v>
      </c>
      <c r="E2181" s="4">
        <v>211969</v>
      </c>
      <c r="F2181">
        <v>1</v>
      </c>
    </row>
    <row r="2182" spans="1:6" ht="13.5" hidden="1" customHeight="1">
      <c r="A2182" s="4" t="s">
        <v>5066</v>
      </c>
      <c r="B2182" s="4" t="s">
        <v>4944</v>
      </c>
      <c r="C2182" s="4" t="str">
        <f ca="1">IFERROR(__xludf.DUMMYFUNCTION("GOOGLETRANSLATE(D:D,""auto"",""en"")"),"Why do not you participate in reunions")</f>
        <v>Why do not you participate in reunions</v>
      </c>
      <c r="D2182" s="5" t="s">
        <v>5067</v>
      </c>
      <c r="E2182" s="4">
        <v>203464</v>
      </c>
    </row>
    <row r="2183" spans="1:6" ht="13.5" hidden="1" customHeight="1">
      <c r="A2183" s="4" t="s">
        <v>5068</v>
      </c>
      <c r="B2183" s="4" t="s">
        <v>5002</v>
      </c>
      <c r="C2183" s="4" t="str">
        <f ca="1">IFERROR(__xludf.DUMMYFUNCTION("GOOGLETRANSLATE(D:D,""auto"",""en"")"),"High school teacher wrote reviews by chemical equation")</f>
        <v>High school teacher wrote reviews by chemical equation</v>
      </c>
      <c r="D2183" s="5" t="s">
        <v>5069</v>
      </c>
      <c r="E2183" s="4">
        <v>181789</v>
      </c>
    </row>
    <row r="2184" spans="1:6" ht="13.5" hidden="1" customHeight="1">
      <c r="A2184" s="4" t="s">
        <v>4876</v>
      </c>
      <c r="B2184" s="4" t="s">
        <v>4877</v>
      </c>
      <c r="C2184" s="4" t="str">
        <f ca="1">IFERROR(__xludf.DUMMYFUNCTION("GOOGLETRANSLATE(D:D,""auto"",""en"")"),"Shen Airport modeling")</f>
        <v>Shen Airport modeling</v>
      </c>
      <c r="D2184" s="5" t="s">
        <v>4878</v>
      </c>
      <c r="E2184" s="4">
        <v>172804</v>
      </c>
    </row>
    <row r="2185" spans="1:6" ht="13.5" customHeight="1">
      <c r="A2185" s="4" t="s">
        <v>5070</v>
      </c>
      <c r="B2185" s="4" t="s">
        <v>4909</v>
      </c>
      <c r="C2185" s="4" t="str">
        <f ca="1">IFERROR(__xludf.DUMMYFUNCTION("GOOGLETRANSLATE(D:D,""auto"",""en"")"),"Temporarily no evidence has emerged super-spreaders")</f>
        <v>Temporarily no evidence has emerged super-spreaders</v>
      </c>
      <c r="D2185" s="5" t="s">
        <v>5071</v>
      </c>
      <c r="E2185" s="4">
        <v>168844</v>
      </c>
      <c r="F2185">
        <v>1</v>
      </c>
    </row>
    <row r="2186" spans="1:6" ht="13.5" hidden="1" customHeight="1">
      <c r="A2186" s="4" t="s">
        <v>5072</v>
      </c>
      <c r="B2186" s="4" t="s">
        <v>5073</v>
      </c>
      <c r="C2186" s="4" t="str">
        <f ca="1">IFERROR(__xludf.DUMMYFUNCTION("GOOGLETRANSLATE(D:D,""auto"",""en"")"),"20,000 people protest in the United States government gun ban")</f>
        <v>20,000 people protest in the United States government gun ban</v>
      </c>
      <c r="D2186" s="5" t="s">
        <v>5074</v>
      </c>
      <c r="E2186" s="4">
        <v>150356</v>
      </c>
    </row>
    <row r="2187" spans="1:6" ht="13.5" hidden="1" customHeight="1">
      <c r="A2187" s="4" t="s">
        <v>4904</v>
      </c>
      <c r="B2187" s="4" t="s">
        <v>4905</v>
      </c>
      <c r="C2187" s="4" t="str">
        <f ca="1">IFERROR(__xludf.DUMMYFUNCTION("GOOGLETRANSLATE(D:D,""auto"",""en"")"),"Women's hair length 190 cm")</f>
        <v>Women's hair length 190 cm</v>
      </c>
      <c r="D2187" s="5" t="s">
        <v>4906</v>
      </c>
      <c r="E2187" s="4">
        <v>136819</v>
      </c>
    </row>
    <row r="2188" spans="1:6" ht="13.5" hidden="1" customHeight="1">
      <c r="A2188" s="4" t="s">
        <v>4933</v>
      </c>
      <c r="B2188" s="4" t="s">
        <v>4934</v>
      </c>
      <c r="C2188" s="4" t="str">
        <f ca="1">IFERROR(__xludf.DUMMYFUNCTION("GOOGLETRANSLATE(D:D,""auto"",""en"")"),"Zhi-long right to see the show modeling")</f>
        <v>Zhi-long right to see the show modeling</v>
      </c>
      <c r="D2188" s="5" t="s">
        <v>4935</v>
      </c>
      <c r="E2188" s="4">
        <v>136445</v>
      </c>
    </row>
    <row r="2189" spans="1:6" ht="13.5" hidden="1" customHeight="1">
      <c r="A2189" s="4" t="s">
        <v>4887</v>
      </c>
      <c r="B2189" s="4" t="s">
        <v>4888</v>
      </c>
      <c r="C2189" s="4" t="str">
        <f ca="1">IFERROR(__xludf.DUMMYFUNCTION("GOOGLETRANSLATE(D:D,""auto"",""en"")"),"Ginger Star interviewed Zhang Yixing")</f>
        <v>Ginger Star interviewed Zhang Yixing</v>
      </c>
      <c r="D2189" s="5" t="s">
        <v>4889</v>
      </c>
      <c r="E2189" s="4">
        <v>111831</v>
      </c>
    </row>
    <row r="2190" spans="1:6" ht="13.5" hidden="1" customHeight="1">
      <c r="A2190" s="4" t="s">
        <v>5075</v>
      </c>
      <c r="B2190" s="4" t="s">
        <v>5076</v>
      </c>
      <c r="C2190" s="4" t="str">
        <f ca="1">IFERROR(__xludf.DUMMYFUNCTION("GOOGLETRANSLATE(D:D,""auto"",""en"")"),"How clever to New Year red envelopes")</f>
        <v>How clever to New Year red envelopes</v>
      </c>
      <c r="D2190" s="5" t="s">
        <v>5077</v>
      </c>
      <c r="E2190" s="4">
        <v>102171</v>
      </c>
    </row>
    <row r="2191" spans="1:6" ht="13.5" hidden="1" customHeight="1">
      <c r="A2191" s="4" t="s">
        <v>5078</v>
      </c>
      <c r="B2191" s="4" t="s">
        <v>5079</v>
      </c>
      <c r="C2191" s="4" t="str">
        <f ca="1">IFERROR(__xludf.DUMMYFUNCTION("GOOGLETRANSLATE(D:D,""auto"",""en"")"),"Howard dunk contest")</f>
        <v>Howard dunk contest</v>
      </c>
      <c r="D2191" s="5" t="s">
        <v>5080</v>
      </c>
      <c r="E2191" s="4">
        <v>98142</v>
      </c>
    </row>
    <row r="2192" spans="1:6" ht="13.5" hidden="1" customHeight="1">
      <c r="A2192" s="4" t="s">
        <v>4907</v>
      </c>
      <c r="B2192" s="4" t="s">
        <v>4905</v>
      </c>
      <c r="C2192" s="4" t="str">
        <f ca="1">IFERROR(__xludf.DUMMYFUNCTION("GOOGLETRANSLATE(D:D,""auto"",""en"")"),"Guangdong beat Xinjiang")</f>
        <v>Guangdong beat Xinjiang</v>
      </c>
      <c r="D2192" s="5" t="s">
        <v>4908</v>
      </c>
      <c r="E2192" s="4">
        <v>94178</v>
      </c>
    </row>
    <row r="2193" spans="1:6" ht="13.5" customHeight="1">
      <c r="A2193" s="4" t="s">
        <v>4884</v>
      </c>
      <c r="B2193" s="4" t="s">
        <v>4885</v>
      </c>
      <c r="C2193" s="4" t="str">
        <f ca="1">IFERROR(__xludf.DUMMYFUNCTION("GOOGLETRANSLATE(D:D,""auto"",""en"")"),"The new Wuhan treatment of patients with pneumonia by the government foot the bill")</f>
        <v>The new Wuhan treatment of patients with pneumonia by the government foot the bill</v>
      </c>
      <c r="D2193" s="5" t="s">
        <v>4886</v>
      </c>
      <c r="E2193" s="4">
        <v>90447</v>
      </c>
      <c r="F2193">
        <v>1</v>
      </c>
    </row>
    <row r="2194" spans="1:6" ht="13.5" hidden="1" customHeight="1">
      <c r="A2194" s="4" t="s">
        <v>4884</v>
      </c>
      <c r="B2194" s="4" t="s">
        <v>4944</v>
      </c>
      <c r="C2194" s="4" t="str">
        <f ca="1">IFERROR(__xludf.DUMMYFUNCTION("GOOGLETRANSLATE(D:D,""auto"",""en"")"),"Happy New Year Tips")</f>
        <v>Happy New Year Tips</v>
      </c>
      <c r="D2194" s="5" t="s">
        <v>5081</v>
      </c>
      <c r="E2194" s="4">
        <v>87461</v>
      </c>
    </row>
    <row r="2195" spans="1:6" ht="13.5" hidden="1" customHeight="1">
      <c r="A2195" s="4" t="s">
        <v>5082</v>
      </c>
      <c r="B2195" s="4" t="s">
        <v>5083</v>
      </c>
      <c r="C2195" s="4" t="str">
        <f ca="1">IFERROR(__xludf.DUMMYFUNCTION("GOOGLETRANSLATE(D:D,""auto"",""en"")"),"Song Yin handsome")</f>
        <v>Song Yin handsome</v>
      </c>
      <c r="D2195" s="5" t="s">
        <v>5084</v>
      </c>
      <c r="E2195" s="4">
        <v>82867</v>
      </c>
    </row>
    <row r="2196" spans="1:6" ht="13.5" hidden="1" customHeight="1">
      <c r="A2196" s="4" t="s">
        <v>4890</v>
      </c>
      <c r="B2196" s="4" t="s">
        <v>4871</v>
      </c>
      <c r="C2196" s="4" t="str">
        <f ca="1">IFERROR(__xludf.DUMMYFUNCTION("GOOGLETRANSLATE(D:D,""auto"",""en"")"),"Evaluation of patients to doctors Tao Yong")</f>
        <v>Evaluation of patients to doctors Tao Yong</v>
      </c>
      <c r="D2196" s="5" t="s">
        <v>4891</v>
      </c>
      <c r="E2196" s="4">
        <v>77395</v>
      </c>
    </row>
    <row r="2197" spans="1:6" ht="13.5" hidden="1" customHeight="1">
      <c r="A2197" s="4" t="s">
        <v>5085</v>
      </c>
      <c r="B2197" s="4" t="s">
        <v>5086</v>
      </c>
      <c r="C2197" s="4" t="str">
        <f ca="1">IFERROR(__xludf.DUMMYFUNCTION("GOOGLETRANSLATE(D:D,""auto"",""en"")"),"Reduce the number of Japanese convenience stores for the first time")</f>
        <v>Reduce the number of Japanese convenience stores for the first time</v>
      </c>
      <c r="D2197" s="5" t="s">
        <v>5087</v>
      </c>
      <c r="E2197" s="4">
        <v>72839</v>
      </c>
    </row>
    <row r="2198" spans="1:6" ht="13.5" hidden="1" customHeight="1">
      <c r="C2198" s="4" t="str">
        <f ca="1">IFERROR(__xludf.DUMMYFUNCTION("GOOGLETRANSLATE(D:D,""auto"",""en"")"),"#VALUE!")</f>
        <v>#VALUE!</v>
      </c>
    </row>
    <row r="2199" spans="1:6" ht="13.5" customHeight="1">
      <c r="A2199" s="4" t="s">
        <v>5088</v>
      </c>
      <c r="B2199" s="4" t="s">
        <v>5089</v>
      </c>
      <c r="C2199" s="4" t="str">
        <f ca="1">IFERROR(__xludf.DUMMYFUNCTION("GOOGLETRANSLATE(D:D,""auto"",""en"")"),"New pneumonia has caused 17 deaths in Hubei")</f>
        <v>New pneumonia has caused 17 deaths in Hubei</v>
      </c>
      <c r="D2199" s="4" t="s">
        <v>5090</v>
      </c>
      <c r="E2199" s="4">
        <v>8644255</v>
      </c>
      <c r="F2199">
        <v>1</v>
      </c>
    </row>
    <row r="2200" spans="1:6" ht="13.5" customHeight="1">
      <c r="A2200" s="4" t="s">
        <v>5091</v>
      </c>
      <c r="B2200" s="4" t="s">
        <v>5092</v>
      </c>
      <c r="C2200" s="4" t="str">
        <f ca="1">IFERROR(__xludf.DUMMYFUNCTION("GOOGLETRANSLATE(D:D,""auto"",""en"")"),"Wuhan asked the city to wear masks in public places")</f>
        <v>Wuhan asked the city to wear masks in public places</v>
      </c>
      <c r="D2200" s="5" t="s">
        <v>5093</v>
      </c>
      <c r="E2200" s="4">
        <v>3825252</v>
      </c>
      <c r="F2200">
        <v>1</v>
      </c>
    </row>
    <row r="2201" spans="1:6" ht="13.5" customHeight="1">
      <c r="A2201" s="4" t="s">
        <v>5094</v>
      </c>
      <c r="B2201" s="4" t="s">
        <v>5095</v>
      </c>
      <c r="C2201" s="4" t="str">
        <f ca="1">IFERROR(__xludf.DUMMYFUNCTION("GOOGLETRANSLATE(D:D,""auto"",""en"")"),"China confirmed new cases of pneumonia")</f>
        <v>China confirmed new cases of pneumonia</v>
      </c>
      <c r="D2201" s="5" t="s">
        <v>5096</v>
      </c>
      <c r="E2201" s="4">
        <v>3612854</v>
      </c>
      <c r="F2201">
        <v>1</v>
      </c>
    </row>
    <row r="2202" spans="1:6" ht="13.5" customHeight="1">
      <c r="A2202" s="4" t="s">
        <v>5097</v>
      </c>
      <c r="B2202" s="4" t="s">
        <v>5098</v>
      </c>
      <c r="C2202" s="4" t="str">
        <f ca="1">IFERROR(__xludf.DUMMYFUNCTION("GOOGLETRANSLATE(D:D,""auto"",""en"")"),"After the diagnosis of patients at their own expense reimbursed in part by financial assistance")</f>
        <v>After the diagnosis of patients at their own expense reimbursed in part by financial assistance</v>
      </c>
      <c r="D2202" s="5" t="s">
        <v>5099</v>
      </c>
      <c r="E2202" s="4">
        <v>1704159</v>
      </c>
      <c r="F2202">
        <v>1</v>
      </c>
    </row>
    <row r="2203" spans="1:6" ht="13.5" customHeight="1">
      <c r="A2203" s="4" t="s">
        <v>5100</v>
      </c>
      <c r="B2203" s="4" t="s">
        <v>5101</v>
      </c>
      <c r="C2203" s="4" t="str">
        <f ca="1">IFERROR(__xludf.DUMMYFUNCTION("GOOGLETRANSLATE(D:D,""auto"",""en"")"),"The new coronavirus is not afraid of high temperature alcohol")</f>
        <v>The new coronavirus is not afraid of high temperature alcohol</v>
      </c>
      <c r="D2203" s="5" t="s">
        <v>5102</v>
      </c>
      <c r="E2203" s="4">
        <v>1652722</v>
      </c>
      <c r="F2203">
        <v>1</v>
      </c>
    </row>
    <row r="2204" spans="1:6" ht="13.5" customHeight="1">
      <c r="A2204" s="4" t="s">
        <v>5103</v>
      </c>
      <c r="B2204" s="4" t="s">
        <v>5104</v>
      </c>
      <c r="C2204" s="4" t="str">
        <f ca="1">IFERROR(__xludf.DUMMYFUNCTION("GOOGLETRANSLATE(D:D,""auto"",""en"")"),"Wuhan city vehicles and personnel entering and leaving the implementation of the outbreak investigation")</f>
        <v>Wuhan city vehicles and personnel entering and leaving the implementation of the outbreak investigation</v>
      </c>
      <c r="D2204" s="5" t="s">
        <v>5105</v>
      </c>
      <c r="E2204" s="4">
        <v>1161035</v>
      </c>
      <c r="F2204">
        <v>1</v>
      </c>
    </row>
    <row r="2205" spans="1:6" ht="13.5" customHeight="1">
      <c r="A2205" s="4" t="s">
        <v>4713</v>
      </c>
      <c r="B2205" s="4" t="s">
        <v>5104</v>
      </c>
      <c r="C2205" s="4" t="str">
        <f ca="1">IFERROR(__xludf.DUMMYFUNCTION("GOOGLETRANSLATE(D:D,""auto"",""en"")"),"Ministry of Emergency Coordination mask production")</f>
        <v>Ministry of Emergency Coordination mask production</v>
      </c>
      <c r="D2205" s="5" t="s">
        <v>5106</v>
      </c>
      <c r="E2205" s="4">
        <v>1116730</v>
      </c>
      <c r="F2205">
        <v>1</v>
      </c>
    </row>
    <row r="2206" spans="1:6" ht="13.5" hidden="1" customHeight="1">
      <c r="A2206" s="4" t="s">
        <v>5107</v>
      </c>
      <c r="B2206" s="4" t="s">
        <v>5108</v>
      </c>
      <c r="C2206" s="4" t="str">
        <f ca="1">IFERROR(__xludf.DUMMYFUNCTION("GOOGLETRANSLATE(D:D,""auto"",""en"")"),"Sansei III pillow book")</f>
        <v>Sansei III pillow book</v>
      </c>
      <c r="D2206" s="5" t="s">
        <v>5109</v>
      </c>
      <c r="E2206" s="4">
        <v>1039221</v>
      </c>
    </row>
    <row r="2207" spans="1:6" ht="13.5" customHeight="1">
      <c r="A2207" s="4" t="s">
        <v>5110</v>
      </c>
      <c r="B2207" s="4" t="s">
        <v>5032</v>
      </c>
      <c r="C2207" s="4" t="str">
        <f ca="1">IFERROR(__xludf.DUMMYFUNCTION("GOOGLETRANSLATE(D:D,""auto"",""en"")"),"Wuhan Department of Education to respond to primary and secondary school could schedule")</f>
        <v>Wuhan Department of Education to respond to primary and secondary school could schedule</v>
      </c>
      <c r="D2207" s="5" t="s">
        <v>5111</v>
      </c>
      <c r="E2207" s="4">
        <v>735412</v>
      </c>
      <c r="F2207">
        <v>1</v>
      </c>
    </row>
    <row r="2208" spans="1:6" ht="13.5" customHeight="1">
      <c r="A2208" s="4" t="s">
        <v>4998</v>
      </c>
      <c r="B2208" s="4" t="s">
        <v>5112</v>
      </c>
      <c r="C2208" s="4" t="str">
        <f ca="1">IFERROR(__xludf.DUMMYFUNCTION("GOOGLETRANSLATE(D:D,""auto"",""en"")"),"Guangxi diagnosed two cases of new cases of pneumonia")</f>
        <v>Guangxi diagnosed two cases of new cases of pneumonia</v>
      </c>
      <c r="D2208" s="5" t="s">
        <v>5113</v>
      </c>
      <c r="E2208" s="4">
        <v>661721</v>
      </c>
      <c r="F2208">
        <v>1</v>
      </c>
    </row>
    <row r="2209" spans="1:6" ht="13.5" customHeight="1">
      <c r="A2209" s="4" t="s">
        <v>5114</v>
      </c>
      <c r="B2209" s="4" t="s">
        <v>5115</v>
      </c>
      <c r="C2209" s="4" t="str">
        <f ca="1">IFERROR(__xludf.DUMMYFUNCTION("GOOGLETRANSLATE(D:D,""auto"",""en"")"),"Experts New fast pneumonia treatment guidelines")</f>
        <v>Experts New fast pneumonia treatment guidelines</v>
      </c>
      <c r="D2209" s="5" t="s">
        <v>5116</v>
      </c>
      <c r="E2209" s="4">
        <v>585319</v>
      </c>
      <c r="F2209">
        <v>1</v>
      </c>
    </row>
    <row r="2210" spans="1:6" ht="13.5" customHeight="1">
      <c r="A2210" s="4" t="s">
        <v>5117</v>
      </c>
      <c r="B2210" s="4" t="s">
        <v>5078</v>
      </c>
      <c r="C2210" s="4" t="str">
        <f ca="1">IFERROR(__xludf.DUMMYFUNCTION("GOOGLETRANSLATE(D:D,""auto"",""en"")"),"Doctors Wuhan friends circle")</f>
        <v>Doctors Wuhan friends circle</v>
      </c>
      <c r="D2210" s="5" t="s">
        <v>5118</v>
      </c>
      <c r="E2210" s="4">
        <v>488447</v>
      </c>
      <c r="F2210">
        <v>1</v>
      </c>
    </row>
    <row r="2211" spans="1:6" ht="13.5" customHeight="1">
      <c r="A2211" s="4" t="s">
        <v>5119</v>
      </c>
      <c r="B2211" s="4" t="s">
        <v>5120</v>
      </c>
      <c r="C2211" s="4" t="str">
        <f ca="1">IFERROR(__xludf.DUMMYFUNCTION("GOOGLETRANSLATE(D:D,""auto"",""en"")"),"Three departments to combat illegal wildlife trade")</f>
        <v>Three departments to combat illegal wildlife trade</v>
      </c>
      <c r="D2211" s="5" t="s">
        <v>5121</v>
      </c>
      <c r="E2211" s="4">
        <v>487758</v>
      </c>
      <c r="F2211">
        <v>1</v>
      </c>
    </row>
    <row r="2212" spans="1:6" ht="13.5" customHeight="1">
      <c r="A2212" s="4" t="s">
        <v>5122</v>
      </c>
      <c r="B2212" s="4" t="s">
        <v>5054</v>
      </c>
      <c r="C2212" s="4" t="str">
        <f ca="1">IFERROR(__xludf.DUMMYFUNCTION("GOOGLETRANSLATE(D:D,""auto"",""en"")"),"World Health Organization experts to inspect Wuhan")</f>
        <v>World Health Organization experts to inspect Wuhan</v>
      </c>
      <c r="D2212" s="5" t="s">
        <v>5123</v>
      </c>
      <c r="E2212" s="4">
        <v>486768</v>
      </c>
      <c r="F2212">
        <v>1</v>
      </c>
    </row>
    <row r="2213" spans="1:6" ht="13.5" hidden="1" customHeight="1">
      <c r="A2213" s="4" t="s">
        <v>5124</v>
      </c>
      <c r="B2213" s="4" t="s">
        <v>5125</v>
      </c>
      <c r="C2213" s="4" t="str">
        <f ca="1">IFERROR(__xludf.DUMMYFUNCTION("GOOGLETRANSLATE(D:D,""auto"",""en"")"),"Shanghai Disneyland adjust ticketing policies")</f>
        <v>Shanghai Disneyland adjust ticketing policies</v>
      </c>
      <c r="D2213" s="5" t="s">
        <v>5126</v>
      </c>
      <c r="E2213" s="4">
        <v>485410</v>
      </c>
    </row>
    <row r="2214" spans="1:6" ht="13.5" customHeight="1">
      <c r="A2214" s="4" t="s">
        <v>5127</v>
      </c>
      <c r="B2214" s="4" t="s">
        <v>5128</v>
      </c>
      <c r="C2214" s="4" t="str">
        <f ca="1">IFERROR(__xludf.DUMMYFUNCTION("GOOGLETRANSLATE(D:D,""auto"",""en"")"),"US outbreak of influenza B")</f>
        <v>US outbreak of influenza B</v>
      </c>
      <c r="D2214" s="5" t="s">
        <v>5129</v>
      </c>
      <c r="E2214" s="4">
        <v>482620</v>
      </c>
      <c r="F2214">
        <v>1</v>
      </c>
    </row>
    <row r="2215" spans="1:6" ht="13.5" hidden="1" customHeight="1">
      <c r="A2215" s="4" t="s">
        <v>5130</v>
      </c>
      <c r="B2215" s="4" t="s">
        <v>5128</v>
      </c>
      <c r="C2215" s="4" t="str">
        <f ca="1">IFERROR(__xludf.DUMMYFUNCTION("GOOGLETRANSLATE(D:D,""auto"",""en"")"),"Masahiro Higashide admitted derailed")</f>
        <v>Masahiro Higashide admitted derailed</v>
      </c>
      <c r="D2215" s="5" t="s">
        <v>5131</v>
      </c>
      <c r="E2215" s="4">
        <v>482234</v>
      </c>
    </row>
    <row r="2216" spans="1:6" ht="13.5" customHeight="1">
      <c r="A2216" s="4" t="s">
        <v>5132</v>
      </c>
      <c r="B2216" s="4" t="s">
        <v>5133</v>
      </c>
      <c r="C2216" s="4" t="str">
        <f ca="1">IFERROR(__xludf.DUMMYFUNCTION("GOOGLETRANSLATE(D:D,""auto"",""en"")"),"bat")</f>
        <v>bat</v>
      </c>
      <c r="D2216" s="5" t="s">
        <v>5134</v>
      </c>
      <c r="E2216" s="4">
        <v>479981</v>
      </c>
      <c r="F2216">
        <v>1</v>
      </c>
    </row>
    <row r="2217" spans="1:6" ht="13.5" customHeight="1">
      <c r="A2217" s="4" t="s">
        <v>5135</v>
      </c>
      <c r="B2217" s="4" t="s">
        <v>5136</v>
      </c>
      <c r="C2217" s="4" t="str">
        <f ca="1">IFERROR(__xludf.DUMMYFUNCTION("GOOGLETRANSLATE(D:D,""auto"",""en"")"),"Epidemic Map")</f>
        <v>Epidemic Map</v>
      </c>
      <c r="D2217" s="5" t="s">
        <v>5137</v>
      </c>
      <c r="E2217" s="4">
        <v>479133</v>
      </c>
      <c r="F2217">
        <v>1</v>
      </c>
    </row>
    <row r="2218" spans="1:6" ht="13.5" customHeight="1">
      <c r="A2218" s="4" t="s">
        <v>5138</v>
      </c>
      <c r="B2218" s="4" t="s">
        <v>5139</v>
      </c>
      <c r="C2218" s="4" t="str">
        <f ca="1">IFERROR(__xludf.DUMMYFUNCTION("GOOGLETRANSLATE(D:D,""auto"",""en"")"),"The new code of practice to prevent pneumonia 48 words")</f>
        <v>The new code of practice to prevent pneumonia 48 words</v>
      </c>
      <c r="D2218" s="5" t="s">
        <v>5140</v>
      </c>
      <c r="E2218" s="4">
        <v>477802</v>
      </c>
      <c r="F2218">
        <v>1</v>
      </c>
    </row>
    <row r="2219" spans="1:6" ht="13.5" customHeight="1">
      <c r="A2219" s="4" t="s">
        <v>5141</v>
      </c>
      <c r="B2219" s="4" t="s">
        <v>5120</v>
      </c>
      <c r="C2219" s="4" t="str">
        <f ca="1">IFERROR(__xludf.DUMMYFUNCTION("GOOGLETRANSLATE(D:D,""auto"",""en"")"),"Game pneumonia")</f>
        <v>Game pneumonia</v>
      </c>
      <c r="D2219" s="5" t="s">
        <v>5142</v>
      </c>
      <c r="E2219" s="4">
        <v>476179</v>
      </c>
      <c r="F2219">
        <v>1</v>
      </c>
    </row>
    <row r="2220" spans="1:6" ht="13.5" customHeight="1">
      <c r="A2220" s="4" t="s">
        <v>4692</v>
      </c>
      <c r="B2220" s="4" t="s">
        <v>4693</v>
      </c>
      <c r="C2220" s="4" t="str">
        <f ca="1">IFERROR(__xludf.DUMMYFUNCTION("GOOGLETRANSLATE(D:D,""auto"",""en"")"),"Zhong Nanshan")</f>
        <v>Zhong Nanshan</v>
      </c>
      <c r="D2220" s="5" t="s">
        <v>4694</v>
      </c>
      <c r="E2220" s="4">
        <v>474636</v>
      </c>
      <c r="F2220">
        <v>1</v>
      </c>
    </row>
    <row r="2221" spans="1:6" ht="13.5" hidden="1" customHeight="1">
      <c r="A2221" s="4" t="s">
        <v>5143</v>
      </c>
      <c r="B2221" s="4" t="s">
        <v>5144</v>
      </c>
      <c r="C2221" s="4" t="str">
        <f ca="1">IFERROR(__xludf.DUMMYFUNCTION("GOOGLETRANSLATE(D:D,""auto"",""en"")"),"Phoenix nine too cute")</f>
        <v>Phoenix nine too cute</v>
      </c>
      <c r="D2221" s="5" t="s">
        <v>5145</v>
      </c>
      <c r="E2221" s="4">
        <v>473159</v>
      </c>
    </row>
    <row r="2222" spans="1:6" ht="13.5" hidden="1" customHeight="1">
      <c r="A2222" s="4" t="s">
        <v>5146</v>
      </c>
      <c r="B2222" s="4" t="s">
        <v>5144</v>
      </c>
      <c r="C2222" s="4" t="str">
        <f ca="1">IFERROR(__xludf.DUMMYFUNCTION("GOOGLETRANSLATE(D:D,""auto"",""en"")"),"Young people fear things")</f>
        <v>Young people fear things</v>
      </c>
      <c r="D2222" s="5" t="s">
        <v>5147</v>
      </c>
      <c r="E2222" s="4">
        <v>472226</v>
      </c>
    </row>
    <row r="2223" spans="1:6" ht="13.5" hidden="1" customHeight="1">
      <c r="A2223" s="4" t="s">
        <v>5148</v>
      </c>
      <c r="B2223" s="4" t="s">
        <v>5149</v>
      </c>
      <c r="C2223" s="4" t="str">
        <f ca="1">IFERROR(__xludf.DUMMYFUNCTION("GOOGLETRANSLATE(D:D,""auto"",""en"")"),"Lee is now red velvet suit")</f>
        <v>Lee is now red velvet suit</v>
      </c>
      <c r="D2223" s="5" t="s">
        <v>5150</v>
      </c>
      <c r="E2223" s="4">
        <v>457307</v>
      </c>
    </row>
    <row r="2224" spans="1:6" ht="13.5" hidden="1" customHeight="1">
      <c r="A2224" s="4" t="s">
        <v>5151</v>
      </c>
      <c r="B2224" s="4" t="s">
        <v>5152</v>
      </c>
      <c r="C2224" s="4" t="str">
        <f ca="1">IFERROR(__xludf.DUMMYFUNCTION("GOOGLETRANSLATE(D:D,""auto"",""en"")"),"Modern young people want to live")</f>
        <v>Modern young people want to live</v>
      </c>
      <c r="D2224" s="5" t="s">
        <v>5153</v>
      </c>
      <c r="E2224" s="4">
        <v>441164</v>
      </c>
    </row>
    <row r="2225" spans="1:6" ht="13.5" hidden="1" customHeight="1">
      <c r="A2225" s="4" t="s">
        <v>5154</v>
      </c>
      <c r="B2225" s="4" t="s">
        <v>5155</v>
      </c>
      <c r="C2225" s="4" t="str">
        <f ca="1">IFERROR(__xludf.DUMMYFUNCTION("GOOGLETRANSLATE(D:D,""auto"",""en"")"),"Year-end awards one person, one pig")</f>
        <v>Year-end awards one person, one pig</v>
      </c>
      <c r="D2225" s="5" t="s">
        <v>5156</v>
      </c>
      <c r="E2225" s="4">
        <v>432905</v>
      </c>
    </row>
    <row r="2226" spans="1:6" ht="13.5" customHeight="1">
      <c r="A2226" s="4" t="s">
        <v>5157</v>
      </c>
      <c r="B2226" s="4" t="s">
        <v>5158</v>
      </c>
      <c r="C2226" s="4" t="str">
        <f ca="1">IFERROR(__xludf.DUMMYFUNCTION("GOOGLETRANSLATE(D:D,""auto"",""en"")"),"How to persuade parents to wear masks")</f>
        <v>How to persuade parents to wear masks</v>
      </c>
      <c r="D2226" s="5" t="s">
        <v>5159</v>
      </c>
      <c r="E2226" s="4">
        <v>424471</v>
      </c>
      <c r="F2226">
        <v>1</v>
      </c>
    </row>
    <row r="2227" spans="1:6" ht="13.5" hidden="1" customHeight="1">
      <c r="A2227" s="4" t="s">
        <v>5160</v>
      </c>
      <c r="B2227" s="4" t="s">
        <v>5161</v>
      </c>
      <c r="C2227" s="4" t="str">
        <f ca="1">IFERROR(__xludf.DUMMYFUNCTION("GOOGLETRANSLATE(D:D,""auto"",""en"")"),"La Chapelle year 4400 closed shop")</f>
        <v>La Chapelle year 4400 closed shop</v>
      </c>
      <c r="D2227" s="5" t="s">
        <v>5162</v>
      </c>
      <c r="E2227" s="4">
        <v>393666</v>
      </c>
    </row>
    <row r="2228" spans="1:6" ht="13.5" hidden="1" customHeight="1">
      <c r="A2228" s="4" t="s">
        <v>5163</v>
      </c>
      <c r="B2228" s="4" t="s">
        <v>5164</v>
      </c>
      <c r="C2228" s="4" t="str">
        <f ca="1">IFERROR(__xludf.DUMMYFUNCTION("GOOGLETRANSLATE(D:D,""auto"",""en"")"),"Bai Yu live")</f>
        <v>Bai Yu live</v>
      </c>
      <c r="D2228" s="5" t="s">
        <v>5165</v>
      </c>
      <c r="E2228" s="4">
        <v>327811</v>
      </c>
    </row>
    <row r="2229" spans="1:6" ht="13.5" customHeight="1">
      <c r="A2229" s="4" t="s">
        <v>5166</v>
      </c>
      <c r="B2229" s="4" t="s">
        <v>5167</v>
      </c>
      <c r="C2229" s="4" t="str">
        <f ca="1">IFERROR(__xludf.DUMMYFUNCTION("GOOGLETRANSLATE(D:D,""auto"",""en"")"),"Hubei intends to request emergency assistance masks and other medical supplies")</f>
        <v>Hubei intends to request emergency assistance masks and other medical supplies</v>
      </c>
      <c r="D2229" s="5" t="s">
        <v>5168</v>
      </c>
      <c r="E2229" s="4">
        <v>316867</v>
      </c>
      <c r="F2229">
        <v>1</v>
      </c>
    </row>
    <row r="2230" spans="1:6" ht="13.5" customHeight="1">
      <c r="A2230" s="4" t="s">
        <v>4713</v>
      </c>
      <c r="B2230" s="4" t="s">
        <v>4714</v>
      </c>
      <c r="C2230" s="4" t="str">
        <f ca="1">IFERROR(__xludf.DUMMYFUNCTION("GOOGLETRANSLATE(D:D,""auto"",""en"")"),"Medical surgical mask")</f>
        <v>Medical surgical mask</v>
      </c>
      <c r="D2230" s="5" t="s">
        <v>4715</v>
      </c>
      <c r="E2230" s="4">
        <v>241518</v>
      </c>
      <c r="F2230">
        <v>1</v>
      </c>
    </row>
    <row r="2231" spans="1:6" ht="13.5" hidden="1" customHeight="1">
      <c r="A2231" s="4" t="s">
        <v>5169</v>
      </c>
      <c r="B2231" s="4" t="s">
        <v>5170</v>
      </c>
      <c r="C2231" s="4" t="str">
        <f ca="1">IFERROR(__xludf.DUMMYFUNCTION("GOOGLETRANSLATE(D:D,""auto"",""en"")"),"Xiao Zhan Xie Na fit the show backstage")</f>
        <v>Xiao Zhan Xie Na fit the show backstage</v>
      </c>
      <c r="D2231" s="5" t="s">
        <v>5171</v>
      </c>
      <c r="E2231" s="4">
        <v>233503</v>
      </c>
    </row>
    <row r="2232" spans="1:6" ht="13.5" customHeight="1">
      <c r="A2232" s="4" t="s">
        <v>5172</v>
      </c>
      <c r="B2232" s="4" t="s">
        <v>5173</v>
      </c>
      <c r="C2232" s="4" t="str">
        <f ca="1">IFERROR(__xludf.DUMMYFUNCTION("GOOGLETRANSLATE(D:D,""auto"",""en"")"),"Young children are not susceptible to the virus")</f>
        <v>Young children are not susceptible to the virus</v>
      </c>
      <c r="D2232" s="5" t="s">
        <v>5174</v>
      </c>
      <c r="E2232" s="4">
        <v>216880</v>
      </c>
      <c r="F2232">
        <v>1</v>
      </c>
    </row>
    <row r="2233" spans="1:6" ht="13.5" hidden="1" customHeight="1">
      <c r="A2233" s="4" t="s">
        <v>5175</v>
      </c>
      <c r="B2233" s="4" t="s">
        <v>5176</v>
      </c>
      <c r="C2233" s="4" t="str">
        <f ca="1">IFERROR(__xludf.DUMMYFUNCTION("GOOGLETRANSLATE(D:D,""auto"",""en"")"),"When the show performed")</f>
        <v>When the show performed</v>
      </c>
      <c r="D2233" s="5" t="s">
        <v>5177</v>
      </c>
      <c r="E2233" s="4">
        <v>211888</v>
      </c>
    </row>
    <row r="2234" spans="1:6" ht="13.5" hidden="1" customHeight="1">
      <c r="A2234" s="4" t="s">
        <v>5178</v>
      </c>
      <c r="B2234" s="4" t="s">
        <v>5179</v>
      </c>
      <c r="C2234" s="4" t="str">
        <f ca="1">IFERROR(__xludf.DUMMYFUNCTION("GOOGLETRANSLATE(D:D,""auto"",""en"")"),"There is no soul firecrackers")</f>
        <v>There is no soul firecrackers</v>
      </c>
      <c r="D2234" s="5" t="s">
        <v>5180</v>
      </c>
      <c r="E2234" s="4">
        <v>208476</v>
      </c>
    </row>
    <row r="2235" spans="1:6" ht="13.5" customHeight="1">
      <c r="A2235" s="4" t="s">
        <v>5024</v>
      </c>
      <c r="B2235" s="4" t="s">
        <v>5025</v>
      </c>
      <c r="C2235" s="4" t="str">
        <f ca="1">IFERROR(__xludf.DUMMYFUNCTION("GOOGLETRANSLATE(D:D,""auto"",""en"")"),"Wuhan Mayor responded Wan Seder")</f>
        <v>Wuhan Mayor responded Wan Seder</v>
      </c>
      <c r="D2235" s="5" t="s">
        <v>5026</v>
      </c>
      <c r="E2235" s="4">
        <v>205422</v>
      </c>
      <c r="F2235">
        <v>1</v>
      </c>
    </row>
    <row r="2236" spans="1:6" ht="13.5" customHeight="1">
      <c r="A2236" s="4" t="s">
        <v>4998</v>
      </c>
      <c r="B2236" s="4" t="s">
        <v>5181</v>
      </c>
      <c r="C2236" s="4" t="str">
        <f ca="1">IFERROR(__xludf.DUMMYFUNCTION("GOOGLETRANSLATE(D:D,""auto"",""en"")"),"Masks Avatar")</f>
        <v>Masks Avatar</v>
      </c>
      <c r="D2236" s="5" t="s">
        <v>5182</v>
      </c>
      <c r="E2236" s="4">
        <v>190701</v>
      </c>
      <c r="F2236">
        <v>1</v>
      </c>
    </row>
    <row r="2237" spans="1:6" ht="13.5" hidden="1" customHeight="1">
      <c r="A2237" s="4" t="s">
        <v>5183</v>
      </c>
      <c r="B2237" s="4" t="s">
        <v>5184</v>
      </c>
      <c r="C2237" s="4" t="str">
        <f ca="1">IFERROR(__xludf.DUMMYFUNCTION("GOOGLETRANSLATE(D:D,""auto"",""en"")"),"Hali Mei root souvenirs are clearance sale")</f>
        <v>Hali Mei root souvenirs are clearance sale</v>
      </c>
      <c r="D2237" s="5" t="s">
        <v>5185</v>
      </c>
      <c r="E2237" s="4">
        <v>175310</v>
      </c>
    </row>
    <row r="2238" spans="1:6" ht="13.5" hidden="1" customHeight="1">
      <c r="A2238" s="4" t="s">
        <v>5186</v>
      </c>
      <c r="B2238" s="4" t="s">
        <v>5136</v>
      </c>
      <c r="C2238" s="4" t="str">
        <f ca="1">IFERROR(__xludf.DUMMYFUNCTION("GOOGLETRANSLATE(D:D,""auto"",""en"")"),"Let you imitate not let your true form")</f>
        <v>Let you imitate not let your true form</v>
      </c>
      <c r="D2238" s="5" t="s">
        <v>5187</v>
      </c>
      <c r="E2238" s="4">
        <v>172851</v>
      </c>
    </row>
    <row r="2239" spans="1:6" ht="13.5" hidden="1" customHeight="1">
      <c r="A2239" s="4" t="s">
        <v>5188</v>
      </c>
      <c r="B2239" s="4" t="s">
        <v>5189</v>
      </c>
      <c r="C2239" s="4" t="str">
        <f ca="1">IFERROR(__xludf.DUMMYFUNCTION("GOOGLETRANSLATE(D:D,""auto"",""en"")"),"Girls out in front of the dressing table")</f>
        <v>Girls out in front of the dressing table</v>
      </c>
      <c r="D2239" s="5" t="s">
        <v>5190</v>
      </c>
      <c r="E2239" s="4">
        <v>169880</v>
      </c>
    </row>
    <row r="2240" spans="1:6" ht="13.5" hidden="1" customHeight="1">
      <c r="A2240" s="4" t="s">
        <v>5191</v>
      </c>
      <c r="B2240" s="4" t="s">
        <v>5192</v>
      </c>
      <c r="C2240" s="4" t="str">
        <f ca="1">IFERROR(__xludf.DUMMYFUNCTION("GOOGLETRANSLATE(D:D,""auto"",""en"")"),"Bear child was rescued after card machines confidentiality requirements")</f>
        <v>Bear child was rescued after card machines confidentiality requirements</v>
      </c>
      <c r="D2240" s="5" t="s">
        <v>5193</v>
      </c>
      <c r="E2240" s="4">
        <v>156736</v>
      </c>
    </row>
    <row r="2241" spans="1:6" ht="13.5" hidden="1" customHeight="1">
      <c r="A2241" s="4" t="s">
        <v>4989</v>
      </c>
      <c r="B2241" s="4" t="s">
        <v>5089</v>
      </c>
      <c r="C2241" s="4" t="str">
        <f ca="1">IFERROR(__xludf.DUMMYFUNCTION("GOOGLETRANSLATE(D:D,""auto"",""en"")"),"New Year into what I can lazy")</f>
        <v>New Year into what I can lazy</v>
      </c>
      <c r="D2241" s="5" t="s">
        <v>5194</v>
      </c>
      <c r="E2241" s="4">
        <v>151578</v>
      </c>
    </row>
    <row r="2242" spans="1:6" ht="13.5" customHeight="1">
      <c r="A2242" s="4" t="s">
        <v>5188</v>
      </c>
      <c r="B2242" s="4" t="s">
        <v>5195</v>
      </c>
      <c r="C2242" s="4" t="str">
        <f ca="1">IFERROR(__xludf.DUMMYFUNCTION("GOOGLETRANSLATE(D:D,""auto"",""en"")"),"ECMO technology with successful treatment of patients with pneumonia new")</f>
        <v>ECMO technology with successful treatment of patients with pneumonia new</v>
      </c>
      <c r="D2242" s="5" t="s">
        <v>5196</v>
      </c>
      <c r="E2242" s="4">
        <v>141039</v>
      </c>
      <c r="F2242">
        <v>1</v>
      </c>
    </row>
    <row r="2243" spans="1:6" ht="13.5" hidden="1" customHeight="1">
      <c r="A2243" s="4" t="s">
        <v>5197</v>
      </c>
      <c r="B2243" s="4" t="s">
        <v>5198</v>
      </c>
      <c r="C2243" s="4" t="str">
        <f ca="1">IFERROR(__xludf.DUMMYFUNCTION("GOOGLETRANSLATE(D:D,""auto"",""en"")"),"Anhui Spring Festival playbill")</f>
        <v>Anhui Spring Festival playbill</v>
      </c>
      <c r="D2243" s="5" t="s">
        <v>5199</v>
      </c>
      <c r="E2243" s="4">
        <v>137771</v>
      </c>
    </row>
    <row r="2244" spans="1:6" ht="13.5" hidden="1" customHeight="1">
      <c r="A2244" s="4" t="s">
        <v>5200</v>
      </c>
      <c r="B2244" s="4" t="s">
        <v>5201</v>
      </c>
      <c r="C2244" s="4" t="str">
        <f ca="1">IFERROR(__xludf.DUMMYFUNCTION("GOOGLETRANSLATE(D:D,""auto"",""en"")"),"Tan Song Yun Collection read Guochao")</f>
        <v>Tan Song Yun Collection read Guochao</v>
      </c>
      <c r="D2244" s="5" t="s">
        <v>5202</v>
      </c>
      <c r="E2244" s="4">
        <v>128040</v>
      </c>
    </row>
    <row r="2245" spans="1:6" ht="13.5" hidden="1" customHeight="1">
      <c r="A2245" s="4" t="s">
        <v>5203</v>
      </c>
      <c r="B2245" s="4" t="s">
        <v>5001</v>
      </c>
      <c r="C2245" s="4" t="str">
        <f ca="1">IFERROR(__xludf.DUMMYFUNCTION("GOOGLETRANSLATE(D:D,""auto"",""en"")"),"Chaoyang Hospital attack suspects were arrested")</f>
        <v>Chaoyang Hospital attack suspects were arrested</v>
      </c>
      <c r="D2245" s="5" t="s">
        <v>5204</v>
      </c>
      <c r="E2245" s="4">
        <v>126541</v>
      </c>
    </row>
    <row r="2246" spans="1:6" ht="13.5" customHeight="1">
      <c r="A2246" s="4" t="s">
        <v>4998</v>
      </c>
      <c r="B2246" s="4" t="s">
        <v>5195</v>
      </c>
      <c r="C2246" s="4" t="str">
        <f ca="1">IFERROR(__xludf.DUMMYFUNCTION("GOOGLETRANSLATE(D:D,""auto"",""en"")"),"ECMO")</f>
        <v>ECMO</v>
      </c>
      <c r="D2246" s="5" t="s">
        <v>5205</v>
      </c>
      <c r="E2246" s="4">
        <v>102538</v>
      </c>
      <c r="F2246">
        <v>1</v>
      </c>
    </row>
    <row r="2247" spans="1:6" ht="13.5" hidden="1" customHeight="1">
      <c r="A2247" s="4" t="s">
        <v>5206</v>
      </c>
      <c r="B2247" s="4" t="s">
        <v>5207</v>
      </c>
      <c r="C2247" s="4" t="str">
        <f ca="1">IFERROR(__xludf.DUMMYFUNCTION("GOOGLETRANSLATE(D:D,""auto"",""en"")"),"Phone trunk")</f>
        <v>Phone trunk</v>
      </c>
      <c r="D2247" s="5" t="s">
        <v>5208</v>
      </c>
      <c r="E2247" s="4">
        <v>86159</v>
      </c>
    </row>
    <row r="2248" spans="1:6" ht="13.5" hidden="1" customHeight="1">
      <c r="C2248" s="4" t="str">
        <f ca="1">IFERROR(__xludf.DUMMYFUNCTION("GOOGLETRANSLATE(D:D,""auto"",""en"")"),"#VALUE!")</f>
        <v>#VALUE!</v>
      </c>
    </row>
    <row r="2249" spans="1:6" ht="13.5" customHeight="1">
      <c r="A2249" s="4" t="s">
        <v>5209</v>
      </c>
      <c r="B2249" s="4" t="s">
        <v>5210</v>
      </c>
      <c r="C2249" s="4" t="str">
        <f ca="1">IFERROR(__xludf.DUMMYFUNCTION("GOOGLETRANSLATE(D:D,""auto"",""en"")"),"Macau cancel all New Year celebrations")</f>
        <v>Macau cancel all New Year celebrations</v>
      </c>
      <c r="D2249" s="4" t="s">
        <v>5211</v>
      </c>
      <c r="E2249" s="4">
        <v>7879944</v>
      </c>
      <c r="F2249">
        <v>1</v>
      </c>
    </row>
    <row r="2250" spans="1:6" ht="13.5" customHeight="1">
      <c r="A2250" s="4" t="s">
        <v>5212</v>
      </c>
      <c r="B2250" s="4" t="s">
        <v>5213</v>
      </c>
      <c r="C2250" s="4" t="str">
        <f ca="1">IFERROR(__xludf.DUMMYFUNCTION("GOOGLETRANSLATE(D:D,""auto"",""en"")"),"Guangdong found six cases family clusters of disease")</f>
        <v>Guangdong found six cases family clusters of disease</v>
      </c>
      <c r="D2250" s="5" t="s">
        <v>5214</v>
      </c>
      <c r="E2250" s="4">
        <v>6760344</v>
      </c>
      <c r="F2250">
        <v>1</v>
      </c>
    </row>
    <row r="2251" spans="1:6" ht="13.5" customHeight="1">
      <c r="A2251" s="4" t="s">
        <v>5215</v>
      </c>
      <c r="B2251" s="4" t="s">
        <v>5216</v>
      </c>
      <c r="C2251" s="4" t="str">
        <f ca="1">IFERROR(__xludf.DUMMYFUNCTION("GOOGLETRANSLATE(D:D,""auto"",""en"")"),"Spring Festival under the pneumonia outbreak")</f>
        <v>Spring Festival under the pneumonia outbreak</v>
      </c>
      <c r="D2251" s="5" t="s">
        <v>5217</v>
      </c>
      <c r="E2251" s="4">
        <v>3106153</v>
      </c>
      <c r="F2251">
        <v>1</v>
      </c>
    </row>
    <row r="2252" spans="1:6" ht="13.5" customHeight="1">
      <c r="A2252" s="4" t="s">
        <v>5218</v>
      </c>
      <c r="B2252" s="4" t="s">
        <v>5219</v>
      </c>
      <c r="C2252" s="4" t="str">
        <f ca="1">IFERROR(__xludf.DUMMYFUNCTION("GOOGLETRANSLATE(D:D,""auto"",""en"")"),"17 cases of the disease announced new deaths from pneumonia")</f>
        <v>17 cases of the disease announced new deaths from pneumonia</v>
      </c>
      <c r="D2252" s="5" t="s">
        <v>5220</v>
      </c>
      <c r="E2252" s="4">
        <v>3058733</v>
      </c>
      <c r="F2252">
        <v>1</v>
      </c>
    </row>
    <row r="2253" spans="1:6" ht="13.5" customHeight="1">
      <c r="A2253" s="4" t="s">
        <v>5221</v>
      </c>
      <c r="B2253" s="4" t="s">
        <v>5222</v>
      </c>
      <c r="C2253" s="4" t="str">
        <f ca="1">IFERROR(__xludf.DUMMYFUNCTION("GOOGLETRANSLATE(D:D,""auto"",""en"")"),"Chinese New Year stall speed can not be changed")</f>
        <v>Chinese New Year stall speed can not be changed</v>
      </c>
      <c r="D2253" s="5" t="s">
        <v>5223</v>
      </c>
      <c r="E2253" s="4">
        <v>3053630</v>
      </c>
      <c r="F2253">
        <v>1</v>
      </c>
    </row>
    <row r="2254" spans="1:6" ht="13.5" customHeight="1">
      <c r="A2254" s="4" t="s">
        <v>5224</v>
      </c>
      <c r="B2254" s="4" t="s">
        <v>5225</v>
      </c>
      <c r="C2254" s="4" t="str">
        <f ca="1">IFERROR(__xludf.DUMMYFUNCTION("GOOGLETRANSLATE(D:D,""auto"",""en"")"),"CCTV Spring Festival Evening two taped at the venue changed")</f>
        <v>CCTV Spring Festival Evening two taped at the venue changed</v>
      </c>
      <c r="D2254" s="5" t="s">
        <v>5226</v>
      </c>
      <c r="E2254" s="4">
        <v>2053516</v>
      </c>
      <c r="F2254">
        <v>1</v>
      </c>
    </row>
    <row r="2255" spans="1:6" ht="13.5" customHeight="1">
      <c r="A2255" s="4" t="s">
        <v>5227</v>
      </c>
      <c r="B2255" s="4" t="s">
        <v>5228</v>
      </c>
      <c r="C2255" s="4" t="str">
        <f ca="1">IFERROR(__xludf.DUMMYFUNCTION("GOOGLETRANSLATE(D:D,""auto"",""en"")"),"Academician Li Lanjuan said ordinary people need to temporarily goggles")</f>
        <v>Academician Li Lanjuan said ordinary people need to temporarily goggles</v>
      </c>
      <c r="D2255" s="5" t="s">
        <v>5229</v>
      </c>
      <c r="E2255" s="4">
        <v>1996798</v>
      </c>
      <c r="F2255">
        <v>1</v>
      </c>
    </row>
    <row r="2256" spans="1:6" ht="13.5" customHeight="1">
      <c r="A2256" s="4" t="s">
        <v>5094</v>
      </c>
      <c r="B2256" s="4" t="s">
        <v>5095</v>
      </c>
      <c r="C2256" s="4" t="str">
        <f ca="1">IFERROR(__xludf.DUMMYFUNCTION("GOOGLETRANSLATE(D:D,""auto"",""en"")"),"China confirmed new cases of pneumonia")</f>
        <v>China confirmed new cases of pneumonia</v>
      </c>
      <c r="D2256" s="5" t="s">
        <v>5096</v>
      </c>
      <c r="E2256" s="4">
        <v>1748822</v>
      </c>
      <c r="F2256">
        <v>1</v>
      </c>
    </row>
    <row r="2257" spans="1:6" ht="13.5" customHeight="1">
      <c r="A2257" s="4" t="s">
        <v>5227</v>
      </c>
      <c r="B2257" s="4" t="s">
        <v>5230</v>
      </c>
      <c r="C2257" s="4" t="str">
        <f ca="1">IFERROR(__xludf.DUMMYFUNCTION("GOOGLETRANSLATE(D:D,""auto"",""en"")"),"Wuhan closed city")</f>
        <v>Wuhan closed city</v>
      </c>
      <c r="D2257" s="5" t="s">
        <v>5231</v>
      </c>
      <c r="E2257" s="4">
        <v>1480110</v>
      </c>
      <c r="F2257">
        <v>1</v>
      </c>
    </row>
    <row r="2258" spans="1:6" ht="13.5" customHeight="1">
      <c r="A2258" s="4" t="s">
        <v>5232</v>
      </c>
      <c r="B2258" s="4" t="s">
        <v>5233</v>
      </c>
      <c r="C2258" s="4" t="str">
        <f ca="1">IFERROR(__xludf.DUMMYFUNCTION("GOOGLETRANSLATE(D:D,""auto"",""en"")"),"Shandong new four cases of new confirmed cases of pneumonia")</f>
        <v>Shandong new four cases of new confirmed cases of pneumonia</v>
      </c>
      <c r="D2258" s="5" t="s">
        <v>5234</v>
      </c>
      <c r="E2258" s="4">
        <v>1429777</v>
      </c>
      <c r="F2258">
        <v>1</v>
      </c>
    </row>
    <row r="2259" spans="1:6" ht="13.5" customHeight="1">
      <c r="A2259" s="4" t="s">
        <v>5235</v>
      </c>
      <c r="B2259" s="4" t="s">
        <v>5236</v>
      </c>
      <c r="C2259" s="4" t="str">
        <f ca="1">IFERROR(__xludf.DUMMYFUNCTION("GOOGLETRANSLATE(D:D,""auto"",""en"")"),"The nurse's hand after 90 front-line fight against SARS")</f>
        <v>The nurse's hand after 90 front-line fight against SARS</v>
      </c>
      <c r="D2259" s="5" t="s">
        <v>5237</v>
      </c>
      <c r="E2259" s="4">
        <v>1167900</v>
      </c>
      <c r="F2259">
        <v>1</v>
      </c>
    </row>
    <row r="2260" spans="1:6" ht="13.5" customHeight="1">
      <c r="A2260" s="4" t="s">
        <v>5238</v>
      </c>
      <c r="B2260" s="4" t="s">
        <v>5239</v>
      </c>
      <c r="C2260" s="4" t="str">
        <f ca="1">IFERROR(__xludf.DUMMYFUNCTION("GOOGLETRANSLATE(D:D,""auto"",""en"")"),"Add three cases of new confirmed cases of pneumonia Fujian")</f>
        <v>Add three cases of new confirmed cases of pneumonia Fujian</v>
      </c>
      <c r="D2260" s="5" t="s">
        <v>5240</v>
      </c>
      <c r="E2260" s="4">
        <v>1124648</v>
      </c>
      <c r="F2260">
        <v>1</v>
      </c>
    </row>
    <row r="2261" spans="1:6" ht="13.5" customHeight="1">
      <c r="A2261" s="4" t="s">
        <v>5241</v>
      </c>
      <c r="B2261" s="4" t="s">
        <v>5242</v>
      </c>
      <c r="C2261" s="4" t="str">
        <f ca="1">IFERROR(__xludf.DUMMYFUNCTION("GOOGLETRANSLATE(D:D,""auto"",""en"")"),"Strange girl to the police on duty to send masks")</f>
        <v>Strange girl to the police on duty to send masks</v>
      </c>
      <c r="D2261" s="5" t="s">
        <v>5243</v>
      </c>
      <c r="E2261" s="4">
        <v>1098822</v>
      </c>
      <c r="F2261">
        <v>1</v>
      </c>
    </row>
    <row r="2262" spans="1:6" ht="13.5" customHeight="1">
      <c r="A2262" s="4" t="s">
        <v>5244</v>
      </c>
      <c r="B2262" s="4" t="s">
        <v>5239</v>
      </c>
      <c r="C2262" s="4" t="str">
        <f ca="1">IFERROR(__xludf.DUMMYFUNCTION("GOOGLETRANSLATE(D:D,""auto"",""en"")"),"Add three cases of new confirmed cases of pneumonia in Sichuan")</f>
        <v>Add three cases of new confirmed cases of pneumonia in Sichuan</v>
      </c>
      <c r="D2262" s="5" t="s">
        <v>5245</v>
      </c>
      <c r="E2262" s="4">
        <v>1084296</v>
      </c>
      <c r="F2262">
        <v>1</v>
      </c>
    </row>
    <row r="2263" spans="1:6" ht="13.5" customHeight="1">
      <c r="A2263" s="4" t="s">
        <v>5246</v>
      </c>
      <c r="B2263" s="4" t="s">
        <v>5247</v>
      </c>
      <c r="C2263" s="4" t="str">
        <f ca="1">IFERROR(__xludf.DUMMYFUNCTION("GOOGLETRANSLATE(D:D,""auto"",""en"")"),"Li Lanjuan respond to new pneumonia six questions")</f>
        <v>Li Lanjuan respond to new pneumonia six questions</v>
      </c>
      <c r="D2263" s="5" t="s">
        <v>5248</v>
      </c>
      <c r="E2263" s="4">
        <v>1080143</v>
      </c>
      <c r="F2263">
        <v>1</v>
      </c>
    </row>
    <row r="2264" spans="1:6" ht="13.5" customHeight="1">
      <c r="A2264" s="4" t="s">
        <v>5227</v>
      </c>
      <c r="B2264" s="4" t="s">
        <v>5097</v>
      </c>
      <c r="C2264" s="4" t="str">
        <f ca="1">IFERROR(__xludf.DUMMYFUNCTION("GOOGLETRANSLATE(D:D,""auto"",""en"")"),"UK direct flights to Wuhan starting the establishment of quarantine")</f>
        <v>UK direct flights to Wuhan starting the establishment of quarantine</v>
      </c>
      <c r="D2264" s="5" t="s">
        <v>5249</v>
      </c>
      <c r="E2264" s="4">
        <v>1046447</v>
      </c>
      <c r="F2264">
        <v>1</v>
      </c>
    </row>
    <row r="2265" spans="1:6" ht="13.5" hidden="1" customHeight="1">
      <c r="A2265" s="4" t="s">
        <v>5250</v>
      </c>
      <c r="B2265" s="4" t="s">
        <v>5251</v>
      </c>
      <c r="C2265" s="4" t="str">
        <f ca="1">IFERROR(__xludf.DUMMYFUNCTION("GOOGLETRANSLATE(D:D,""auto"",""en"")"),"South Korea's first denatured soldiers were dismissed")</f>
        <v>South Korea's first denatured soldiers were dismissed</v>
      </c>
      <c r="D2265" s="5" t="s">
        <v>5252</v>
      </c>
      <c r="E2265" s="4">
        <v>1032717</v>
      </c>
    </row>
    <row r="2266" spans="1:6" ht="13.5" customHeight="1">
      <c r="A2266" s="4" t="s">
        <v>5253</v>
      </c>
      <c r="B2266" s="4" t="s">
        <v>5228</v>
      </c>
      <c r="C2266" s="4" t="str">
        <f ca="1">IFERROR(__xludf.DUMMYFUNCTION("GOOGLETRANSLATE(D:D,""auto"",""en"")"),"Medical surgical masks to wear proper law")</f>
        <v>Medical surgical masks to wear proper law</v>
      </c>
      <c r="D2266" s="5" t="s">
        <v>5254</v>
      </c>
      <c r="E2266" s="4">
        <v>1023454</v>
      </c>
      <c r="F2266">
        <v>1</v>
      </c>
    </row>
    <row r="2267" spans="1:6" ht="13.5" customHeight="1">
      <c r="A2267" s="4" t="s">
        <v>5255</v>
      </c>
      <c r="B2267" s="4" t="s">
        <v>5256</v>
      </c>
      <c r="C2267" s="4" t="str">
        <f ca="1">IFERROR(__xludf.DUMMYFUNCTION("GOOGLETRANSLATE(D:D,""auto"",""en"")"),"Chengdu, a company issued 100,000 free station masks")</f>
        <v>Chengdu, a company issued 100,000 free station masks</v>
      </c>
      <c r="D2267" s="5" t="s">
        <v>5257</v>
      </c>
      <c r="E2267" s="4">
        <v>1009939</v>
      </c>
      <c r="F2267">
        <v>1</v>
      </c>
    </row>
    <row r="2268" spans="1:6" ht="13.5" customHeight="1">
      <c r="A2268" s="4" t="s">
        <v>5135</v>
      </c>
      <c r="B2268" s="4" t="s">
        <v>5136</v>
      </c>
      <c r="C2268" s="4" t="str">
        <f ca="1">IFERROR(__xludf.DUMMYFUNCTION("GOOGLETRANSLATE(D:D,""auto"",""en"")"),"Epidemic Map")</f>
        <v>Epidemic Map</v>
      </c>
      <c r="D2268" s="5" t="s">
        <v>5137</v>
      </c>
      <c r="E2268" s="4">
        <v>845664</v>
      </c>
      <c r="F2268">
        <v>1</v>
      </c>
    </row>
    <row r="2269" spans="1:6" ht="13.5" hidden="1" customHeight="1">
      <c r="A2269" s="4" t="s">
        <v>5258</v>
      </c>
      <c r="B2269" s="4" t="s">
        <v>5259</v>
      </c>
      <c r="C2269" s="4" t="str">
        <f ca="1">IFERROR(__xludf.DUMMYFUNCTION("GOOGLETRANSLATE(D:D,""auto"",""en"")"),"British presenter strange noise, said Chinese accused of racial discrimination")</f>
        <v>British presenter strange noise, said Chinese accused of racial discrimination</v>
      </c>
      <c r="D2269" s="5" t="s">
        <v>5260</v>
      </c>
      <c r="E2269" s="4">
        <v>802604</v>
      </c>
    </row>
    <row r="2270" spans="1:6" ht="13.5" hidden="1" customHeight="1">
      <c r="A2270" s="4" t="s">
        <v>5261</v>
      </c>
      <c r="B2270" s="4" t="s">
        <v>5262</v>
      </c>
      <c r="C2270" s="4" t="str">
        <f ca="1">IFERROR(__xludf.DUMMYFUNCTION("GOOGLETRANSLATE(D:D,""auto"",""en"")"),"Von salary flowers")</f>
        <v>Von salary flowers</v>
      </c>
      <c r="D2270" s="5" t="s">
        <v>5263</v>
      </c>
      <c r="E2270" s="4">
        <v>618318</v>
      </c>
    </row>
    <row r="2271" spans="1:6" ht="13.5" hidden="1" customHeight="1">
      <c r="A2271" s="4" t="s">
        <v>5264</v>
      </c>
      <c r="B2271" s="4" t="s">
        <v>5265</v>
      </c>
      <c r="C2271" s="4" t="str">
        <f ca="1">IFERROR(__xludf.DUMMYFUNCTION("GOOGLETRANSLATE(D:D,""auto"",""en"")"),"Shinkamusume")</f>
        <v>Shinkamusume</v>
      </c>
      <c r="D2271" s="5" t="s">
        <v>5266</v>
      </c>
      <c r="E2271" s="4">
        <v>580868</v>
      </c>
    </row>
    <row r="2272" spans="1:6" ht="13.5" hidden="1" customHeight="1">
      <c r="A2272" s="4" t="s">
        <v>5267</v>
      </c>
      <c r="B2272" s="4" t="s">
        <v>5268</v>
      </c>
      <c r="C2272" s="4" t="str">
        <f ca="1">IFERROR(__xludf.DUMMYFUNCTION("GOOGLETRANSLATE(D:D,""auto"",""en"")"),"New Year makeup girls how hard")</f>
        <v>New Year makeup girls how hard</v>
      </c>
      <c r="D2272" s="5" t="s">
        <v>5269</v>
      </c>
      <c r="E2272" s="4">
        <v>555767</v>
      </c>
    </row>
    <row r="2273" spans="1:6" ht="13.5" hidden="1" customHeight="1">
      <c r="A2273" s="4" t="s">
        <v>5270</v>
      </c>
      <c r="B2273" s="4" t="s">
        <v>5271</v>
      </c>
      <c r="C2273" s="4" t="str">
        <f ca="1">IFERROR(__xludf.DUMMYFUNCTION("GOOGLETRANSLATE(D:D,""auto"",""en"")"),"Male version of plums SEVEN")</f>
        <v>Male version of plums SEVEN</v>
      </c>
      <c r="D2273" s="5" t="s">
        <v>5272</v>
      </c>
      <c r="E2273" s="4">
        <v>551368</v>
      </c>
    </row>
    <row r="2274" spans="1:6" ht="13.5" customHeight="1">
      <c r="A2274" s="4" t="s">
        <v>5273</v>
      </c>
      <c r="B2274" s="4" t="s">
        <v>5274</v>
      </c>
      <c r="C2274" s="4" t="str">
        <f ca="1">IFERROR(__xludf.DUMMYFUNCTION("GOOGLETRANSLATE(D:D,""auto"",""en"")"),"goggle")</f>
        <v>goggle</v>
      </c>
      <c r="D2274" s="5" t="s">
        <v>5275</v>
      </c>
      <c r="E2274" s="4">
        <v>492557</v>
      </c>
      <c r="F2274">
        <v>1</v>
      </c>
    </row>
    <row r="2275" spans="1:6" ht="13.5" hidden="1" customHeight="1">
      <c r="A2275" s="4" t="s">
        <v>5276</v>
      </c>
      <c r="B2275" s="4" t="s">
        <v>5110</v>
      </c>
      <c r="C2275" s="4" t="str">
        <f ca="1">IFERROR(__xludf.DUMMYFUNCTION("GOOGLETRANSLATE(D:D,""auto"",""en"")"),"Petition to make Japan a given file")</f>
        <v>Petition to make Japan a given file</v>
      </c>
      <c r="D2275" s="5" t="s">
        <v>5277</v>
      </c>
      <c r="E2275" s="4">
        <v>436949</v>
      </c>
    </row>
    <row r="2276" spans="1:6" ht="13.5" hidden="1" customHeight="1">
      <c r="A2276" s="4" t="s">
        <v>5278</v>
      </c>
      <c r="B2276" s="4" t="s">
        <v>5247</v>
      </c>
      <c r="C2276" s="4" t="str">
        <f ca="1">IFERROR(__xludf.DUMMYFUNCTION("GOOGLETRANSLATE(D:D,""auto"",""en"")"),"3-year-old boy IQ of 142")</f>
        <v>3-year-old boy IQ of 142</v>
      </c>
      <c r="D2276" s="5" t="s">
        <v>5279</v>
      </c>
      <c r="E2276" s="4">
        <v>389311</v>
      </c>
    </row>
    <row r="2277" spans="1:6" ht="13.5" hidden="1" customHeight="1">
      <c r="A2277" s="4" t="s">
        <v>5280</v>
      </c>
      <c r="B2277" s="4" t="s">
        <v>5281</v>
      </c>
      <c r="C2277" s="4" t="str">
        <f ca="1">IFERROR(__xludf.DUMMYFUNCTION("GOOGLETRANSLATE(D:D,""auto"",""en"")"),"After the scenic Huangshan First Clearing snow")</f>
        <v>After the scenic Huangshan First Clearing snow</v>
      </c>
      <c r="D2277" s="5" t="s">
        <v>5282</v>
      </c>
      <c r="E2277" s="4">
        <v>375924</v>
      </c>
    </row>
    <row r="2278" spans="1:6" ht="13.5" customHeight="1">
      <c r="A2278" s="4" t="s">
        <v>5283</v>
      </c>
      <c r="B2278" s="4" t="s">
        <v>5284</v>
      </c>
      <c r="C2278" s="4" t="str">
        <f ca="1">IFERROR(__xludf.DUMMYFUNCTION("GOOGLETRANSLATE(D:D,""auto"",""en"")"),"Jiangsu confirmed the first case of new cases of pneumonia")</f>
        <v>Jiangsu confirmed the first case of new cases of pneumonia</v>
      </c>
      <c r="D2278" s="5" t="s">
        <v>5285</v>
      </c>
      <c r="E2278" s="4">
        <v>373518</v>
      </c>
      <c r="F2278">
        <v>1</v>
      </c>
    </row>
    <row r="2279" spans="1:6" ht="13.5" customHeight="1">
      <c r="A2279" s="4" t="s">
        <v>5286</v>
      </c>
      <c r="B2279" s="4" t="s">
        <v>5274</v>
      </c>
      <c r="C2279" s="4" t="str">
        <f ca="1">IFERROR(__xludf.DUMMYFUNCTION("GOOGLETRANSLATE(D:D,""auto"",""en"")"),"North breathing Chow")</f>
        <v>North breathing Chow</v>
      </c>
      <c r="D2279" s="5" t="s">
        <v>5287</v>
      </c>
      <c r="E2279" s="4">
        <v>370847</v>
      </c>
      <c r="F2279">
        <v>1</v>
      </c>
    </row>
    <row r="2280" spans="1:6" ht="13.5" customHeight="1">
      <c r="A2280" s="4" t="s">
        <v>5288</v>
      </c>
      <c r="B2280" s="4" t="s">
        <v>5289</v>
      </c>
      <c r="C2280" s="4" t="str">
        <f ca="1">IFERROR(__xludf.DUMMYFUNCTION("GOOGLETRANSLATE(D:D,""auto"",""en"")"),"Spring's most beautiful retrograde")</f>
        <v>Spring's most beautiful retrograde</v>
      </c>
      <c r="D2280" s="5" t="s">
        <v>5290</v>
      </c>
      <c r="E2280" s="4">
        <v>306855</v>
      </c>
      <c r="F2280">
        <v>1</v>
      </c>
    </row>
    <row r="2281" spans="1:6" ht="13.5" customHeight="1">
      <c r="A2281" s="4" t="s">
        <v>5291</v>
      </c>
      <c r="B2281" s="4" t="s">
        <v>5292</v>
      </c>
      <c r="C2281" s="4" t="str">
        <f ca="1">IFERROR(__xludf.DUMMYFUNCTION("GOOGLETRANSLATE(D:D,""auto"",""en"")"),"Hubei wearing masks host broadcast")</f>
        <v>Hubei wearing masks host broadcast</v>
      </c>
      <c r="D2281" s="5" t="s">
        <v>5293</v>
      </c>
      <c r="E2281" s="4">
        <v>304705</v>
      </c>
      <c r="F2281">
        <v>1</v>
      </c>
    </row>
    <row r="2282" spans="1:6" ht="13.5" customHeight="1">
      <c r="A2282" s="4" t="s">
        <v>5294</v>
      </c>
      <c r="B2282" s="4" t="s">
        <v>5295</v>
      </c>
      <c r="C2282" s="4" t="str">
        <f ca="1">IFERROR(__xludf.DUMMYFUNCTION("GOOGLETRANSLATE(D:D,""auto"",""en"")"),"Wuhan Metro bus to suspend operations")</f>
        <v>Wuhan Metro bus to suspend operations</v>
      </c>
      <c r="D2282" s="5" t="s">
        <v>5296</v>
      </c>
      <c r="E2282" s="4">
        <v>299337</v>
      </c>
      <c r="F2282">
        <v>1</v>
      </c>
    </row>
    <row r="2283" spans="1:6" ht="13.5" hidden="1" customHeight="1">
      <c r="A2283" s="4" t="s">
        <v>5127</v>
      </c>
      <c r="B2283" s="4" t="s">
        <v>5128</v>
      </c>
      <c r="C2283" s="4" t="str">
        <f ca="1">IFERROR(__xludf.DUMMYFUNCTION("GOOGLETRANSLATE(D:D,""auto"",""en"")"),"US outbreak of influenza B")</f>
        <v>US outbreak of influenza B</v>
      </c>
      <c r="D2283" s="5" t="s">
        <v>5129</v>
      </c>
      <c r="E2283" s="4">
        <v>296254</v>
      </c>
    </row>
    <row r="2284" spans="1:6" ht="13.5" customHeight="1">
      <c r="A2284" s="4" t="s">
        <v>5297</v>
      </c>
      <c r="B2284" s="4" t="s">
        <v>5298</v>
      </c>
      <c r="C2284" s="4" t="str">
        <f ca="1">IFERROR(__xludf.DUMMYFUNCTION("GOOGLETRANSLATE(D:D,""auto"",""en"")"),"Health care workers chanting Wuhan win")</f>
        <v>Health care workers chanting Wuhan win</v>
      </c>
      <c r="D2284" s="5" t="s">
        <v>5299</v>
      </c>
      <c r="E2284" s="4">
        <v>285219</v>
      </c>
      <c r="F2284">
        <v>1</v>
      </c>
    </row>
    <row r="2285" spans="1:6" ht="13.5" customHeight="1">
      <c r="A2285" s="4" t="s">
        <v>5132</v>
      </c>
      <c r="B2285" s="4" t="s">
        <v>5133</v>
      </c>
      <c r="C2285" s="4" t="str">
        <f ca="1">IFERROR(__xludf.DUMMYFUNCTION("GOOGLETRANSLATE(D:D,""auto"",""en"")"),"bat")</f>
        <v>bat</v>
      </c>
      <c r="D2285" s="5" t="s">
        <v>5134</v>
      </c>
      <c r="E2285" s="4">
        <v>236764</v>
      </c>
      <c r="F2285">
        <v>1</v>
      </c>
    </row>
    <row r="2286" spans="1:6" ht="13.5" customHeight="1">
      <c r="A2286" s="4" t="s">
        <v>5091</v>
      </c>
      <c r="B2286" s="4" t="s">
        <v>5092</v>
      </c>
      <c r="C2286" s="4" t="str">
        <f ca="1">IFERROR(__xludf.DUMMYFUNCTION("GOOGLETRANSLATE(D:D,""auto"",""en"")"),"Wuhan asked the city to wear masks in public places")</f>
        <v>Wuhan asked the city to wear masks in public places</v>
      </c>
      <c r="D2286" s="5" t="s">
        <v>5093</v>
      </c>
      <c r="E2286" s="4">
        <v>202147</v>
      </c>
      <c r="F2286">
        <v>1</v>
      </c>
    </row>
    <row r="2287" spans="1:6" ht="13.5" customHeight="1">
      <c r="A2287" s="4" t="s">
        <v>5300</v>
      </c>
      <c r="B2287" s="4" t="s">
        <v>5301</v>
      </c>
      <c r="C2287" s="4" t="str">
        <f ca="1">IFERROR(__xludf.DUMMYFUNCTION("GOOGLETRANSLATE(D:D,""auto"",""en"")"),"Heilongjiang confirmed the first case of new cases of pneumonia")</f>
        <v>Heilongjiang confirmed the first case of new cases of pneumonia</v>
      </c>
      <c r="D2287" s="5" t="s">
        <v>5302</v>
      </c>
      <c r="E2287" s="4">
        <v>178175</v>
      </c>
      <c r="F2287">
        <v>1</v>
      </c>
    </row>
    <row r="2288" spans="1:6" ht="13.5" customHeight="1">
      <c r="A2288" s="4" t="s">
        <v>5303</v>
      </c>
      <c r="B2288" s="4" t="s">
        <v>5188</v>
      </c>
      <c r="C2288" s="4" t="str">
        <f ca="1">IFERROR(__xludf.DUMMYFUNCTION("GOOGLETRANSLATE(D:D,""auto"",""en"")"),"Wuhan railway station from the airport temporarily closed Chinese channel")</f>
        <v>Wuhan railway station from the airport temporarily closed Chinese channel</v>
      </c>
      <c r="D2288" s="5" t="s">
        <v>5304</v>
      </c>
      <c r="E2288" s="4">
        <v>176571</v>
      </c>
      <c r="F2288">
        <v>1</v>
      </c>
    </row>
    <row r="2289" spans="1:6" ht="13.5" customHeight="1">
      <c r="A2289" s="4" t="s">
        <v>5088</v>
      </c>
      <c r="B2289" s="4" t="s">
        <v>5089</v>
      </c>
      <c r="C2289" s="4" t="str">
        <f ca="1">IFERROR(__xludf.DUMMYFUNCTION("GOOGLETRANSLATE(D:D,""auto"",""en"")"),"New pneumonia has caused 17 deaths in Hubei")</f>
        <v>New pneumonia has caused 17 deaths in Hubei</v>
      </c>
      <c r="D2289" s="5" t="s">
        <v>5090</v>
      </c>
      <c r="E2289" s="4">
        <v>172499</v>
      </c>
      <c r="F2289">
        <v>1</v>
      </c>
    </row>
    <row r="2290" spans="1:6" ht="13.5" hidden="1" customHeight="1">
      <c r="A2290" s="4" t="s">
        <v>5130</v>
      </c>
      <c r="B2290" s="4" t="s">
        <v>5128</v>
      </c>
      <c r="C2290" s="4" t="str">
        <f ca="1">IFERROR(__xludf.DUMMYFUNCTION("GOOGLETRANSLATE(D:D,""auto"",""en"")"),"Masahiro Higashide admitted derailed")</f>
        <v>Masahiro Higashide admitted derailed</v>
      </c>
      <c r="D2290" s="5" t="s">
        <v>5131</v>
      </c>
      <c r="E2290" s="4">
        <v>171396</v>
      </c>
    </row>
    <row r="2291" spans="1:6" ht="13.5" hidden="1" customHeight="1">
      <c r="A2291" s="4" t="s">
        <v>5305</v>
      </c>
      <c r="B2291" s="4" t="s">
        <v>5306</v>
      </c>
      <c r="C2291" s="4" t="str">
        <f ca="1">IFERROR(__xludf.DUMMYFUNCTION("GOOGLETRANSLATE(D:D,""auto"",""en"")"),"What have you hidden secret")</f>
        <v>What have you hidden secret</v>
      </c>
      <c r="D2291" s="5" t="s">
        <v>5307</v>
      </c>
      <c r="E2291" s="4">
        <v>164320</v>
      </c>
    </row>
    <row r="2292" spans="1:6" ht="13.5" hidden="1" customHeight="1">
      <c r="A2292" s="4" t="s">
        <v>5143</v>
      </c>
      <c r="B2292" s="4" t="s">
        <v>5144</v>
      </c>
      <c r="C2292" s="4" t="str">
        <f ca="1">IFERROR(__xludf.DUMMYFUNCTION("GOOGLETRANSLATE(D:D,""auto"",""en"")"),"Phoenix nine too cute")</f>
        <v>Phoenix nine too cute</v>
      </c>
      <c r="D2292" s="5" t="s">
        <v>5145</v>
      </c>
      <c r="E2292" s="4">
        <v>163318</v>
      </c>
    </row>
    <row r="2293" spans="1:6" ht="13.5" customHeight="1">
      <c r="A2293" s="4" t="s">
        <v>4692</v>
      </c>
      <c r="B2293" s="4" t="s">
        <v>4693</v>
      </c>
      <c r="C2293" s="4" t="str">
        <f ca="1">IFERROR(__xludf.DUMMYFUNCTION("GOOGLETRANSLATE(D:D,""auto"",""en"")"),"Zhong Nanshan")</f>
        <v>Zhong Nanshan</v>
      </c>
      <c r="D2293" s="5" t="s">
        <v>4694</v>
      </c>
      <c r="E2293" s="4">
        <v>161874</v>
      </c>
      <c r="F2293">
        <v>1</v>
      </c>
    </row>
    <row r="2294" spans="1:6" ht="13.5" customHeight="1">
      <c r="A2294" s="4" t="s">
        <v>5141</v>
      </c>
      <c r="B2294" s="4" t="s">
        <v>5120</v>
      </c>
      <c r="C2294" s="4" t="str">
        <f ca="1">IFERROR(__xludf.DUMMYFUNCTION("GOOGLETRANSLATE(D:D,""auto"",""en"")"),"Game pneumonia")</f>
        <v>Game pneumonia</v>
      </c>
      <c r="D2294" s="5" t="s">
        <v>5142</v>
      </c>
      <c r="E2294" s="4">
        <v>141566</v>
      </c>
      <c r="F2294">
        <v>1</v>
      </c>
    </row>
    <row r="2295" spans="1:6" ht="13.5" hidden="1" customHeight="1">
      <c r="A2295" s="4" t="s">
        <v>5151</v>
      </c>
      <c r="B2295" s="4" t="s">
        <v>5152</v>
      </c>
      <c r="C2295" s="4" t="str">
        <f ca="1">IFERROR(__xludf.DUMMYFUNCTION("GOOGLETRANSLATE(D:D,""auto"",""en"")"),"Modern young people want to live")</f>
        <v>Modern young people want to live</v>
      </c>
      <c r="D2295" s="5" t="s">
        <v>5153</v>
      </c>
      <c r="E2295" s="4">
        <v>111843</v>
      </c>
    </row>
    <row r="2296" spans="1:6" ht="13.5" hidden="1" customHeight="1">
      <c r="A2296" s="4" t="s">
        <v>5186</v>
      </c>
      <c r="B2296" s="4" t="s">
        <v>5136</v>
      </c>
      <c r="C2296" s="4" t="str">
        <f ca="1">IFERROR(__xludf.DUMMYFUNCTION("GOOGLETRANSLATE(D:D,""auto"",""en"")"),"Let you imitate not let your true form")</f>
        <v>Let you imitate not let your true form</v>
      </c>
      <c r="D2296" s="5" t="s">
        <v>5187</v>
      </c>
      <c r="E2296" s="4">
        <v>101498</v>
      </c>
    </row>
    <row r="2297" spans="1:6" ht="13.5" hidden="1" customHeight="1">
      <c r="A2297" s="4" t="s">
        <v>5308</v>
      </c>
      <c r="B2297" s="4" t="s">
        <v>5271</v>
      </c>
      <c r="C2297" s="4" t="str">
        <f ca="1">IFERROR(__xludf.DUMMYFUNCTION("GOOGLETRANSLATE(D:D,""auto"",""en"")"),"Super League 2020 schedule released")</f>
        <v>Super League 2020 schedule released</v>
      </c>
      <c r="D2297" s="5" t="s">
        <v>5309</v>
      </c>
      <c r="E2297" s="4">
        <v>77821</v>
      </c>
    </row>
    <row r="2298" spans="1:6" ht="13.5" hidden="1" customHeight="1">
      <c r="C2298" s="4" t="str">
        <f ca="1">IFERROR(__xludf.DUMMYFUNCTION("GOOGLETRANSLATE(D:D,""auto"",""en"")"),"#VALUE!")</f>
        <v>#VALUE!</v>
      </c>
    </row>
    <row r="2299" spans="1:6" ht="13.5" customHeight="1">
      <c r="A2299" s="4" t="s">
        <v>5310</v>
      </c>
      <c r="B2299" s="4" t="s">
        <v>5311</v>
      </c>
      <c r="C2299" s="4" t="str">
        <f ca="1">IFERROR(__xludf.DUMMYFUNCTION("GOOGLETRANSLATE(D:D,""auto"",""en"")"),"Guangdong started a major public health emergency response")</f>
        <v>Guangdong started a major public health emergency response</v>
      </c>
      <c r="D2299" s="4" t="s">
        <v>5312</v>
      </c>
      <c r="E2299" s="4">
        <v>8228748</v>
      </c>
      <c r="F2299">
        <v>1</v>
      </c>
    </row>
    <row r="2300" spans="1:6" ht="13.5" hidden="1" customHeight="1">
      <c r="A2300" s="4" t="s">
        <v>5313</v>
      </c>
      <c r="B2300" s="4" t="s">
        <v>5314</v>
      </c>
      <c r="C2300" s="4" t="str">
        <f ca="1">IFERROR(__xludf.DUMMYFUNCTION("GOOGLETRANSLATE(D:D,""auto"",""en"")"),"Wang Ou original family story")</f>
        <v>Wang Ou original family story</v>
      </c>
      <c r="D2300" s="5" t="s">
        <v>5315</v>
      </c>
      <c r="E2300" s="4">
        <v>4142063</v>
      </c>
    </row>
    <row r="2301" spans="1:6" ht="13.5" customHeight="1">
      <c r="A2301" s="4" t="s">
        <v>5094</v>
      </c>
      <c r="B2301" s="4" t="s">
        <v>5095</v>
      </c>
      <c r="C2301" s="4" t="str">
        <f ca="1">IFERROR(__xludf.DUMMYFUNCTION("GOOGLETRANSLATE(D:D,""auto"",""en"")"),"China confirmed new cases of pneumonia")</f>
        <v>China confirmed new cases of pneumonia</v>
      </c>
      <c r="D2301" s="5" t="s">
        <v>5096</v>
      </c>
      <c r="E2301" s="4">
        <v>3418305</v>
      </c>
      <c r="F2301">
        <v>1</v>
      </c>
    </row>
    <row r="2302" spans="1:6" ht="13.5" customHeight="1">
      <c r="A2302" s="4" t="s">
        <v>5316</v>
      </c>
      <c r="B2302" s="4" t="s">
        <v>5317</v>
      </c>
      <c r="C2302" s="4" t="str">
        <f ca="1">IFERROR(__xludf.DUMMYFUNCTION("GOOGLETRANSLATE(D:D,""auto"",""en"")"),"Wuhan will build mode Xiaotangshan Hospital")</f>
        <v>Wuhan will build mode Xiaotangshan Hospital</v>
      </c>
      <c r="D2302" s="5" t="s">
        <v>5318</v>
      </c>
      <c r="E2302" s="4">
        <v>2597088</v>
      </c>
      <c r="F2302">
        <v>1</v>
      </c>
    </row>
    <row r="2303" spans="1:6" ht="13.5" customHeight="1">
      <c r="A2303" s="4" t="s">
        <v>5319</v>
      </c>
      <c r="B2303" s="4" t="s">
        <v>5320</v>
      </c>
      <c r="C2303" s="4" t="str">
        <f ca="1">IFERROR(__xludf.DUMMYFUNCTION("GOOGLETRANSLATE(D:D,""auto"",""en"")"),"Xiaotangshan SARS medical team battle assignment book")</f>
        <v>Xiaotangshan SARS medical team battle assignment book</v>
      </c>
      <c r="D2303" s="5" t="s">
        <v>5321</v>
      </c>
      <c r="E2303" s="4">
        <v>2068677</v>
      </c>
      <c r="F2303">
        <v>1</v>
      </c>
    </row>
    <row r="2304" spans="1:6" ht="13.5" customHeight="1">
      <c r="A2304" s="4" t="s">
        <v>5322</v>
      </c>
      <c r="B2304" s="4" t="s">
        <v>5323</v>
      </c>
      <c r="C2304" s="4" t="str">
        <f ca="1">IFERROR(__xludf.DUMMYFUNCTION("GOOGLETRANSLATE(D:D,""auto"",""en"")"),"A new type of pneumonia patients were successfully treated Wuhan")</f>
        <v>A new type of pneumonia patients were successfully treated Wuhan</v>
      </c>
      <c r="D2304" s="5" t="s">
        <v>5324</v>
      </c>
      <c r="E2304" s="4">
        <v>2067091</v>
      </c>
      <c r="F2304">
        <v>1</v>
      </c>
    </row>
    <row r="2305" spans="1:6" ht="13.5" customHeight="1">
      <c r="A2305" s="4" t="s">
        <v>5135</v>
      </c>
      <c r="B2305" s="4" t="s">
        <v>5136</v>
      </c>
      <c r="C2305" s="4" t="str">
        <f ca="1">IFERROR(__xludf.DUMMYFUNCTION("GOOGLETRANSLATE(D:D,""auto"",""en"")"),"Epidemic Map")</f>
        <v>Epidemic Map</v>
      </c>
      <c r="D2305" s="5" t="s">
        <v>5137</v>
      </c>
      <c r="E2305" s="4">
        <v>1970972</v>
      </c>
      <c r="F2305">
        <v>1</v>
      </c>
    </row>
    <row r="2306" spans="1:6" ht="13.5" customHeight="1">
      <c r="A2306" s="4" t="s">
        <v>5325</v>
      </c>
      <c r="B2306" s="4" t="s">
        <v>5326</v>
      </c>
      <c r="C2306" s="4" t="str">
        <f ca="1">IFERROR(__xludf.DUMMYFUNCTION("GOOGLETRANSLATE(D:D,""auto"",""en"")"),"Wuhan seven doctors pressed the red handprint on the battle assignment book")</f>
        <v>Wuhan seven doctors pressed the red handprint on the battle assignment book</v>
      </c>
      <c r="D2306" s="5" t="s">
        <v>5327</v>
      </c>
      <c r="E2306" s="4">
        <v>1564092</v>
      </c>
      <c r="F2306">
        <v>1</v>
      </c>
    </row>
    <row r="2307" spans="1:6" ht="13.5" customHeight="1">
      <c r="A2307" s="4" t="s">
        <v>5328</v>
      </c>
      <c r="B2307" s="4" t="s">
        <v>5329</v>
      </c>
      <c r="C2307" s="4" t="str">
        <f ca="1">IFERROR(__xludf.DUMMYFUNCTION("GOOGLETRANSLATE(D:D,""auto"",""en"")"),"Palace Museum closed")</f>
        <v>Palace Museum closed</v>
      </c>
      <c r="D2307" s="5" t="s">
        <v>5330</v>
      </c>
      <c r="E2307" s="4">
        <v>1459668</v>
      </c>
      <c r="F2307">
        <v>1</v>
      </c>
    </row>
    <row r="2308" spans="1:6" ht="13.5" customHeight="1">
      <c r="A2308" s="4" t="s">
        <v>5319</v>
      </c>
      <c r="B2308" s="4" t="s">
        <v>5331</v>
      </c>
      <c r="C2308" s="4" t="str">
        <f ca="1">IFERROR(__xludf.DUMMYFUNCTION("GOOGLETRANSLATE(D:D,""auto"",""en"")"),"Doctors all over the rush to the rescue Hubei")</f>
        <v>Doctors all over the rush to the rescue Hubei</v>
      </c>
      <c r="D2308" s="5" t="s">
        <v>5332</v>
      </c>
      <c r="E2308" s="4">
        <v>1420973</v>
      </c>
      <c r="F2308">
        <v>1</v>
      </c>
    </row>
    <row r="2309" spans="1:6" ht="13.5" hidden="1" customHeight="1">
      <c r="A2309" s="4" t="s">
        <v>5333</v>
      </c>
      <c r="B2309" s="4" t="s">
        <v>5334</v>
      </c>
      <c r="C2309" s="4" t="str">
        <f ca="1">IFERROR(__xludf.DUMMYFUNCTION("GOOGLETRANSLATE(D:D,""auto"",""en"")"),"Daming elegance finale")</f>
        <v>Daming elegance finale</v>
      </c>
      <c r="D2309" s="5" t="s">
        <v>5335</v>
      </c>
      <c r="E2309" s="4">
        <v>1419020</v>
      </c>
    </row>
    <row r="2310" spans="1:6" ht="13.5" customHeight="1">
      <c r="A2310" s="4" t="s">
        <v>5336</v>
      </c>
      <c r="B2310" s="4" t="s">
        <v>5337</v>
      </c>
      <c r="C2310" s="4" t="str">
        <f ca="1">IFERROR(__xludf.DUMMYFUNCTION("GOOGLETRANSLATE(D:D,""auto"",""en"")"),"Prevention and control of pneumonia parents do not listen to advise how to do")</f>
        <v>Prevention and control of pneumonia parents do not listen to advise how to do</v>
      </c>
      <c r="D2310" s="5" t="s">
        <v>5338</v>
      </c>
      <c r="E2310" s="4">
        <v>1414410</v>
      </c>
      <c r="F2310">
        <v>1</v>
      </c>
    </row>
    <row r="2311" spans="1:6" ht="13.5" hidden="1" customHeight="1">
      <c r="A2311" s="4" t="s">
        <v>5339</v>
      </c>
      <c r="B2311" s="4" t="s">
        <v>5340</v>
      </c>
      <c r="C2311" s="4" t="str">
        <f ca="1">IFERROR(__xludf.DUMMYFUNCTION("GOOGLETRANSLATE(D:D,""auto"",""en"")"),"CCTV Spring Festival playbill")</f>
        <v>CCTV Spring Festival playbill</v>
      </c>
      <c r="D2311" s="5" t="s">
        <v>5341</v>
      </c>
      <c r="E2311" s="4">
        <v>1406013</v>
      </c>
    </row>
    <row r="2312" spans="1:6" ht="13.5" customHeight="1">
      <c r="A2312" s="4" t="s">
        <v>5342</v>
      </c>
      <c r="B2312" s="4" t="s">
        <v>5343</v>
      </c>
      <c r="C2312" s="4" t="str">
        <f ca="1">IFERROR(__xludf.DUMMYFUNCTION("GOOGLETRANSLATE(D:D,""auto"",""en"")"),"Hubei primary and secondary school of extension")</f>
        <v>Hubei primary and secondary school of extension</v>
      </c>
      <c r="D2312" s="5" t="s">
        <v>5344</v>
      </c>
      <c r="E2312" s="4">
        <v>1403192</v>
      </c>
      <c r="F2312">
        <v>1</v>
      </c>
    </row>
    <row r="2313" spans="1:6" ht="13.5" customHeight="1">
      <c r="A2313" s="4" t="s">
        <v>5345</v>
      </c>
      <c r="B2313" s="4" t="s">
        <v>5346</v>
      </c>
      <c r="C2313" s="4" t="str">
        <f ca="1">IFERROR(__xludf.DUMMYFUNCTION("GOOGLETRANSLATE(D:D,""auto"",""en"")"),"Civil aviation ticket refund fee waived")</f>
        <v>Civil aviation ticket refund fee waived</v>
      </c>
      <c r="D2313" s="5" t="s">
        <v>5347</v>
      </c>
      <c r="E2313" s="4">
        <v>1395479</v>
      </c>
      <c r="F2313">
        <v>1</v>
      </c>
    </row>
    <row r="2314" spans="1:6" ht="13.5" customHeight="1">
      <c r="A2314" s="4" t="s">
        <v>5132</v>
      </c>
      <c r="B2314" s="4" t="s">
        <v>5133</v>
      </c>
      <c r="C2314" s="4" t="str">
        <f ca="1">IFERROR(__xludf.DUMMYFUNCTION("GOOGLETRANSLATE(D:D,""auto"",""en"")"),"bat")</f>
        <v>bat</v>
      </c>
      <c r="D2314" s="5" t="s">
        <v>5134</v>
      </c>
      <c r="E2314" s="4">
        <v>1387002</v>
      </c>
      <c r="F2314">
        <v>1</v>
      </c>
    </row>
    <row r="2315" spans="1:6" ht="13.5" customHeight="1">
      <c r="A2315" s="4" t="s">
        <v>5348</v>
      </c>
      <c r="B2315" s="4" t="s">
        <v>5349</v>
      </c>
      <c r="C2315" s="4" t="str">
        <f ca="1">IFERROR(__xludf.DUMMYFUNCTION("GOOGLETRANSLATE(D:D,""auto"",""en"")"),"New pneumonia symptoms")</f>
        <v>New pneumonia symptoms</v>
      </c>
      <c r="D2315" s="5" t="s">
        <v>5350</v>
      </c>
      <c r="E2315" s="4">
        <v>1383324</v>
      </c>
      <c r="F2315">
        <v>1</v>
      </c>
    </row>
    <row r="2316" spans="1:6" ht="13.5" hidden="1" customHeight="1">
      <c r="A2316" s="4" t="s">
        <v>5351</v>
      </c>
      <c r="B2316" s="4" t="s">
        <v>5352</v>
      </c>
      <c r="C2316" s="4" t="str">
        <f ca="1">IFERROR(__xludf.DUMMYFUNCTION("GOOGLETRANSLATE(D:D,""auto"",""en"")"),"My home girl")</f>
        <v>My home girl</v>
      </c>
      <c r="D2316" s="5" t="s">
        <v>5353</v>
      </c>
      <c r="E2316" s="4">
        <v>1379999</v>
      </c>
    </row>
    <row r="2317" spans="1:6" ht="13.5" customHeight="1">
      <c r="A2317" s="4" t="s">
        <v>5348</v>
      </c>
      <c r="B2317" s="4" t="s">
        <v>5354</v>
      </c>
      <c r="C2317" s="4" t="str">
        <f ca="1">IFERROR(__xludf.DUMMYFUNCTION("GOOGLETRANSLATE(D:D,""auto"",""en"")"),"Hubei response to price increases dish")</f>
        <v>Hubei response to price increases dish</v>
      </c>
      <c r="D2317" s="5" t="s">
        <v>5355</v>
      </c>
      <c r="E2317" s="4">
        <v>1046683</v>
      </c>
      <c r="F2317">
        <v>1</v>
      </c>
    </row>
    <row r="2318" spans="1:6" ht="13.5" customHeight="1">
      <c r="A2318" s="4" t="s">
        <v>5356</v>
      </c>
      <c r="B2318" s="4" t="s">
        <v>5357</v>
      </c>
      <c r="C2318" s="4" t="str">
        <f ca="1">IFERROR(__xludf.DUMMYFUNCTION("GOOGLETRANSLATE(D:D,""auto"",""en"")"),"Jiangsu add four new cases of pneumonia crown")</f>
        <v>Jiangsu add four new cases of pneumonia crown</v>
      </c>
      <c r="D2318" s="5" t="s">
        <v>5358</v>
      </c>
      <c r="E2318" s="4">
        <v>1043334</v>
      </c>
      <c r="F2318">
        <v>1</v>
      </c>
    </row>
    <row r="2319" spans="1:6" ht="13.5" customHeight="1">
      <c r="A2319" s="4" t="s">
        <v>5359</v>
      </c>
      <c r="B2319" s="4" t="s">
        <v>5360</v>
      </c>
      <c r="C2319" s="4" t="str">
        <f ca="1">IFERROR(__xludf.DUMMYFUNCTION("GOOGLETRANSLATE(D:D,""auto"",""en"")"),"Dr. Ding Xiang")</f>
        <v>Dr. Ding Xiang</v>
      </c>
      <c r="D2319" s="5" t="s">
        <v>5361</v>
      </c>
      <c r="E2319" s="4">
        <v>978507</v>
      </c>
      <c r="F2319">
        <v>1</v>
      </c>
    </row>
    <row r="2320" spans="1:6" ht="13.5" customHeight="1">
      <c r="A2320" s="4" t="s">
        <v>5362</v>
      </c>
      <c r="B2320" s="4" t="s">
        <v>5349</v>
      </c>
      <c r="C2320" s="4" t="str">
        <f ca="1">IFERROR(__xludf.DUMMYFUNCTION("GOOGLETRANSLATE(D:D,""auto"",""en"")"),"Singapore's first confirmed cases of novel coronavirus")</f>
        <v>Singapore's first confirmed cases of novel coronavirus</v>
      </c>
      <c r="D2320" s="5" t="s">
        <v>5363</v>
      </c>
      <c r="E2320" s="4">
        <v>810320</v>
      </c>
      <c r="F2320">
        <v>1</v>
      </c>
    </row>
    <row r="2321" spans="1:6" ht="13.5" customHeight="1">
      <c r="A2321" s="4" t="s">
        <v>5364</v>
      </c>
      <c r="B2321" s="4" t="s">
        <v>5365</v>
      </c>
      <c r="C2321" s="4" t="str">
        <f ca="1">IFERROR(__xludf.DUMMYFUNCTION("GOOGLETRANSLATE(D:D,""auto"",""en"")"),"Wuhan 86-year-old wheelchair-bound expert visits")</f>
        <v>Wuhan 86-year-old wheelchair-bound expert visits</v>
      </c>
      <c r="D2321" s="5" t="s">
        <v>5366</v>
      </c>
      <c r="E2321" s="4">
        <v>747972</v>
      </c>
      <c r="F2321">
        <v>1</v>
      </c>
    </row>
    <row r="2322" spans="1:6" ht="13.5" hidden="1" customHeight="1">
      <c r="A2322" s="4" t="s">
        <v>5367</v>
      </c>
      <c r="B2322" s="4" t="s">
        <v>5368</v>
      </c>
      <c r="C2322" s="4" t="str">
        <f ca="1">IFERROR(__xludf.DUMMYFUNCTION("GOOGLETRANSLATE(D:D,""auto"",""en"")"),"Ding Chengxin Examination account theft")</f>
        <v>Ding Chengxin Examination account theft</v>
      </c>
      <c r="D2322" s="5" t="s">
        <v>5369</v>
      </c>
      <c r="E2322" s="4">
        <v>747590</v>
      </c>
    </row>
    <row r="2323" spans="1:6" ht="13.5" hidden="1" customHeight="1">
      <c r="A2323" s="4" t="s">
        <v>5370</v>
      </c>
      <c r="B2323" s="4" t="s">
        <v>5371</v>
      </c>
      <c r="C2323" s="4" t="str">
        <f ca="1">IFERROR(__xludf.DUMMYFUNCTION("GOOGLETRANSLATE(D:D,""auto"",""en"")"),"Jay")</f>
        <v>Jay</v>
      </c>
      <c r="D2323" s="5" t="s">
        <v>5372</v>
      </c>
      <c r="E2323" s="4">
        <v>638426</v>
      </c>
    </row>
    <row r="2324" spans="1:6" ht="13.5" customHeight="1">
      <c r="A2324" s="4" t="s">
        <v>5373</v>
      </c>
      <c r="B2324" s="4" t="s">
        <v>5323</v>
      </c>
      <c r="C2324" s="4" t="str">
        <f ca="1">IFERROR(__xludf.DUMMYFUNCTION("GOOGLETRANSLATE(D:D,""auto"",""en"")"),"The new health care workers infected with pneumonia should be recognized as work-related injuries")</f>
        <v>The new health care workers infected with pneumonia should be recognized as work-related injuries</v>
      </c>
      <c r="D2324" s="5" t="s">
        <v>5374</v>
      </c>
      <c r="E2324" s="4">
        <v>571793</v>
      </c>
      <c r="F2324">
        <v>1</v>
      </c>
    </row>
    <row r="2325" spans="1:6" ht="13.5" hidden="1" customHeight="1">
      <c r="A2325" s="4" t="s">
        <v>5375</v>
      </c>
      <c r="B2325" s="4" t="s">
        <v>5376</v>
      </c>
      <c r="C2325" s="4" t="str">
        <f ca="1">IFERROR(__xludf.DUMMYFUNCTION("GOOGLETRANSLATE(D:D,""auto"",""en"")"),"Mushrooms stewed chicken face")</f>
        <v>Mushrooms stewed chicken face</v>
      </c>
      <c r="D2325" s="5" t="s">
        <v>5377</v>
      </c>
      <c r="E2325" s="4">
        <v>509585</v>
      </c>
    </row>
    <row r="2326" spans="1:6" ht="13.5" hidden="1" customHeight="1">
      <c r="A2326" s="4" t="s">
        <v>5378</v>
      </c>
      <c r="B2326" s="4" t="s">
        <v>5379</v>
      </c>
      <c r="C2326" s="4" t="str">
        <f ca="1">IFERROR(__xludf.DUMMYFUNCTION("GOOGLETRANSLATE(D:D,""auto"",""en"")"),"Chinese tourists take pictures into the sea and killed in Bali")</f>
        <v>Chinese tourists take pictures into the sea and killed in Bali</v>
      </c>
      <c r="D2326" s="5" t="s">
        <v>5380</v>
      </c>
      <c r="E2326" s="4">
        <v>491478</v>
      </c>
    </row>
    <row r="2327" spans="1:6" ht="13.5" customHeight="1">
      <c r="A2327" s="4" t="s">
        <v>5345</v>
      </c>
      <c r="B2327" s="4" t="s">
        <v>5381</v>
      </c>
      <c r="C2327" s="4" t="str">
        <f ca="1">IFERROR(__xludf.DUMMYFUNCTION("GOOGLETRANSLATE(D:D,""auto"",""en"")"),"Gansu diagnosed two cases of new cases of pneumonia")</f>
        <v>Gansu diagnosed two cases of new cases of pneumonia</v>
      </c>
      <c r="D2327" s="5" t="s">
        <v>5382</v>
      </c>
      <c r="E2327" s="4">
        <v>480646</v>
      </c>
      <c r="F2327">
        <v>1</v>
      </c>
    </row>
    <row r="2328" spans="1:6" ht="13.5" hidden="1" customHeight="1">
      <c r="A2328" s="4" t="s">
        <v>5383</v>
      </c>
      <c r="B2328" s="4" t="s">
        <v>5365</v>
      </c>
      <c r="C2328" s="4" t="str">
        <f ca="1">IFERROR(__xludf.DUMMYFUNCTION("GOOGLETRANSLATE(D:D,""auto"",""en"")"),"90 after the real situation and elders")</f>
        <v>90 after the real situation and elders</v>
      </c>
      <c r="D2328" s="5" t="s">
        <v>5384</v>
      </c>
      <c r="E2328" s="4">
        <v>467508</v>
      </c>
    </row>
    <row r="2329" spans="1:6" ht="13.5" customHeight="1">
      <c r="A2329" s="4" t="s">
        <v>5385</v>
      </c>
      <c r="B2329" s="4" t="s">
        <v>5320</v>
      </c>
      <c r="C2329" s="4" t="str">
        <f ca="1">IFERROR(__xludf.DUMMYFUNCTION("GOOGLETRANSLATE(D:D,""auto"",""en"")"),"Wuhan, the new crown pneumonia community donations")</f>
        <v>Wuhan, the new crown pneumonia community donations</v>
      </c>
      <c r="D2329" s="5" t="s">
        <v>5386</v>
      </c>
      <c r="E2329" s="4">
        <v>429261</v>
      </c>
      <c r="F2329">
        <v>1</v>
      </c>
    </row>
    <row r="2330" spans="1:6" ht="13.5" hidden="1" customHeight="1">
      <c r="A2330" s="4" t="s">
        <v>5385</v>
      </c>
      <c r="B2330" s="4" t="s">
        <v>5127</v>
      </c>
      <c r="C2330" s="4" t="str">
        <f ca="1">IFERROR(__xludf.DUMMYFUNCTION("GOOGLETRANSLATE(D:D,""auto"",""en"")"),"Zheng Shuang double tail")</f>
        <v>Zheng Shuang double tail</v>
      </c>
      <c r="D2330" s="5" t="s">
        <v>5387</v>
      </c>
      <c r="E2330" s="4">
        <v>418266</v>
      </c>
    </row>
    <row r="2331" spans="1:6" ht="13.5" hidden="1" customHeight="1">
      <c r="A2331" s="4" t="s">
        <v>5370</v>
      </c>
      <c r="B2331" s="4" t="s">
        <v>5388</v>
      </c>
      <c r="C2331" s="4" t="str">
        <f ca="1">IFERROR(__xludf.DUMMYFUNCTION("GOOGLETRANSLATE(D:D,""auto"",""en"")"),"Deyunshe men's team")</f>
        <v>Deyunshe men's team</v>
      </c>
      <c r="D2331" s="5" t="s">
        <v>5389</v>
      </c>
      <c r="E2331" s="4">
        <v>416425</v>
      </c>
    </row>
    <row r="2332" spans="1:6" ht="13.5" customHeight="1">
      <c r="A2332" s="4" t="s">
        <v>5390</v>
      </c>
      <c r="B2332" s="4" t="s">
        <v>5360</v>
      </c>
      <c r="C2332" s="4" t="str">
        <f ca="1">IFERROR(__xludf.DUMMYFUNCTION("GOOGLETRANSLATE(D:D,""auto"",""en"")"),"This year we do not go out New Year")</f>
        <v>This year we do not go out New Year</v>
      </c>
      <c r="D2332" s="5" t="s">
        <v>5391</v>
      </c>
      <c r="E2332" s="4">
        <v>400094</v>
      </c>
      <c r="F2332">
        <v>1</v>
      </c>
    </row>
    <row r="2333" spans="1:6" ht="13.5" customHeight="1">
      <c r="A2333" s="4" t="s">
        <v>5392</v>
      </c>
      <c r="B2333" s="4" t="s">
        <v>5393</v>
      </c>
      <c r="C2333" s="4" t="str">
        <f ca="1">IFERROR(__xludf.DUMMYFUNCTION("GOOGLETRANSLATE(D:D,""auto"",""en"")"),"Shenzhen two new patients with pneumonia recovery")</f>
        <v>Shenzhen two new patients with pneumonia recovery</v>
      </c>
      <c r="D2333" s="5" t="s">
        <v>5394</v>
      </c>
      <c r="E2333" s="4">
        <v>356037</v>
      </c>
      <c r="F2333">
        <v>1</v>
      </c>
    </row>
    <row r="2334" spans="1:6" ht="13.5" customHeight="1">
      <c r="A2334" s="4" t="s">
        <v>5395</v>
      </c>
      <c r="B2334" s="4" t="s">
        <v>5340</v>
      </c>
      <c r="C2334" s="4" t="str">
        <f ca="1">IFERROR(__xludf.DUMMYFUNCTION("GOOGLETRANSLATE(D:D,""auto"",""en"")"),"Xinjiang confirmed two cases of the new pneumonia")</f>
        <v>Xinjiang confirmed two cases of the new pneumonia</v>
      </c>
      <c r="D2334" s="5" t="s">
        <v>5396</v>
      </c>
      <c r="E2334" s="4">
        <v>318519</v>
      </c>
      <c r="F2334">
        <v>1</v>
      </c>
    </row>
    <row r="2335" spans="1:6" ht="13.5" hidden="1" customHeight="1">
      <c r="A2335" s="4" t="s">
        <v>5397</v>
      </c>
      <c r="B2335" s="4" t="s">
        <v>5209</v>
      </c>
      <c r="C2335" s="4" t="str">
        <f ca="1">IFERROR(__xludf.DUMMYFUNCTION("GOOGLETRANSLATE(D:D,""auto"",""en"")"),"C bits served dinner")</f>
        <v>C bits served dinner</v>
      </c>
      <c r="D2335" s="5" t="s">
        <v>5398</v>
      </c>
      <c r="E2335" s="4">
        <v>317146</v>
      </c>
    </row>
    <row r="2336" spans="1:6" ht="13.5" hidden="1" customHeight="1">
      <c r="A2336" s="4" t="s">
        <v>5399</v>
      </c>
      <c r="B2336" s="4" t="s">
        <v>5400</v>
      </c>
      <c r="C2336" s="4" t="str">
        <f ca="1">IFERROR(__xludf.DUMMYFUNCTION("GOOGLETRANSLATE(D:D,""auto"",""en"")"),"Fahrenheit members Zhufu Chen Calvin Joanne Tseng")</f>
        <v>Fahrenheit members Zhufu Chen Calvin Joanne Tseng</v>
      </c>
      <c r="D2336" s="5" t="s">
        <v>5401</v>
      </c>
      <c r="E2336" s="4">
        <v>312806</v>
      </c>
    </row>
    <row r="2337" spans="1:6" ht="13.5" customHeight="1">
      <c r="A2337" s="4" t="s">
        <v>5402</v>
      </c>
      <c r="B2337" s="4" t="s">
        <v>5403</v>
      </c>
      <c r="C2337" s="4" t="str">
        <f ca="1">IFERROR(__xludf.DUMMYFUNCTION("GOOGLETRANSLATE(D:D,""auto"",""en"")"),"Chinese New Year dinner or not to cancel")</f>
        <v>Chinese New Year dinner or not to cancel</v>
      </c>
      <c r="D2337" s="5" t="s">
        <v>5404</v>
      </c>
      <c r="E2337" s="4">
        <v>289355</v>
      </c>
      <c r="F2337">
        <v>1</v>
      </c>
    </row>
    <row r="2338" spans="1:6" ht="13.5" customHeight="1">
      <c r="A2338" s="4" t="s">
        <v>5405</v>
      </c>
      <c r="B2338" s="4" t="s">
        <v>5406</v>
      </c>
      <c r="C2338" s="4" t="str">
        <f ca="1">IFERROR(__xludf.DUMMYFUNCTION("GOOGLETRANSLATE(D:D,""auto"",""en"")"),"After the closed city of Wuhan citizens living")</f>
        <v>After the closed city of Wuhan citizens living</v>
      </c>
      <c r="D2338" s="5" t="s">
        <v>5407</v>
      </c>
      <c r="E2338" s="4">
        <v>284637</v>
      </c>
      <c r="F2338">
        <v>1</v>
      </c>
    </row>
    <row r="2339" spans="1:6" ht="13.5" customHeight="1">
      <c r="A2339" s="4" t="s">
        <v>5408</v>
      </c>
      <c r="B2339" s="4" t="s">
        <v>5409</v>
      </c>
      <c r="C2339" s="4" t="str">
        <f ca="1">IFERROR(__xludf.DUMMYFUNCTION("GOOGLETRANSLATE(D:D,""auto"",""en"")"),"Shaanxi confirmed three cases of the new pneumonia")</f>
        <v>Shaanxi confirmed three cases of the new pneumonia</v>
      </c>
      <c r="D2339" s="5" t="s">
        <v>5410</v>
      </c>
      <c r="E2339" s="4">
        <v>274436</v>
      </c>
      <c r="F2339">
        <v>1</v>
      </c>
    </row>
    <row r="2340" spans="1:6" ht="13.5" customHeight="1">
      <c r="A2340" s="4" t="s">
        <v>5411</v>
      </c>
      <c r="B2340" s="4" t="s">
        <v>5412</v>
      </c>
      <c r="C2340" s="4" t="str">
        <f ca="1">IFERROR(__xludf.DUMMYFUNCTION("GOOGLETRANSLATE(D:D,""auto"",""en"")"),"Beijing canceled events")</f>
        <v>Beijing canceled events</v>
      </c>
      <c r="D2340" s="5" t="s">
        <v>5413</v>
      </c>
      <c r="E2340" s="4">
        <v>265337</v>
      </c>
      <c r="F2340">
        <v>1</v>
      </c>
    </row>
    <row r="2341" spans="1:6" ht="13.5" customHeight="1">
      <c r="A2341" s="4" t="s">
        <v>5339</v>
      </c>
      <c r="B2341" s="4" t="s">
        <v>5320</v>
      </c>
      <c r="C2341" s="4" t="str">
        <f ca="1">IFERROR(__xludf.DUMMYFUNCTION("GOOGLETRANSLATE(D:D,""auto"",""en"")"),"Sneezing right way")</f>
        <v>Sneezing right way</v>
      </c>
      <c r="D2341" s="5" t="s">
        <v>5414</v>
      </c>
      <c r="E2341" s="4">
        <v>255203</v>
      </c>
      <c r="F2341">
        <v>1</v>
      </c>
    </row>
    <row r="2342" spans="1:6" ht="13.5" customHeight="1">
      <c r="A2342" s="4" t="s">
        <v>5310</v>
      </c>
      <c r="B2342" s="4" t="s">
        <v>5415</v>
      </c>
      <c r="C2342" s="4" t="str">
        <f ca="1">IFERROR(__xludf.DUMMYFUNCTION("GOOGLETRANSLATE(D:D,""auto"",""en"")"),"Ministry of Finance allocated 1 billion subsidy Hubei epidemic prevention and control")</f>
        <v>Ministry of Finance allocated 1 billion subsidy Hubei epidemic prevention and control</v>
      </c>
      <c r="D2342" s="5" t="s">
        <v>5416</v>
      </c>
      <c r="E2342" s="4">
        <v>253982</v>
      </c>
      <c r="F2342">
        <v>1</v>
      </c>
    </row>
    <row r="2343" spans="1:6" ht="13.5" customHeight="1">
      <c r="A2343" s="4" t="s">
        <v>5417</v>
      </c>
      <c r="B2343" s="4" t="s">
        <v>5418</v>
      </c>
      <c r="C2343" s="4" t="str">
        <f ca="1">IFERROR(__xludf.DUMMYFUNCTION("GOOGLETRANSLATE(D:D,""auto"",""en"")"),"Game")</f>
        <v>Game</v>
      </c>
      <c r="D2343" s="5" t="s">
        <v>5419</v>
      </c>
      <c r="E2343" s="4">
        <v>253831</v>
      </c>
      <c r="F2343">
        <v>1</v>
      </c>
    </row>
    <row r="2344" spans="1:6" ht="13.5" customHeight="1">
      <c r="A2344" s="4" t="s">
        <v>5420</v>
      </c>
      <c r="B2344" s="4" t="s">
        <v>5354</v>
      </c>
      <c r="C2344" s="4" t="str">
        <f ca="1">IFERROR(__xludf.DUMMYFUNCTION("GOOGLETRANSLATE(D:D,""auto"",""en"")"),"Wuhan entertainment venues to suspend business")</f>
        <v>Wuhan entertainment venues to suspend business</v>
      </c>
      <c r="D2344" s="5" t="s">
        <v>5421</v>
      </c>
      <c r="E2344" s="4">
        <v>249912</v>
      </c>
      <c r="F2344">
        <v>1</v>
      </c>
    </row>
    <row r="2345" spans="1:6" ht="13.5" customHeight="1">
      <c r="A2345" s="4" t="s">
        <v>5422</v>
      </c>
      <c r="B2345" s="4" t="s">
        <v>5423</v>
      </c>
      <c r="C2345" s="4" t="str">
        <f ca="1">IFERROR(__xludf.DUMMYFUNCTION("GOOGLETRANSLATE(D:D,""auto"",""en"")"),"National Railway waive cancellation fees")</f>
        <v>National Railway waive cancellation fees</v>
      </c>
      <c r="D2345" s="5" t="s">
        <v>5424</v>
      </c>
      <c r="E2345" s="4">
        <v>215647</v>
      </c>
      <c r="F2345">
        <v>1</v>
      </c>
    </row>
    <row r="2346" spans="1:6" ht="13.5" hidden="1" customHeight="1">
      <c r="A2346" s="4" t="s">
        <v>5425</v>
      </c>
      <c r="B2346" s="4" t="s">
        <v>5426</v>
      </c>
      <c r="C2346" s="4" t="str">
        <f ca="1">IFERROR(__xludf.DUMMYFUNCTION("GOOGLETRANSLATE(D:D,""auto"",""en"")"),"Tianjin Spring Festival")</f>
        <v>Tianjin Spring Festival</v>
      </c>
      <c r="D2346" s="5" t="s">
        <v>5427</v>
      </c>
      <c r="E2346" s="4">
        <v>214983</v>
      </c>
    </row>
    <row r="2347" spans="1:6" ht="13.5" customHeight="1">
      <c r="A2347" s="4" t="s">
        <v>5428</v>
      </c>
      <c r="B2347" s="4" t="s">
        <v>5354</v>
      </c>
      <c r="C2347" s="4" t="str">
        <f ca="1">IFERROR(__xludf.DUMMYFUNCTION("GOOGLETRANSLATE(D:D,""auto"",""en"")"),"Doctors battle assignment book")</f>
        <v>Doctors battle assignment book</v>
      </c>
      <c r="D2347" s="5" t="s">
        <v>5429</v>
      </c>
      <c r="E2347" s="4">
        <v>173570</v>
      </c>
      <c r="F2347">
        <v>1</v>
      </c>
    </row>
    <row r="2348" spans="1:6" ht="13.5" customHeight="1">
      <c r="A2348" s="4" t="s">
        <v>5430</v>
      </c>
      <c r="B2348" s="4" t="s">
        <v>5343</v>
      </c>
      <c r="C2348" s="4" t="str">
        <f ca="1">IFERROR(__xludf.DUMMYFUNCTION("GOOGLETRANSLATE(D:D,""auto"",""en"")"),"Tsinghua University Beijing University campus visit pause")</f>
        <v>Tsinghua University Beijing University campus visit pause</v>
      </c>
      <c r="D2348" s="5" t="s">
        <v>5431</v>
      </c>
      <c r="E2348" s="4">
        <v>169767</v>
      </c>
      <c r="F2348">
        <v>1</v>
      </c>
    </row>
    <row r="2349" spans="1:6" ht="13.5" hidden="1" customHeight="1">
      <c r="C2349" s="4" t="str">
        <f ca="1">IFERROR(__xludf.DUMMYFUNCTION("GOOGLETRANSLATE(D:D,""auto"",""en"")"),"#VALUE!")</f>
        <v>#VALUE!</v>
      </c>
    </row>
    <row r="2350" spans="1:6" ht="13.5" customHeight="1">
      <c r="A2350" s="4" t="s">
        <v>5432</v>
      </c>
      <c r="B2350" s="4" t="s">
        <v>5319</v>
      </c>
      <c r="C2350" s="4" t="str">
        <f ca="1">IFERROR(__xludf.DUMMYFUNCTION("GOOGLETRANSLATE(D:D,""auto"",""en"")"),"Hubei, Shandong New Year is a family of three to Report")</f>
        <v>Hubei, Shandong New Year is a family of three to Report</v>
      </c>
      <c r="D2350" s="4" t="s">
        <v>5433</v>
      </c>
      <c r="E2350" s="4">
        <v>10554971</v>
      </c>
      <c r="F2350">
        <v>1</v>
      </c>
    </row>
    <row r="2351" spans="1:6" ht="13.5" customHeight="1">
      <c r="A2351" s="4" t="s">
        <v>5434</v>
      </c>
      <c r="B2351" s="4" t="s">
        <v>5435</v>
      </c>
      <c r="C2351" s="4" t="str">
        <f ca="1">IFERROR(__xludf.DUMMYFUNCTION("GOOGLETRANSLATE(D:D,""auto"",""en"")"),"Embarrassing mom who started online broadcast free")</f>
        <v>Embarrassing mom who started online broadcast free</v>
      </c>
      <c r="D2351" s="5" t="s">
        <v>5436</v>
      </c>
      <c r="E2351" s="4">
        <v>7768150</v>
      </c>
      <c r="F2351">
        <v>1</v>
      </c>
    </row>
    <row r="2352" spans="1:6" ht="13.5" customHeight="1">
      <c r="A2352" s="4" t="s">
        <v>5437</v>
      </c>
      <c r="B2352" s="4" t="s">
        <v>5373</v>
      </c>
      <c r="C2352" s="4" t="str">
        <f ca="1">IFERROR(__xludf.DUMMYFUNCTION("GOOGLETRANSLATE(D:D,""auto"",""en"")"),"National diagnosed 830 cases of new cases of pneumonia")</f>
        <v>National diagnosed 830 cases of new cases of pneumonia</v>
      </c>
      <c r="D2352" s="5" t="s">
        <v>5438</v>
      </c>
      <c r="E2352" s="4">
        <v>6387802</v>
      </c>
      <c r="F2352">
        <v>1</v>
      </c>
    </row>
    <row r="2353" spans="1:6" ht="13.5" customHeight="1">
      <c r="A2353" s="4" t="s">
        <v>5439</v>
      </c>
      <c r="B2353" s="4" t="s">
        <v>5440</v>
      </c>
      <c r="C2353" s="4" t="str">
        <f ca="1">IFERROR(__xludf.DUMMYFUNCTION("GOOGLETRANSLATE(D:D,""auto"",""en"")"),"Deputy director of the Hubei Department of Commerce infected with the new virus crown")</f>
        <v>Deputy director of the Hubei Department of Commerce infected with the new virus crown</v>
      </c>
      <c r="D2353" s="5" t="s">
        <v>5441</v>
      </c>
      <c r="E2353" s="4">
        <v>3575731</v>
      </c>
      <c r="F2353">
        <v>1</v>
      </c>
    </row>
    <row r="2354" spans="1:6" ht="13.5" customHeight="1">
      <c r="A2354" s="4" t="s">
        <v>5442</v>
      </c>
      <c r="B2354" s="4" t="s">
        <v>5443</v>
      </c>
      <c r="C2354" s="4" t="str">
        <f ca="1">IFERROR(__xludf.DUMMYFUNCTION("GOOGLETRANSLATE(D:D,""auto"",""en"")"),"Zhong Nanshan, head of scientific research of any disease emergency")</f>
        <v>Zhong Nanshan, head of scientific research of any disease emergency</v>
      </c>
      <c r="D2354" s="5" t="s">
        <v>5444</v>
      </c>
      <c r="E2354" s="4">
        <v>2254242</v>
      </c>
      <c r="F2354">
        <v>1</v>
      </c>
    </row>
    <row r="2355" spans="1:6" ht="13.5" customHeight="1">
      <c r="A2355" s="4" t="s">
        <v>5445</v>
      </c>
      <c r="B2355" s="4" t="s">
        <v>5446</v>
      </c>
      <c r="C2355" s="4" t="str">
        <f ca="1">IFERROR(__xludf.DUMMYFUNCTION("GOOGLETRANSLATE(D:D,""auto"",""en"")"),"Heilongjiang 1 death")</f>
        <v>Heilongjiang 1 death</v>
      </c>
      <c r="D2355" s="5" t="s">
        <v>5447</v>
      </c>
      <c r="E2355" s="4">
        <v>2194940</v>
      </c>
      <c r="F2355">
        <v>1</v>
      </c>
    </row>
    <row r="2356" spans="1:6" ht="13.5" customHeight="1">
      <c r="A2356" s="4" t="s">
        <v>5448</v>
      </c>
      <c r="B2356" s="4" t="s">
        <v>5333</v>
      </c>
      <c r="C2356" s="4" t="str">
        <f ca="1">IFERROR(__xludf.DUMMYFUNCTION("GOOGLETRANSLATE(D:D,""auto"",""en"")"),"Chengdu brother in the subway free hair masks")</f>
        <v>Chengdu brother in the subway free hair masks</v>
      </c>
      <c r="D2356" s="5" t="s">
        <v>5449</v>
      </c>
      <c r="E2356" s="4">
        <v>2004769</v>
      </c>
      <c r="F2356">
        <v>1</v>
      </c>
    </row>
    <row r="2357" spans="1:6" ht="13.5" customHeight="1">
      <c r="A2357" s="4" t="s">
        <v>5450</v>
      </c>
      <c r="B2357" s="4" t="s">
        <v>5451</v>
      </c>
      <c r="C2357" s="4" t="str">
        <f ca="1">IFERROR(__xludf.DUMMYFUNCTION("GOOGLETRANSLATE(D:D,""auto"",""en"")"),"Please isolate yourself back from Wuhan")</f>
        <v>Please isolate yourself back from Wuhan</v>
      </c>
      <c r="D2357" s="5" t="s">
        <v>5452</v>
      </c>
      <c r="E2357" s="4">
        <v>1912474</v>
      </c>
      <c r="F2357">
        <v>1</v>
      </c>
    </row>
    <row r="2358" spans="1:6" ht="13.5" hidden="1" customHeight="1">
      <c r="A2358" s="4" t="s">
        <v>5453</v>
      </c>
      <c r="B2358" s="4" t="s">
        <v>5454</v>
      </c>
      <c r="C2358" s="4" t="str">
        <f ca="1">IFERROR(__xludf.DUMMYFUNCTION("GOOGLETRANSLATE(D:D,""auto"",""en"")"),"News 11")</f>
        <v>News 11</v>
      </c>
      <c r="D2358" s="5" t="s">
        <v>5455</v>
      </c>
      <c r="E2358" s="4">
        <v>1565601</v>
      </c>
    </row>
    <row r="2359" spans="1:6" ht="13.5" customHeight="1">
      <c r="A2359" s="4" t="s">
        <v>5456</v>
      </c>
      <c r="B2359" s="4" t="s">
        <v>5457</v>
      </c>
      <c r="C2359" s="4" t="str">
        <f ca="1">IFERROR(__xludf.DUMMYFUNCTION("GOOGLETRANSLATE(D:D,""auto"",""en"")"),"Adjustable university teaching arrangements, if necessary")</f>
        <v>Adjustable university teaching arrangements, if necessary</v>
      </c>
      <c r="D2359" s="5" t="s">
        <v>5458</v>
      </c>
      <c r="E2359" s="4">
        <v>1514799</v>
      </c>
      <c r="F2359">
        <v>1</v>
      </c>
    </row>
    <row r="2360" spans="1:6" ht="13.5" customHeight="1">
      <c r="A2360" s="4" t="s">
        <v>5459</v>
      </c>
      <c r="B2360" s="4" t="s">
        <v>5446</v>
      </c>
      <c r="C2360" s="4" t="str">
        <f ca="1">IFERROR(__xludf.DUMMYFUNCTION("GOOGLETRANSLATE(D:D,""auto"",""en"")"),"Guangdong has 10 cases of family clusters of disease")</f>
        <v>Guangdong has 10 cases of family clusters of disease</v>
      </c>
      <c r="D2360" s="5" t="s">
        <v>5460</v>
      </c>
      <c r="E2360" s="4">
        <v>1109968</v>
      </c>
      <c r="F2360">
        <v>1</v>
      </c>
    </row>
    <row r="2361" spans="1:6" ht="13.5" customHeight="1">
      <c r="A2361" s="4" t="s">
        <v>5461</v>
      </c>
      <c r="B2361" s="4" t="s">
        <v>5462</v>
      </c>
      <c r="C2361" s="4" t="str">
        <f ca="1">IFERROR(__xludf.DUMMYFUNCTION("GOOGLETRANSLATE(D:D,""auto"",""en"")"),"New pneumonia have been cured 34 cases")</f>
        <v>New pneumonia have been cured 34 cases</v>
      </c>
      <c r="D2361" s="5" t="s">
        <v>5463</v>
      </c>
      <c r="E2361" s="4">
        <v>1086792</v>
      </c>
      <c r="F2361">
        <v>1</v>
      </c>
    </row>
    <row r="2362" spans="1:6" ht="13.5" customHeight="1">
      <c r="A2362" s="4" t="s">
        <v>5094</v>
      </c>
      <c r="B2362" s="4" t="s">
        <v>5095</v>
      </c>
      <c r="C2362" s="4" t="str">
        <f ca="1">IFERROR(__xludf.DUMMYFUNCTION("GOOGLETRANSLATE(D:D,""auto"",""en"")"),"China confirmed new cases of pneumonia")</f>
        <v>China confirmed new cases of pneumonia</v>
      </c>
      <c r="D2362" s="5" t="s">
        <v>5096</v>
      </c>
      <c r="E2362" s="4">
        <v>1029956</v>
      </c>
      <c r="F2362">
        <v>1</v>
      </c>
    </row>
    <row r="2363" spans="1:6" ht="13.5" customHeight="1">
      <c r="A2363" s="4" t="s">
        <v>5464</v>
      </c>
      <c r="B2363" s="4" t="s">
        <v>5465</v>
      </c>
      <c r="C2363" s="4" t="str">
        <f ca="1">IFERROR(__xludf.DUMMYFUNCTION("GOOGLETRANSLATE(D:D,""auto"",""en"")"),"Hubei School postpone the opening time")</f>
        <v>Hubei School postpone the opening time</v>
      </c>
      <c r="D2363" s="5" t="s">
        <v>5466</v>
      </c>
      <c r="E2363" s="4">
        <v>909534</v>
      </c>
      <c r="F2363">
        <v>1</v>
      </c>
    </row>
    <row r="2364" spans="1:6" ht="13.5" customHeight="1">
      <c r="A2364" s="4" t="s">
        <v>5467</v>
      </c>
      <c r="B2364" s="4" t="s">
        <v>5468</v>
      </c>
      <c r="C2364" s="4" t="str">
        <f ca="1">IFERROR(__xludf.DUMMYFUNCTION("GOOGLETRANSLATE(D:D,""auto"",""en"")"),"Wuhan nurse circle of friends")</f>
        <v>Wuhan nurse circle of friends</v>
      </c>
      <c r="D2364" s="5" t="s">
        <v>5469</v>
      </c>
      <c r="E2364" s="4">
        <v>820215</v>
      </c>
      <c r="F2364">
        <v>1</v>
      </c>
    </row>
    <row r="2365" spans="1:6" ht="13.5" hidden="1" customHeight="1">
      <c r="A2365" s="4" t="s">
        <v>5470</v>
      </c>
      <c r="B2365" s="4" t="s">
        <v>5471</v>
      </c>
      <c r="C2365" s="4" t="str">
        <f ca="1">IFERROR(__xludf.DUMMYFUNCTION("GOOGLETRANSLATE(D:D,""auto"",""en"")"),"Xu Zheng")</f>
        <v>Xu Zheng</v>
      </c>
      <c r="D2365" s="5" t="s">
        <v>5472</v>
      </c>
      <c r="E2365" s="4">
        <v>788627</v>
      </c>
    </row>
    <row r="2366" spans="1:6" ht="13.5" customHeight="1">
      <c r="A2366" s="4" t="s">
        <v>5473</v>
      </c>
      <c r="B2366" s="4" t="s">
        <v>5471</v>
      </c>
      <c r="C2366" s="4" t="str">
        <f ca="1">IFERROR(__xludf.DUMMYFUNCTION("GOOGLETRANSLATE(D:D,""auto"",""en"")"),"South Korea confirmed a second case of pneumonia cases new crown")</f>
        <v>South Korea confirmed a second case of pneumonia cases new crown</v>
      </c>
      <c r="D2366" s="5" t="s">
        <v>5474</v>
      </c>
      <c r="E2366" s="4">
        <v>756162</v>
      </c>
      <c r="F2366">
        <v>1</v>
      </c>
    </row>
    <row r="2367" spans="1:6" ht="13.5" customHeight="1">
      <c r="A2367" s="4" t="s">
        <v>5475</v>
      </c>
      <c r="B2367" s="4" t="s">
        <v>5476</v>
      </c>
      <c r="C2367" s="4" t="str">
        <f ca="1">IFERROR(__xludf.DUMMYFUNCTION("GOOGLETRANSLATE(D:D,""auto"",""en"")"),"Zhejiang diagnosed 43 cases")</f>
        <v>Zhejiang diagnosed 43 cases</v>
      </c>
      <c r="D2367" s="5" t="s">
        <v>5477</v>
      </c>
      <c r="E2367" s="4">
        <v>748084</v>
      </c>
      <c r="F2367">
        <v>1</v>
      </c>
    </row>
    <row r="2368" spans="1:6" ht="13.5" customHeight="1">
      <c r="A2368" s="4" t="s">
        <v>5478</v>
      </c>
      <c r="B2368" s="4" t="s">
        <v>5479</v>
      </c>
      <c r="C2368" s="4" t="str">
        <f ca="1">IFERROR(__xludf.DUMMYFUNCTION("GOOGLETRANSLATE(D:D,""auto"",""en"")"),"Wuhan edition Xiaotangshan start building")</f>
        <v>Wuhan edition Xiaotangshan start building</v>
      </c>
      <c r="D2368" s="5" t="s">
        <v>5480</v>
      </c>
      <c r="E2368" s="4">
        <v>698109</v>
      </c>
      <c r="F2368">
        <v>1</v>
      </c>
    </row>
    <row r="2369" spans="1:6" ht="13.5" customHeight="1">
      <c r="A2369" s="4" t="s">
        <v>5481</v>
      </c>
      <c r="B2369" s="4" t="s">
        <v>5446</v>
      </c>
      <c r="C2369" s="4" t="str">
        <f ca="1">IFERROR(__xludf.DUMMYFUNCTION("GOOGLETRANSLATE(D:D,""auto"",""en"")"),"Return a ticket")</f>
        <v>Return a ticket</v>
      </c>
      <c r="D2369" s="5" t="s">
        <v>5482</v>
      </c>
      <c r="E2369" s="4">
        <v>670105</v>
      </c>
      <c r="F2369">
        <v>1</v>
      </c>
    </row>
    <row r="2370" spans="1:6" ht="13.5" customHeight="1">
      <c r="A2370" s="4" t="s">
        <v>5483</v>
      </c>
      <c r="B2370" s="4" t="s">
        <v>5476</v>
      </c>
      <c r="C2370" s="4" t="str">
        <f ca="1">IFERROR(__xludf.DUMMYFUNCTION("GOOGLETRANSLATE(D:D,""auto"",""en"")"),"Chongqing new cases of 18 cases")</f>
        <v>Chongqing new cases of 18 cases</v>
      </c>
      <c r="D2370" s="5" t="s">
        <v>5484</v>
      </c>
      <c r="E2370" s="4">
        <v>667083</v>
      </c>
      <c r="F2370">
        <v>1</v>
      </c>
    </row>
    <row r="2371" spans="1:6" ht="13.5" customHeight="1">
      <c r="A2371" s="4" t="s">
        <v>5481</v>
      </c>
      <c r="B2371" s="4" t="s">
        <v>5485</v>
      </c>
      <c r="C2371" s="4" t="str">
        <f ca="1">IFERROR(__xludf.DUMMYFUNCTION("GOOGLETRANSLATE(D:D,""auto"",""en"")"),"Henan to copy jobs")</f>
        <v>Henan to copy jobs</v>
      </c>
      <c r="D2371" s="5" t="s">
        <v>5486</v>
      </c>
      <c r="E2371" s="4">
        <v>630819</v>
      </c>
      <c r="F2371">
        <v>1</v>
      </c>
    </row>
    <row r="2372" spans="1:6" ht="13.5" customHeight="1">
      <c r="A2372" s="4" t="s">
        <v>5487</v>
      </c>
      <c r="B2372" s="4" t="s">
        <v>5488</v>
      </c>
      <c r="C2372" s="4" t="str">
        <f ca="1">IFERROR(__xludf.DUMMYFUNCTION("GOOGLETRANSLATE(D:D,""auto"",""en"")"),"CBA suspended two weeks")</f>
        <v>CBA suspended two weeks</v>
      </c>
      <c r="D2372" s="5" t="s">
        <v>5489</v>
      </c>
      <c r="E2372" s="4">
        <v>613682</v>
      </c>
      <c r="F2372">
        <v>1</v>
      </c>
    </row>
    <row r="2373" spans="1:6" ht="13.5" customHeight="1">
      <c r="A2373" s="4" t="s">
        <v>5490</v>
      </c>
      <c r="B2373" s="4" t="s">
        <v>5488</v>
      </c>
      <c r="C2373" s="4" t="str">
        <f ca="1">IFERROR(__xludf.DUMMYFUNCTION("GOOGLETRANSLATE(D:D,""auto"",""en"")"),"Closed Lama Temple")</f>
        <v>Closed Lama Temple</v>
      </c>
      <c r="D2373" s="5" t="s">
        <v>5491</v>
      </c>
      <c r="E2373" s="4">
        <v>610529</v>
      </c>
      <c r="F2373">
        <v>1</v>
      </c>
    </row>
    <row r="2374" spans="1:6" ht="13.5" customHeight="1">
      <c r="A2374" s="4" t="s">
        <v>5492</v>
      </c>
      <c r="B2374" s="4" t="s">
        <v>5493</v>
      </c>
      <c r="C2374" s="4" t="str">
        <f ca="1">IFERROR(__xludf.DUMMYFUNCTION("GOOGLETRANSLATE(D:D,""auto"",""en"")"),"Wuhan female health care workers spontaneously cut hair")</f>
        <v>Wuhan female health care workers spontaneously cut hair</v>
      </c>
      <c r="D2374" s="5" t="s">
        <v>5494</v>
      </c>
      <c r="E2374" s="4">
        <v>609073</v>
      </c>
      <c r="F2374">
        <v>1</v>
      </c>
    </row>
    <row r="2375" spans="1:6" ht="13.5" customHeight="1">
      <c r="A2375" s="4" t="s">
        <v>5135</v>
      </c>
      <c r="B2375" s="4" t="s">
        <v>5136</v>
      </c>
      <c r="C2375" s="4" t="str">
        <f ca="1">IFERROR(__xludf.DUMMYFUNCTION("GOOGLETRANSLATE(D:D,""auto"",""en"")"),"Epidemic Map")</f>
        <v>Epidemic Map</v>
      </c>
      <c r="D2375" s="5" t="s">
        <v>5137</v>
      </c>
      <c r="E2375" s="4">
        <v>607618</v>
      </c>
      <c r="F2375">
        <v>1</v>
      </c>
    </row>
    <row r="2376" spans="1:6" ht="13.5" hidden="1" customHeight="1">
      <c r="A2376" s="4" t="s">
        <v>5495</v>
      </c>
      <c r="B2376" s="4" t="s">
        <v>5496</v>
      </c>
      <c r="C2376" s="4" t="str">
        <f ca="1">IFERROR(__xludf.DUMMYFUNCTION("GOOGLETRANSLATE(D:D,""auto"",""en"")"),"New Year's Eve")</f>
        <v>New Year's Eve</v>
      </c>
      <c r="D2376" s="5" t="s">
        <v>5497</v>
      </c>
      <c r="E2376" s="4">
        <v>566155</v>
      </c>
    </row>
    <row r="2377" spans="1:6" ht="13.5" customHeight="1">
      <c r="A2377" s="4" t="s">
        <v>5498</v>
      </c>
      <c r="B2377" s="4" t="s">
        <v>5499</v>
      </c>
      <c r="C2377" s="4" t="str">
        <f ca="1">IFERROR(__xludf.DUMMYFUNCTION("GOOGLETRANSLATE(D:D,""auto"",""en"")"),"Hubei 10 Public Transportation outage")</f>
        <v>Hubei 10 Public Transportation outage</v>
      </c>
      <c r="D2377" s="5" t="s">
        <v>5500</v>
      </c>
      <c r="E2377" s="4">
        <v>500797</v>
      </c>
      <c r="F2377">
        <v>1</v>
      </c>
    </row>
    <row r="2378" spans="1:6" ht="13.5" hidden="1" customHeight="1">
      <c r="A2378" s="4" t="s">
        <v>5501</v>
      </c>
      <c r="B2378" s="4" t="s">
        <v>5502</v>
      </c>
      <c r="C2378" s="4" t="str">
        <f ca="1">IFERROR(__xludf.DUMMYFUNCTION("GOOGLETRANSLATE(D:D,""auto"",""en"")"),"NBA All-Star starting lineup")</f>
        <v>NBA All-Star starting lineup</v>
      </c>
      <c r="D2378" s="5" t="s">
        <v>5503</v>
      </c>
      <c r="E2378" s="4">
        <v>456117</v>
      </c>
    </row>
    <row r="2379" spans="1:6" ht="13.5" customHeight="1">
      <c r="A2379" s="4" t="s">
        <v>5504</v>
      </c>
      <c r="B2379" s="4" t="s">
        <v>5499</v>
      </c>
      <c r="C2379" s="4" t="str">
        <f ca="1">IFERROR(__xludf.DUMMYFUNCTION("GOOGLETRANSLATE(D:D,""auto"",""en"")"),"Hainan cumulative confirmed eight cases of new pneumonia")</f>
        <v>Hainan cumulative confirmed eight cases of new pneumonia</v>
      </c>
      <c r="D2379" s="5" t="s">
        <v>5505</v>
      </c>
      <c r="E2379" s="4">
        <v>446846</v>
      </c>
      <c r="F2379">
        <v>1</v>
      </c>
    </row>
    <row r="2380" spans="1:6" ht="13.5" hidden="1" customHeight="1">
      <c r="A2380" s="4" t="s">
        <v>5506</v>
      </c>
      <c r="B2380" s="4" t="s">
        <v>5507</v>
      </c>
      <c r="C2380" s="4" t="str">
        <f ca="1">IFERROR(__xludf.DUMMYFUNCTION("GOOGLETRANSLATE(D:D,""auto"",""en"")"),"New Year Avatar")</f>
        <v>New Year Avatar</v>
      </c>
      <c r="D2380" s="5" t="s">
        <v>5508</v>
      </c>
      <c r="E2380" s="4">
        <v>415715</v>
      </c>
    </row>
    <row r="2381" spans="1:6" ht="13.5" hidden="1" customHeight="1">
      <c r="A2381" s="4" t="s">
        <v>5313</v>
      </c>
      <c r="B2381" s="4" t="s">
        <v>5314</v>
      </c>
      <c r="C2381" s="4" t="str">
        <f ca="1">IFERROR(__xludf.DUMMYFUNCTION("GOOGLETRANSLATE(D:D,""auto"",""en"")"),"Wang Ou original family story")</f>
        <v>Wang Ou original family story</v>
      </c>
      <c r="D2381" s="5" t="s">
        <v>5315</v>
      </c>
      <c r="E2381" s="4">
        <v>377306</v>
      </c>
    </row>
    <row r="2382" spans="1:6" ht="13.5" hidden="1" customHeight="1">
      <c r="A2382" s="4" t="s">
        <v>5475</v>
      </c>
      <c r="B2382" s="4" t="s">
        <v>5509</v>
      </c>
      <c r="C2382" s="4" t="str">
        <f ca="1">IFERROR(__xludf.DUMMYFUNCTION("GOOGLETRANSLATE(D:D,""auto"",""en"")"),"Lin Yun demolition Express")</f>
        <v>Lin Yun demolition Express</v>
      </c>
      <c r="D2382" s="5" t="s">
        <v>5510</v>
      </c>
      <c r="E2382" s="4">
        <v>351919</v>
      </c>
    </row>
    <row r="2383" spans="1:6" ht="13.5" hidden="1" customHeight="1">
      <c r="A2383" s="4" t="s">
        <v>5511</v>
      </c>
      <c r="B2383" s="4" t="s">
        <v>5446</v>
      </c>
      <c r="C2383" s="4" t="str">
        <f ca="1">IFERROR(__xludf.DUMMYFUNCTION("GOOGLETRANSLATE(D:D,""auto"",""en"")"),"Copywriting for New Year's Eve released")</f>
        <v>Copywriting for New Year's Eve released</v>
      </c>
      <c r="D2383" s="5" t="s">
        <v>5512</v>
      </c>
      <c r="E2383" s="4">
        <v>340111</v>
      </c>
    </row>
    <row r="2384" spans="1:6" ht="13.5" customHeight="1">
      <c r="A2384" s="4" t="s">
        <v>5513</v>
      </c>
      <c r="B2384" s="4" t="s">
        <v>5499</v>
      </c>
      <c r="C2384" s="4" t="str">
        <f ca="1">IFERROR(__xludf.DUMMYFUNCTION("GOOGLETRANSLATE(D:D,""auto"",""en"")"),"Novel coronavirus prevention course")</f>
        <v>Novel coronavirus prevention course</v>
      </c>
      <c r="D2384" s="5" t="s">
        <v>5514</v>
      </c>
      <c r="E2384" s="4">
        <v>336469</v>
      </c>
      <c r="F2384">
        <v>1</v>
      </c>
    </row>
    <row r="2385" spans="1:6" ht="13.5" hidden="1" customHeight="1">
      <c r="A2385" s="4" t="s">
        <v>5515</v>
      </c>
      <c r="B2385" s="4" t="s">
        <v>5516</v>
      </c>
      <c r="C2385" s="4" t="str">
        <f ca="1">IFERROR(__xludf.DUMMYFUNCTION("GOOGLETRANSLATE(D:D,""auto"",""en"")"),"Spring Festival Evening hottest verse")</f>
        <v>Spring Festival Evening hottest verse</v>
      </c>
      <c r="D2385" s="5" t="s">
        <v>5517</v>
      </c>
      <c r="E2385" s="4">
        <v>324309</v>
      </c>
    </row>
    <row r="2386" spans="1:6" ht="13.5" customHeight="1">
      <c r="A2386" s="4" t="s">
        <v>5518</v>
      </c>
      <c r="B2386" s="4" t="s">
        <v>5519</v>
      </c>
      <c r="C2386" s="4" t="str">
        <f ca="1">IFERROR(__xludf.DUMMYFUNCTION("GOOGLETRANSLATE(D:D,""auto"",""en"")"),"Pneumonia does not constitute a new international health emergencies")</f>
        <v>Pneumonia does not constitute a new international health emergencies</v>
      </c>
      <c r="D2386" s="5" t="s">
        <v>5520</v>
      </c>
      <c r="E2386" s="4">
        <v>312160</v>
      </c>
      <c r="F2386">
        <v>1</v>
      </c>
    </row>
    <row r="2387" spans="1:6" ht="13.5" customHeight="1">
      <c r="A2387" s="4" t="s">
        <v>5521</v>
      </c>
      <c r="B2387" s="4" t="s">
        <v>5373</v>
      </c>
      <c r="C2387" s="4" t="str">
        <f ca="1">IFERROR(__xludf.DUMMYFUNCTION("GOOGLETRANSLATE(D:D,""auto"",""en"")"),"In order to wear masks elders how to fight")</f>
        <v>In order to wear masks elders how to fight</v>
      </c>
      <c r="D2387" s="5" t="s">
        <v>5522</v>
      </c>
      <c r="E2387" s="4">
        <v>310732</v>
      </c>
      <c r="F2387">
        <v>1</v>
      </c>
    </row>
    <row r="2388" spans="1:6" ht="13.5" customHeight="1">
      <c r="A2388" s="4" t="s">
        <v>5132</v>
      </c>
      <c r="B2388" s="4" t="s">
        <v>5133</v>
      </c>
      <c r="C2388" s="4" t="str">
        <f ca="1">IFERROR(__xludf.DUMMYFUNCTION("GOOGLETRANSLATE(D:D,""auto"",""en"")"),"bat")</f>
        <v>bat</v>
      </c>
      <c r="D2388" s="5" t="s">
        <v>5134</v>
      </c>
      <c r="E2388" s="4">
        <v>282979</v>
      </c>
      <c r="F2388">
        <v>1</v>
      </c>
    </row>
    <row r="2389" spans="1:6" ht="13.5" customHeight="1">
      <c r="A2389" s="4" t="s">
        <v>5523</v>
      </c>
      <c r="B2389" s="4" t="s">
        <v>5524</v>
      </c>
      <c r="C2389" s="4" t="str">
        <f ca="1">IFERROR(__xludf.DUMMYFUNCTION("GOOGLETRANSLATE(D:D,""auto"",""en"")"),"Hubei travelers return ticket drained away")</f>
        <v>Hubei travelers return ticket drained away</v>
      </c>
      <c r="D2389" s="5" t="s">
        <v>5525</v>
      </c>
      <c r="E2389" s="4">
        <v>277305</v>
      </c>
      <c r="F2389">
        <v>1</v>
      </c>
    </row>
    <row r="2390" spans="1:6" ht="13.5" customHeight="1">
      <c r="A2390" s="4" t="s">
        <v>5526</v>
      </c>
      <c r="B2390" s="4" t="s">
        <v>5527</v>
      </c>
      <c r="C2390" s="4" t="str">
        <f ca="1">IFERROR(__xludf.DUMMYFUNCTION("GOOGLETRANSLATE(D:D,""auto"",""en"")"),"Mathematics disease experiments revealed how important protective measures")</f>
        <v>Mathematics disease experiments revealed how important protective measures</v>
      </c>
      <c r="D2390" s="5" t="s">
        <v>5528</v>
      </c>
      <c r="E2390" s="4">
        <v>276296</v>
      </c>
      <c r="F2390">
        <v>1</v>
      </c>
    </row>
    <row r="2391" spans="1:6" ht="13.5" hidden="1" customHeight="1">
      <c r="A2391" s="4" t="s">
        <v>5529</v>
      </c>
      <c r="B2391" s="4" t="s">
        <v>5530</v>
      </c>
      <c r="C2391" s="4" t="str">
        <f ca="1">IFERROR(__xludf.DUMMYFUNCTION("GOOGLETRANSLATE(D:D,""auto"",""en"")"),"New Year's expression package")</f>
        <v>New Year's expression package</v>
      </c>
      <c r="D2391" s="5" t="s">
        <v>5531</v>
      </c>
      <c r="E2391" s="4">
        <v>274884</v>
      </c>
    </row>
    <row r="2392" spans="1:6" ht="13.5" customHeight="1">
      <c r="A2392" s="4" t="s">
        <v>5532</v>
      </c>
      <c r="B2392" s="4" t="s">
        <v>5533</v>
      </c>
      <c r="C2392" s="4" t="str">
        <f ca="1">IFERROR(__xludf.DUMMYFUNCTION("GOOGLETRANSLATE(D:D,""auto"",""en"")"),"Wuhan cross-river tunnel closed")</f>
        <v>Wuhan cross-river tunnel closed</v>
      </c>
      <c r="D2392" s="5" t="s">
        <v>5534</v>
      </c>
      <c r="E2392" s="4">
        <v>274168</v>
      </c>
      <c r="F2392">
        <v>1</v>
      </c>
    </row>
    <row r="2393" spans="1:6" ht="13.5" hidden="1" customHeight="1">
      <c r="A2393" s="4" t="s">
        <v>5535</v>
      </c>
      <c r="B2393" s="4" t="s">
        <v>5533</v>
      </c>
      <c r="C2393" s="4" t="str">
        <f ca="1">IFERROR(__xludf.DUMMYFUNCTION("GOOGLETRANSLATE(D:D,""auto"",""en"")"),"Media termination joy embarrassing mom minimum guarantee agreement")</f>
        <v>Media termination joy embarrassing mom minimum guarantee agreement</v>
      </c>
      <c r="D2393" s="5" t="s">
        <v>5536</v>
      </c>
      <c r="E2393" s="4">
        <v>272916</v>
      </c>
    </row>
    <row r="2394" spans="1:6" ht="13.5" hidden="1" customHeight="1">
      <c r="A2394" s="4" t="s">
        <v>5537</v>
      </c>
      <c r="B2394" s="4" t="s">
        <v>5533</v>
      </c>
      <c r="C2394" s="4" t="str">
        <f ca="1">IFERROR(__xludf.DUMMYFUNCTION("GOOGLETRANSLATE(D:D,""auto"",""en"")"),"Spring Bowl")</f>
        <v>Spring Bowl</v>
      </c>
      <c r="D2394" s="5" t="s">
        <v>5538</v>
      </c>
      <c r="E2394" s="4">
        <v>271345</v>
      </c>
    </row>
    <row r="2395" spans="1:6" ht="13.5" hidden="1" customHeight="1">
      <c r="A2395" s="4" t="s">
        <v>5539</v>
      </c>
      <c r="B2395" s="4" t="s">
        <v>5533</v>
      </c>
      <c r="C2395" s="4" t="str">
        <f ca="1">IFERROR(__xludf.DUMMYFUNCTION("GOOGLETRANSLATE(D:D,""auto"",""en"")"),"King of glory Update")</f>
        <v>King of glory Update</v>
      </c>
      <c r="D2395" s="5" t="s">
        <v>5540</v>
      </c>
      <c r="E2395" s="4">
        <v>269179</v>
      </c>
    </row>
    <row r="2396" spans="1:6" ht="13.5" customHeight="1">
      <c r="A2396" s="4" t="s">
        <v>5541</v>
      </c>
      <c r="B2396" s="4" t="s">
        <v>5542</v>
      </c>
      <c r="C2396" s="4" t="str">
        <f ca="1">IFERROR(__xludf.DUMMYFUNCTION("GOOGLETRANSLATE(D:D,""auto"",""en"")"),"Beijing canceled a number of performances agency Spring Festival show")</f>
        <v>Beijing canceled a number of performances agency Spring Festival show</v>
      </c>
      <c r="D2396" s="5" t="s">
        <v>5543</v>
      </c>
      <c r="E2396" s="4">
        <v>269140</v>
      </c>
      <c r="F2396">
        <v>1</v>
      </c>
    </row>
    <row r="2397" spans="1:6" ht="13.5" hidden="1" customHeight="1">
      <c r="A2397" s="4" t="s">
        <v>5351</v>
      </c>
      <c r="B2397" s="4" t="s">
        <v>5352</v>
      </c>
      <c r="C2397" s="4" t="str">
        <f ca="1">IFERROR(__xludf.DUMMYFUNCTION("GOOGLETRANSLATE(D:D,""auto"",""en"")"),"My home girl")</f>
        <v>My home girl</v>
      </c>
      <c r="D2397" s="5" t="s">
        <v>5353</v>
      </c>
      <c r="E2397" s="4">
        <v>251425</v>
      </c>
    </row>
    <row r="2398" spans="1:6" ht="13.5" customHeight="1">
      <c r="A2398" s="4" t="s">
        <v>5544</v>
      </c>
      <c r="B2398" s="4" t="s">
        <v>5545</v>
      </c>
      <c r="C2398" s="4" t="str">
        <f ca="1">IFERROR(__xludf.DUMMYFUNCTION("GOOGLETRANSLATE(D:D,""auto"",""en"")"),"Right off wearing a mask method")</f>
        <v>Right off wearing a mask method</v>
      </c>
      <c r="D2398" s="5" t="s">
        <v>5546</v>
      </c>
      <c r="E2398" s="4">
        <v>213399</v>
      </c>
      <c r="F2398">
        <v>1</v>
      </c>
    </row>
    <row r="2399" spans="1:6" ht="13.5" customHeight="1">
      <c r="A2399" s="4" t="s">
        <v>5316</v>
      </c>
      <c r="B2399" s="4" t="s">
        <v>5317</v>
      </c>
      <c r="C2399" s="4" t="str">
        <f ca="1">IFERROR(__xludf.DUMMYFUNCTION("GOOGLETRANSLATE(D:D,""auto"",""en"")"),"Wuhan will build mode Xiaotangshan Hospital")</f>
        <v>Wuhan will build mode Xiaotangshan Hospital</v>
      </c>
      <c r="D2399" s="5" t="s">
        <v>5318</v>
      </c>
      <c r="E2399" s="4">
        <v>206568</v>
      </c>
      <c r="F2399">
        <v>1</v>
      </c>
    </row>
    <row r="2400" spans="1:6" ht="13.5" hidden="1" customHeight="1">
      <c r="C2400" s="4" t="str">
        <f ca="1">IFERROR(__xludf.DUMMYFUNCTION("GOOGLETRANSLATE(D:D,""auto"",""en"")"),"#VALUE!")</f>
        <v>#VALUE!</v>
      </c>
    </row>
    <row r="2401" spans="1:6" ht="13.5" customHeight="1">
      <c r="A2401" s="4" t="s">
        <v>5094</v>
      </c>
      <c r="B2401" s="4" t="s">
        <v>5095</v>
      </c>
      <c r="C2401" s="4" t="str">
        <f ca="1">IFERROR(__xludf.DUMMYFUNCTION("GOOGLETRANSLATE(D:D,""auto"",""en"")"),"China confirmed new cases of pneumonia")</f>
        <v>China confirmed new cases of pneumonia</v>
      </c>
      <c r="D2401" s="4" t="s">
        <v>5096</v>
      </c>
      <c r="E2401" s="4">
        <v>14972975</v>
      </c>
      <c r="F2401">
        <v>1</v>
      </c>
    </row>
    <row r="2402" spans="1:6" ht="13.5" hidden="1" customHeight="1">
      <c r="A2402" s="4" t="s">
        <v>5547</v>
      </c>
      <c r="B2402" s="4" t="s">
        <v>5548</v>
      </c>
      <c r="C2402" s="4" t="str">
        <f ca="1">IFERROR(__xludf.DUMMYFUNCTION("GOOGLETRANSLATE(D:D,""auto"",""en"")"),"Who Nigel Amat Contact")</f>
        <v>Who Nigel Amat Contact</v>
      </c>
      <c r="D2402" s="5" t="s">
        <v>5549</v>
      </c>
      <c r="E2402" s="4">
        <v>4151049</v>
      </c>
    </row>
    <row r="2403" spans="1:6" ht="13.5" hidden="1" customHeight="1">
      <c r="A2403" s="4" t="s">
        <v>5550</v>
      </c>
      <c r="B2403" s="4" t="s">
        <v>5551</v>
      </c>
      <c r="C2403" s="4" t="str">
        <f ca="1">IFERROR(__xludf.DUMMYFUNCTION("GOOGLETRANSLATE(D:D,""auto"",""en"")"),"New Year well-being")</f>
        <v>New Year well-being</v>
      </c>
      <c r="D2403" s="5" t="s">
        <v>5552</v>
      </c>
      <c r="E2403" s="4">
        <v>3805393</v>
      </c>
    </row>
    <row r="2404" spans="1:6" ht="13.5" hidden="1" customHeight="1">
      <c r="A2404" s="4" t="s">
        <v>5553</v>
      </c>
      <c r="B2404" s="4" t="s">
        <v>5554</v>
      </c>
      <c r="C2404" s="4" t="str">
        <f ca="1">IFERROR(__xludf.DUMMYFUNCTION("GOOGLETRANSLATE(D:D,""auto"",""en"")"),"Xiaozhan say like Biao")</f>
        <v>Xiaozhan say like Biao</v>
      </c>
      <c r="D2404" s="5" t="s">
        <v>5555</v>
      </c>
      <c r="E2404" s="4">
        <v>3775034</v>
      </c>
    </row>
    <row r="2405" spans="1:6" ht="13.5" hidden="1" customHeight="1">
      <c r="A2405" s="4" t="s">
        <v>5556</v>
      </c>
      <c r="B2405" s="4" t="s">
        <v>5557</v>
      </c>
      <c r="C2405" s="4" t="str">
        <f ca="1">IFERROR(__xludf.DUMMYFUNCTION("GOOGLETRANSLATE(D:D,""auto"",""en"")"),"ZhouDongYu lying silkworm")</f>
        <v>ZhouDongYu lying silkworm</v>
      </c>
      <c r="D2405" s="5" t="s">
        <v>5558</v>
      </c>
      <c r="E2405" s="4">
        <v>3270499</v>
      </c>
    </row>
    <row r="2406" spans="1:6" ht="13.5" hidden="1" customHeight="1">
      <c r="A2406" s="4" t="s">
        <v>5559</v>
      </c>
      <c r="B2406" s="4" t="s">
        <v>5560</v>
      </c>
      <c r="C2406" s="4" t="str">
        <f ca="1">IFERROR(__xludf.DUMMYFUNCTION("GOOGLETRANSLATE(D:D,""auto"",""en"")"),"The only rehearsal had no Spring Festival Evening Show")</f>
        <v>The only rehearsal had no Spring Festival Evening Show</v>
      </c>
      <c r="D2406" s="5" t="s">
        <v>5561</v>
      </c>
      <c r="E2406" s="4">
        <v>2457818</v>
      </c>
    </row>
    <row r="2407" spans="1:6" ht="13.5" hidden="1" customHeight="1">
      <c r="A2407" s="4" t="s">
        <v>5562</v>
      </c>
      <c r="B2407" s="4" t="s">
        <v>5557</v>
      </c>
      <c r="C2407" s="4" t="str">
        <f ca="1">IFERROR(__xludf.DUMMYFUNCTION("GOOGLETRANSLATE(D:D,""auto"",""en"")"),"I love you, Comrade Andrzej")</f>
        <v>I love you, Comrade Andrzej</v>
      </c>
      <c r="D2407" s="5" t="s">
        <v>5563</v>
      </c>
      <c r="E2407" s="4">
        <v>1961509</v>
      </c>
    </row>
    <row r="2408" spans="1:6" ht="13.5" customHeight="1">
      <c r="A2408" s="4" t="s">
        <v>5564</v>
      </c>
      <c r="B2408" s="4" t="s">
        <v>5565</v>
      </c>
      <c r="C2408" s="4" t="str">
        <f ca="1">IFERROR(__xludf.DUMMYFUNCTION("GOOGLETRANSLATE(D:D,""auto"",""en"")"),"Severe isolation ward in the New Year's Eve")</f>
        <v>Severe isolation ward in the New Year's Eve</v>
      </c>
      <c r="D2408" s="5" t="s">
        <v>5566</v>
      </c>
      <c r="E2408" s="4">
        <v>1928939</v>
      </c>
      <c r="F2408">
        <v>1</v>
      </c>
    </row>
    <row r="2409" spans="1:6" ht="13.5" customHeight="1">
      <c r="A2409" s="4" t="s">
        <v>5567</v>
      </c>
      <c r="B2409" s="4" t="s">
        <v>5568</v>
      </c>
      <c r="C2409" s="4" t="str">
        <f ca="1">IFERROR(__xludf.DUMMYFUNCTION("GOOGLETRANSLATE(D:D,""auto"",""en"")"),"Guangdong 21 medical staff the night went to Wuhan")</f>
        <v>Guangdong 21 medical staff the night went to Wuhan</v>
      </c>
      <c r="D2409" s="5" t="s">
        <v>5569</v>
      </c>
      <c r="E2409" s="4">
        <v>1870398</v>
      </c>
      <c r="F2409">
        <v>1</v>
      </c>
    </row>
    <row r="2410" spans="1:6" ht="13.5" hidden="1" customHeight="1">
      <c r="A2410" s="4" t="s">
        <v>5570</v>
      </c>
      <c r="B2410" s="4" t="s">
        <v>5571</v>
      </c>
      <c r="C2410" s="4" t="str">
        <f ca="1">IFERROR(__xludf.DUMMYFUNCTION("GOOGLETRANSLATE(D:D,""auto"",""en"")"),"Spring Festival Evening dress")</f>
        <v>Spring Festival Evening dress</v>
      </c>
      <c r="D2410" s="5" t="s">
        <v>5572</v>
      </c>
      <c r="E2410" s="4">
        <v>1851263</v>
      </c>
    </row>
    <row r="2411" spans="1:6" ht="13.5" hidden="1" customHeight="1">
      <c r="A2411" s="4" t="s">
        <v>5573</v>
      </c>
      <c r="B2411" s="4" t="s">
        <v>5574</v>
      </c>
      <c r="C2411" s="4" t="str">
        <f ca="1">IFERROR(__xludf.DUMMYFUNCTION("GOOGLETRANSLATE(D:D,""auto"",""en"")"),"Zhang Xiaofei sweater")</f>
        <v>Zhang Xiaofei sweater</v>
      </c>
      <c r="D2411" s="5" t="s">
        <v>5575</v>
      </c>
      <c r="E2411" s="4">
        <v>1800231</v>
      </c>
    </row>
    <row r="2412" spans="1:6" ht="13.5" hidden="1" customHeight="1">
      <c r="A2412" s="4" t="s">
        <v>5576</v>
      </c>
      <c r="B2412" s="4" t="s">
        <v>5577</v>
      </c>
      <c r="C2412" s="4" t="str">
        <f ca="1">IFERROR(__xludf.DUMMYFUNCTION("GOOGLETRANSLATE(D:D,""auto"",""en"")"),"Longti ah Longti who is the most embarrassing person")</f>
        <v>Longti ah Longti who is the most embarrassing person</v>
      </c>
      <c r="D2412" s="5" t="s">
        <v>5578</v>
      </c>
      <c r="E2412" s="4">
        <v>1510305</v>
      </c>
    </row>
    <row r="2413" spans="1:6" ht="13.5" hidden="1" customHeight="1">
      <c r="A2413" s="4" t="s">
        <v>5579</v>
      </c>
      <c r="B2413" s="4" t="s">
        <v>5580</v>
      </c>
      <c r="C2413" s="4" t="str">
        <f ca="1">IFERROR(__xludf.DUMMYFUNCTION("GOOGLETRANSLATE(D:D,""auto"",""en"")"),"Year of the Rat Spring Festival playbill")</f>
        <v>Year of the Rat Spring Festival playbill</v>
      </c>
      <c r="D2413" s="5" t="s">
        <v>5581</v>
      </c>
      <c r="E2413" s="4">
        <v>1487816</v>
      </c>
    </row>
    <row r="2414" spans="1:6" ht="13.5" customHeight="1">
      <c r="A2414" s="4" t="s">
        <v>5582</v>
      </c>
      <c r="B2414" s="4" t="s">
        <v>5577</v>
      </c>
      <c r="C2414" s="4" t="str">
        <f ca="1">IFERROR(__xludf.DUMMYFUNCTION("GOOGLETRANSLATE(D:D,""auto"",""en"")"),"Doctors Wuhan dinner")</f>
        <v>Doctors Wuhan dinner</v>
      </c>
      <c r="D2414" s="5" t="s">
        <v>5583</v>
      </c>
      <c r="E2414" s="4">
        <v>1155406</v>
      </c>
      <c r="F2414">
        <v>1</v>
      </c>
    </row>
    <row r="2415" spans="1:6" ht="13.5" hidden="1" customHeight="1">
      <c r="A2415" s="4" t="s">
        <v>5584</v>
      </c>
      <c r="B2415" s="4" t="s">
        <v>5585</v>
      </c>
      <c r="C2415" s="4" t="str">
        <f ca="1">IFERROR(__xludf.DUMMYFUNCTION("GOOGLETRANSLATE(D:D,""auto"",""en"")"),"Eddie wants to change the box")</f>
        <v>Eddie wants to change the box</v>
      </c>
      <c r="D2415" s="5" t="s">
        <v>5586</v>
      </c>
      <c r="E2415" s="4">
        <v>1113470</v>
      </c>
    </row>
    <row r="2416" spans="1:6" ht="13.5" customHeight="1">
      <c r="A2416" s="4" t="s">
        <v>5587</v>
      </c>
      <c r="B2416" s="4" t="s">
        <v>5588</v>
      </c>
      <c r="C2416" s="4" t="str">
        <f ca="1">IFERROR(__xludf.DUMMYFUNCTION("GOOGLETRANSLATE(D:D,""auto"",""en"")"),"Wuhan hospital appealed to the public not to send gifts")</f>
        <v>Wuhan hospital appealed to the public not to send gifts</v>
      </c>
      <c r="D2416" s="5" t="s">
        <v>5589</v>
      </c>
      <c r="E2416" s="4">
        <v>1106411</v>
      </c>
      <c r="F2416">
        <v>1</v>
      </c>
    </row>
    <row r="2417" spans="1:6" ht="13.5" hidden="1" customHeight="1">
      <c r="A2417" s="4" t="s">
        <v>5590</v>
      </c>
      <c r="B2417" s="4" t="s">
        <v>5591</v>
      </c>
      <c r="C2417" s="4" t="str">
        <f ca="1">IFERROR(__xludf.DUMMYFUNCTION("GOOGLETRANSLATE(D:D,""auto"",""en"")"),"Wu Lei scared profuse sweating")</f>
        <v>Wu Lei scared profuse sweating</v>
      </c>
      <c r="D2417" s="5" t="s">
        <v>5592</v>
      </c>
      <c r="E2417" s="4">
        <v>1097540</v>
      </c>
    </row>
    <row r="2418" spans="1:6" ht="13.5" hidden="1" customHeight="1">
      <c r="A2418" s="4" t="s">
        <v>5593</v>
      </c>
      <c r="B2418" s="4" t="s">
        <v>5594</v>
      </c>
      <c r="C2418" s="4" t="str">
        <f ca="1">IFERROR(__xludf.DUMMYFUNCTION("GOOGLETRANSLATE(D:D,""auto"",""en"")"),"After the Spring Festival Evening CCTV anchor asked to recite friends")</f>
        <v>After the Spring Festival Evening CCTV anchor asked to recite friends</v>
      </c>
      <c r="D2418" s="5" t="s">
        <v>5595</v>
      </c>
      <c r="E2418" s="4">
        <v>1088176</v>
      </c>
    </row>
    <row r="2419" spans="1:6" ht="13.5" customHeight="1">
      <c r="A2419" s="4" t="s">
        <v>5596</v>
      </c>
      <c r="B2419" s="4" t="s">
        <v>5597</v>
      </c>
      <c r="C2419" s="4" t="str">
        <f ca="1">IFERROR(__xludf.DUMMYFUNCTION("GOOGLETRANSLATE(D:D,""auto"",""en"")"),"The new crown into the second wave of pneumonia epidemic on the rise")</f>
        <v>The new crown into the second wave of pneumonia epidemic on the rise</v>
      </c>
      <c r="D2419" s="5" t="s">
        <v>5598</v>
      </c>
      <c r="E2419" s="4">
        <v>1079251</v>
      </c>
      <c r="F2419">
        <v>1</v>
      </c>
    </row>
    <row r="2420" spans="1:6" ht="13.5" hidden="1" customHeight="1">
      <c r="A2420" s="4" t="s">
        <v>5599</v>
      </c>
      <c r="B2420" s="4" t="s">
        <v>5594</v>
      </c>
      <c r="C2420" s="4" t="str">
        <f ca="1">IFERROR(__xludf.DUMMYFUNCTION("GOOGLETRANSLATE(D:D,""auto"",""en"")"),"Mom and Dad")</f>
        <v>Mom and Dad</v>
      </c>
      <c r="D2420" s="5" t="s">
        <v>5600</v>
      </c>
      <c r="E2420" s="4">
        <v>1070575</v>
      </c>
    </row>
    <row r="2421" spans="1:6" ht="13.5" hidden="1" customHeight="1">
      <c r="A2421" s="4" t="s">
        <v>5601</v>
      </c>
      <c r="B2421" s="4" t="s">
        <v>5602</v>
      </c>
      <c r="C2421" s="4" t="str">
        <f ca="1">IFERROR(__xludf.DUMMYFUNCTION("GOOGLETRANSLATE(D:D,""auto"",""en"")"),"Huang Xiaoming coat")</f>
        <v>Huang Xiaoming coat</v>
      </c>
      <c r="D2421" s="5" t="s">
        <v>5603</v>
      </c>
      <c r="E2421" s="4">
        <v>1057613</v>
      </c>
    </row>
    <row r="2422" spans="1:6" ht="13.5" customHeight="1">
      <c r="A2422" s="4" t="s">
        <v>5604</v>
      </c>
      <c r="B2422" s="4" t="s">
        <v>5605</v>
      </c>
      <c r="C2422" s="4" t="str">
        <f ca="1">IFERROR(__xludf.DUMMYFUNCTION("GOOGLETRANSLATE(D:D,""auto"",""en"")"),"New Year's Eve Chongqing 135 doctors went to Wuhan")</f>
        <v>New Year's Eve Chongqing 135 doctors went to Wuhan</v>
      </c>
      <c r="D2422" s="5" t="s">
        <v>5606</v>
      </c>
      <c r="E2422" s="4">
        <v>1054375</v>
      </c>
      <c r="F2422">
        <v>1</v>
      </c>
    </row>
    <row r="2423" spans="1:6" ht="13.5" hidden="1" customHeight="1">
      <c r="A2423" s="4" t="s">
        <v>5607</v>
      </c>
      <c r="B2423" s="4" t="s">
        <v>5608</v>
      </c>
      <c r="C2423" s="4" t="str">
        <f ca="1">IFERROR(__xludf.DUMMYFUNCTION("GOOGLETRANSLATE(D:D,""auto"",""en"")"),"Henan wedding car 15 seconds to become propaganda vehicles")</f>
        <v>Henan wedding car 15 seconds to become propaganda vehicles</v>
      </c>
      <c r="D2423" s="5" t="s">
        <v>5609</v>
      </c>
      <c r="E2423" s="4">
        <v>993747</v>
      </c>
    </row>
    <row r="2424" spans="1:6" ht="13.5" hidden="1" customHeight="1">
      <c r="A2424" s="4" t="s">
        <v>5610</v>
      </c>
      <c r="B2424" s="4" t="s">
        <v>5611</v>
      </c>
      <c r="C2424" s="4" t="str">
        <f ca="1">IFERROR(__xludf.DUMMYFUNCTION("GOOGLETRANSLATE(D:D,""auto"",""en"")"),"Moderator Biying")</f>
        <v>Moderator Biying</v>
      </c>
      <c r="D2424" s="5" t="s">
        <v>5612</v>
      </c>
      <c r="E2424" s="4">
        <v>922151</v>
      </c>
    </row>
    <row r="2425" spans="1:6" ht="13.5" hidden="1" customHeight="1">
      <c r="A2425" s="4" t="s">
        <v>5613</v>
      </c>
      <c r="B2425" s="4" t="s">
        <v>5614</v>
      </c>
      <c r="C2425" s="4" t="str">
        <f ca="1">IFERROR(__xludf.DUMMYFUNCTION("GOOGLETRANSLATE(D:D,""auto"",""en"")"),"Complete the parents love")</f>
        <v>Complete the parents love</v>
      </c>
      <c r="D2425" s="5" t="s">
        <v>5615</v>
      </c>
      <c r="E2425" s="4">
        <v>785848</v>
      </c>
    </row>
    <row r="2426" spans="1:6" ht="13.5" hidden="1" customHeight="1">
      <c r="A2426" s="4" t="s">
        <v>5613</v>
      </c>
      <c r="B2426" s="4" t="s">
        <v>5602</v>
      </c>
      <c r="C2426" s="4" t="str">
        <f ca="1">IFERROR(__xludf.DUMMYFUNCTION("GOOGLETRANSLATE(D:D,""auto"",""en"")"),"Wang Junkai long legs")</f>
        <v>Wang Junkai long legs</v>
      </c>
      <c r="D2426" s="5" t="s">
        <v>5616</v>
      </c>
      <c r="E2426" s="4">
        <v>780502</v>
      </c>
    </row>
    <row r="2427" spans="1:6" ht="13.5" hidden="1" customHeight="1">
      <c r="A2427" s="4" t="s">
        <v>5617</v>
      </c>
      <c r="B2427" s="4" t="s">
        <v>5618</v>
      </c>
      <c r="C2427" s="4" t="str">
        <f ca="1">IFERROR(__xludf.DUMMYFUNCTION("GOOGLETRANSLATE(D:D,""auto"",""en"")"),"Qin Lan Zhang Ruoyun play husband and wife")</f>
        <v>Qin Lan Zhang Ruoyun play husband and wife</v>
      </c>
      <c r="D2427" s="5" t="s">
        <v>5619</v>
      </c>
      <c r="E2427" s="4">
        <v>762996</v>
      </c>
    </row>
    <row r="2428" spans="1:6" ht="13.5" customHeight="1">
      <c r="A2428" s="4" t="s">
        <v>5620</v>
      </c>
      <c r="B2428" s="4" t="s">
        <v>5621</v>
      </c>
      <c r="C2428" s="4" t="str">
        <f ca="1">IFERROR(__xludf.DUMMYFUNCTION("GOOGLETRANSLATE(D:D,""auto"",""en"")"),"Beijing a total of 36 cases of confirmed cases")</f>
        <v>Beijing a total of 36 cases of confirmed cases</v>
      </c>
      <c r="D2428" s="5" t="s">
        <v>5622</v>
      </c>
      <c r="E2428" s="4">
        <v>679531</v>
      </c>
      <c r="F2428">
        <v>1</v>
      </c>
    </row>
    <row r="2429" spans="1:6" ht="13.5" customHeight="1">
      <c r="A2429" s="4" t="s">
        <v>5623</v>
      </c>
      <c r="B2429" s="4" t="s">
        <v>5624</v>
      </c>
      <c r="C2429" s="4" t="str">
        <f ca="1">IFERROR(__xludf.DUMMYFUNCTION("GOOGLETRANSLATE(D:D,""auto"",""en"")"),"Spring Festival to see the anti-pneumonia recite cry")</f>
        <v>Spring Festival to see the anti-pneumonia recite cry</v>
      </c>
      <c r="D2429" s="5" t="s">
        <v>5625</v>
      </c>
      <c r="E2429" s="4">
        <v>640710</v>
      </c>
      <c r="F2429">
        <v>1</v>
      </c>
    </row>
    <row r="2430" spans="1:6" ht="13.5" hidden="1" customHeight="1">
      <c r="A2430" s="4" t="s">
        <v>5626</v>
      </c>
      <c r="B2430" s="4" t="s">
        <v>5627</v>
      </c>
      <c r="C2430" s="4" t="str">
        <f ca="1">IFERROR(__xludf.DUMMYFUNCTION("GOOGLETRANSLATE(D:D,""auto"",""en"")"),"CCTV Spring Festival Evening")</f>
        <v>CCTV Spring Festival Evening</v>
      </c>
      <c r="D2430" s="5" t="s">
        <v>5628</v>
      </c>
      <c r="E2430" s="4">
        <v>599479</v>
      </c>
    </row>
    <row r="2431" spans="1:6" ht="13.5" hidden="1" customHeight="1">
      <c r="A2431" s="4" t="s">
        <v>5629</v>
      </c>
      <c r="B2431" s="4" t="s">
        <v>5630</v>
      </c>
      <c r="C2431" s="4" t="str">
        <f ca="1">IFERROR(__xludf.DUMMYFUNCTION("GOOGLETRANSLATE(D:D,""auto"",""en"")"),"Lee now than the heart")</f>
        <v>Lee now than the heart</v>
      </c>
      <c r="D2431" s="5" t="s">
        <v>5631</v>
      </c>
      <c r="E2431" s="4">
        <v>586102</v>
      </c>
    </row>
    <row r="2432" spans="1:6" ht="13.5" hidden="1" customHeight="1">
      <c r="A2432" s="4" t="s">
        <v>5632</v>
      </c>
      <c r="B2432" s="4" t="s">
        <v>5633</v>
      </c>
      <c r="C2432" s="4" t="str">
        <f ca="1">IFERROR(__xludf.DUMMYFUNCTION("GOOGLETRANSLATE(D:D,""auto"",""en"")"),"佟丽 娅好 beauty")</f>
        <v>佟丽 娅好 beauty</v>
      </c>
      <c r="D2432" s="5" t="s">
        <v>5634</v>
      </c>
      <c r="E2432" s="4">
        <v>574334</v>
      </c>
    </row>
    <row r="2433" spans="1:6" ht="13.5" customHeight="1">
      <c r="A2433" s="4" t="s">
        <v>5635</v>
      </c>
      <c r="B2433" s="4" t="s">
        <v>5636</v>
      </c>
      <c r="C2433" s="4" t="str">
        <f ca="1">IFERROR(__xludf.DUMMYFUNCTION("GOOGLETRANSLATE(D:D,""auto"",""en"")"),"Wuhan Call for taxi 6000")</f>
        <v>Wuhan Call for taxi 6000</v>
      </c>
      <c r="D2433" s="5" t="s">
        <v>5637</v>
      </c>
      <c r="E2433" s="4">
        <v>536784</v>
      </c>
      <c r="F2433">
        <v>1</v>
      </c>
    </row>
    <row r="2434" spans="1:6" ht="13.5" customHeight="1">
      <c r="A2434" s="4" t="s">
        <v>5638</v>
      </c>
      <c r="B2434" s="4" t="s">
        <v>5639</v>
      </c>
      <c r="C2434" s="4" t="str">
        <f ca="1">IFERROR(__xludf.DUMMYFUNCTION("GOOGLETRANSLATE(D:D,""auto"",""en"")"),"Wuhan Xiaotangshan Hospital named Vulcan Hill Hospital")</f>
        <v>Wuhan Xiaotangshan Hospital named Vulcan Hill Hospital</v>
      </c>
      <c r="D2434" s="5" t="s">
        <v>5640</v>
      </c>
      <c r="E2434" s="4">
        <v>512984</v>
      </c>
      <c r="F2434">
        <v>1</v>
      </c>
    </row>
    <row r="2435" spans="1:6" ht="13.5" hidden="1" customHeight="1">
      <c r="A2435" s="4" t="s">
        <v>5641</v>
      </c>
      <c r="B2435" s="4" t="s">
        <v>5642</v>
      </c>
      <c r="C2435" s="4" t="str">
        <f ca="1">IFERROR(__xludf.DUMMYFUNCTION("GOOGLETRANSLATE(D:D,""auto"",""en"")"),"Happy New Year")</f>
        <v>Happy New Year</v>
      </c>
      <c r="D2435" s="5" t="s">
        <v>5643</v>
      </c>
      <c r="E2435" s="4">
        <v>483061</v>
      </c>
    </row>
    <row r="2436" spans="1:6" ht="13.5" hidden="1" customHeight="1">
      <c r="A2436" s="4" t="s">
        <v>5644</v>
      </c>
      <c r="B2436" s="4" t="s">
        <v>5645</v>
      </c>
      <c r="C2436" s="4" t="str">
        <f ca="1">IFERROR(__xludf.DUMMYFUNCTION("GOOGLETRANSLATE(D:D,""auto"",""en"")"),"Li stood on the harvesters sing")</f>
        <v>Li stood on the harvesters sing</v>
      </c>
      <c r="D2436" s="5" t="s">
        <v>5646</v>
      </c>
      <c r="E2436" s="4">
        <v>481863</v>
      </c>
    </row>
    <row r="2437" spans="1:6" ht="13.5" hidden="1" customHeight="1">
      <c r="A2437" s="4" t="s">
        <v>5647</v>
      </c>
      <c r="B2437" s="4" t="s">
        <v>5648</v>
      </c>
      <c r="C2437" s="4" t="str">
        <f ca="1">IFERROR(__xludf.DUMMYFUNCTION("GOOGLETRANSLATE(D:D,""auto"",""en"")"),"Mary Shen Teng sketch occasion")</f>
        <v>Mary Shen Teng sketch occasion</v>
      </c>
      <c r="D2437" s="5" t="s">
        <v>5649</v>
      </c>
      <c r="E2437" s="4">
        <v>479371</v>
      </c>
    </row>
    <row r="2438" spans="1:6" ht="13.5" customHeight="1">
      <c r="A2438" s="4" t="s">
        <v>5650</v>
      </c>
      <c r="B2438" s="4" t="s">
        <v>5651</v>
      </c>
      <c r="C2438" s="4" t="str">
        <f ca="1">IFERROR(__xludf.DUMMYFUNCTION("GOOGLETRANSLATE(D:D,""auto"",""en"")"),"Wuhan edition Xiaotangshan dinner workers")</f>
        <v>Wuhan edition Xiaotangshan dinner workers</v>
      </c>
      <c r="D2438" s="5" t="s">
        <v>5652</v>
      </c>
      <c r="E2438" s="4">
        <v>474530</v>
      </c>
      <c r="F2438">
        <v>1</v>
      </c>
    </row>
    <row r="2439" spans="1:6" ht="13.5" hidden="1" customHeight="1">
      <c r="A2439" s="4" t="s">
        <v>5653</v>
      </c>
      <c r="B2439" s="4" t="s">
        <v>5654</v>
      </c>
      <c r="C2439" s="4" t="str">
        <f ca="1">IFERROR(__xludf.DUMMYFUNCTION("GOOGLETRANSLATE(D:D,""auto"",""en"")"),"Happy New Year")</f>
        <v>Happy New Year</v>
      </c>
      <c r="D2439" s="5" t="s">
        <v>5655</v>
      </c>
      <c r="E2439" s="4">
        <v>470097</v>
      </c>
    </row>
    <row r="2440" spans="1:6" ht="13.5" hidden="1" customHeight="1">
      <c r="A2440" s="4" t="s">
        <v>5656</v>
      </c>
      <c r="B2440" s="4" t="s">
        <v>5657</v>
      </c>
      <c r="C2440" s="4" t="str">
        <f ca="1">IFERROR(__xludf.DUMMYFUNCTION("GOOGLETRANSLATE(D:D,""auto"",""en"")"),"My country still have to Guo Lanying sing")</f>
        <v>My country still have to Guo Lanying sing</v>
      </c>
      <c r="D2440" s="5" t="s">
        <v>5658</v>
      </c>
      <c r="E2440" s="4">
        <v>457986</v>
      </c>
    </row>
    <row r="2441" spans="1:6" ht="13.5" hidden="1" customHeight="1">
      <c r="A2441" s="4" t="s">
        <v>5659</v>
      </c>
      <c r="B2441" s="4" t="s">
        <v>5660</v>
      </c>
      <c r="C2441" s="4" t="str">
        <f ca="1">IFERROR(__xludf.DUMMYFUNCTION("GOOGLETRANSLATE(D:D,""auto"",""en"")"),"Chen Kun good tender")</f>
        <v>Chen Kun good tender</v>
      </c>
      <c r="D2441" s="5" t="s">
        <v>5661</v>
      </c>
      <c r="E2441" s="4">
        <v>449646</v>
      </c>
    </row>
    <row r="2442" spans="1:6" ht="13.5" hidden="1" customHeight="1">
      <c r="A2442" s="4" t="s">
        <v>5662</v>
      </c>
      <c r="B2442" s="4" t="s">
        <v>5663</v>
      </c>
      <c r="C2442" s="4" t="str">
        <f ca="1">IFERROR(__xludf.DUMMYFUNCTION("GOOGLETRANSLATE(D:D,""auto"",""en"")"),"Huang Xiaoming Jin Jing tongue twister")</f>
        <v>Huang Xiaoming Jin Jing tongue twister</v>
      </c>
      <c r="D2442" s="5" t="s">
        <v>5664</v>
      </c>
      <c r="E2442" s="4">
        <v>446827</v>
      </c>
    </row>
    <row r="2443" spans="1:6" ht="13.5" customHeight="1">
      <c r="A2443" s="4" t="s">
        <v>5665</v>
      </c>
      <c r="B2443" s="4" t="s">
        <v>5666</v>
      </c>
      <c r="C2443" s="4" t="str">
        <f ca="1">IFERROR(__xludf.DUMMYFUNCTION("GOOGLETRANSLATE(D:D,""auto"",""en"")"),"Medical isolation buffer Year")</f>
        <v>Medical isolation buffer Year</v>
      </c>
      <c r="D2443" s="5" t="s">
        <v>5667</v>
      </c>
      <c r="E2443" s="4">
        <v>438456</v>
      </c>
      <c r="F2443">
        <v>1</v>
      </c>
    </row>
    <row r="2444" spans="1:6" ht="13.5" customHeight="1">
      <c r="A2444" s="4" t="s">
        <v>5599</v>
      </c>
      <c r="B2444" s="4" t="s">
        <v>5657</v>
      </c>
      <c r="C2444" s="4" t="str">
        <f ca="1">IFERROR(__xludf.DUMMYFUNCTION("GOOGLETRANSLATE(D:D,""auto"",""en"")"),"Guangxi start a response")</f>
        <v>Guangxi start a response</v>
      </c>
      <c r="D2444" s="5" t="s">
        <v>5668</v>
      </c>
      <c r="E2444" s="4">
        <v>430305</v>
      </c>
      <c r="F2444">
        <v>1</v>
      </c>
    </row>
    <row r="2445" spans="1:6" ht="13.5" hidden="1" customHeight="1">
      <c r="A2445" s="4" t="s">
        <v>5599</v>
      </c>
      <c r="B2445" s="4" t="s">
        <v>5669</v>
      </c>
      <c r="C2445" s="4" t="str">
        <f ca="1">IFERROR(__xludf.DUMMYFUNCTION("GOOGLETRANSLATE(D:D,""auto"",""en"")"),"New Year")</f>
        <v>New Year</v>
      </c>
      <c r="D2445" s="5" t="s">
        <v>5670</v>
      </c>
      <c r="E2445" s="4">
        <v>425798</v>
      </c>
    </row>
    <row r="2446" spans="1:6" ht="13.5" customHeight="1">
      <c r="A2446" s="4" t="s">
        <v>5671</v>
      </c>
      <c r="B2446" s="4" t="s">
        <v>5642</v>
      </c>
      <c r="C2446" s="4" t="str">
        <f ca="1">IFERROR(__xludf.DUMMYFUNCTION("GOOGLETRANSLATE(D:D,""auto"",""en"")"),"Shandong start a response")</f>
        <v>Shandong start a response</v>
      </c>
      <c r="D2446" s="5" t="s">
        <v>5672</v>
      </c>
      <c r="E2446" s="4">
        <v>425288</v>
      </c>
      <c r="F2446">
        <v>1</v>
      </c>
    </row>
    <row r="2447" spans="1:6" ht="13.5" customHeight="1">
      <c r="A2447" s="4" t="s">
        <v>5673</v>
      </c>
      <c r="B2447" s="4" t="s">
        <v>5674</v>
      </c>
      <c r="C2447" s="4" t="str">
        <f ca="1">IFERROR(__xludf.DUMMYFUNCTION("GOOGLETRANSLATE(D:D,""auto"",""en"")"),"Daxing Airport Capital Airport passengers will detect temperature")</f>
        <v>Daxing Airport Capital Airport passengers will detect temperature</v>
      </c>
      <c r="D2447" s="5" t="s">
        <v>5675</v>
      </c>
      <c r="E2447" s="4">
        <v>421112</v>
      </c>
      <c r="F2447">
        <v>1</v>
      </c>
    </row>
    <row r="2448" spans="1:6" ht="13.5" hidden="1" customHeight="1">
      <c r="A2448" s="4" t="s">
        <v>5676</v>
      </c>
      <c r="B2448" s="4" t="s">
        <v>5677</v>
      </c>
      <c r="C2448" s="4" t="str">
        <f ca="1">IFERROR(__xludf.DUMMYFUNCTION("GOOGLETRANSLATE(D:D,""auto"",""en"")"),"Spring Festival Evening Pieces")</f>
        <v>Spring Festival Evening Pieces</v>
      </c>
      <c r="D2448" s="5" t="s">
        <v>5678</v>
      </c>
      <c r="E2448" s="4">
        <v>384165</v>
      </c>
    </row>
    <row r="2449" spans="1:6" ht="13.5" hidden="1" customHeight="1">
      <c r="A2449" s="4" t="s">
        <v>5679</v>
      </c>
      <c r="B2449" s="4" t="s">
        <v>5680</v>
      </c>
      <c r="C2449" s="4" t="str">
        <f ca="1">IFERROR(__xludf.DUMMYFUNCTION("GOOGLETRANSLATE(D:D,""auto"",""en"")"),"Spring Festival Evening Magic")</f>
        <v>Spring Festival Evening Magic</v>
      </c>
      <c r="D2449" s="5" t="s">
        <v>5681</v>
      </c>
      <c r="E2449" s="4">
        <v>350852</v>
      </c>
    </row>
    <row r="2450" spans="1:6" ht="13.5" hidden="1" customHeight="1">
      <c r="C2450" s="4" t="str">
        <f ca="1">IFERROR(__xludf.DUMMYFUNCTION("GOOGLETRANSLATE(D:D,""auto"",""en"")"),"#VALUE!")</f>
        <v>#VALUE!</v>
      </c>
    </row>
    <row r="2451" spans="1:6" ht="13.5" customHeight="1">
      <c r="A2451" s="4" t="s">
        <v>5682</v>
      </c>
      <c r="B2451" s="4" t="s">
        <v>5587</v>
      </c>
      <c r="C2451" s="4" t="str">
        <f ca="1">IFERROR(__xludf.DUMMYFUNCTION("GOOGLETRANSLATE(D:D,""auto"",""en"")"),"Singapore flights arrived in Hangzhou, a quarantine of all passengers")</f>
        <v>Singapore flights arrived in Hangzhou, a quarantine of all passengers</v>
      </c>
      <c r="D2451" s="4" t="s">
        <v>5683</v>
      </c>
      <c r="E2451" s="4">
        <v>13061134</v>
      </c>
      <c r="F2451">
        <v>1</v>
      </c>
    </row>
    <row r="2452" spans="1:6" ht="13.5" hidden="1" customHeight="1">
      <c r="A2452" s="4" t="s">
        <v>5684</v>
      </c>
      <c r="B2452" s="4" t="s">
        <v>5685</v>
      </c>
      <c r="C2452" s="4" t="str">
        <f ca="1">IFERROR(__xludf.DUMMYFUNCTION("GOOGLETRANSLATE(D:D,""auto"",""en"")"),"Tao Yong If you can not do surgery can do research")</f>
        <v>Tao Yong If you can not do surgery can do research</v>
      </c>
      <c r="D2452" s="5" t="s">
        <v>5686</v>
      </c>
      <c r="E2452" s="4">
        <v>4220390</v>
      </c>
    </row>
    <row r="2453" spans="1:6" ht="13.5" customHeight="1">
      <c r="A2453" s="4" t="s">
        <v>5687</v>
      </c>
      <c r="B2453" s="4" t="s">
        <v>5688</v>
      </c>
      <c r="C2453" s="4" t="str">
        <f ca="1">IFERROR(__xludf.DUMMYFUNCTION("GOOGLETRANSLATE(D:D,""auto"",""en"")"),"Shanghai Civil Affairs Bureau canceled Feb. 2 marriage registration")</f>
        <v>Shanghai Civil Affairs Bureau canceled Feb. 2 marriage registration</v>
      </c>
      <c r="D2453" s="5" t="s">
        <v>5689</v>
      </c>
      <c r="E2453" s="4">
        <v>4025623</v>
      </c>
      <c r="F2453">
        <v>1</v>
      </c>
    </row>
    <row r="2454" spans="1:6" ht="13.5" customHeight="1">
      <c r="A2454" s="4" t="s">
        <v>5094</v>
      </c>
      <c r="B2454" s="4" t="s">
        <v>5095</v>
      </c>
      <c r="C2454" s="4" t="str">
        <f ca="1">IFERROR(__xludf.DUMMYFUNCTION("GOOGLETRANSLATE(D:D,""auto"",""en"")"),"China confirmed new cases of pneumonia")</f>
        <v>China confirmed new cases of pneumonia</v>
      </c>
      <c r="D2454" s="5" t="s">
        <v>5096</v>
      </c>
      <c r="E2454" s="4">
        <v>3770652</v>
      </c>
      <c r="F2454">
        <v>1</v>
      </c>
    </row>
    <row r="2455" spans="1:6" ht="13.5" customHeight="1">
      <c r="A2455" s="4" t="s">
        <v>5690</v>
      </c>
      <c r="B2455" s="4" t="s">
        <v>5691</v>
      </c>
      <c r="C2455" s="4" t="str">
        <f ca="1">IFERROR(__xludf.DUMMYFUNCTION("GOOGLETRANSLATE(D:D,""auto"",""en"")"),"Vulcan Hill Hospital will be completed by February 1")</f>
        <v>Vulcan Hill Hospital will be completed by February 1</v>
      </c>
      <c r="D2455" s="5" t="s">
        <v>5692</v>
      </c>
      <c r="E2455" s="4">
        <v>2446242</v>
      </c>
      <c r="F2455">
        <v>1</v>
      </c>
    </row>
    <row r="2456" spans="1:6" ht="13.5" customHeight="1">
      <c r="A2456" s="4" t="s">
        <v>5693</v>
      </c>
      <c r="B2456" s="4" t="s">
        <v>5694</v>
      </c>
      <c r="C2456" s="4" t="str">
        <f ca="1">IFERROR(__xludf.DUMMYFUNCTION("GOOGLETRANSLATE(D:D,""auto"",""en"")"),"Guangdong from work colleagues 1 found clusters of disease")</f>
        <v>Guangdong from work colleagues 1 found clusters of disease</v>
      </c>
      <c r="D2456" s="5" t="s">
        <v>5695</v>
      </c>
      <c r="E2456" s="4">
        <v>2435433</v>
      </c>
      <c r="F2456">
        <v>1</v>
      </c>
    </row>
    <row r="2457" spans="1:6" ht="13.5" hidden="1" customHeight="1">
      <c r="A2457" s="4" t="s">
        <v>5696</v>
      </c>
      <c r="B2457" s="4" t="s">
        <v>5697</v>
      </c>
      <c r="C2457" s="4" t="str">
        <f ca="1">IFERROR(__xludf.DUMMYFUNCTION("GOOGLETRANSLATE(D:D,""auto"",""en"")"),"Jia Ling's husband station B are sitting in the audience it")</f>
        <v>Jia Ling's husband station B are sitting in the audience it</v>
      </c>
      <c r="D2457" s="5" t="s">
        <v>5698</v>
      </c>
      <c r="E2457" s="4">
        <v>2418655</v>
      </c>
    </row>
    <row r="2458" spans="1:6" ht="13.5" customHeight="1">
      <c r="A2458" s="4" t="s">
        <v>5699</v>
      </c>
      <c r="B2458" s="4" t="s">
        <v>5601</v>
      </c>
      <c r="C2458" s="4" t="str">
        <f ca="1">IFERROR(__xludf.DUMMYFUNCTION("GOOGLETRANSLATE(D:D,""auto"",""en"")"),"Chongqing, a total of 57 cases of confirmed cases")</f>
        <v>Chongqing, a total of 57 cases of confirmed cases</v>
      </c>
      <c r="D2458" s="5" t="s">
        <v>5700</v>
      </c>
      <c r="E2458" s="4">
        <v>2342597</v>
      </c>
      <c r="F2458">
        <v>1</v>
      </c>
    </row>
    <row r="2459" spans="1:6" ht="13.5" customHeight="1">
      <c r="A2459" s="4" t="s">
        <v>5701</v>
      </c>
      <c r="B2459" s="4" t="s">
        <v>5702</v>
      </c>
      <c r="C2459" s="4" t="str">
        <f ca="1">IFERROR(__xludf.DUMMYFUNCTION("GOOGLETRANSLATE(D:D,""auto"",""en"")"),"The first new crown by examining the virus detection kit")</f>
        <v>The first new crown by examining the virus detection kit</v>
      </c>
      <c r="D2459" s="5" t="s">
        <v>5703</v>
      </c>
      <c r="E2459" s="4">
        <v>2107050</v>
      </c>
      <c r="F2459">
        <v>1</v>
      </c>
    </row>
    <row r="2460" spans="1:6" ht="13.5" customHeight="1">
      <c r="A2460" s="4" t="s">
        <v>5704</v>
      </c>
      <c r="B2460" s="4" t="s">
        <v>5705</v>
      </c>
      <c r="C2460" s="4" t="str">
        <f ca="1">IFERROR(__xludf.DUMMYFUNCTION("GOOGLETRANSLATE(D:D,""auto"",""en"")"),"Beijing has a new type of pneumonia patients were discharged")</f>
        <v>Beijing has a new type of pneumonia patients were discharged</v>
      </c>
      <c r="D2460" s="5" t="s">
        <v>5706</v>
      </c>
      <c r="E2460" s="4">
        <v>1827304</v>
      </c>
      <c r="F2460">
        <v>1</v>
      </c>
    </row>
    <row r="2461" spans="1:6" ht="13.5" customHeight="1">
      <c r="A2461" s="4" t="s">
        <v>5707</v>
      </c>
      <c r="B2461" s="4" t="s">
        <v>5708</v>
      </c>
      <c r="C2461" s="4" t="str">
        <f ca="1">IFERROR(__xludf.DUMMYFUNCTION("GOOGLETRANSLATE(D:D,""auto"",""en"")"),"Three Military Medical University medical support to 450 people in Hubei")</f>
        <v>Three Military Medical University medical support to 450 people in Hubei</v>
      </c>
      <c r="D2461" s="5" t="s">
        <v>5709</v>
      </c>
      <c r="E2461" s="4">
        <v>1729691</v>
      </c>
      <c r="F2461">
        <v>1</v>
      </c>
    </row>
    <row r="2462" spans="1:6" ht="13.5" hidden="1" customHeight="1">
      <c r="A2462" s="4" t="s">
        <v>5710</v>
      </c>
      <c r="B2462" s="4" t="s">
        <v>5711</v>
      </c>
      <c r="C2462" s="4" t="str">
        <f ca="1">IFERROR(__xludf.DUMMYFUNCTION("GOOGLETRANSLATE(D:D,""auto"",""en"")"),"Vicarious Trauma")</f>
        <v>Vicarious Trauma</v>
      </c>
      <c r="D2462" s="5" t="s">
        <v>5712</v>
      </c>
      <c r="E2462" s="4">
        <v>1349887</v>
      </c>
    </row>
    <row r="2463" spans="1:6" ht="13.5" hidden="1" customHeight="1">
      <c r="A2463" s="4" t="s">
        <v>5701</v>
      </c>
      <c r="B2463" s="4" t="s">
        <v>5713</v>
      </c>
      <c r="C2463" s="4" t="str">
        <f ca="1">IFERROR(__xludf.DUMMYFUNCTION("GOOGLETRANSLATE(D:D,""auto"",""en"")"),"When Peng Yu Chang heard has been cool single")</f>
        <v>When Peng Yu Chang heard has been cool single</v>
      </c>
      <c r="D2463" s="5" t="s">
        <v>5714</v>
      </c>
      <c r="E2463" s="4">
        <v>1325142</v>
      </c>
    </row>
    <row r="2464" spans="1:6" ht="13.5" customHeight="1">
      <c r="A2464" s="4" t="s">
        <v>5715</v>
      </c>
      <c r="B2464" s="4" t="s">
        <v>5716</v>
      </c>
      <c r="C2464" s="4" t="str">
        <f ca="1">IFERROR(__xludf.DUMMYFUNCTION("GOOGLETRANSLATE(D:D,""auto"",""en"")"),"Hunan new 19 cases of new confirmed cases of pneumonia")</f>
        <v>Hunan new 19 cases of new confirmed cases of pneumonia</v>
      </c>
      <c r="D2464" s="5" t="s">
        <v>5717</v>
      </c>
      <c r="E2464" s="4">
        <v>1169402</v>
      </c>
      <c r="F2464">
        <v>1</v>
      </c>
    </row>
    <row r="2465" spans="1:6" ht="13.5" hidden="1" customHeight="1">
      <c r="A2465" s="4" t="s">
        <v>5718</v>
      </c>
      <c r="B2465" s="4" t="s">
        <v>5708</v>
      </c>
      <c r="C2465" s="4" t="str">
        <f ca="1">IFERROR(__xludf.DUMMYFUNCTION("GOOGLETRANSLATE(D:D,""auto"",""en"")"),"Li happy mother of a long stream")</f>
        <v>Li happy mother of a long stream</v>
      </c>
      <c r="D2465" s="5" t="s">
        <v>5719</v>
      </c>
      <c r="E2465" s="4">
        <v>1007358</v>
      </c>
    </row>
    <row r="2466" spans="1:6" ht="13.5" customHeight="1">
      <c r="A2466" s="4" t="s">
        <v>5720</v>
      </c>
      <c r="B2466" s="4" t="s">
        <v>5721</v>
      </c>
      <c r="C2466" s="4" t="str">
        <f ca="1">IFERROR(__xludf.DUMMYFUNCTION("GOOGLETRANSLATE(D:D,""auto"",""en"")"),"Henan 23 new confirmed cases")</f>
        <v>Henan 23 new confirmed cases</v>
      </c>
      <c r="D2466" s="5" t="s">
        <v>5722</v>
      </c>
      <c r="E2466" s="4">
        <v>997014</v>
      </c>
      <c r="F2466">
        <v>1</v>
      </c>
    </row>
    <row r="2467" spans="1:6" ht="13.5" hidden="1" customHeight="1">
      <c r="A2467" s="4" t="s">
        <v>5723</v>
      </c>
      <c r="B2467" s="4" t="s">
        <v>5724</v>
      </c>
      <c r="C2467" s="4" t="str">
        <f ca="1">IFERROR(__xludf.DUMMYFUNCTION("GOOGLETRANSLATE(D:D,""auto"",""en"")"),"Zhang Tian Xian hobby")</f>
        <v>Zhang Tian Xian hobby</v>
      </c>
      <c r="D2467" s="5" t="s">
        <v>5725</v>
      </c>
      <c r="E2467" s="4">
        <v>993260</v>
      </c>
    </row>
    <row r="2468" spans="1:6" ht="13.5" customHeight="1">
      <c r="A2468" s="4" t="s">
        <v>4692</v>
      </c>
      <c r="B2468" s="4" t="s">
        <v>4693</v>
      </c>
      <c r="C2468" s="4" t="str">
        <f ca="1">IFERROR(__xludf.DUMMYFUNCTION("GOOGLETRANSLATE(D:D,""auto"",""en"")"),"Zhong Nanshan")</f>
        <v>Zhong Nanshan</v>
      </c>
      <c r="D2468" s="5" t="s">
        <v>4694</v>
      </c>
      <c r="E2468" s="4">
        <v>972621</v>
      </c>
      <c r="F2468">
        <v>1</v>
      </c>
    </row>
    <row r="2469" spans="1:6" ht="13.5" hidden="1" customHeight="1">
      <c r="A2469" s="4" t="s">
        <v>5726</v>
      </c>
      <c r="B2469" s="4" t="s">
        <v>5702</v>
      </c>
      <c r="C2469" s="4" t="str">
        <f ca="1">IFERROR(__xludf.DUMMYFUNCTION("GOOGLETRANSLATE(D:D,""auto"",""en"")"),"Mrs. Chen has not play your movie")</f>
        <v>Mrs. Chen has not play your movie</v>
      </c>
      <c r="D2469" s="5" t="s">
        <v>5727</v>
      </c>
      <c r="E2469" s="4">
        <v>934370</v>
      </c>
    </row>
    <row r="2470" spans="1:6" ht="13.5" customHeight="1">
      <c r="A2470" s="4" t="s">
        <v>5728</v>
      </c>
      <c r="B2470" s="4" t="s">
        <v>5729</v>
      </c>
      <c r="C2470" s="4" t="str">
        <f ca="1">IFERROR(__xludf.DUMMYFUNCTION("GOOGLETRANSLATE(D:D,""auto"",""en"")"),"Add 13 cases of confirmed cases in Sichuan")</f>
        <v>Add 13 cases of confirmed cases in Sichuan</v>
      </c>
      <c r="D2470" s="5" t="s">
        <v>5730</v>
      </c>
      <c r="E2470" s="4">
        <v>842573</v>
      </c>
      <c r="F2470">
        <v>1</v>
      </c>
    </row>
    <row r="2471" spans="1:6" ht="13.5" customHeight="1">
      <c r="A2471" s="4" t="s">
        <v>5731</v>
      </c>
      <c r="B2471" s="4" t="s">
        <v>5732</v>
      </c>
      <c r="C2471" s="4" t="str">
        <f ca="1">IFERROR(__xludf.DUMMYFUNCTION("GOOGLETRANSLATE(D:D,""auto"",""en"")"),"New Year's Eve in Wuhan")</f>
        <v>New Year's Eve in Wuhan</v>
      </c>
      <c r="D2471" s="5" t="s">
        <v>5733</v>
      </c>
      <c r="E2471" s="4">
        <v>736113</v>
      </c>
      <c r="F2471">
        <v>1</v>
      </c>
    </row>
    <row r="2472" spans="1:6" ht="13.5" hidden="1" customHeight="1">
      <c r="A2472" s="4" t="s">
        <v>5734</v>
      </c>
      <c r="B2472" s="4" t="s">
        <v>5735</v>
      </c>
      <c r="C2472" s="4" t="str">
        <f ca="1">IFERROR(__xludf.DUMMYFUNCTION("GOOGLETRANSLATE(D:D,""auto"",""en"")"),"My grandfather did not want me")</f>
        <v>My grandfather did not want me</v>
      </c>
      <c r="D2472" s="5" t="s">
        <v>5736</v>
      </c>
      <c r="E2472" s="4">
        <v>731623</v>
      </c>
    </row>
    <row r="2473" spans="1:6" ht="13.5" hidden="1" customHeight="1">
      <c r="A2473" s="4" t="s">
        <v>5737</v>
      </c>
      <c r="B2473" s="4" t="s">
        <v>5738</v>
      </c>
      <c r="C2473" s="4" t="str">
        <f ca="1">IFERROR(__xludf.DUMMYFUNCTION("GOOGLETRANSLATE(D:D,""auto"",""en"")"),"Tong Liya lipstick")</f>
        <v>Tong Liya lipstick</v>
      </c>
      <c r="D2473" s="5" t="s">
        <v>5739</v>
      </c>
      <c r="E2473" s="4">
        <v>719143</v>
      </c>
    </row>
    <row r="2474" spans="1:6" ht="13.5" hidden="1" customHeight="1">
      <c r="A2474" s="4" t="s">
        <v>5740</v>
      </c>
      <c r="B2474" s="4" t="s">
        <v>5741</v>
      </c>
      <c r="C2474" s="4" t="str">
        <f ca="1">IFERROR(__xludf.DUMMYFUNCTION("GOOGLETRANSLATE(D:D,""auto"",""en"")"),"What is the first meal of the New Year to eat")</f>
        <v>What is the first meal of the New Year to eat</v>
      </c>
      <c r="D2474" s="5" t="s">
        <v>5742</v>
      </c>
      <c r="E2474" s="4">
        <v>713523</v>
      </c>
    </row>
    <row r="2475" spans="1:6" ht="13.5" hidden="1" customHeight="1">
      <c r="A2475" s="4" t="s">
        <v>5743</v>
      </c>
      <c r="B2475" s="4" t="s">
        <v>5705</v>
      </c>
      <c r="C2475" s="4" t="str">
        <f ca="1">IFERROR(__xludf.DUMMYFUNCTION("GOOGLETRANSLATE(D:D,""auto"",""en"")"),"Together we choose hope")</f>
        <v>Together we choose hope</v>
      </c>
      <c r="D2475" s="5" t="s">
        <v>5744</v>
      </c>
      <c r="E2475" s="4">
        <v>712396</v>
      </c>
    </row>
    <row r="2476" spans="1:6" ht="13.5" customHeight="1">
      <c r="A2476" s="4" t="s">
        <v>5745</v>
      </c>
      <c r="B2476" s="4" t="s">
        <v>5746</v>
      </c>
      <c r="C2476" s="4" t="str">
        <f ca="1">IFERROR(__xludf.DUMMYFUNCTION("GOOGLETRANSLATE(D:D,""auto"",""en"")"),"Doctors encourage each other one by one into the isolation ward")</f>
        <v>Doctors encourage each other one by one into the isolation ward</v>
      </c>
      <c r="D2476" s="5" t="s">
        <v>5747</v>
      </c>
      <c r="E2476" s="4">
        <v>606717</v>
      </c>
      <c r="F2476">
        <v>1</v>
      </c>
    </row>
    <row r="2477" spans="1:6" ht="13.5" hidden="1" customHeight="1">
      <c r="A2477" s="4" t="s">
        <v>5748</v>
      </c>
      <c r="B2477" s="4" t="s">
        <v>5749</v>
      </c>
      <c r="C2477" s="4" t="str">
        <f ca="1">IFERROR(__xludf.DUMMYFUNCTION("GOOGLETRANSLATE(D:D,""auto"",""en"")"),"New Year's Day")</f>
        <v>New Year's Day</v>
      </c>
      <c r="D2477" s="5" t="s">
        <v>5750</v>
      </c>
      <c r="E2477" s="4">
        <v>573454</v>
      </c>
    </row>
    <row r="2478" spans="1:6" ht="13.5" hidden="1" customHeight="1">
      <c r="A2478" s="4" t="s">
        <v>5751</v>
      </c>
      <c r="B2478" s="4" t="s">
        <v>5599</v>
      </c>
      <c r="C2478" s="4" t="str">
        <f ca="1">IFERROR(__xludf.DUMMYFUNCTION("GOOGLETRANSLATE(D:D,""auto"",""en"")"),"Starchaser girl fundraising")</f>
        <v>Starchaser girl fundraising</v>
      </c>
      <c r="D2478" s="5" t="s">
        <v>5752</v>
      </c>
      <c r="E2478" s="4">
        <v>502992</v>
      </c>
    </row>
    <row r="2479" spans="1:6" ht="13.5" customHeight="1">
      <c r="A2479" s="4" t="s">
        <v>5753</v>
      </c>
      <c r="B2479" s="4" t="s">
        <v>5754</v>
      </c>
      <c r="C2479" s="4" t="str">
        <f ca="1">IFERROR(__xludf.DUMMYFUNCTION("GOOGLETRANSLATE(D:D,""auto"",""en"")"),"Commerce Department emergency coordination more than 2 million masks")</f>
        <v>Commerce Department emergency coordination more than 2 million masks</v>
      </c>
      <c r="D2479" s="5" t="s">
        <v>5755</v>
      </c>
      <c r="E2479" s="4">
        <v>501885</v>
      </c>
      <c r="F2479">
        <v>1</v>
      </c>
    </row>
    <row r="2480" spans="1:6" ht="13.5" hidden="1" customHeight="1">
      <c r="A2480" s="4" t="s">
        <v>5756</v>
      </c>
      <c r="B2480" s="4" t="s">
        <v>5757</v>
      </c>
      <c r="C2480" s="4" t="str">
        <f ca="1">IFERROR(__xludf.DUMMYFUNCTION("GOOGLETRANSLATE(D:D,""auto"",""en"")"),"Huang Xiaoming said that the Qingdao dialect")</f>
        <v>Huang Xiaoming said that the Qingdao dialect</v>
      </c>
      <c r="D2480" s="5" t="s">
        <v>5758</v>
      </c>
      <c r="E2480" s="4">
        <v>501223</v>
      </c>
    </row>
    <row r="2481" spans="1:6" ht="13.5" customHeight="1">
      <c r="A2481" s="4" t="s">
        <v>5759</v>
      </c>
      <c r="B2481" s="4" t="s">
        <v>5691</v>
      </c>
      <c r="C2481" s="4" t="str">
        <f ca="1">IFERROR(__xludf.DUMMYFUNCTION("GOOGLETRANSLATE(D:D,""auto"",""en"")"),"Doctors Liangwu Dong died of pneumonia because of the new crown")</f>
        <v>Doctors Liangwu Dong died of pneumonia because of the new crown</v>
      </c>
      <c r="D2481" s="5" t="s">
        <v>5760</v>
      </c>
      <c r="E2481" s="4">
        <v>490334</v>
      </c>
      <c r="F2481">
        <v>1</v>
      </c>
    </row>
    <row r="2482" spans="1:6" ht="13.5" hidden="1" customHeight="1">
      <c r="A2482" s="4" t="s">
        <v>5761</v>
      </c>
      <c r="B2482" s="4" t="s">
        <v>5762</v>
      </c>
      <c r="C2482" s="4" t="str">
        <f ca="1">IFERROR(__xludf.DUMMYFUNCTION("GOOGLETRANSLATE(D:D,""auto"",""en"")"),"Closed city diary")</f>
        <v>Closed city diary</v>
      </c>
      <c r="D2482" s="5" t="s">
        <v>5763</v>
      </c>
      <c r="E2482" s="4">
        <v>478401</v>
      </c>
    </row>
    <row r="2483" spans="1:6" ht="13.5" customHeight="1">
      <c r="A2483" s="4" t="s">
        <v>5764</v>
      </c>
      <c r="B2483" s="4" t="s">
        <v>5765</v>
      </c>
      <c r="C2483" s="4" t="str">
        <f ca="1">IFERROR(__xludf.DUMMYFUNCTION("GOOGLETRANSLATE(D:D,""auto"",""en"")"),"Jiangsu 9 new confirmed cases")</f>
        <v>Jiangsu 9 new confirmed cases</v>
      </c>
      <c r="D2483" s="5" t="s">
        <v>5766</v>
      </c>
      <c r="E2483" s="4">
        <v>367227</v>
      </c>
      <c r="F2483">
        <v>1</v>
      </c>
    </row>
    <row r="2484" spans="1:6" ht="13.5" customHeight="1">
      <c r="A2484" s="4" t="s">
        <v>5767</v>
      </c>
      <c r="B2484" s="4" t="s">
        <v>5754</v>
      </c>
      <c r="C2484" s="4" t="str">
        <f ca="1">IFERROR(__xludf.DUMMYFUNCTION("GOOGLETRANSLATE(D:D,""auto"",""en"")"),"150 People's Liberation Army medical staff charter flight Wuhan")</f>
        <v>150 People's Liberation Army medical staff charter flight Wuhan</v>
      </c>
      <c r="D2484" s="5" t="s">
        <v>5768</v>
      </c>
      <c r="E2484" s="4">
        <v>350718</v>
      </c>
      <c r="F2484">
        <v>1</v>
      </c>
    </row>
    <row r="2485" spans="1:6" ht="13.5" customHeight="1">
      <c r="A2485" s="4" t="s">
        <v>5769</v>
      </c>
      <c r="B2485" s="4" t="s">
        <v>5620</v>
      </c>
      <c r="C2485" s="4" t="str">
        <f ca="1">IFERROR(__xludf.DUMMYFUNCTION("GOOGLETRANSLATE(D:D,""auto"",""en"")"),"New pneumonia have been cured 38 cases")</f>
        <v>New pneumonia have been cured 38 cases</v>
      </c>
      <c r="D2485" s="5" t="s">
        <v>5770</v>
      </c>
      <c r="E2485" s="4">
        <v>345987</v>
      </c>
      <c r="F2485">
        <v>1</v>
      </c>
    </row>
    <row r="2486" spans="1:6" ht="13.5" hidden="1" customHeight="1">
      <c r="A2486" s="4" t="s">
        <v>5771</v>
      </c>
      <c r="B2486" s="4" t="s">
        <v>5579</v>
      </c>
      <c r="C2486" s="4" t="str">
        <f ca="1">IFERROR(__xludf.DUMMYFUNCTION("GOOGLETRANSLATE(D:D,""auto"",""en"")"),"Yiyangqianxi girdle")</f>
        <v>Yiyangqianxi girdle</v>
      </c>
      <c r="D2486" s="5" t="s">
        <v>5772</v>
      </c>
      <c r="E2486" s="4">
        <v>342764</v>
      </c>
    </row>
    <row r="2487" spans="1:6" ht="13.5" customHeight="1">
      <c r="A2487" s="4" t="s">
        <v>5773</v>
      </c>
      <c r="B2487" s="4" t="s">
        <v>5617</v>
      </c>
      <c r="C2487" s="4" t="str">
        <f ca="1">IFERROR(__xludf.DUMMYFUNCTION("GOOGLETRANSLATE(D:D,""auto"",""en"")"),"Hubei Province reported a total of 729 cases of new cases of pneumonia")</f>
        <v>Hubei Province reported a total of 729 cases of new cases of pneumonia</v>
      </c>
      <c r="D2487" s="5" t="s">
        <v>5774</v>
      </c>
      <c r="E2487" s="4">
        <v>340379</v>
      </c>
      <c r="F2487">
        <v>1</v>
      </c>
    </row>
    <row r="2488" spans="1:6" ht="13.5" hidden="1" customHeight="1">
      <c r="A2488" s="4" t="s">
        <v>5775</v>
      </c>
      <c r="B2488" s="4" t="s">
        <v>5776</v>
      </c>
      <c r="C2488" s="4" t="str">
        <f ca="1">IFERROR(__xludf.DUMMYFUNCTION("GOOGLETRANSLATE(D:D,""auto"",""en"")"),"Xiao Zhan Xie Na hug")</f>
        <v>Xiao Zhan Xie Na hug</v>
      </c>
      <c r="D2488" s="5" t="s">
        <v>5777</v>
      </c>
      <c r="E2488" s="4">
        <v>330967</v>
      </c>
    </row>
    <row r="2489" spans="1:6" ht="13.5" customHeight="1">
      <c r="A2489" s="4" t="s">
        <v>5778</v>
      </c>
      <c r="B2489" s="4" t="s">
        <v>5779</v>
      </c>
      <c r="C2489" s="4" t="str">
        <f ca="1">IFERROR(__xludf.DUMMYFUNCTION("GOOGLETRANSLATE(D:D,""auto"",""en"")"),"Hebei new six cases of new confirmed cases of pneumonia")</f>
        <v>Hebei new six cases of new confirmed cases of pneumonia</v>
      </c>
      <c r="D2489" s="5" t="s">
        <v>5780</v>
      </c>
      <c r="E2489" s="4">
        <v>316618</v>
      </c>
      <c r="F2489">
        <v>1</v>
      </c>
    </row>
    <row r="2490" spans="1:6" ht="13.5" hidden="1" customHeight="1">
      <c r="A2490" s="4" t="s">
        <v>5781</v>
      </c>
      <c r="B2490" s="4" t="s">
        <v>5754</v>
      </c>
      <c r="C2490" s="4" t="str">
        <f ca="1">IFERROR(__xludf.DUMMYFUNCTION("GOOGLETRANSLATE(D:D,""auto"",""en"")"),"Spring Festival, the most popular New Year's posture")</f>
        <v>Spring Festival, the most popular New Year's posture</v>
      </c>
      <c r="D2490" s="5" t="s">
        <v>5782</v>
      </c>
      <c r="E2490" s="4">
        <v>310909</v>
      </c>
    </row>
    <row r="2491" spans="1:6" ht="13.5" customHeight="1">
      <c r="A2491" s="4" t="s">
        <v>5783</v>
      </c>
      <c r="B2491" s="4" t="s">
        <v>5784</v>
      </c>
      <c r="C2491" s="4" t="str">
        <f ca="1">IFERROR(__xludf.DUMMYFUNCTION("GOOGLETRANSLATE(D:D,""auto"",""en"")"),"France confirmed new cases of pneumonia in 2 cases")</f>
        <v>France confirmed new cases of pneumonia in 2 cases</v>
      </c>
      <c r="D2491" s="5" t="s">
        <v>5785</v>
      </c>
      <c r="E2491" s="4">
        <v>266191</v>
      </c>
      <c r="F2491">
        <v>1</v>
      </c>
    </row>
    <row r="2492" spans="1:6" ht="13.5" customHeight="1">
      <c r="A2492" s="4" t="s">
        <v>5786</v>
      </c>
      <c r="B2492" s="4" t="s">
        <v>5691</v>
      </c>
      <c r="C2492" s="4" t="str">
        <f ca="1">IFERROR(__xludf.DUMMYFUNCTION("GOOGLETRANSLATE(D:D,""auto"",""en"")"),"Guangdong new 25 cases of new confirmed cases of pneumonia")</f>
        <v>Guangdong new 25 cases of new confirmed cases of pneumonia</v>
      </c>
      <c r="D2492" s="5" t="s">
        <v>5787</v>
      </c>
      <c r="E2492" s="4">
        <v>257573</v>
      </c>
      <c r="F2492">
        <v>1</v>
      </c>
    </row>
    <row r="2493" spans="1:6" ht="13.5" customHeight="1">
      <c r="A2493" s="4" t="s">
        <v>5778</v>
      </c>
      <c r="B2493" s="4" t="s">
        <v>5620</v>
      </c>
      <c r="C2493" s="4" t="str">
        <f ca="1">IFERROR(__xludf.DUMMYFUNCTION("GOOGLETRANSLATE(D:D,""auto"",""en"")"),"Zhejiang 19 new confirmed cases")</f>
        <v>Zhejiang 19 new confirmed cases</v>
      </c>
      <c r="D2493" s="5" t="s">
        <v>5788</v>
      </c>
      <c r="E2493" s="4">
        <v>254586</v>
      </c>
      <c r="F2493">
        <v>1</v>
      </c>
    </row>
    <row r="2494" spans="1:6" ht="13.5" hidden="1" customHeight="1">
      <c r="A2494" s="4" t="s">
        <v>5789</v>
      </c>
      <c r="B2494" s="4" t="s">
        <v>5790</v>
      </c>
      <c r="C2494" s="4" t="str">
        <f ca="1">IFERROR(__xludf.DUMMYFUNCTION("GOOGLETRANSLATE(D:D,""auto"",""en"")"),"The three TFBOYS both have grown it")</f>
        <v>The three TFBOYS both have grown it</v>
      </c>
      <c r="D2494" s="5" t="s">
        <v>5791</v>
      </c>
      <c r="E2494" s="4">
        <v>252279</v>
      </c>
    </row>
    <row r="2495" spans="1:6" ht="13.5" customHeight="1">
      <c r="A2495" s="4" t="s">
        <v>5792</v>
      </c>
      <c r="B2495" s="4" t="s">
        <v>5754</v>
      </c>
      <c r="C2495" s="4" t="str">
        <f ca="1">IFERROR(__xludf.DUMMYFUNCTION("GOOGLETRANSLATE(D:D,""auto"",""en"")"),"Do not throw masks")</f>
        <v>Do not throw masks</v>
      </c>
      <c r="D2495" s="5" t="s">
        <v>5793</v>
      </c>
      <c r="E2495" s="4">
        <v>234859</v>
      </c>
      <c r="F2495">
        <v>1</v>
      </c>
    </row>
    <row r="2496" spans="1:6" ht="13.5" customHeight="1">
      <c r="A2496" s="4" t="s">
        <v>5794</v>
      </c>
      <c r="B2496" s="4" t="s">
        <v>5795</v>
      </c>
      <c r="C2496" s="4" t="str">
        <f ca="1">IFERROR(__xludf.DUMMYFUNCTION("GOOGLETRANSLATE(D:D,""auto"",""en"")"),"January 22 K1068 train car No. 4")</f>
        <v>January 22 K1068 train car No. 4</v>
      </c>
      <c r="D2496" s="5" t="s">
        <v>5796</v>
      </c>
      <c r="E2496" s="4">
        <v>227161</v>
      </c>
      <c r="F2496">
        <v>1</v>
      </c>
    </row>
    <row r="2497" spans="1:6" ht="13.5" hidden="1" customHeight="1">
      <c r="A2497" s="4" t="s">
        <v>5547</v>
      </c>
      <c r="B2497" s="4" t="s">
        <v>5548</v>
      </c>
      <c r="C2497" s="4" t="str">
        <f ca="1">IFERROR(__xludf.DUMMYFUNCTION("GOOGLETRANSLATE(D:D,""auto"",""en"")"),"Who Nigel Amat Contact")</f>
        <v>Who Nigel Amat Contact</v>
      </c>
      <c r="D2497" s="5" t="s">
        <v>5549</v>
      </c>
      <c r="E2497" s="4">
        <v>222290</v>
      </c>
    </row>
    <row r="2498" spans="1:6" ht="13.5" hidden="1" customHeight="1">
      <c r="A2498" s="4" t="s">
        <v>5556</v>
      </c>
      <c r="B2498" s="4" t="s">
        <v>5557</v>
      </c>
      <c r="C2498" s="4" t="str">
        <f ca="1">IFERROR(__xludf.DUMMYFUNCTION("GOOGLETRANSLATE(D:D,""auto"",""en"")"),"ZhouDongYu lying silkworm")</f>
        <v>ZhouDongYu lying silkworm</v>
      </c>
      <c r="D2498" s="5" t="s">
        <v>5558</v>
      </c>
      <c r="E2498" s="4">
        <v>216669</v>
      </c>
    </row>
    <row r="2499" spans="1:6" ht="13.5" hidden="1" customHeight="1">
      <c r="A2499" s="4" t="s">
        <v>5797</v>
      </c>
      <c r="B2499" s="4" t="s">
        <v>5798</v>
      </c>
      <c r="C2499" s="4" t="str">
        <f ca="1">IFERROR(__xludf.DUMMYFUNCTION("GOOGLETRANSLATE(D:D,""auto"",""en"")"),"5.1 earthquake in Tibet Qamdo")</f>
        <v>5.1 earthquake in Tibet Qamdo</v>
      </c>
      <c r="D2499" s="5" t="s">
        <v>5799</v>
      </c>
      <c r="E2499" s="4">
        <v>216271</v>
      </c>
    </row>
    <row r="2500" spans="1:6" ht="13.5" hidden="1" customHeight="1">
      <c r="A2500" s="4" t="s">
        <v>5800</v>
      </c>
      <c r="B2500" s="4" t="s">
        <v>5801</v>
      </c>
      <c r="C2500" s="4" t="str">
        <f ca="1">IFERROR(__xludf.DUMMYFUNCTION("GOOGLETRANSLATE(D:D,""auto"",""en"")"),"6.8 earthquake in Turkey")</f>
        <v>6.8 earthquake in Turkey</v>
      </c>
      <c r="D2500" s="5" t="s">
        <v>5802</v>
      </c>
      <c r="E2500" s="4">
        <v>215441</v>
      </c>
    </row>
    <row r="2501" spans="1:6" ht="13.5" hidden="1" customHeight="1">
      <c r="C2501" s="4" t="str">
        <f ca="1">IFERROR(__xludf.DUMMYFUNCTION("GOOGLETRANSLATE(D:D,""auto"",""en"")"),"#VALUE!")</f>
        <v>#VALUE!</v>
      </c>
    </row>
    <row r="2502" spans="1:6" ht="13.5" customHeight="1">
      <c r="A2502" s="4" t="s">
        <v>5803</v>
      </c>
      <c r="B2502" s="4" t="s">
        <v>5804</v>
      </c>
      <c r="C2502" s="4" t="str">
        <f ca="1">IFERROR(__xludf.DUMMYFUNCTION("GOOGLETRANSLATE(D:D,""auto"",""en"")"),"The latest outbreak Map")</f>
        <v>The latest outbreak Map</v>
      </c>
      <c r="D2502" s="4" t="s">
        <v>5805</v>
      </c>
      <c r="E2502" s="4">
        <v>4665509</v>
      </c>
      <c r="F2502">
        <v>1</v>
      </c>
    </row>
    <row r="2503" spans="1:6" ht="13.5" hidden="1" customHeight="1">
      <c r="A2503" s="4" t="s">
        <v>5806</v>
      </c>
      <c r="B2503" s="4" t="s">
        <v>5807</v>
      </c>
      <c r="C2503" s="4" t="str">
        <f ca="1">IFERROR(__xludf.DUMMYFUNCTION("GOOGLETRANSLATE(D:D,""auto"",""en"")"),"Peisi Zhu Shimao see their children play noodles")</f>
        <v>Peisi Zhu Shimao see their children play noodles</v>
      </c>
      <c r="D2503" s="5" t="s">
        <v>5808</v>
      </c>
      <c r="E2503" s="4">
        <v>2929265</v>
      </c>
    </row>
    <row r="2504" spans="1:6" ht="13.5" hidden="1" customHeight="1">
      <c r="A2504" s="4" t="s">
        <v>5809</v>
      </c>
      <c r="B2504" s="4" t="s">
        <v>5810</v>
      </c>
      <c r="C2504" s="4" t="str">
        <f ca="1">IFERROR(__xludf.DUMMYFUNCTION("GOOGLETRANSLATE(D:D,""auto"",""en"")"),"Families with children, Xia Yu Xue Xia hail")</f>
        <v>Families with children, Xia Yu Xue Xia hail</v>
      </c>
      <c r="D2504" s="5" t="s">
        <v>5811</v>
      </c>
      <c r="E2504" s="4">
        <v>2185699</v>
      </c>
    </row>
    <row r="2505" spans="1:6" ht="13.5" customHeight="1">
      <c r="A2505" s="4" t="s">
        <v>5812</v>
      </c>
      <c r="B2505" s="4" t="s">
        <v>5813</v>
      </c>
      <c r="C2505" s="4" t="str">
        <f ca="1">IFERROR(__xludf.DUMMYFUNCTION("GOOGLETRANSLATE(D:D,""auto"",""en"")"),"Zhong Nanshan said the move did move")</f>
        <v>Zhong Nanshan said the move did move</v>
      </c>
      <c r="D2505" s="5" t="s">
        <v>5814</v>
      </c>
      <c r="E2505" s="4">
        <v>2174231</v>
      </c>
      <c r="F2505">
        <v>1</v>
      </c>
    </row>
    <row r="2506" spans="1:6" ht="13.5" hidden="1" customHeight="1">
      <c r="A2506" s="4" t="s">
        <v>5815</v>
      </c>
      <c r="B2506" s="4" t="s">
        <v>5816</v>
      </c>
      <c r="C2506" s="4" t="str">
        <f ca="1">IFERROR(__xludf.DUMMYFUNCTION("GOOGLETRANSLATE(D:D,""auto"",""en"")"),"Chinese horseshoe bat")</f>
        <v>Chinese horseshoe bat</v>
      </c>
      <c r="D2506" s="5" t="s">
        <v>5817</v>
      </c>
      <c r="E2506" s="4">
        <v>2095388</v>
      </c>
    </row>
    <row r="2507" spans="1:6" ht="13.5" customHeight="1">
      <c r="A2507" s="4" t="s">
        <v>5818</v>
      </c>
      <c r="B2507" s="4" t="s">
        <v>5819</v>
      </c>
      <c r="C2507" s="4" t="str">
        <f ca="1">IFERROR(__xludf.DUMMYFUNCTION("GOOGLETRANSLATE(D:D,""auto"",""en"")"),"Living room ready to go get some fresh air")</f>
        <v>Living room ready to go get some fresh air</v>
      </c>
      <c r="D2507" s="5" t="s">
        <v>5820</v>
      </c>
      <c r="E2507" s="4">
        <v>1936602</v>
      </c>
      <c r="F2507">
        <v>1</v>
      </c>
    </row>
    <row r="2508" spans="1:6" ht="13.5" customHeight="1">
      <c r="A2508" s="4" t="s">
        <v>5821</v>
      </c>
      <c r="B2508" s="4" t="s">
        <v>5822</v>
      </c>
      <c r="C2508" s="4" t="str">
        <f ca="1">IFERROR(__xludf.DUMMYFUNCTION("GOOGLETRANSLATE(D:D,""auto"",""en"")"),"20 bus passengers Jilin JG4666")</f>
        <v>20 bus passengers Jilin JG4666</v>
      </c>
      <c r="D2508" s="5" t="s">
        <v>5823</v>
      </c>
      <c r="E2508" s="4">
        <v>1878606</v>
      </c>
      <c r="F2508">
        <v>1</v>
      </c>
    </row>
    <row r="2509" spans="1:6" ht="13.5" hidden="1" customHeight="1">
      <c r="A2509" s="4" t="s">
        <v>5824</v>
      </c>
      <c r="B2509" s="4" t="s">
        <v>5825</v>
      </c>
      <c r="C2509" s="4" t="str">
        <f ca="1">IFERROR(__xludf.DUMMYFUNCTION("GOOGLETRANSLATE(D:D,""auto"",""en"")"),"Zhang Yun stepmother tea party")</f>
        <v>Zhang Yun stepmother tea party</v>
      </c>
      <c r="D2509" s="5" t="s">
        <v>5826</v>
      </c>
      <c r="E2509" s="4">
        <v>1667170</v>
      </c>
    </row>
    <row r="2510" spans="1:6" ht="13.5" hidden="1" customHeight="1">
      <c r="A2510" s="4" t="s">
        <v>5827</v>
      </c>
      <c r="B2510" s="4" t="s">
        <v>5828</v>
      </c>
      <c r="C2510" s="4" t="str">
        <f ca="1">IFERROR(__xludf.DUMMYFUNCTION("GOOGLETRANSLATE(D:D,""auto"",""en"")"),"Beijing TV Spring Festival Clips")</f>
        <v>Beijing TV Spring Festival Clips</v>
      </c>
      <c r="D2510" s="5" t="s">
        <v>5829</v>
      </c>
      <c r="E2510" s="4">
        <v>1583020</v>
      </c>
    </row>
    <row r="2511" spans="1:6" ht="13.5" customHeight="1">
      <c r="A2511" s="4" t="s">
        <v>5830</v>
      </c>
      <c r="B2511" s="4" t="s">
        <v>5831</v>
      </c>
      <c r="C2511" s="4" t="str">
        <f ca="1">IFERROR(__xludf.DUMMYFUNCTION("GOOGLETRANSLATE(D:D,""auto"",""en"")"),"Wuhan ICU doctors wish")</f>
        <v>Wuhan ICU doctors wish</v>
      </c>
      <c r="D2511" s="5" t="s">
        <v>5832</v>
      </c>
      <c r="E2511" s="4">
        <v>1502829</v>
      </c>
      <c r="F2511">
        <v>1</v>
      </c>
    </row>
    <row r="2512" spans="1:6" ht="13.5" customHeight="1">
      <c r="A2512" s="4" t="s">
        <v>5833</v>
      </c>
      <c r="B2512" s="4" t="s">
        <v>5834</v>
      </c>
      <c r="C2512" s="4" t="str">
        <f ca="1">IFERROR(__xludf.DUMMYFUNCTION("GOOGLETRANSLATE(D:D,""auto"",""en"")"),"Wuhan Taking a loudspeaker night")</f>
        <v>Wuhan Taking a loudspeaker night</v>
      </c>
      <c r="D2512" s="5" t="s">
        <v>5835</v>
      </c>
      <c r="E2512" s="4">
        <v>1453423</v>
      </c>
      <c r="F2512">
        <v>1</v>
      </c>
    </row>
    <row r="2513" spans="1:6" ht="13.5" customHeight="1">
      <c r="A2513" s="4" t="s">
        <v>5094</v>
      </c>
      <c r="B2513" s="4" t="s">
        <v>5095</v>
      </c>
      <c r="C2513" s="4" t="str">
        <f ca="1">IFERROR(__xludf.DUMMYFUNCTION("GOOGLETRANSLATE(D:D,""auto"",""en"")"),"China confirmed new cases of pneumonia")</f>
        <v>China confirmed new cases of pneumonia</v>
      </c>
      <c r="D2513" s="5" t="s">
        <v>5096</v>
      </c>
      <c r="E2513" s="4">
        <v>1406544</v>
      </c>
      <c r="F2513">
        <v>1</v>
      </c>
    </row>
    <row r="2514" spans="1:6" ht="13.5" customHeight="1">
      <c r="A2514" s="4" t="s">
        <v>5836</v>
      </c>
      <c r="B2514" s="4" t="s">
        <v>5837</v>
      </c>
      <c r="C2514" s="4" t="str">
        <f ca="1">IFERROR(__xludf.DUMMYFUNCTION("GOOGLETRANSLATE(D:D,""auto"",""en"")"),"Mahjong immediately close to me")</f>
        <v>Mahjong immediately close to me</v>
      </c>
      <c r="D2514" s="5" t="s">
        <v>5838</v>
      </c>
      <c r="E2514" s="4">
        <v>1405851</v>
      </c>
      <c r="F2514">
        <v>1</v>
      </c>
    </row>
    <row r="2515" spans="1:6" ht="13.5" hidden="1" customHeight="1">
      <c r="A2515" s="4" t="s">
        <v>5839</v>
      </c>
      <c r="B2515" s="4" t="s">
        <v>5813</v>
      </c>
      <c r="C2515" s="4" t="str">
        <f ca="1">IFERROR(__xludf.DUMMYFUNCTION("GOOGLETRANSLATE(D:D,""auto"",""en"")"),"Hunan, Taiwan, choreography")</f>
        <v>Hunan, Taiwan, choreography</v>
      </c>
      <c r="D2515" s="5" t="s">
        <v>5840</v>
      </c>
      <c r="E2515" s="4">
        <v>1398037</v>
      </c>
    </row>
    <row r="2516" spans="1:6" ht="13.5" customHeight="1">
      <c r="A2516" s="4" t="s">
        <v>5841</v>
      </c>
      <c r="B2516" s="4" t="s">
        <v>5842</v>
      </c>
      <c r="C2516" s="4" t="str">
        <f ca="1">IFERROR(__xludf.DUMMYFUNCTION("GOOGLETRANSLATE(D:D,""auto"",""en"")"),"Hubei way of epidemic prevention and control Report")</f>
        <v>Hubei way of epidemic prevention and control Report</v>
      </c>
      <c r="D2516" s="5" t="s">
        <v>5843</v>
      </c>
      <c r="E2516" s="4">
        <v>1389592</v>
      </c>
      <c r="F2516">
        <v>1</v>
      </c>
    </row>
    <row r="2517" spans="1:6" ht="13.5" customHeight="1">
      <c r="A2517" s="4" t="s">
        <v>5844</v>
      </c>
      <c r="B2517" s="4" t="s">
        <v>5845</v>
      </c>
      <c r="C2517" s="4" t="str">
        <f ca="1">IFERROR(__xludf.DUMMYFUNCTION("GOOGLETRANSLATE(D:D,""auto"",""en"")"),"Extended leave")</f>
        <v>Extended leave</v>
      </c>
      <c r="D2517" s="5" t="s">
        <v>5846</v>
      </c>
      <c r="E2517" s="4">
        <v>1382242</v>
      </c>
      <c r="F2517">
        <v>1</v>
      </c>
    </row>
    <row r="2518" spans="1:6" ht="13.5" customHeight="1">
      <c r="A2518" s="4" t="s">
        <v>5847</v>
      </c>
      <c r="B2518" s="4" t="s">
        <v>5848</v>
      </c>
      <c r="C2518" s="4" t="str">
        <f ca="1">IFERROR(__xludf.DUMMYFUNCTION("GOOGLETRANSLATE(D:D,""auto"",""en"")"),"I only have five minutes interview")</f>
        <v>I only have five minutes interview</v>
      </c>
      <c r="D2518" s="5" t="s">
        <v>5849</v>
      </c>
      <c r="E2518" s="4">
        <v>1376436</v>
      </c>
      <c r="F2518">
        <v>1</v>
      </c>
    </row>
    <row r="2519" spans="1:6" ht="13.5" customHeight="1">
      <c r="A2519" s="4" t="s">
        <v>5806</v>
      </c>
      <c r="B2519" s="4" t="s">
        <v>5850</v>
      </c>
      <c r="C2519" s="4" t="str">
        <f ca="1">IFERROR(__xludf.DUMMYFUNCTION("GOOGLETRANSLATE(D:D,""auto"",""en"")"),"Love off the air landing")</f>
        <v>Love off the air landing</v>
      </c>
      <c r="D2519" s="5" t="s">
        <v>5851</v>
      </c>
      <c r="E2519" s="4">
        <v>1373840</v>
      </c>
      <c r="F2519">
        <v>1</v>
      </c>
    </row>
    <row r="2520" spans="1:6" ht="13.5" hidden="1" customHeight="1">
      <c r="A2520" s="4" t="s">
        <v>5852</v>
      </c>
      <c r="B2520" s="4" t="s">
        <v>5853</v>
      </c>
      <c r="C2520" s="4" t="str">
        <f ca="1">IFERROR(__xludf.DUMMYFUNCTION("GOOGLETRANSLATE(D:D,""auto"",""en"")"),"Peace elite collapse")</f>
        <v>Peace elite collapse</v>
      </c>
      <c r="D2520" s="5" t="s">
        <v>5854</v>
      </c>
      <c r="E2520" s="4">
        <v>1367490</v>
      </c>
    </row>
    <row r="2521" spans="1:6" ht="13.5" hidden="1" customHeight="1">
      <c r="A2521" s="4" t="s">
        <v>5833</v>
      </c>
      <c r="B2521" s="4" t="s">
        <v>5855</v>
      </c>
      <c r="C2521" s="4" t="str">
        <f ca="1">IFERROR(__xludf.DUMMYFUNCTION("GOOGLETRANSLATE(D:D,""auto"",""en"")"),"Zheng Shuang excessive sweetness")</f>
        <v>Zheng Shuang excessive sweetness</v>
      </c>
      <c r="D2521" s="5" t="s">
        <v>5856</v>
      </c>
      <c r="E2521" s="4">
        <v>1363925</v>
      </c>
    </row>
    <row r="2522" spans="1:6" ht="13.5" customHeight="1">
      <c r="A2522" s="4" t="s">
        <v>5857</v>
      </c>
      <c r="B2522" s="4" t="s">
        <v>5858</v>
      </c>
      <c r="C2522" s="4" t="str">
        <f ca="1">IFERROR(__xludf.DUMMYFUNCTION("GOOGLETRANSLATE(D:D,""auto"",""en"")"),"Several of the movement before the micro-channel interaction delete it")</f>
        <v>Several of the movement before the micro-channel interaction delete it</v>
      </c>
      <c r="D2522" s="5" t="s">
        <v>5859</v>
      </c>
      <c r="E2522" s="4">
        <v>1352559</v>
      </c>
      <c r="F2522">
        <v>1</v>
      </c>
    </row>
    <row r="2523" spans="1:6" ht="13.5" customHeight="1">
      <c r="A2523" s="4" t="s">
        <v>5860</v>
      </c>
      <c r="B2523" s="4" t="s">
        <v>5831</v>
      </c>
      <c r="C2523" s="4" t="str">
        <f ca="1">IFERROR(__xludf.DUMMYFUNCTION("GOOGLETRANSLATE(D:D,""auto"",""en"")"),"Deputy director of the Guangzhou Urban Management Bureau was diagnosed with pneumonia new")</f>
        <v>Deputy director of the Guangzhou Urban Management Bureau was diagnosed with pneumonia new</v>
      </c>
      <c r="D2523" s="5" t="s">
        <v>5861</v>
      </c>
      <c r="E2523" s="4">
        <v>1180331</v>
      </c>
      <c r="F2523">
        <v>1</v>
      </c>
    </row>
    <row r="2524" spans="1:6" ht="13.5" customHeight="1">
      <c r="A2524" s="4" t="s">
        <v>5862</v>
      </c>
      <c r="B2524" s="4" t="s">
        <v>5863</v>
      </c>
      <c r="C2524" s="4" t="str">
        <f ca="1">IFERROR(__xludf.DUMMYFUNCTION("GOOGLETRANSLATE(D:D,""auto"",""en"")"),"The Hong Kong outbreak response level to the highest level")</f>
        <v>The Hong Kong outbreak response level to the highest level</v>
      </c>
      <c r="D2524" s="5" t="s">
        <v>5864</v>
      </c>
      <c r="E2524" s="4">
        <v>1069612</v>
      </c>
      <c r="F2524">
        <v>1</v>
      </c>
    </row>
    <row r="2525" spans="1:6" ht="13.5" customHeight="1">
      <c r="A2525" s="4" t="s">
        <v>5865</v>
      </c>
      <c r="B2525" s="4" t="s">
        <v>5866</v>
      </c>
      <c r="C2525" s="4" t="str">
        <f ca="1">IFERROR(__xludf.DUMMYFUNCTION("GOOGLETRANSLATE(D:D,""auto"",""en"")"),"These days I exercise")</f>
        <v>These days I exercise</v>
      </c>
      <c r="D2525" s="5" t="s">
        <v>5867</v>
      </c>
      <c r="E2525" s="4">
        <v>1059954</v>
      </c>
      <c r="F2525">
        <v>1</v>
      </c>
    </row>
    <row r="2526" spans="1:6" ht="13.5" customHeight="1">
      <c r="A2526" s="4" t="s">
        <v>5868</v>
      </c>
      <c r="B2526" s="4" t="s">
        <v>5869</v>
      </c>
      <c r="C2526" s="4" t="str">
        <f ca="1">IFERROR(__xludf.DUMMYFUNCTION("GOOGLETRANSLATE(D:D,""auto"",""en"")"),"How to materials sent to Wuhan")</f>
        <v>How to materials sent to Wuhan</v>
      </c>
      <c r="D2526" s="5" t="s">
        <v>5870</v>
      </c>
      <c r="E2526" s="4">
        <v>984793</v>
      </c>
      <c r="F2526">
        <v>1</v>
      </c>
    </row>
    <row r="2527" spans="1:6" ht="13.5" hidden="1" customHeight="1">
      <c r="A2527" s="4" t="s">
        <v>5871</v>
      </c>
      <c r="B2527" s="4" t="s">
        <v>5872</v>
      </c>
      <c r="C2527" s="4" t="str">
        <f ca="1">IFERROR(__xludf.DUMMYFUNCTION("GOOGLETRANSLATE(D:D,""auto"",""en"")"),"Free exercise")</f>
        <v>Free exercise</v>
      </c>
      <c r="D2527" s="5" t="s">
        <v>5873</v>
      </c>
      <c r="E2527" s="4">
        <v>966140</v>
      </c>
    </row>
    <row r="2528" spans="1:6" ht="13.5" customHeight="1">
      <c r="A2528" s="4" t="s">
        <v>5874</v>
      </c>
      <c r="B2528" s="4" t="s">
        <v>5875</v>
      </c>
      <c r="C2528" s="4" t="str">
        <f ca="1">IFERROR(__xludf.DUMMYFUNCTION("GOOGLETRANSLATE(D:D,""auto"",""en"")"),"Wuhan city traffic partially lifted")</f>
        <v>Wuhan city traffic partially lifted</v>
      </c>
      <c r="D2528" s="5" t="s">
        <v>5876</v>
      </c>
      <c r="E2528" s="4">
        <v>919599</v>
      </c>
      <c r="F2528">
        <v>1</v>
      </c>
    </row>
    <row r="2529" spans="1:6" ht="13.5" hidden="1" customHeight="1">
      <c r="A2529" s="4" t="s">
        <v>5862</v>
      </c>
      <c r="B2529" s="4" t="s">
        <v>5834</v>
      </c>
      <c r="C2529" s="4" t="str">
        <f ca="1">IFERROR(__xludf.DUMMYFUNCTION("GOOGLETRANSLATE(D:D,""auto"",""en"")"),"Spring Festival at home the true state")</f>
        <v>Spring Festival at home the true state</v>
      </c>
      <c r="D2529" s="5" t="s">
        <v>5877</v>
      </c>
      <c r="E2529" s="4">
        <v>919583</v>
      </c>
    </row>
    <row r="2530" spans="1:6" ht="13.5" customHeight="1">
      <c r="A2530" s="4" t="s">
        <v>5878</v>
      </c>
      <c r="B2530" s="4" t="s">
        <v>5879</v>
      </c>
      <c r="C2530" s="4" t="str">
        <f ca="1">IFERROR(__xludf.DUMMYFUNCTION("GOOGLETRANSLATE(D:D,""auto"",""en"")"),"Game northeast")</f>
        <v>Game northeast</v>
      </c>
      <c r="D2530" s="5" t="s">
        <v>5880</v>
      </c>
      <c r="E2530" s="4">
        <v>836392</v>
      </c>
      <c r="F2530">
        <v>1</v>
      </c>
    </row>
    <row r="2531" spans="1:6" ht="13.5" customHeight="1">
      <c r="A2531" s="4" t="s">
        <v>5881</v>
      </c>
      <c r="B2531" s="4" t="s">
        <v>5834</v>
      </c>
      <c r="C2531" s="4" t="str">
        <f ca="1">IFERROR(__xludf.DUMMYFUNCTION("GOOGLETRANSLATE(D:D,""auto"",""en"")"),"CCTV reporter Wuhan vlog")</f>
        <v>CCTV reporter Wuhan vlog</v>
      </c>
      <c r="D2531" s="5" t="s">
        <v>5882</v>
      </c>
      <c r="E2531" s="4">
        <v>764387</v>
      </c>
      <c r="F2531">
        <v>1</v>
      </c>
    </row>
    <row r="2532" spans="1:6" ht="13.5" hidden="1" customHeight="1">
      <c r="A2532" s="4" t="s">
        <v>5883</v>
      </c>
      <c r="B2532" s="4" t="s">
        <v>5884</v>
      </c>
      <c r="C2532" s="4" t="str">
        <f ca="1">IFERROR(__xludf.DUMMYFUNCTION("GOOGLETRANSLATE(D:D,""auto"",""en"")"),"Dr Tao Yong awake")</f>
        <v>Dr Tao Yong awake</v>
      </c>
      <c r="D2532" s="5" t="s">
        <v>5885</v>
      </c>
      <c r="E2532" s="4">
        <v>753764</v>
      </c>
    </row>
    <row r="2533" spans="1:6" ht="13.5" customHeight="1">
      <c r="A2533" s="4" t="s">
        <v>5886</v>
      </c>
      <c r="B2533" s="4" t="s">
        <v>5819</v>
      </c>
      <c r="C2533" s="4" t="str">
        <f ca="1">IFERROR(__xludf.DUMMYFUNCTION("GOOGLETRANSLATE(D:D,""auto"",""en"")"),"22 Shenzhen ZH4751 flight passengers")</f>
        <v>22 Shenzhen ZH4751 flight passengers</v>
      </c>
      <c r="D2533" s="5" t="s">
        <v>5887</v>
      </c>
      <c r="E2533" s="4">
        <v>648314</v>
      </c>
      <c r="F2533">
        <v>1</v>
      </c>
    </row>
    <row r="2534" spans="1:6" ht="13.5" hidden="1" customHeight="1">
      <c r="A2534" s="4" t="s">
        <v>974</v>
      </c>
      <c r="B2534" s="4" t="s">
        <v>975</v>
      </c>
      <c r="C2534" s="4" t="str">
        <f ca="1">IFERROR(__xludf.DUMMYFUNCTION("GOOGLETRANSLATE(D:D,""auto"",""en"")"),"Sound clinical environment")</f>
        <v>Sound clinical environment</v>
      </c>
      <c r="D2534" s="5" t="s">
        <v>976</v>
      </c>
      <c r="E2534" s="4">
        <v>641208</v>
      </c>
    </row>
    <row r="2535" spans="1:6" ht="13.5" hidden="1" customHeight="1">
      <c r="A2535" s="4" t="s">
        <v>5888</v>
      </c>
      <c r="B2535" s="4" t="s">
        <v>5810</v>
      </c>
      <c r="C2535" s="4" t="str">
        <f ca="1">IFERROR(__xludf.DUMMYFUNCTION("GOOGLETRANSLATE(D:D,""auto"",""en"")"),"Suda Jiang Xie Guangkun as a father with box")</f>
        <v>Suda Jiang Xie Guangkun as a father with box</v>
      </c>
      <c r="D2535" s="5" t="s">
        <v>5889</v>
      </c>
      <c r="E2535" s="4">
        <v>613950</v>
      </c>
    </row>
    <row r="2536" spans="1:6" ht="13.5" customHeight="1">
      <c r="A2536" s="4" t="s">
        <v>5890</v>
      </c>
      <c r="B2536" s="4" t="s">
        <v>5891</v>
      </c>
      <c r="C2536" s="4" t="str">
        <f ca="1">IFERROR(__xludf.DUMMYFUNCTION("GOOGLETRANSLATE(D:D,""auto"",""en"")"),"Pneumonia symptoms")</f>
        <v>Pneumonia symptoms</v>
      </c>
      <c r="D2536" s="5" t="s">
        <v>5892</v>
      </c>
      <c r="E2536" s="4">
        <v>612054</v>
      </c>
      <c r="F2536">
        <v>1</v>
      </c>
    </row>
    <row r="2537" spans="1:6" ht="13.5" hidden="1" customHeight="1">
      <c r="A2537" s="4" t="s">
        <v>5893</v>
      </c>
      <c r="B2537" s="4" t="s">
        <v>5894</v>
      </c>
      <c r="C2537" s="4" t="str">
        <f ca="1">IFERROR(__xludf.DUMMYFUNCTION("GOOGLETRANSLATE(D:D,""auto"",""en"")"),"Dongguan really hard core")</f>
        <v>Dongguan really hard core</v>
      </c>
      <c r="D2537" s="5" t="s">
        <v>5895</v>
      </c>
      <c r="E2537" s="4">
        <v>530659</v>
      </c>
    </row>
    <row r="2538" spans="1:6" ht="13.5" customHeight="1">
      <c r="A2538" s="4" t="s">
        <v>5896</v>
      </c>
      <c r="B2538" s="4" t="s">
        <v>5816</v>
      </c>
      <c r="C2538" s="4" t="str">
        <f ca="1">IFERROR(__xludf.DUMMYFUNCTION("GOOGLETRANSLATE(D:D,""auto"",""en"")"),"Home Edition fight against SARS measures how to do")</f>
        <v>Home Edition fight against SARS measures how to do</v>
      </c>
      <c r="D2538" s="5" t="s">
        <v>5897</v>
      </c>
      <c r="E2538" s="4">
        <v>512161</v>
      </c>
      <c r="F2538">
        <v>1</v>
      </c>
    </row>
    <row r="2539" spans="1:6" ht="13.5" customHeight="1">
      <c r="A2539" s="4" t="s">
        <v>5898</v>
      </c>
      <c r="B2539" s="4" t="s">
        <v>5834</v>
      </c>
      <c r="C2539" s="4" t="str">
        <f ca="1">IFERROR(__xludf.DUMMYFUNCTION("GOOGLETRANSLATE(D:D,""auto"",""en"")"),"Qinghai start a response")</f>
        <v>Qinghai start a response</v>
      </c>
      <c r="D2539" s="5" t="s">
        <v>5899</v>
      </c>
      <c r="E2539" s="4">
        <v>500106</v>
      </c>
      <c r="F2539">
        <v>1</v>
      </c>
    </row>
    <row r="2540" spans="1:6" ht="13.5" customHeight="1">
      <c r="A2540" s="4" t="s">
        <v>5900</v>
      </c>
      <c r="B2540" s="4" t="s">
        <v>5901</v>
      </c>
      <c r="C2540" s="4" t="str">
        <f ca="1">IFERROR(__xludf.DUMMYFUNCTION("GOOGLETRANSLATE(D:D,""auto"",""en"")"),"30 kinds of drugs may be effective against the new virus crown")</f>
        <v>30 kinds of drugs may be effective against the new virus crown</v>
      </c>
      <c r="D2540" s="5" t="s">
        <v>5902</v>
      </c>
      <c r="E2540" s="4">
        <v>497808</v>
      </c>
      <c r="F2540">
        <v>1</v>
      </c>
    </row>
    <row r="2541" spans="1:6" ht="13.5" hidden="1" customHeight="1">
      <c r="A2541" s="4" t="s">
        <v>5896</v>
      </c>
      <c r="B2541" s="4" t="s">
        <v>5903</v>
      </c>
      <c r="C2541" s="4" t="str">
        <f ca="1">IFERROR(__xludf.DUMMYFUNCTION("GOOGLETRANSLATE(D:D,""auto"",""en"")"),"And parents see Xiaozhan")</f>
        <v>And parents see Xiaozhan</v>
      </c>
      <c r="D2541" s="5" t="s">
        <v>5904</v>
      </c>
      <c r="E2541" s="4">
        <v>488124</v>
      </c>
    </row>
    <row r="2542" spans="1:6" ht="13.5" customHeight="1">
      <c r="A2542" s="4" t="s">
        <v>5905</v>
      </c>
      <c r="B2542" s="4" t="s">
        <v>5906</v>
      </c>
      <c r="C2542" s="4" t="str">
        <f ca="1">IFERROR(__xludf.DUMMYFUNCTION("GOOGLETRANSLATE(D:D,""auto"",""en"")"),"Tianjin Radio and you do not be confident")</f>
        <v>Tianjin Radio and you do not be confident</v>
      </c>
      <c r="D2542" s="5" t="s">
        <v>5907</v>
      </c>
      <c r="E2542" s="4">
        <v>473083</v>
      </c>
      <c r="F2542">
        <v>1</v>
      </c>
    </row>
    <row r="2543" spans="1:6" ht="13.5" customHeight="1">
      <c r="A2543" s="4" t="s">
        <v>5908</v>
      </c>
      <c r="B2543" s="4" t="s">
        <v>5909</v>
      </c>
      <c r="C2543" s="4" t="str">
        <f ca="1">IFERROR(__xludf.DUMMYFUNCTION("GOOGLETRANSLATE(D:D,""auto"",""en"")"),"National team tour travel agency to suspend all")</f>
        <v>National team tour travel agency to suspend all</v>
      </c>
      <c r="D2543" s="5" t="s">
        <v>5910</v>
      </c>
      <c r="E2543" s="4">
        <v>447325</v>
      </c>
      <c r="F2543">
        <v>1</v>
      </c>
    </row>
    <row r="2544" spans="1:6" ht="13.5" customHeight="1">
      <c r="A2544" s="4" t="s">
        <v>5911</v>
      </c>
      <c r="B2544" s="4" t="s">
        <v>5912</v>
      </c>
      <c r="C2544" s="4" t="str">
        <f ca="1">IFERROR(__xludf.DUMMYFUNCTION("GOOGLETRANSLATE(D:D,""auto"",""en"")"),"Inner Mongolia All confirmed seven cases of suspected cases")</f>
        <v>Inner Mongolia All confirmed seven cases of suspected cases</v>
      </c>
      <c r="D2544" s="5" t="s">
        <v>5913</v>
      </c>
      <c r="E2544" s="4">
        <v>422211</v>
      </c>
      <c r="F2544">
        <v>1</v>
      </c>
    </row>
    <row r="2545" spans="1:6" ht="13.5" customHeight="1">
      <c r="A2545" s="4" t="s">
        <v>5914</v>
      </c>
      <c r="B2545" s="4" t="s">
        <v>5915</v>
      </c>
      <c r="C2545" s="4" t="str">
        <f ca="1">IFERROR(__xludf.DUMMYFUNCTION("GOOGLETRANSLATE(D:D,""auto"",""en"")"),"20 Pakistani passengers Jin C60695")</f>
        <v>20 Pakistani passengers Jin C60695</v>
      </c>
      <c r="D2545" s="5" t="s">
        <v>5916</v>
      </c>
      <c r="E2545" s="4">
        <v>407818</v>
      </c>
      <c r="F2545">
        <v>1</v>
      </c>
    </row>
    <row r="2546" spans="1:6" ht="13.5" customHeight="1">
      <c r="A2546" s="4" t="s">
        <v>5917</v>
      </c>
      <c r="B2546" s="4" t="s">
        <v>5894</v>
      </c>
      <c r="C2546" s="4" t="str">
        <f ca="1">IFERROR(__xludf.DUMMYFUNCTION("GOOGLETRANSLATE(D:D,""auto"",""en"")"),"Add new cases of pneumonia six cases in Yunnan")</f>
        <v>Add new cases of pneumonia six cases in Yunnan</v>
      </c>
      <c r="D2546" s="5" t="s">
        <v>5918</v>
      </c>
      <c r="E2546" s="4">
        <v>389105</v>
      </c>
      <c r="F2546">
        <v>1</v>
      </c>
    </row>
    <row r="2547" spans="1:6" ht="13.5" customHeight="1">
      <c r="A2547" s="4" t="s">
        <v>5919</v>
      </c>
      <c r="B2547" s="4" t="s">
        <v>5894</v>
      </c>
      <c r="C2547" s="4" t="str">
        <f ca="1">IFERROR(__xludf.DUMMYFUNCTION("GOOGLETRANSLATE(D:D,""auto"",""en"")"),"The Lancet")</f>
        <v>The Lancet</v>
      </c>
      <c r="D2547" s="5" t="s">
        <v>5920</v>
      </c>
      <c r="E2547" s="4">
        <v>388755</v>
      </c>
      <c r="F2547">
        <v>1</v>
      </c>
    </row>
    <row r="2548" spans="1:6" ht="13.5" customHeight="1">
      <c r="A2548" s="4" t="s">
        <v>5921</v>
      </c>
      <c r="B2548" s="4" t="s">
        <v>5816</v>
      </c>
      <c r="C2548" s="4" t="str">
        <f ca="1">IFERROR(__xludf.DUMMYFUNCTION("GOOGLETRANSLATE(D:D,""auto"",""en"")"),"CPC Central Committee was established to deal with the epidemic leadership team")</f>
        <v>CPC Central Committee was established to deal with the epidemic leadership team</v>
      </c>
      <c r="D2548" s="5" t="s">
        <v>5922</v>
      </c>
      <c r="E2548" s="4">
        <v>388646</v>
      </c>
      <c r="F2548">
        <v>1</v>
      </c>
    </row>
    <row r="2549" spans="1:6" ht="13.5" hidden="1" customHeight="1">
      <c r="A2549" s="4" t="s">
        <v>5923</v>
      </c>
      <c r="B2549" s="4" t="s">
        <v>5924</v>
      </c>
      <c r="C2549" s="4" t="str">
        <f ca="1">IFERROR(__xludf.DUMMYFUNCTION("GOOGLETRANSLATE(D:D,""auto"",""en"")"),"Hunan Spring Festival")</f>
        <v>Hunan Spring Festival</v>
      </c>
      <c r="D2549" s="5" t="s">
        <v>5925</v>
      </c>
      <c r="E2549" s="4">
        <v>367843</v>
      </c>
    </row>
    <row r="2550" spans="1:6" ht="13.5" customHeight="1">
      <c r="A2550" s="4" t="s">
        <v>5926</v>
      </c>
      <c r="B2550" s="4" t="s">
        <v>5927</v>
      </c>
      <c r="C2550" s="4" t="str">
        <f ca="1">IFERROR(__xludf.DUMMYFUNCTION("GOOGLETRANSLATE(D:D,""auto"",""en"")"),"Vulcan Mountain Thor Hill")</f>
        <v>Vulcan Mountain Thor Hill</v>
      </c>
      <c r="D2550" s="5" t="s">
        <v>5928</v>
      </c>
      <c r="E2550" s="4">
        <v>353552</v>
      </c>
      <c r="F2550">
        <v>1</v>
      </c>
    </row>
    <row r="2551" spans="1:6" ht="13.5" hidden="1" customHeight="1">
      <c r="C2551" s="4" t="str">
        <f ca="1">IFERROR(__xludf.DUMMYFUNCTION("GOOGLETRANSLATE(D:D,""auto"",""en"")"),"#VALUE!")</f>
        <v>#VALUE!</v>
      </c>
    </row>
    <row r="2552" spans="1:6" ht="13.5" customHeight="1">
      <c r="A2552" s="4" t="s">
        <v>5929</v>
      </c>
      <c r="B2552" s="4" t="s">
        <v>5930</v>
      </c>
      <c r="C2552" s="4" t="str">
        <f ca="1">IFERROR(__xludf.DUMMYFUNCTION("GOOGLETRANSLATE(D:D,""auto"",""en"")"),"Infectious disease experts say the epidemic is urgent")</f>
        <v>Infectious disease experts say the epidemic is urgent</v>
      </c>
      <c r="D2552" s="4" t="s">
        <v>5931</v>
      </c>
      <c r="E2552" s="4">
        <v>6317411</v>
      </c>
      <c r="F2552">
        <v>1</v>
      </c>
    </row>
    <row r="2553" spans="1:6" ht="13.5" customHeight="1">
      <c r="A2553" s="4" t="s">
        <v>5932</v>
      </c>
      <c r="B2553" s="4" t="s">
        <v>5933</v>
      </c>
      <c r="C2553" s="4" t="str">
        <f ca="1">IFERROR(__xludf.DUMMYFUNCTION("GOOGLETRANSLATE(D:D,""auto"",""en"")"),"New Year's Day national box office only 1.81 million")</f>
        <v>New Year's Day national box office only 1.81 million</v>
      </c>
      <c r="D2553" s="5" t="s">
        <v>5934</v>
      </c>
      <c r="E2553" s="4">
        <v>5451178</v>
      </c>
      <c r="F2553">
        <v>1</v>
      </c>
    </row>
    <row r="2554" spans="1:6" ht="13.5" customHeight="1">
      <c r="A2554" s="4" t="s">
        <v>5935</v>
      </c>
      <c r="B2554" s="4" t="s">
        <v>5936</v>
      </c>
      <c r="C2554" s="4" t="str">
        <f ca="1">IFERROR(__xludf.DUMMYFUNCTION("GOOGLETRANSLATE(D:D,""auto"",""en"")"),"Many colleges and universities delayed opening the school")</f>
        <v>Many colleges and universities delayed opening the school</v>
      </c>
      <c r="D2554" s="5" t="s">
        <v>5937</v>
      </c>
      <c r="E2554" s="4">
        <v>4960564</v>
      </c>
      <c r="F2554">
        <v>1</v>
      </c>
    </row>
    <row r="2555" spans="1:6" ht="13.5" customHeight="1">
      <c r="A2555" s="4" t="s">
        <v>5938</v>
      </c>
      <c r="B2555" s="4" t="s">
        <v>5939</v>
      </c>
      <c r="C2555" s="4" t="str">
        <f ca="1">IFERROR(__xludf.DUMMYFUNCTION("GOOGLETRANSLATE(D:D,""auto"",""en"")"),"Star donations")</f>
        <v>Star donations</v>
      </c>
      <c r="D2555" s="5" t="s">
        <v>5940</v>
      </c>
      <c r="E2555" s="4">
        <v>4878384</v>
      </c>
      <c r="F2555">
        <v>1</v>
      </c>
    </row>
    <row r="2556" spans="1:6" ht="13.5" customHeight="1">
      <c r="A2556" s="4" t="s">
        <v>5941</v>
      </c>
      <c r="B2556" s="4" t="s">
        <v>5942</v>
      </c>
      <c r="C2556" s="4" t="str">
        <f ca="1">IFERROR(__xludf.DUMMYFUNCTION("GOOGLETRANSLATE(D:D,""auto"",""en"")"),"Wuhan Status")</f>
        <v>Wuhan Status</v>
      </c>
      <c r="D2556" s="5" t="s">
        <v>5943</v>
      </c>
      <c r="E2556" s="4">
        <v>4179531</v>
      </c>
      <c r="F2556">
        <v>1</v>
      </c>
    </row>
    <row r="2557" spans="1:6" ht="13.5" customHeight="1">
      <c r="A2557" s="4" t="s">
        <v>5944</v>
      </c>
      <c r="B2557" s="4" t="s">
        <v>5809</v>
      </c>
      <c r="C2557" s="4" t="str">
        <f ca="1">IFERROR(__xludf.DUMMYFUNCTION("GOOGLETRANSLATE(D:D,""auto"",""en"")"),"Wuhan NEC detect viral nucleic acid is expected to reach 2,000 copies")</f>
        <v>Wuhan NEC detect viral nucleic acid is expected to reach 2,000 copies</v>
      </c>
      <c r="D2557" s="5" t="s">
        <v>5945</v>
      </c>
      <c r="E2557" s="4">
        <v>2789472</v>
      </c>
      <c r="F2557">
        <v>1</v>
      </c>
    </row>
    <row r="2558" spans="1:6" ht="13.5" customHeight="1">
      <c r="A2558" s="4" t="s">
        <v>5094</v>
      </c>
      <c r="B2558" s="4" t="s">
        <v>5095</v>
      </c>
      <c r="C2558" s="4" t="str">
        <f ca="1">IFERROR(__xludf.DUMMYFUNCTION("GOOGLETRANSLATE(D:D,""auto"",""en"")"),"China confirmed new cases of pneumonia")</f>
        <v>China confirmed new cases of pneumonia</v>
      </c>
      <c r="D2558" s="5" t="s">
        <v>5096</v>
      </c>
      <c r="E2558" s="4">
        <v>2395152</v>
      </c>
      <c r="F2558">
        <v>1</v>
      </c>
    </row>
    <row r="2559" spans="1:6" ht="13.5" customHeight="1">
      <c r="A2559" s="4" t="s">
        <v>5946</v>
      </c>
      <c r="B2559" s="4" t="s">
        <v>5947</v>
      </c>
      <c r="C2559" s="4" t="str">
        <f ca="1">IFERROR(__xludf.DUMMYFUNCTION("GOOGLETRANSLATE(D:D,""auto"",""en"")"),"How many wild animal virus")</f>
        <v>How many wild animal virus</v>
      </c>
      <c r="D2559" s="5" t="s">
        <v>5948</v>
      </c>
      <c r="E2559" s="4">
        <v>2272712</v>
      </c>
      <c r="F2559">
        <v>1</v>
      </c>
    </row>
    <row r="2560" spans="1:6" ht="13.5" customHeight="1">
      <c r="A2560" s="4" t="s">
        <v>5949</v>
      </c>
      <c r="B2560" s="4" t="s">
        <v>5950</v>
      </c>
      <c r="C2560" s="4" t="str">
        <f ca="1">IFERROR(__xludf.DUMMYFUNCTION("GOOGLETRANSLATE(D:D,""auto"",""en"")"),"Nortel arts test of time in the theater postponed")</f>
        <v>Nortel arts test of time in the theater postponed</v>
      </c>
      <c r="D2560" s="5" t="s">
        <v>5951</v>
      </c>
      <c r="E2560" s="4">
        <v>1812106</v>
      </c>
      <c r="F2560">
        <v>1</v>
      </c>
    </row>
    <row r="2561" spans="1:6" ht="13.5" customHeight="1">
      <c r="A2561" s="4" t="s">
        <v>5952</v>
      </c>
      <c r="B2561" s="4" t="s">
        <v>5868</v>
      </c>
      <c r="C2561" s="4" t="str">
        <f ca="1">IFERROR(__xludf.DUMMYFUNCTION("GOOGLETRANSLATE(D:D,""auto"",""en"")"),"Shanghai first case of deaths")</f>
        <v>Shanghai first case of deaths</v>
      </c>
      <c r="D2561" s="5" t="s">
        <v>5953</v>
      </c>
      <c r="E2561" s="4">
        <v>1728282</v>
      </c>
      <c r="F2561">
        <v>1</v>
      </c>
    </row>
    <row r="2562" spans="1:6" ht="13.5" customHeight="1">
      <c r="A2562" s="4" t="s">
        <v>5954</v>
      </c>
      <c r="B2562" s="4" t="s">
        <v>5955</v>
      </c>
      <c r="C2562" s="4" t="str">
        <f ca="1">IFERROR(__xludf.DUMMYFUNCTION("GOOGLETRANSLATE(D:D,""auto"",""en"")"),"Guangdong Shantou vehicular entry into the vessel")</f>
        <v>Guangdong Shantou vehicular entry into the vessel</v>
      </c>
      <c r="D2562" s="5" t="s">
        <v>5956</v>
      </c>
      <c r="E2562" s="4">
        <v>1670374</v>
      </c>
      <c r="F2562">
        <v>1</v>
      </c>
    </row>
    <row r="2563" spans="1:6" ht="13.5" customHeight="1">
      <c r="A2563" s="4" t="s">
        <v>5957</v>
      </c>
      <c r="B2563" s="4" t="s">
        <v>5958</v>
      </c>
      <c r="C2563" s="4" t="str">
        <f ca="1">IFERROR(__xludf.DUMMYFUNCTION("GOOGLETRANSLATE(D:D,""auto"",""en"")"),"UP primary real shot Wuhan")</f>
        <v>UP primary real shot Wuhan</v>
      </c>
      <c r="D2563" s="5" t="s">
        <v>5959</v>
      </c>
      <c r="E2563" s="4">
        <v>1617273</v>
      </c>
      <c r="F2563">
        <v>1</v>
      </c>
    </row>
    <row r="2564" spans="1:6" ht="13.5" customHeight="1">
      <c r="A2564" s="4" t="s">
        <v>5960</v>
      </c>
      <c r="B2564" s="4" t="s">
        <v>5961</v>
      </c>
      <c r="C2564" s="4" t="str">
        <f ca="1">IFERROR(__xludf.DUMMYFUNCTION("GOOGLETRANSLATE(D:D,""auto"",""en"")"),"Masks four hours after the how to deal with")</f>
        <v>Masks four hours after the how to deal with</v>
      </c>
      <c r="D2564" s="5" t="s">
        <v>5962</v>
      </c>
      <c r="E2564" s="4">
        <v>1529553</v>
      </c>
      <c r="F2564">
        <v>1</v>
      </c>
    </row>
    <row r="2565" spans="1:6" ht="13.5" customHeight="1">
      <c r="A2565" s="4" t="s">
        <v>5963</v>
      </c>
      <c r="B2565" s="4" t="s">
        <v>5844</v>
      </c>
      <c r="C2565" s="4" t="str">
        <f ca="1">IFERROR(__xludf.DUMMYFUNCTION("GOOGLETRANSLATE(D:D,""auto"",""en"")"),"24 Meizhou D3286 times of passengers bound for Wuhan")</f>
        <v>24 Meizhou D3286 times of passengers bound for Wuhan</v>
      </c>
      <c r="D2565" s="5" t="s">
        <v>5964</v>
      </c>
      <c r="E2565" s="4">
        <v>1490455</v>
      </c>
      <c r="F2565">
        <v>1</v>
      </c>
    </row>
    <row r="2566" spans="1:6" ht="13.5" customHeight="1">
      <c r="A2566" s="4" t="s">
        <v>5965</v>
      </c>
      <c r="B2566" s="4" t="s">
        <v>5947</v>
      </c>
      <c r="C2566" s="4" t="str">
        <f ca="1">IFERROR(__xludf.DUMMYFUNCTION("GOOGLETRANSLATE(D:D,""auto"",""en"")"),"Guangdong and more canceled Feb. 2 marriage registration")</f>
        <v>Guangdong and more canceled Feb. 2 marriage registration</v>
      </c>
      <c r="D2566" s="5" t="s">
        <v>5966</v>
      </c>
      <c r="E2566" s="4">
        <v>1175229</v>
      </c>
      <c r="F2566">
        <v>1</v>
      </c>
    </row>
    <row r="2567" spans="1:6" ht="13.5" customHeight="1">
      <c r="A2567" s="4" t="s">
        <v>5967</v>
      </c>
      <c r="B2567" s="4" t="s">
        <v>5968</v>
      </c>
      <c r="C2567" s="4" t="str">
        <f ca="1">IFERROR(__xludf.DUMMYFUNCTION("GOOGLETRANSLATE(D:D,""auto"",""en"")"),"Han")</f>
        <v>Han</v>
      </c>
      <c r="D2567" s="5" t="s">
        <v>5969</v>
      </c>
      <c r="E2567" s="4">
        <v>1172714</v>
      </c>
      <c r="F2567">
        <v>1</v>
      </c>
    </row>
    <row r="2568" spans="1:6" ht="13.5" customHeight="1">
      <c r="A2568" s="4" t="s">
        <v>5952</v>
      </c>
      <c r="B2568" s="4" t="s">
        <v>5970</v>
      </c>
      <c r="C2568" s="4" t="str">
        <f ca="1">IFERROR(__xludf.DUMMYFUNCTION("GOOGLETRANSLATE(D:D,""auto"",""en"")"),"Standard masks")</f>
        <v>Standard masks</v>
      </c>
      <c r="D2568" s="5" t="s">
        <v>5971</v>
      </c>
      <c r="E2568" s="4">
        <v>1156279</v>
      </c>
      <c r="F2568">
        <v>1</v>
      </c>
    </row>
    <row r="2569" spans="1:6" ht="13.5" customHeight="1">
      <c r="A2569" s="4" t="s">
        <v>5972</v>
      </c>
      <c r="B2569" s="4" t="s">
        <v>5947</v>
      </c>
      <c r="C2569" s="4" t="str">
        <f ca="1">IFERROR(__xludf.DUMMYFUNCTION("GOOGLETRANSLATE(D:D,""auto"",""en"")"),"Shanghai 81 sets of artificial cardiopulmonary sent to Wuhan")</f>
        <v>Shanghai 81 sets of artificial cardiopulmonary sent to Wuhan</v>
      </c>
      <c r="D2569" s="5" t="s">
        <v>5973</v>
      </c>
      <c r="E2569" s="4">
        <v>1152165</v>
      </c>
      <c r="F2569">
        <v>1</v>
      </c>
    </row>
    <row r="2570" spans="1:6" ht="13.5" customHeight="1">
      <c r="A2570" s="4" t="s">
        <v>5974</v>
      </c>
      <c r="B2570" s="4" t="s">
        <v>5958</v>
      </c>
      <c r="C2570" s="4" t="str">
        <f ca="1">IFERROR(__xludf.DUMMYFUNCTION("GOOGLETRANSLATE(D:D,""auto"",""en"")"),"disinfectant")</f>
        <v>disinfectant</v>
      </c>
      <c r="D2570" s="5" t="s">
        <v>5975</v>
      </c>
      <c r="E2570" s="4">
        <v>1135914</v>
      </c>
      <c r="F2570">
        <v>1</v>
      </c>
    </row>
    <row r="2571" spans="1:6" ht="13.5" customHeight="1">
      <c r="A2571" s="4" t="s">
        <v>5976</v>
      </c>
      <c r="B2571" s="4" t="s">
        <v>5871</v>
      </c>
      <c r="C2571" s="4" t="str">
        <f ca="1">IFERROR(__xludf.DUMMYFUNCTION("GOOGLETRANSLATE(D:D,""auto"",""en"")"),"Motionless on hold")</f>
        <v>Motionless on hold</v>
      </c>
      <c r="D2571" s="5" t="s">
        <v>5977</v>
      </c>
      <c r="E2571" s="4">
        <v>1129667</v>
      </c>
      <c r="F2571">
        <v>1</v>
      </c>
    </row>
    <row r="2572" spans="1:6" ht="13.5" customHeight="1">
      <c r="A2572" s="4" t="s">
        <v>5803</v>
      </c>
      <c r="B2572" s="4" t="s">
        <v>5804</v>
      </c>
      <c r="C2572" s="4" t="str">
        <f ca="1">IFERROR(__xludf.DUMMYFUNCTION("GOOGLETRANSLATE(D:D,""auto"",""en"")"),"The latest outbreak Map")</f>
        <v>The latest outbreak Map</v>
      </c>
      <c r="D2572" s="5" t="s">
        <v>5805</v>
      </c>
      <c r="E2572" s="4">
        <v>1125875</v>
      </c>
      <c r="F2572">
        <v>1</v>
      </c>
    </row>
    <row r="2573" spans="1:6" ht="13.5" customHeight="1">
      <c r="A2573" s="4" t="s">
        <v>5978</v>
      </c>
      <c r="B2573" s="4" t="s">
        <v>5874</v>
      </c>
      <c r="C2573" s="4" t="str">
        <f ca="1">IFERROR(__xludf.DUMMYFUNCTION("GOOGLETRANSLATE(D:D,""auto"",""en"")"),"Shanxi infected passengers were found Pakistan")</f>
        <v>Shanxi infected passengers were found Pakistan</v>
      </c>
      <c r="D2573" s="5" t="s">
        <v>5979</v>
      </c>
      <c r="E2573" s="4">
        <v>1074669</v>
      </c>
      <c r="F2573">
        <v>1</v>
      </c>
    </row>
    <row r="2574" spans="1:6" ht="13.5" hidden="1" customHeight="1">
      <c r="A2574" s="4" t="s">
        <v>5132</v>
      </c>
      <c r="B2574" s="4" t="s">
        <v>5908</v>
      </c>
      <c r="C2574" s="4" t="str">
        <f ca="1">IFERROR(__xludf.DUMMYFUNCTION("GOOGLETRANSLATE(D:D,""auto"",""en"")"),"Xu Zheng pink jacket")</f>
        <v>Xu Zheng pink jacket</v>
      </c>
      <c r="D2574" s="5" t="s">
        <v>5980</v>
      </c>
      <c r="E2574" s="4">
        <v>965456</v>
      </c>
    </row>
    <row r="2575" spans="1:6" ht="13.5" hidden="1" customHeight="1">
      <c r="A2575" s="4" t="s">
        <v>5981</v>
      </c>
      <c r="B2575" s="4" t="s">
        <v>5982</v>
      </c>
      <c r="C2575" s="4" t="str">
        <f ca="1">IFERROR(__xludf.DUMMYFUNCTION("GOOGLETRANSLATE(D:D,""auto"",""en"")"),"James Bryant scored Ultra")</f>
        <v>James Bryant scored Ultra</v>
      </c>
      <c r="D2575" s="5" t="s">
        <v>5983</v>
      </c>
      <c r="E2575" s="4">
        <v>965327</v>
      </c>
    </row>
    <row r="2576" spans="1:6" ht="13.5" customHeight="1">
      <c r="A2576" s="4" t="s">
        <v>5132</v>
      </c>
      <c r="B2576" s="4" t="s">
        <v>5133</v>
      </c>
      <c r="C2576" s="4" t="str">
        <f ca="1">IFERROR(__xludf.DUMMYFUNCTION("GOOGLETRANSLATE(D:D,""auto"",""en"")"),"bat")</f>
        <v>bat</v>
      </c>
      <c r="D2576" s="5" t="s">
        <v>5134</v>
      </c>
      <c r="E2576" s="4">
        <v>965269</v>
      </c>
      <c r="F2576">
        <v>1</v>
      </c>
    </row>
    <row r="2577" spans="1:6" ht="13.5" customHeight="1">
      <c r="A2577" s="4" t="s">
        <v>5984</v>
      </c>
      <c r="B2577" s="4" t="s">
        <v>5985</v>
      </c>
      <c r="C2577" s="4" t="str">
        <f ca="1">IFERROR(__xludf.DUMMYFUNCTION("GOOGLETRANSLATE(D:D,""auto"",""en"")"),"Henan new 51 cases of confirmed cases")</f>
        <v>Henan new 51 cases of confirmed cases</v>
      </c>
      <c r="D2577" s="5" t="s">
        <v>5986</v>
      </c>
      <c r="E2577" s="4">
        <v>846507</v>
      </c>
      <c r="F2577">
        <v>1</v>
      </c>
    </row>
    <row r="2578" spans="1:6" ht="13.5" customHeight="1">
      <c r="A2578" s="4" t="s">
        <v>5987</v>
      </c>
      <c r="B2578" s="4" t="s">
        <v>5988</v>
      </c>
      <c r="C2578" s="4" t="str">
        <f ca="1">IFERROR(__xludf.DUMMYFUNCTION("GOOGLETRANSLATE(D:D,""auto"",""en"")"),"Beijing three doctors of new infection pneumonia")</f>
        <v>Beijing three doctors of new infection pneumonia</v>
      </c>
      <c r="D2578" s="5" t="s">
        <v>5989</v>
      </c>
      <c r="E2578" s="4">
        <v>748844</v>
      </c>
      <c r="F2578">
        <v>1</v>
      </c>
    </row>
    <row r="2579" spans="1:6" ht="13.5" hidden="1" customHeight="1">
      <c r="A2579" s="4" t="s">
        <v>5990</v>
      </c>
      <c r="B2579" s="4" t="s">
        <v>5991</v>
      </c>
      <c r="C2579" s="4" t="str">
        <f ca="1">IFERROR(__xludf.DUMMYFUNCTION("GOOGLETRANSLATE(D:D,""auto"",""en"")"),"Big Year")</f>
        <v>Big Year</v>
      </c>
      <c r="D2579" s="5" t="s">
        <v>5992</v>
      </c>
      <c r="E2579" s="4">
        <v>715762</v>
      </c>
    </row>
    <row r="2580" spans="1:6" ht="13.5" hidden="1" customHeight="1">
      <c r="A2580" s="4" t="s">
        <v>5993</v>
      </c>
      <c r="B2580" s="4" t="s">
        <v>5994</v>
      </c>
      <c r="C2580" s="4" t="str">
        <f ca="1">IFERROR(__xludf.DUMMYFUNCTION("GOOGLETRANSLATE(D:D,""auto"",""en"")"),"Shen Teng efforts seriousness")</f>
        <v>Shen Teng efforts seriousness</v>
      </c>
      <c r="D2580" s="5" t="s">
        <v>5995</v>
      </c>
      <c r="E2580" s="4">
        <v>704567</v>
      </c>
    </row>
    <row r="2581" spans="1:6" ht="13.5" customHeight="1">
      <c r="A2581" s="4" t="s">
        <v>5996</v>
      </c>
      <c r="B2581" s="4" t="s">
        <v>5868</v>
      </c>
      <c r="C2581" s="4" t="str">
        <f ca="1">IFERROR(__xludf.DUMMYFUNCTION("GOOGLETRANSLATE(D:D,""auto"",""en"")"),"Henan village to go to friends and relatives excavator break resistance")</f>
        <v>Henan village to go to friends and relatives excavator break resistance</v>
      </c>
      <c r="D2581" s="5" t="s">
        <v>5997</v>
      </c>
      <c r="E2581" s="4">
        <v>629728</v>
      </c>
      <c r="F2581">
        <v>1</v>
      </c>
    </row>
    <row r="2582" spans="1:6" ht="13.5" customHeight="1">
      <c r="A2582" s="4" t="s">
        <v>5998</v>
      </c>
      <c r="B2582" s="4" t="s">
        <v>5908</v>
      </c>
      <c r="C2582" s="4" t="str">
        <f ca="1">IFERROR(__xludf.DUMMYFUNCTION("GOOGLETRANSLATE(D:D,""auto"",""en"")"),"AIDS drugs to try new pneumonia")</f>
        <v>AIDS drugs to try new pneumonia</v>
      </c>
      <c r="D2582" s="5" t="s">
        <v>5999</v>
      </c>
      <c r="E2582" s="4">
        <v>622778</v>
      </c>
      <c r="F2582">
        <v>1</v>
      </c>
    </row>
    <row r="2583" spans="1:6" ht="13.5" customHeight="1">
      <c r="A2583" s="4" t="s">
        <v>5965</v>
      </c>
      <c r="B2583" s="4" t="s">
        <v>6000</v>
      </c>
      <c r="C2583" s="4" t="str">
        <f ca="1">IFERROR(__xludf.DUMMYFUNCTION("GOOGLETRANSLATE(D:D,""auto"",""en"")"),"Hunan new severe cases 6 cases")</f>
        <v>Hunan new severe cases 6 cases</v>
      </c>
      <c r="D2583" s="5" t="s">
        <v>6001</v>
      </c>
      <c r="E2583" s="4">
        <v>621994</v>
      </c>
      <c r="F2583">
        <v>1</v>
      </c>
    </row>
    <row r="2584" spans="1:6" ht="13.5" customHeight="1">
      <c r="A2584" s="4" t="s">
        <v>5987</v>
      </c>
      <c r="B2584" s="4" t="s">
        <v>5905</v>
      </c>
      <c r="C2584" s="4" t="str">
        <f ca="1">IFERROR(__xludf.DUMMYFUNCTION("GOOGLETRANSLATE(D:D,""auto"",""en"")"),"5 exclamation point on doctors Qingzhan book")</f>
        <v>5 exclamation point on doctors Qingzhan book</v>
      </c>
      <c r="D2584" s="5" t="s">
        <v>6002</v>
      </c>
      <c r="E2584" s="4">
        <v>468986</v>
      </c>
      <c r="F2584">
        <v>1</v>
      </c>
    </row>
    <row r="2585" spans="1:6" ht="13.5" customHeight="1">
      <c r="A2585" s="4" t="s">
        <v>6003</v>
      </c>
      <c r="B2585" s="4" t="s">
        <v>5862</v>
      </c>
      <c r="C2585" s="4" t="str">
        <f ca="1">IFERROR(__xludf.DUMMYFUNCTION("GOOGLETRANSLATE(D:D,""auto"",""en"")"),"Zhejiang new 42 cases of confirmed cases")</f>
        <v>Zhejiang new 42 cases of confirmed cases</v>
      </c>
      <c r="D2585" s="5" t="s">
        <v>6004</v>
      </c>
      <c r="E2585" s="4">
        <v>435794</v>
      </c>
      <c r="F2585">
        <v>1</v>
      </c>
    </row>
    <row r="2586" spans="1:6" ht="13.5" customHeight="1">
      <c r="A2586" s="4" t="s">
        <v>5878</v>
      </c>
      <c r="B2586" s="4" t="s">
        <v>5879</v>
      </c>
      <c r="C2586" s="4" t="str">
        <f ca="1">IFERROR(__xludf.DUMMYFUNCTION("GOOGLETRANSLATE(D:D,""auto"",""en"")"),"Game northeast")</f>
        <v>Game northeast</v>
      </c>
      <c r="D2586" s="5" t="s">
        <v>5880</v>
      </c>
      <c r="E2586" s="4">
        <v>408211</v>
      </c>
      <c r="F2586">
        <v>1</v>
      </c>
    </row>
    <row r="2587" spans="1:6" ht="13.5" hidden="1" customHeight="1">
      <c r="A2587" s="4" t="s">
        <v>5893</v>
      </c>
      <c r="B2587" s="4" t="s">
        <v>5894</v>
      </c>
      <c r="C2587" s="4" t="str">
        <f ca="1">IFERROR(__xludf.DUMMYFUNCTION("GOOGLETRANSLATE(D:D,""auto"",""en"")"),"Dongguan really hard core")</f>
        <v>Dongguan really hard core</v>
      </c>
      <c r="D2587" s="5" t="s">
        <v>5895</v>
      </c>
      <c r="E2587" s="4">
        <v>368687</v>
      </c>
    </row>
    <row r="2588" spans="1:6" ht="13.5" customHeight="1">
      <c r="A2588" s="4" t="s">
        <v>6005</v>
      </c>
      <c r="B2588" s="4" t="s">
        <v>5824</v>
      </c>
      <c r="C2588" s="4" t="str">
        <f ca="1">IFERROR(__xludf.DUMMYFUNCTION("GOOGLETRANSLATE(D:D,""auto"",""en"")"),"Sichuan new 16 new cases of pneumonia")</f>
        <v>Sichuan new 16 new cases of pneumonia</v>
      </c>
      <c r="D2588" s="5" t="s">
        <v>6006</v>
      </c>
      <c r="E2588" s="4">
        <v>366323</v>
      </c>
      <c r="F2588">
        <v>1</v>
      </c>
    </row>
    <row r="2589" spans="1:6" ht="13.5" customHeight="1">
      <c r="A2589" s="4" t="s">
        <v>6007</v>
      </c>
      <c r="B2589" s="4" t="s">
        <v>5905</v>
      </c>
      <c r="C2589" s="4" t="str">
        <f ca="1">IFERROR(__xludf.DUMMYFUNCTION("GOOGLETRANSLATE(D:D,""auto"",""en"")"),"Huanggang version Xiaotangshan Hospital")</f>
        <v>Huanggang version Xiaotangshan Hospital</v>
      </c>
      <c r="D2589" s="5" t="s">
        <v>6008</v>
      </c>
      <c r="E2589" s="4">
        <v>339336</v>
      </c>
      <c r="F2589">
        <v>1</v>
      </c>
    </row>
    <row r="2590" spans="1:6" ht="13.5" customHeight="1">
      <c r="A2590" s="4" t="s">
        <v>5847</v>
      </c>
      <c r="B2590" s="4" t="s">
        <v>5860</v>
      </c>
      <c r="C2590" s="4" t="str">
        <f ca="1">IFERROR(__xludf.DUMMYFUNCTION("GOOGLETRANSLATE(D:D,""auto"",""en"")"),"Guangdong add new pneumonia 20 cases")</f>
        <v>Guangdong add new pneumonia 20 cases</v>
      </c>
      <c r="D2590" s="5" t="s">
        <v>6009</v>
      </c>
      <c r="E2590" s="4">
        <v>335069</v>
      </c>
      <c r="F2590">
        <v>1</v>
      </c>
    </row>
    <row r="2591" spans="1:6" ht="13.5" customHeight="1">
      <c r="A2591" s="4" t="s">
        <v>5847</v>
      </c>
      <c r="B2591" s="4" t="s">
        <v>5848</v>
      </c>
      <c r="C2591" s="4" t="str">
        <f ca="1">IFERROR(__xludf.DUMMYFUNCTION("GOOGLETRANSLATE(D:D,""auto"",""en"")"),"I only have five minutes interview")</f>
        <v>I only have five minutes interview</v>
      </c>
      <c r="D2591" s="5" t="s">
        <v>5849</v>
      </c>
      <c r="E2591" s="4">
        <v>326507</v>
      </c>
      <c r="F2591">
        <v>1</v>
      </c>
    </row>
    <row r="2592" spans="1:6" ht="13.5" customHeight="1">
      <c r="A2592" s="4" t="s">
        <v>6010</v>
      </c>
      <c r="B2592" s="4" t="s">
        <v>5930</v>
      </c>
      <c r="C2592" s="4" t="str">
        <f ca="1">IFERROR(__xludf.DUMMYFUNCTION("GOOGLETRANSLATE(D:D,""auto"",""en"")"),"Tagline is too hard core of")</f>
        <v>Tagline is too hard core of</v>
      </c>
      <c r="D2592" s="5" t="s">
        <v>6011</v>
      </c>
      <c r="E2592" s="4">
        <v>318319</v>
      </c>
      <c r="F2592">
        <v>1</v>
      </c>
    </row>
    <row r="2593" spans="1:6" ht="13.5" customHeight="1">
      <c r="A2593" s="4" t="s">
        <v>5812</v>
      </c>
      <c r="B2593" s="4" t="s">
        <v>5813</v>
      </c>
      <c r="C2593" s="4" t="str">
        <f ca="1">IFERROR(__xludf.DUMMYFUNCTION("GOOGLETRANSLATE(D:D,""auto"",""en"")"),"Zhong Nanshan said the move did move")</f>
        <v>Zhong Nanshan said the move did move</v>
      </c>
      <c r="D2593" s="5" t="s">
        <v>5814</v>
      </c>
      <c r="E2593" s="4">
        <v>306846</v>
      </c>
      <c r="F2593">
        <v>1</v>
      </c>
    </row>
    <row r="2594" spans="1:6" ht="13.5" customHeight="1">
      <c r="A2594" s="4" t="s">
        <v>5815</v>
      </c>
      <c r="B2594" s="4" t="s">
        <v>5816</v>
      </c>
      <c r="C2594" s="4" t="str">
        <f ca="1">IFERROR(__xludf.DUMMYFUNCTION("GOOGLETRANSLATE(D:D,""auto"",""en"")"),"Chinese horseshoe bat")</f>
        <v>Chinese horseshoe bat</v>
      </c>
      <c r="D2594" s="5" t="s">
        <v>5817</v>
      </c>
      <c r="E2594" s="4">
        <v>282412</v>
      </c>
      <c r="F2594">
        <v>1</v>
      </c>
    </row>
    <row r="2595" spans="1:6" ht="13.5" customHeight="1">
      <c r="A2595" s="4" t="s">
        <v>5806</v>
      </c>
      <c r="B2595" s="4" t="s">
        <v>5850</v>
      </c>
      <c r="C2595" s="4" t="str">
        <f ca="1">IFERROR(__xludf.DUMMYFUNCTION("GOOGLETRANSLATE(D:D,""auto"",""en"")"),"Love off the air landing")</f>
        <v>Love off the air landing</v>
      </c>
      <c r="D2595" s="5" t="s">
        <v>5851</v>
      </c>
      <c r="E2595" s="4">
        <v>264872</v>
      </c>
      <c r="F2595">
        <v>1</v>
      </c>
    </row>
    <row r="2596" spans="1:6" ht="13.5" customHeight="1">
      <c r="A2596" s="4" t="s">
        <v>6012</v>
      </c>
      <c r="B2596" s="4" t="s">
        <v>6013</v>
      </c>
      <c r="C2596" s="4" t="str">
        <f ca="1">IFERROR(__xludf.DUMMYFUNCTION("GOOGLETRANSLATE(D:D,""auto"",""en"")"),"Wuhan, a 24-hour restaurant staff room")</f>
        <v>Wuhan, a 24-hour restaurant staff room</v>
      </c>
      <c r="D2596" s="5" t="s">
        <v>6014</v>
      </c>
      <c r="E2596" s="4">
        <v>261050</v>
      </c>
      <c r="F2596">
        <v>1</v>
      </c>
    </row>
    <row r="2597" spans="1:6" ht="13.5" customHeight="1">
      <c r="A2597" s="4" t="s">
        <v>6015</v>
      </c>
      <c r="B2597" s="4" t="s">
        <v>5919</v>
      </c>
      <c r="C2597" s="4" t="str">
        <f ca="1">IFERROR(__xludf.DUMMYFUNCTION("GOOGLETRANSLATE(D:D,""auto"",""en"")"),"Your home this year to cancel New Year yet")</f>
        <v>Your home this year to cancel New Year yet</v>
      </c>
      <c r="D2597" s="5" t="s">
        <v>6016</v>
      </c>
      <c r="E2597" s="4">
        <v>253474</v>
      </c>
      <c r="F2597">
        <v>1</v>
      </c>
    </row>
    <row r="2598" spans="1:6" ht="13.5" customHeight="1">
      <c r="A2598" s="4" t="s">
        <v>6017</v>
      </c>
      <c r="B2598" s="4" t="s">
        <v>5921</v>
      </c>
      <c r="C2598" s="4" t="str">
        <f ca="1">IFERROR(__xludf.DUMMYFUNCTION("GOOGLETRANSLATE(D:D,""auto"",""en"")"),"The new total of 1052 cases of pneumonia in Hubei")</f>
        <v>The new total of 1052 cases of pneumonia in Hubei</v>
      </c>
      <c r="D2598" s="5" t="s">
        <v>6018</v>
      </c>
      <c r="E2598" s="4">
        <v>253170</v>
      </c>
      <c r="F2598">
        <v>1</v>
      </c>
    </row>
    <row r="2599" spans="1:6" ht="13.5" hidden="1" customHeight="1">
      <c r="A2599" s="4" t="s">
        <v>5806</v>
      </c>
      <c r="B2599" s="4" t="s">
        <v>5807</v>
      </c>
      <c r="C2599" s="4" t="str">
        <f ca="1">IFERROR(__xludf.DUMMYFUNCTION("GOOGLETRANSLATE(D:D,""auto"",""en"")"),"Peisi Zhu Shimao see their children play noodles")</f>
        <v>Peisi Zhu Shimao see their children play noodles</v>
      </c>
      <c r="D2599" s="5" t="s">
        <v>5808</v>
      </c>
      <c r="E2599" s="4">
        <v>241046</v>
      </c>
    </row>
    <row r="2600" spans="1:6" ht="13.5" customHeight="1">
      <c r="A2600" s="4" t="s">
        <v>6019</v>
      </c>
      <c r="B2600" s="4" t="s">
        <v>5911</v>
      </c>
      <c r="C2600" s="4" t="str">
        <f ca="1">IFERROR(__xludf.DUMMYFUNCTION("GOOGLETRANSLATE(D:D,""auto"",""en"")"),"Medical subsidy issue temporary work")</f>
        <v>Medical subsidy issue temporary work</v>
      </c>
      <c r="D2600" s="5" t="s">
        <v>6020</v>
      </c>
      <c r="E2600" s="4">
        <v>236972</v>
      </c>
      <c r="F2600">
        <v>1</v>
      </c>
    </row>
    <row r="2601" spans="1:6" ht="13.5" customHeight="1">
      <c r="A2601" s="4" t="s">
        <v>5919</v>
      </c>
      <c r="B2601" s="4" t="s">
        <v>5894</v>
      </c>
      <c r="C2601" s="4" t="str">
        <f ca="1">IFERROR(__xludf.DUMMYFUNCTION("GOOGLETRANSLATE(D:D,""auto"",""en"")"),"The Lancet")</f>
        <v>The Lancet</v>
      </c>
      <c r="D2601" s="5" t="s">
        <v>5920</v>
      </c>
      <c r="E2601" s="4">
        <v>201709</v>
      </c>
      <c r="F2601">
        <v>1</v>
      </c>
    </row>
    <row r="2602" spans="1:6" ht="13.5" hidden="1" customHeight="1">
      <c r="C2602" s="4" t="str">
        <f ca="1">IFERROR(__xludf.DUMMYFUNCTION("GOOGLETRANSLATE(D:D,""auto"",""en"")"),"#VALUE!")</f>
        <v>#VALUE!</v>
      </c>
    </row>
    <row r="2603" spans="1:6" ht="13.5" customHeight="1">
      <c r="A2603" s="4" t="s">
        <v>6021</v>
      </c>
      <c r="B2603" s="4" t="s">
        <v>6022</v>
      </c>
      <c r="C2603" s="4" t="str">
        <f ca="1">IFERROR(__xludf.DUMMYFUNCTION("GOOGLETRANSLATE(D:D,""auto"",""en"")"),"500 million people to leave Wuhan")</f>
        <v>500 million people to leave Wuhan</v>
      </c>
      <c r="D2603" s="4" t="s">
        <v>6023</v>
      </c>
      <c r="E2603" s="4">
        <v>11412070</v>
      </c>
      <c r="F2603">
        <v>1</v>
      </c>
    </row>
    <row r="2604" spans="1:6" ht="13.5" customHeight="1">
      <c r="A2604" s="4" t="s">
        <v>6024</v>
      </c>
      <c r="B2604" s="4" t="s">
        <v>6025</v>
      </c>
      <c r="C2604" s="4" t="str">
        <f ca="1">IFERROR(__xludf.DUMMYFUNCTION("GOOGLETRANSLATE(D:D,""auto"",""en"")"),"Hubei long deplored guilty remorse")</f>
        <v>Hubei long deplored guilty remorse</v>
      </c>
      <c r="D2604" s="5" t="s">
        <v>6026</v>
      </c>
      <c r="E2604" s="4">
        <v>5217833</v>
      </c>
      <c r="F2604">
        <v>1</v>
      </c>
    </row>
    <row r="2605" spans="1:6" ht="13.5" customHeight="1">
      <c r="A2605" s="4" t="s">
        <v>6027</v>
      </c>
      <c r="B2605" s="4" t="s">
        <v>6028</v>
      </c>
      <c r="C2605" s="4" t="str">
        <f ca="1">IFERROR(__xludf.DUMMYFUNCTION("GOOGLETRANSLATE(D:D,""auto"",""en"")"),"There is a large number of new seafood market in South crown virus")</f>
        <v>There is a large number of new seafood market in South crown virus</v>
      </c>
      <c r="D2605" s="5" t="s">
        <v>6029</v>
      </c>
      <c r="E2605" s="4">
        <v>3843257</v>
      </c>
      <c r="F2605">
        <v>1</v>
      </c>
    </row>
    <row r="2606" spans="1:6" ht="13.5" customHeight="1">
      <c r="A2606" s="4" t="s">
        <v>6030</v>
      </c>
      <c r="B2606" s="4" t="s">
        <v>6031</v>
      </c>
      <c r="C2606" s="4" t="str">
        <f ca="1">IFERROR(__xludf.DUMMYFUNCTION("GOOGLETRANSLATE(D:D,""auto"",""en"")"),"Wuhan confirmed cases may add about 1000 cases")</f>
        <v>Wuhan confirmed cases may add about 1000 cases</v>
      </c>
      <c r="D2606" s="5" t="s">
        <v>6032</v>
      </c>
      <c r="E2606" s="4">
        <v>3711517</v>
      </c>
      <c r="F2606">
        <v>1</v>
      </c>
    </row>
    <row r="2607" spans="1:6" ht="13.5" customHeight="1">
      <c r="A2607" s="4" t="s">
        <v>6033</v>
      </c>
      <c r="B2607" s="4" t="s">
        <v>6034</v>
      </c>
      <c r="C2607" s="4" t="str">
        <f ca="1">IFERROR(__xludf.DUMMYFUNCTION("GOOGLETRANSLATE(D:D,""auto"",""en"")"),"9 months old new cases of pneumonia")</f>
        <v>9 months old new cases of pneumonia</v>
      </c>
      <c r="D2607" s="5" t="s">
        <v>6035</v>
      </c>
      <c r="E2607" s="4">
        <v>3485076</v>
      </c>
      <c r="F2607">
        <v>1</v>
      </c>
    </row>
    <row r="2608" spans="1:6" ht="13.5" customHeight="1">
      <c r="A2608" s="4" t="s">
        <v>5803</v>
      </c>
      <c r="B2608" s="4" t="s">
        <v>5804</v>
      </c>
      <c r="C2608" s="4" t="str">
        <f ca="1">IFERROR(__xludf.DUMMYFUNCTION("GOOGLETRANSLATE(D:D,""auto"",""en"")"),"The latest outbreak Map")</f>
        <v>The latest outbreak Map</v>
      </c>
      <c r="D2608" s="5" t="s">
        <v>5805</v>
      </c>
      <c r="E2608" s="4">
        <v>3171527</v>
      </c>
      <c r="F2608">
        <v>1</v>
      </c>
    </row>
    <row r="2609" spans="1:6" ht="13.5" customHeight="1">
      <c r="A2609" s="4" t="s">
        <v>6036</v>
      </c>
      <c r="B2609" s="4" t="s">
        <v>6037</v>
      </c>
      <c r="C2609" s="4" t="str">
        <f ca="1">IFERROR(__xludf.DUMMYFUNCTION("GOOGLETRANSLATE(D:D,""auto"",""en"")"),"There are 19 new patients with pneumonia within this sub-carriage train")</f>
        <v>There are 19 new patients with pneumonia within this sub-carriage train</v>
      </c>
      <c r="D2609" s="5" t="s">
        <v>6038</v>
      </c>
      <c r="E2609" s="4">
        <v>2083072</v>
      </c>
      <c r="F2609">
        <v>1</v>
      </c>
    </row>
    <row r="2610" spans="1:6" ht="13.5" customHeight="1">
      <c r="A2610" s="4" t="s">
        <v>6039</v>
      </c>
      <c r="B2610" s="4" t="s">
        <v>6040</v>
      </c>
      <c r="C2610" s="4" t="str">
        <f ca="1">IFERROR(__xludf.DUMMYFUNCTION("GOOGLETRANSLATE(D:D,""auto"",""en"")"),"Happy Camp cancel broadcast")</f>
        <v>Happy Camp cancel broadcast</v>
      </c>
      <c r="D2610" s="5" t="s">
        <v>6041</v>
      </c>
      <c r="E2610" s="4">
        <v>1864519</v>
      </c>
      <c r="F2610">
        <v>1</v>
      </c>
    </row>
    <row r="2611" spans="1:6" ht="13.5" customHeight="1">
      <c r="A2611" s="4" t="s">
        <v>6042</v>
      </c>
      <c r="B2611" s="4" t="s">
        <v>6043</v>
      </c>
      <c r="C2611" s="4" t="str">
        <f ca="1">IFERROR(__xludf.DUMMYFUNCTION("GOOGLETRANSLATE(D:D,""auto"",""en"")"),"Beijing schools and nursery school extension")</f>
        <v>Beijing schools and nursery school extension</v>
      </c>
      <c r="D2611" s="5" t="s">
        <v>6044</v>
      </c>
      <c r="E2611" s="4">
        <v>1788697</v>
      </c>
      <c r="F2611">
        <v>1</v>
      </c>
    </row>
    <row r="2612" spans="1:6" ht="13.5" customHeight="1">
      <c r="A2612" s="4" t="s">
        <v>6045</v>
      </c>
      <c r="B2612" s="4" t="s">
        <v>6046</v>
      </c>
      <c r="C2612" s="4" t="str">
        <f ca="1">IFERROR(__xludf.DUMMYFUNCTION("GOOGLETRANSLATE(D:D,""auto"",""en"")"),"I never expected that this issue will come true")</f>
        <v>I never expected that this issue will come true</v>
      </c>
      <c r="D2612" s="5" t="s">
        <v>6047</v>
      </c>
      <c r="E2612" s="4">
        <v>1758373</v>
      </c>
      <c r="F2612">
        <v>1</v>
      </c>
    </row>
    <row r="2613" spans="1:6" ht="13.5" customHeight="1">
      <c r="A2613" s="4" t="s">
        <v>6048</v>
      </c>
      <c r="B2613" s="4" t="s">
        <v>6049</v>
      </c>
      <c r="C2613" s="4" t="str">
        <f ca="1">IFERROR(__xludf.DUMMYFUNCTION("GOOGLETRANSLATE(D:D,""auto"",""en"")"),"Vulcan Hill Hospital in Wuhan completed the first ward")</f>
        <v>Vulcan Hill Hospital in Wuhan completed the first ward</v>
      </c>
      <c r="D2613" s="5" t="s">
        <v>6050</v>
      </c>
      <c r="E2613" s="4">
        <v>1601234</v>
      </c>
      <c r="F2613">
        <v>1</v>
      </c>
    </row>
    <row r="2614" spans="1:6" ht="13.5" customHeight="1">
      <c r="A2614" s="4" t="s">
        <v>6051</v>
      </c>
      <c r="B2614" s="4" t="s">
        <v>6052</v>
      </c>
      <c r="C2614" s="4" t="str">
        <f ca="1">IFERROR(__xludf.DUMMYFUNCTION("GOOGLETRANSLATE(D:D,""auto"",""en"")"),"Extension of school holidays late meet less")</f>
        <v>Extension of school holidays late meet less</v>
      </c>
      <c r="D2614" s="5" t="s">
        <v>6053</v>
      </c>
      <c r="E2614" s="4">
        <v>1388926</v>
      </c>
      <c r="F2614">
        <v>1</v>
      </c>
    </row>
    <row r="2615" spans="1:6" ht="13.5" customHeight="1">
      <c r="A2615" s="4" t="s">
        <v>6054</v>
      </c>
      <c r="B2615" s="4" t="s">
        <v>6055</v>
      </c>
      <c r="C2615" s="4" t="str">
        <f ca="1">IFERROR(__xludf.DUMMYFUNCTION("GOOGLETRANSLATE(D:D,""auto"",""en"")"),"One person no dialogue Zhong Nanshan tonight")</f>
        <v>One person no dialogue Zhong Nanshan tonight</v>
      </c>
      <c r="D2615" s="5" t="s">
        <v>6056</v>
      </c>
      <c r="E2615" s="4">
        <v>1314267</v>
      </c>
      <c r="F2615">
        <v>1</v>
      </c>
    </row>
    <row r="2616" spans="1:6" ht="13.5" customHeight="1">
      <c r="A2616" s="4" t="s">
        <v>6057</v>
      </c>
      <c r="B2616" s="4" t="s">
        <v>6058</v>
      </c>
      <c r="C2616" s="4" t="str">
        <f ca="1">IFERROR(__xludf.DUMMYFUNCTION("GOOGLETRANSLATE(D:D,""auto"",""en"")"),"Wuhan Xiehe medical staff clinical symptoms under control")</f>
        <v>Wuhan Xiehe medical staff clinical symptoms under control</v>
      </c>
      <c r="D2616" s="5" t="s">
        <v>6059</v>
      </c>
      <c r="E2616" s="4">
        <v>1312865</v>
      </c>
      <c r="F2616">
        <v>1</v>
      </c>
    </row>
    <row r="2617" spans="1:6" ht="13.5" customHeight="1">
      <c r="A2617" s="4" t="s">
        <v>5094</v>
      </c>
      <c r="B2617" s="4" t="s">
        <v>5095</v>
      </c>
      <c r="C2617" s="4" t="str">
        <f ca="1">IFERROR(__xludf.DUMMYFUNCTION("GOOGLETRANSLATE(D:D,""auto"",""en"")"),"China confirmed new cases of pneumonia")</f>
        <v>China confirmed new cases of pneumonia</v>
      </c>
      <c r="D2617" s="5" t="s">
        <v>5096</v>
      </c>
      <c r="E2617" s="4">
        <v>1290831</v>
      </c>
      <c r="F2617">
        <v>1</v>
      </c>
    </row>
    <row r="2618" spans="1:6" ht="13.5" hidden="1" customHeight="1">
      <c r="A2618" s="4" t="s">
        <v>6060</v>
      </c>
      <c r="B2618" s="4" t="s">
        <v>6061</v>
      </c>
      <c r="C2618" s="4" t="str">
        <f ca="1">IFERROR(__xludf.DUMMYFUNCTION("GOOGLETRANSLATE(D:D,""auto"",""en"")"),"Bulk Jiangsu")</f>
        <v>Bulk Jiangsu</v>
      </c>
      <c r="D2618" s="5" t="s">
        <v>6062</v>
      </c>
      <c r="E2618" s="4">
        <v>1276129</v>
      </c>
    </row>
    <row r="2619" spans="1:6" ht="13.5" customHeight="1">
      <c r="A2619" s="4" t="s">
        <v>6063</v>
      </c>
      <c r="B2619" s="4" t="s">
        <v>6064</v>
      </c>
      <c r="C2619" s="4" t="str">
        <f ca="1">IFERROR(__xludf.DUMMYFUNCTION("GOOGLETRANSLATE(D:D,""auto"",""en"")"),"Han updated list of donations")</f>
        <v>Han updated list of donations</v>
      </c>
      <c r="D2619" s="5" t="s">
        <v>6065</v>
      </c>
      <c r="E2619" s="4">
        <v>1259385</v>
      </c>
      <c r="F2619">
        <v>1</v>
      </c>
    </row>
    <row r="2620" spans="1:6" ht="13.5" customHeight="1">
      <c r="A2620" s="4" t="s">
        <v>6066</v>
      </c>
      <c r="B2620" s="4" t="s">
        <v>6067</v>
      </c>
      <c r="C2620" s="4" t="str">
        <f ca="1">IFERROR(__xludf.DUMMYFUNCTION("GOOGLETRANSLATE(D:D,""auto"",""en"")"),"Wuhan Mayor held a press conference wearing a mask")</f>
        <v>Wuhan Mayor held a press conference wearing a mask</v>
      </c>
      <c r="D2620" s="5" t="s">
        <v>6068</v>
      </c>
      <c r="E2620" s="4">
        <v>1245397</v>
      </c>
      <c r="F2620">
        <v>1</v>
      </c>
    </row>
    <row r="2621" spans="1:6" ht="13.5" customHeight="1">
      <c r="A2621" s="4" t="s">
        <v>6069</v>
      </c>
      <c r="B2621" s="4" t="s">
        <v>6070</v>
      </c>
      <c r="C2621" s="4" t="str">
        <f ca="1">IFERROR(__xludf.DUMMYFUNCTION("GOOGLETRANSLATE(D:D,""auto"",""en"")"),"Peking University Tsinghua University to postpone the spring semester time")</f>
        <v>Peking University Tsinghua University to postpone the spring semester time</v>
      </c>
      <c r="D2621" s="5" t="s">
        <v>6071</v>
      </c>
      <c r="E2621" s="4">
        <v>1209401</v>
      </c>
      <c r="F2621">
        <v>1</v>
      </c>
    </row>
    <row r="2622" spans="1:6" ht="13.5" customHeight="1">
      <c r="A2622" s="4" t="s">
        <v>6072</v>
      </c>
      <c r="B2622" s="4" t="s">
        <v>6073</v>
      </c>
      <c r="C2622" s="4" t="str">
        <f ca="1">IFERROR(__xludf.DUMMYFUNCTION("GOOGLETRANSLATE(D:D,""auto"",""en"")"),"The city's first extended vacation")</f>
        <v>The city's first extended vacation</v>
      </c>
      <c r="D2622" s="5" t="s">
        <v>6074</v>
      </c>
      <c r="E2622" s="4">
        <v>1200637</v>
      </c>
      <c r="F2622">
        <v>1</v>
      </c>
    </row>
    <row r="2623" spans="1:6" ht="13.5" customHeight="1">
      <c r="A2623" s="4" t="s">
        <v>6027</v>
      </c>
      <c r="B2623" s="4" t="s">
        <v>6075</v>
      </c>
      <c r="C2623" s="4" t="str">
        <f ca="1">IFERROR(__xludf.DUMMYFUNCTION("GOOGLETRANSLATE(D:D,""auto"",""en"")"),"Appreciate the taste of wives, grounded")</f>
        <v>Appreciate the taste of wives, grounded</v>
      </c>
      <c r="D2623" s="5" t="s">
        <v>6076</v>
      </c>
      <c r="E2623" s="4">
        <v>1171031</v>
      </c>
      <c r="F2623">
        <v>1</v>
      </c>
    </row>
    <row r="2624" spans="1:6" ht="13.5" hidden="1" customHeight="1">
      <c r="A2624" s="4" t="s">
        <v>6072</v>
      </c>
      <c r="B2624" s="4" t="s">
        <v>6077</v>
      </c>
      <c r="C2624" s="4" t="str">
        <f ca="1">IFERROR(__xludf.DUMMYFUNCTION("GOOGLETRANSLATE(D:D,""auto"",""en"")"),"Herbal Dispensary")</f>
        <v>Herbal Dispensary</v>
      </c>
      <c r="D2624" s="5" t="s">
        <v>6078</v>
      </c>
      <c r="E2624" s="4">
        <v>1145099</v>
      </c>
    </row>
    <row r="2625" spans="1:6" ht="13.5" hidden="1" customHeight="1">
      <c r="A2625" s="4" t="s">
        <v>6079</v>
      </c>
      <c r="B2625" s="4" t="s">
        <v>6070</v>
      </c>
      <c r="C2625" s="4" t="str">
        <f ca="1">IFERROR(__xludf.DUMMYFUNCTION("GOOGLETRANSLATE(D:D,""auto"",""en"")"),"Cheong Wa Dae")</f>
        <v>Cheong Wa Dae</v>
      </c>
      <c r="D2625" s="5" t="s">
        <v>6080</v>
      </c>
      <c r="E2625" s="4">
        <v>841173</v>
      </c>
    </row>
    <row r="2626" spans="1:6" ht="13.5" customHeight="1">
      <c r="A2626" s="4" t="s">
        <v>6048</v>
      </c>
      <c r="B2626" s="4" t="s">
        <v>6081</v>
      </c>
      <c r="C2626" s="4" t="str">
        <f ca="1">IFERROR(__xludf.DUMMYFUNCTION("GOOGLETRANSLATE(D:D,""auto"",""en"")"),"Pharmacies 10 times the price of selling masks being investigated")</f>
        <v>Pharmacies 10 times the price of selling masks being investigated</v>
      </c>
      <c r="D2626" s="5" t="s">
        <v>6082</v>
      </c>
      <c r="E2626" s="4">
        <v>795921</v>
      </c>
      <c r="F2626">
        <v>1</v>
      </c>
    </row>
    <row r="2627" spans="1:6" ht="13.5" hidden="1" customHeight="1">
      <c r="A2627" s="4" t="s">
        <v>6083</v>
      </c>
      <c r="B2627" s="4" t="s">
        <v>6028</v>
      </c>
      <c r="C2627" s="4" t="str">
        <f ca="1">IFERROR(__xludf.DUMMYFUNCTION("GOOGLETRANSLATE(D:D,""auto"",""en"")"),"New Year sitting prime Month")</f>
        <v>New Year sitting prime Month</v>
      </c>
      <c r="D2627" s="5" t="s">
        <v>6084</v>
      </c>
      <c r="E2627" s="4">
        <v>782631</v>
      </c>
    </row>
    <row r="2628" spans="1:6" ht="13.5" hidden="1" customHeight="1">
      <c r="A2628" s="4" t="s">
        <v>6027</v>
      </c>
      <c r="B2628" s="4" t="s">
        <v>6085</v>
      </c>
      <c r="C2628" s="4" t="str">
        <f ca="1">IFERROR(__xludf.DUMMYFUNCTION("GOOGLETRANSLATE(D:D,""auto"",""en"")"),"SoAkane acting")</f>
        <v>SoAkane acting</v>
      </c>
      <c r="D2628" s="5" t="s">
        <v>6086</v>
      </c>
      <c r="E2628" s="4">
        <v>697925</v>
      </c>
    </row>
    <row r="2629" spans="1:6" ht="13.5" customHeight="1">
      <c r="A2629" s="4" t="s">
        <v>6087</v>
      </c>
      <c r="B2629" s="4" t="s">
        <v>6088</v>
      </c>
      <c r="C2629" s="4" t="str">
        <f ca="1">IFERROR(__xludf.DUMMYFUNCTION("GOOGLETRANSLATE(D:D,""auto"",""en"")"),"Wuxi close contacts refused to cooperate were forced isolation")</f>
        <v>Wuxi close contacts refused to cooperate were forced isolation</v>
      </c>
      <c r="D2629" s="5" t="s">
        <v>6089</v>
      </c>
      <c r="E2629" s="4">
        <v>613157</v>
      </c>
      <c r="F2629">
        <v>1</v>
      </c>
    </row>
    <row r="2630" spans="1:6" ht="13.5" hidden="1" customHeight="1">
      <c r="A2630" s="4" t="s">
        <v>6090</v>
      </c>
      <c r="B2630" s="4" t="s">
        <v>6091</v>
      </c>
      <c r="C2630" s="4" t="str">
        <f ca="1">IFERROR(__xludf.DUMMYFUNCTION("GOOGLETRANSLATE(D:D,""auto"",""en"")"),"Japan")</f>
        <v>Japan</v>
      </c>
      <c r="D2630" s="5" t="s">
        <v>6092</v>
      </c>
      <c r="E2630" s="4">
        <v>590697</v>
      </c>
    </row>
    <row r="2631" spans="1:6" ht="13.5" hidden="1" customHeight="1">
      <c r="A2631" s="4" t="s">
        <v>6066</v>
      </c>
      <c r="B2631" s="4" t="s">
        <v>6093</v>
      </c>
      <c r="C2631" s="4" t="str">
        <f ca="1">IFERROR(__xludf.DUMMYFUNCTION("GOOGLETRANSLATE(D:D,""auto"",""en"")"),"Ip Man second son died")</f>
        <v>Ip Man second son died</v>
      </c>
      <c r="D2631" s="5" t="s">
        <v>6094</v>
      </c>
      <c r="E2631" s="4">
        <v>570863</v>
      </c>
    </row>
    <row r="2632" spans="1:6" ht="13.5" customHeight="1">
      <c r="A2632" s="4" t="s">
        <v>6095</v>
      </c>
      <c r="B2632" s="4" t="s">
        <v>6096</v>
      </c>
      <c r="C2632" s="4" t="str">
        <f ca="1">IFERROR(__xludf.DUMMYFUNCTION("GOOGLETRANSLATE(D:D,""auto"",""en"")"),"Let people try to say Fujian protective clothing")</f>
        <v>Let people try to say Fujian protective clothing</v>
      </c>
      <c r="D2632" s="5" t="s">
        <v>6097</v>
      </c>
      <c r="E2632" s="4">
        <v>570536</v>
      </c>
      <c r="F2632">
        <v>1</v>
      </c>
    </row>
    <row r="2633" spans="1:6" ht="13.5" customHeight="1">
      <c r="A2633" s="4" t="s">
        <v>6098</v>
      </c>
      <c r="B2633" s="4" t="s">
        <v>6099</v>
      </c>
      <c r="C2633" s="4" t="str">
        <f ca="1">IFERROR(__xludf.DUMMYFUNCTION("GOOGLETRANSLATE(D:D,""auto"",""en"")"),"5 new confirmed cases in Yunnan")</f>
        <v>5 new confirmed cases in Yunnan</v>
      </c>
      <c r="D2633" s="5" t="s">
        <v>6100</v>
      </c>
      <c r="E2633" s="4">
        <v>518930</v>
      </c>
      <c r="F2633">
        <v>1</v>
      </c>
    </row>
    <row r="2634" spans="1:6" ht="13.5" hidden="1" customHeight="1">
      <c r="A2634" s="4" t="s">
        <v>6027</v>
      </c>
      <c r="B2634" s="4" t="s">
        <v>6101</v>
      </c>
      <c r="C2634" s="4" t="str">
        <f ca="1">IFERROR(__xludf.DUMMYFUNCTION("GOOGLETRANSLATE(D:D,""auto"",""en"")"),"The new Assembly Jinxin blind date")</f>
        <v>The new Assembly Jinxin blind date</v>
      </c>
      <c r="D2634" s="5" t="s">
        <v>6102</v>
      </c>
      <c r="E2634" s="4">
        <v>514972</v>
      </c>
    </row>
    <row r="2635" spans="1:6" ht="13.5" hidden="1" customHeight="1">
      <c r="A2635" s="4" t="s">
        <v>6103</v>
      </c>
      <c r="B2635" s="4" t="s">
        <v>6067</v>
      </c>
      <c r="C2635" s="4" t="str">
        <f ca="1">IFERROR(__xludf.DUMMYFUNCTION("GOOGLETRANSLATE(D:D,""auto"",""en"")"),"New blind date the General Assembly")</f>
        <v>New blind date the General Assembly</v>
      </c>
      <c r="D2635" s="5" t="s">
        <v>6104</v>
      </c>
      <c r="E2635" s="4">
        <v>492323</v>
      </c>
    </row>
    <row r="2636" spans="1:6" ht="13.5" customHeight="1">
      <c r="A2636" s="4" t="s">
        <v>6105</v>
      </c>
      <c r="B2636" s="4" t="s">
        <v>6106</v>
      </c>
      <c r="C2636" s="4" t="str">
        <f ca="1">IFERROR(__xludf.DUMMYFUNCTION("GOOGLETRANSLATE(D:D,""auto"",""en"")"),"Beijing is not closed city")</f>
        <v>Beijing is not closed city</v>
      </c>
      <c r="D2636" s="5" t="s">
        <v>6107</v>
      </c>
      <c r="E2636" s="4">
        <v>485371</v>
      </c>
      <c r="F2636">
        <v>1</v>
      </c>
    </row>
    <row r="2637" spans="1:6" ht="13.5" hidden="1" customHeight="1">
      <c r="A2637" s="4" t="s">
        <v>6108</v>
      </c>
      <c r="B2637" s="4" t="s">
        <v>6109</v>
      </c>
      <c r="C2637" s="4" t="str">
        <f ca="1">IFERROR(__xludf.DUMMYFUNCTION("GOOGLETRANSLATE(D:D,""auto"",""en"")"),"The next stop is happy")</f>
        <v>The next stop is happy</v>
      </c>
      <c r="D2637" s="5" t="s">
        <v>6110</v>
      </c>
      <c r="E2637" s="4">
        <v>481968</v>
      </c>
    </row>
    <row r="2638" spans="1:6" ht="13.5" customHeight="1">
      <c r="A2638" s="4" t="s">
        <v>6095</v>
      </c>
      <c r="B2638" s="4" t="s">
        <v>6111</v>
      </c>
      <c r="C2638" s="4" t="str">
        <f ca="1">IFERROR(__xludf.DUMMYFUNCTION("GOOGLETRANSLATE(D:D,""auto"",""en"")"),"Buy 100,000 masks car shipped home")</f>
        <v>Buy 100,000 masks car shipped home</v>
      </c>
      <c r="D2638" s="5" t="s">
        <v>6112</v>
      </c>
      <c r="E2638" s="4">
        <v>464046</v>
      </c>
      <c r="F2638">
        <v>1</v>
      </c>
    </row>
    <row r="2639" spans="1:6" ht="13.5" customHeight="1">
      <c r="A2639" s="4" t="s">
        <v>6113</v>
      </c>
      <c r="B2639" s="4" t="s">
        <v>6114</v>
      </c>
      <c r="C2639" s="4" t="str">
        <f ca="1">IFERROR(__xludf.DUMMYFUNCTION("GOOGLETRANSLATE(D:D,""auto"",""en"")"),"Raytheon Hill Hospital workers arrived at the site did not discuss compensation")</f>
        <v>Raytheon Hill Hospital workers arrived at the site did not discuss compensation</v>
      </c>
      <c r="D2639" s="5" t="s">
        <v>6115</v>
      </c>
      <c r="E2639" s="4">
        <v>451124</v>
      </c>
      <c r="F2639">
        <v>1</v>
      </c>
    </row>
    <row r="2640" spans="1:6" ht="13.5" hidden="1" customHeight="1">
      <c r="A2640" s="4" t="s">
        <v>6048</v>
      </c>
      <c r="B2640" s="4" t="s">
        <v>6116</v>
      </c>
      <c r="C2640" s="4" t="str">
        <f ca="1">IFERROR(__xludf.DUMMYFUNCTION("GOOGLETRANSLATE(D:D,""auto"",""en"")"),"Menghe Tang Zhou Jiuliang promotion")</f>
        <v>Menghe Tang Zhou Jiuliang promotion</v>
      </c>
      <c r="D2640" s="5" t="s">
        <v>6117</v>
      </c>
      <c r="E2640" s="4">
        <v>421809</v>
      </c>
    </row>
    <row r="2641" spans="1:6" ht="13.5" customHeight="1">
      <c r="A2641" s="4" t="s">
        <v>6036</v>
      </c>
      <c r="B2641" s="4" t="s">
        <v>6118</v>
      </c>
      <c r="C2641" s="4" t="str">
        <f ca="1">IFERROR(__xludf.DUMMYFUNCTION("GOOGLETRANSLATE(D:D,""auto"",""en"")"),"Village 4 families conceal from Wuhan to be removed from office")</f>
        <v>Village 4 families conceal from Wuhan to be removed from office</v>
      </c>
      <c r="D2641" s="5" t="s">
        <v>6119</v>
      </c>
      <c r="E2641" s="4">
        <v>413586</v>
      </c>
      <c r="F2641">
        <v>1</v>
      </c>
    </row>
    <row r="2642" spans="1:6" ht="13.5" hidden="1" customHeight="1">
      <c r="A2642" s="4" t="s">
        <v>6120</v>
      </c>
      <c r="B2642" s="4" t="s">
        <v>6121</v>
      </c>
      <c r="C2642" s="4" t="str">
        <f ca="1">IFERROR(__xludf.DUMMYFUNCTION("GOOGLETRANSLATE(D:D,""auto"",""en"")"),"Ding Kai Lok")</f>
        <v>Ding Kai Lok</v>
      </c>
      <c r="D2642" s="5" t="s">
        <v>6122</v>
      </c>
      <c r="E2642" s="4">
        <v>403778</v>
      </c>
    </row>
    <row r="2643" spans="1:6" ht="13.5" customHeight="1">
      <c r="A2643" s="4" t="s">
        <v>6123</v>
      </c>
      <c r="B2643" s="4" t="s">
        <v>6124</v>
      </c>
      <c r="C2643" s="4" t="str">
        <f ca="1">IFERROR(__xludf.DUMMYFUNCTION("GOOGLETRANSLATE(D:D,""auto"",""en"")"),"Patients diagnosed before sitting all times Qingdao subway")</f>
        <v>Patients diagnosed before sitting all times Qingdao subway</v>
      </c>
      <c r="D2643" s="5" t="s">
        <v>6125</v>
      </c>
      <c r="E2643" s="4">
        <v>399333</v>
      </c>
      <c r="F2643">
        <v>1</v>
      </c>
    </row>
    <row r="2644" spans="1:6" ht="13.5" customHeight="1">
      <c r="A2644" s="4" t="s">
        <v>6126</v>
      </c>
      <c r="B2644" s="4" t="s">
        <v>6109</v>
      </c>
      <c r="C2644" s="4" t="str">
        <f ca="1">IFERROR(__xludf.DUMMYFUNCTION("GOOGLETRANSLATE(D:D,""auto"",""en"")"),"Appropriate to extend the Lunar New Year holidays")</f>
        <v>Appropriate to extend the Lunar New Year holidays</v>
      </c>
      <c r="D2644" s="5" t="s">
        <v>6127</v>
      </c>
      <c r="E2644" s="4">
        <v>398583</v>
      </c>
      <c r="F2644">
        <v>1</v>
      </c>
    </row>
    <row r="2645" spans="1:6" ht="13.5" hidden="1" customHeight="1">
      <c r="A2645" s="4" t="s">
        <v>959</v>
      </c>
      <c r="B2645" s="4" t="s">
        <v>960</v>
      </c>
      <c r="C2645" s="4" t="str">
        <f ca="1">IFERROR(__xludf.DUMMYFUNCTION("GOOGLETRANSLATE(D:D,""auto"",""en"")"),"Under Jinyi")</f>
        <v>Under Jinyi</v>
      </c>
      <c r="D2645" s="5" t="s">
        <v>961</v>
      </c>
      <c r="E2645" s="4">
        <v>394311</v>
      </c>
    </row>
    <row r="2646" spans="1:6" ht="13.5" customHeight="1">
      <c r="A2646" s="4" t="s">
        <v>6128</v>
      </c>
      <c r="B2646" s="4" t="s">
        <v>6049</v>
      </c>
      <c r="C2646" s="4" t="str">
        <f ca="1">IFERROR(__xludf.DUMMYFUNCTION("GOOGLETRANSLATE(D:D,""auto"",""en"")"),"Huawei donated 30 million to Wuhan")</f>
        <v>Huawei donated 30 million to Wuhan</v>
      </c>
      <c r="D2646" s="5" t="s">
        <v>6129</v>
      </c>
      <c r="E2646" s="4">
        <v>390740</v>
      </c>
      <c r="F2646">
        <v>1</v>
      </c>
    </row>
    <row r="2647" spans="1:6" ht="13.5" customHeight="1">
      <c r="A2647" s="4" t="s">
        <v>6130</v>
      </c>
      <c r="B2647" s="4" t="s">
        <v>6131</v>
      </c>
      <c r="C2647" s="4" t="str">
        <f ca="1">IFERROR(__xludf.DUMMYFUNCTION("GOOGLETRANSLATE(D:D,""auto"",""en"")"),"Inner Mongolia, 30 tons of potato rush to the rescue Wuhan")</f>
        <v>Inner Mongolia, 30 tons of potato rush to the rescue Wuhan</v>
      </c>
      <c r="D2647" s="5" t="s">
        <v>6132</v>
      </c>
      <c r="E2647" s="4">
        <v>353526</v>
      </c>
      <c r="F2647">
        <v>1</v>
      </c>
    </row>
    <row r="2648" spans="1:6" ht="13.5" hidden="1" customHeight="1">
      <c r="A2648" s="4" t="s">
        <v>6133</v>
      </c>
      <c r="B2648" s="4" t="s">
        <v>6134</v>
      </c>
      <c r="C2648" s="4" t="str">
        <f ca="1">IFERROR(__xludf.DUMMYFUNCTION("GOOGLETRANSLATE(D:D,""auto"",""en"")"),"raisin")</f>
        <v>raisin</v>
      </c>
      <c r="D2648" s="5" t="s">
        <v>6135</v>
      </c>
      <c r="E2648" s="4">
        <v>308360</v>
      </c>
    </row>
    <row r="2649" spans="1:6" ht="13.5" customHeight="1">
      <c r="A2649" s="4" t="s">
        <v>6136</v>
      </c>
      <c r="B2649" s="4" t="s">
        <v>6137</v>
      </c>
      <c r="C2649" s="4" t="str">
        <f ca="1">IFERROR(__xludf.DUMMYFUNCTION("GOOGLETRANSLATE(D:D,""auto"",""en"")"),"Hong Kong Disneyland and Ocean Park temporarily closed")</f>
        <v>Hong Kong Disneyland and Ocean Park temporarily closed</v>
      </c>
      <c r="D2649" s="5" t="s">
        <v>6138</v>
      </c>
      <c r="E2649" s="4">
        <v>281630</v>
      </c>
      <c r="F2649">
        <v>1</v>
      </c>
    </row>
    <row r="2650" spans="1:6" ht="13.5" customHeight="1">
      <c r="A2650" s="4" t="s">
        <v>6139</v>
      </c>
      <c r="B2650" s="4" t="s">
        <v>6140</v>
      </c>
      <c r="C2650" s="4" t="str">
        <f ca="1">IFERROR(__xludf.DUMMYFUNCTION("GOOGLETRANSLATE(D:D,""auto"",""en"")"),"Fourteen winter delayed")</f>
        <v>Fourteen winter delayed</v>
      </c>
      <c r="D2650" s="5" t="s">
        <v>6141</v>
      </c>
      <c r="E2650" s="4">
        <v>252611</v>
      </c>
      <c r="F2650">
        <v>1</v>
      </c>
    </row>
    <row r="2651" spans="1:6" ht="13.5" hidden="1" customHeight="1">
      <c r="A2651" s="4" t="s">
        <v>6142</v>
      </c>
      <c r="B2651" s="4" t="s">
        <v>6143</v>
      </c>
      <c r="C2651" s="4" t="str">
        <f ca="1">IFERROR(__xludf.DUMMYFUNCTION("GOOGLETRANSLATE(D:D,""auto"",""en"")"),"Federer Australian Open")</f>
        <v>Federer Australian Open</v>
      </c>
      <c r="D2651" s="5" t="s">
        <v>6144</v>
      </c>
      <c r="E2651" s="4">
        <v>251830</v>
      </c>
    </row>
    <row r="2652" spans="1:6" ht="13.5" customHeight="1">
      <c r="A2652" s="4" t="s">
        <v>6145</v>
      </c>
      <c r="B2652" s="4" t="s">
        <v>6140</v>
      </c>
      <c r="C2652" s="4" t="str">
        <f ca="1">IFERROR(__xludf.DUMMYFUNCTION("GOOGLETRANSLATE(D:D,""auto"",""en"")"),"Wuhan")</f>
        <v>Wuhan</v>
      </c>
      <c r="D2652" s="5" t="s">
        <v>6146</v>
      </c>
      <c r="E2652" s="4">
        <v>251744</v>
      </c>
      <c r="F2652">
        <v>1</v>
      </c>
    </row>
    <row r="2653" spans="1:6" ht="13.5" hidden="1" customHeight="1">
      <c r="C2653" s="4" t="str">
        <f ca="1">IFERROR(__xludf.DUMMYFUNCTION("GOOGLETRANSLATE(D:D,""auto"",""en"")"),"#VALUE!")</f>
        <v>#VALUE!</v>
      </c>
    </row>
    <row r="2654" spans="1:6" ht="13.5" customHeight="1">
      <c r="A2654" s="4" t="s">
        <v>6147</v>
      </c>
      <c r="B2654" s="4" t="s">
        <v>6148</v>
      </c>
      <c r="C2654" s="4" t="str">
        <f ca="1">IFERROR(__xludf.DUMMYFUNCTION("GOOGLETRANSLATE(D:D,""auto"",""en"")"),"Anhui appear clusters of disease")</f>
        <v>Anhui appear clusters of disease</v>
      </c>
      <c r="D2654" s="4" t="s">
        <v>6149</v>
      </c>
      <c r="E2654" s="4">
        <v>16360270</v>
      </c>
      <c r="F2654">
        <v>1</v>
      </c>
    </row>
    <row r="2655" spans="1:6" ht="13.5" customHeight="1">
      <c r="A2655" s="4" t="s">
        <v>6150</v>
      </c>
      <c r="B2655" s="4" t="s">
        <v>6095</v>
      </c>
      <c r="C2655" s="4" t="str">
        <f ca="1">IFERROR(__xludf.DUMMYFUNCTION("GOOGLETRANSLATE(D:D,""auto"",""en"")"),"Zhejiang successfully isolated the novel coronavirus strains")</f>
        <v>Zhejiang successfully isolated the novel coronavirus strains</v>
      </c>
      <c r="D2655" s="5" t="s">
        <v>6151</v>
      </c>
      <c r="E2655" s="4">
        <v>10025927</v>
      </c>
      <c r="F2655">
        <v>1</v>
      </c>
    </row>
    <row r="2656" spans="1:6" ht="13.5" hidden="1" customHeight="1">
      <c r="A2656" s="4" t="s">
        <v>6152</v>
      </c>
      <c r="B2656" s="4" t="s">
        <v>6153</v>
      </c>
      <c r="C2656" s="4" t="str">
        <f ca="1">IFERROR(__xludf.DUMMYFUNCTION("GOOGLETRANSLATE(D:D,""auto"",""en"")"),"Bryant helicopter crash reasons")</f>
        <v>Bryant helicopter crash reasons</v>
      </c>
      <c r="D2656" s="5" t="s">
        <v>6154</v>
      </c>
      <c r="E2656" s="4">
        <v>8824066</v>
      </c>
    </row>
    <row r="2657" spans="1:6" ht="13.5" hidden="1" customHeight="1">
      <c r="A2657" s="4" t="s">
        <v>6155</v>
      </c>
      <c r="B2657" s="4" t="s">
        <v>6156</v>
      </c>
      <c r="C2657" s="4" t="str">
        <f ca="1">IFERROR(__xludf.DUMMYFUNCTION("GOOGLETRANSLATE(D:D,""auto"",""en"")"),"I do not want to be the next Michael Jordan")</f>
        <v>I do not want to be the next Michael Jordan</v>
      </c>
      <c r="D2657" s="5" t="s">
        <v>6157</v>
      </c>
      <c r="E2657" s="4">
        <v>4207261</v>
      </c>
    </row>
    <row r="2658" spans="1:6" ht="13.5" customHeight="1">
      <c r="A2658" s="4" t="s">
        <v>6158</v>
      </c>
      <c r="B2658" s="4" t="s">
        <v>6130</v>
      </c>
      <c r="C2658" s="4" t="str">
        <f ca="1">IFERROR(__xludf.DUMMYFUNCTION("GOOGLETRANSLATE(D:D,""auto"",""en"")"),"Of the total 2744 cases diagnosed with pneumonia new")</f>
        <v>Of the total 2744 cases diagnosed with pneumonia new</v>
      </c>
      <c r="D2658" s="5" t="s">
        <v>6159</v>
      </c>
      <c r="E2658" s="4">
        <v>3287825</v>
      </c>
      <c r="F2658">
        <v>1</v>
      </c>
    </row>
    <row r="2659" spans="1:6" ht="13.5" customHeight="1">
      <c r="A2659" s="4" t="s">
        <v>6160</v>
      </c>
      <c r="B2659" s="4" t="s">
        <v>6161</v>
      </c>
      <c r="C2659" s="4" t="str">
        <f ca="1">IFERROR(__xludf.DUMMYFUNCTION("GOOGLETRANSLATE(D:D,""auto"",""en"")"),"Prime Minister to Wuhan")</f>
        <v>Prime Minister to Wuhan</v>
      </c>
      <c r="D2659" s="5" t="s">
        <v>6162</v>
      </c>
      <c r="E2659" s="4">
        <v>3267768</v>
      </c>
      <c r="F2659">
        <v>1</v>
      </c>
    </row>
    <row r="2660" spans="1:6" ht="13.5" hidden="1" customHeight="1">
      <c r="A2660" s="4" t="s">
        <v>6163</v>
      </c>
      <c r="B2660" s="4" t="s">
        <v>6164</v>
      </c>
      <c r="C2660" s="4" t="str">
        <f ca="1">IFERROR(__xludf.DUMMYFUNCTION("GOOGLETRANSLATE(D:D,""auto"",""en"")"),"James learned that Bryant died tears collapse")</f>
        <v>James learned that Bryant died tears collapse</v>
      </c>
      <c r="D2660" s="5" t="s">
        <v>6165</v>
      </c>
      <c r="E2660" s="4">
        <v>2900637</v>
      </c>
    </row>
    <row r="2661" spans="1:6" ht="13.5" customHeight="1">
      <c r="A2661" s="4" t="s">
        <v>6166</v>
      </c>
      <c r="B2661" s="4" t="s">
        <v>6167</v>
      </c>
      <c r="C2661" s="4" t="str">
        <f ca="1">IFERROR(__xludf.DUMMYFUNCTION("GOOGLETRANSLATE(D:D,""auto"",""en"")"),"You can restart 2020")</f>
        <v>You can restart 2020</v>
      </c>
      <c r="D2661" s="5" t="s">
        <v>6168</v>
      </c>
      <c r="E2661" s="4">
        <v>2621194</v>
      </c>
      <c r="F2661">
        <v>1</v>
      </c>
    </row>
    <row r="2662" spans="1:6" ht="13.5" hidden="1" customHeight="1">
      <c r="A2662" s="4" t="s">
        <v>6169</v>
      </c>
      <c r="B2662" s="4" t="s">
        <v>6170</v>
      </c>
      <c r="C2662" s="4" t="str">
        <f ca="1">IFERROR(__xludf.DUMMYFUNCTION("GOOGLETRANSLATE(D:D,""auto"",""en"")"),"Bryant's death")</f>
        <v>Bryant's death</v>
      </c>
      <c r="D2662" s="5" t="s">
        <v>6171</v>
      </c>
      <c r="E2662" s="4">
        <v>2429133</v>
      </c>
    </row>
    <row r="2663" spans="1:6" ht="13.5" customHeight="1">
      <c r="A2663" s="4" t="s">
        <v>5803</v>
      </c>
      <c r="B2663" s="4" t="s">
        <v>5804</v>
      </c>
      <c r="C2663" s="4" t="str">
        <f ca="1">IFERROR(__xludf.DUMMYFUNCTION("GOOGLETRANSLATE(D:D,""auto"",""en"")"),"The latest outbreak Map")</f>
        <v>The latest outbreak Map</v>
      </c>
      <c r="D2663" s="5" t="s">
        <v>5805</v>
      </c>
      <c r="E2663" s="4">
        <v>1841966</v>
      </c>
      <c r="F2663">
        <v>1</v>
      </c>
    </row>
    <row r="2664" spans="1:6" ht="13.5" customHeight="1">
      <c r="A2664" s="4" t="s">
        <v>6172</v>
      </c>
      <c r="B2664" s="4" t="s">
        <v>6156</v>
      </c>
      <c r="C2664" s="4" t="str">
        <f ca="1">IFERROR(__xludf.DUMMYFUNCTION("GOOGLETRANSLATE(D:D,""auto"",""en"")"),"Bored to play with Siri idiom")</f>
        <v>Bored to play with Siri idiom</v>
      </c>
      <c r="D2664" s="5" t="s">
        <v>6173</v>
      </c>
      <c r="E2664" s="4">
        <v>1568660</v>
      </c>
      <c r="F2664">
        <v>1</v>
      </c>
    </row>
    <row r="2665" spans="1:6" ht="13.5" hidden="1" customHeight="1">
      <c r="A2665" s="4" t="s">
        <v>6174</v>
      </c>
      <c r="B2665" s="4" t="s">
        <v>6133</v>
      </c>
      <c r="C2665" s="4" t="str">
        <f ca="1">IFERROR(__xludf.DUMMYFUNCTION("GOOGLETRANSLATE(D:D,""auto"",""en"")"),"Four o'clock in Los Angeles")</f>
        <v>Four o'clock in Los Angeles</v>
      </c>
      <c r="D2665" s="5" t="s">
        <v>6175</v>
      </c>
      <c r="E2665" s="4">
        <v>1341465</v>
      </c>
    </row>
    <row r="2666" spans="1:6" ht="13.5" hidden="1" customHeight="1">
      <c r="A2666" s="4" t="s">
        <v>6176</v>
      </c>
      <c r="B2666" s="4" t="s">
        <v>6177</v>
      </c>
      <c r="C2666" s="4" t="str">
        <f ca="1">IFERROR(__xludf.DUMMYFUNCTION("GOOGLETRANSLATE(D:D,""auto"",""en"")"),"Grammy-site suspension Kobe Bryant jersey")</f>
        <v>Grammy-site suspension Kobe Bryant jersey</v>
      </c>
      <c r="D2666" s="5" t="s">
        <v>6178</v>
      </c>
      <c r="E2666" s="4">
        <v>1299308</v>
      </c>
    </row>
    <row r="2667" spans="1:6" ht="13.5" hidden="1" customHeight="1">
      <c r="A2667" s="4" t="s">
        <v>6179</v>
      </c>
      <c r="B2667" s="4" t="s">
        <v>6039</v>
      </c>
      <c r="C2667" s="4" t="str">
        <f ca="1">IFERROR(__xludf.DUMMYFUNCTION("GOOGLETRANSLATE(D:D,""auto"",""en"")"),"Grammy")</f>
        <v>Grammy</v>
      </c>
      <c r="D2667" s="5" t="s">
        <v>6180</v>
      </c>
      <c r="E2667" s="4">
        <v>1297155</v>
      </c>
    </row>
    <row r="2668" spans="1:6" ht="13.5" customHeight="1">
      <c r="A2668" s="4" t="s">
        <v>6181</v>
      </c>
      <c r="B2668" s="4" t="s">
        <v>6182</v>
      </c>
      <c r="C2668" s="4" t="str">
        <f ca="1">IFERROR(__xludf.DUMMYFUNCTION("GOOGLETRANSLATE(D:D,""auto"",""en"")"),"Hong Kong confirmed cases increased to eight cases")</f>
        <v>Hong Kong confirmed cases increased to eight cases</v>
      </c>
      <c r="D2668" s="5" t="s">
        <v>6183</v>
      </c>
      <c r="E2668" s="4">
        <v>1290823</v>
      </c>
      <c r="F2668">
        <v>1</v>
      </c>
    </row>
    <row r="2669" spans="1:6" ht="13.5" customHeight="1">
      <c r="A2669" s="4" t="s">
        <v>6184</v>
      </c>
      <c r="B2669" s="4" t="s">
        <v>6185</v>
      </c>
      <c r="C2669" s="4" t="str">
        <f ca="1">IFERROR(__xludf.DUMMYFUNCTION("GOOGLETRANSLATE(D:D,""auto"",""en"")"),"Hubei three cadres of poor epidemic prevention and control have been investigated")</f>
        <v>Hubei three cadres of poor epidemic prevention and control have been investigated</v>
      </c>
      <c r="D2669" s="5" t="s">
        <v>6186</v>
      </c>
      <c r="E2669" s="4">
        <v>1286230</v>
      </c>
      <c r="F2669">
        <v>1</v>
      </c>
    </row>
    <row r="2670" spans="1:6" ht="13.5" hidden="1" customHeight="1">
      <c r="A2670" s="4" t="s">
        <v>6187</v>
      </c>
      <c r="B2670" s="4" t="s">
        <v>6188</v>
      </c>
      <c r="C2670" s="4" t="str">
        <f ca="1">IFERROR(__xludf.DUMMYFUNCTION("GOOGLETRANSLATE(D:D,""auto"",""en"")"),"And have not love his son James")</f>
        <v>And have not love his son James</v>
      </c>
      <c r="D2670" s="5" t="s">
        <v>6189</v>
      </c>
      <c r="E2670" s="4">
        <v>1281921</v>
      </c>
    </row>
    <row r="2671" spans="1:6" ht="13.5" customHeight="1">
      <c r="A2671" s="4" t="s">
        <v>6190</v>
      </c>
      <c r="B2671" s="4" t="s">
        <v>6191</v>
      </c>
      <c r="C2671" s="4" t="str">
        <f ca="1">IFERROR(__xludf.DUMMYFUNCTION("GOOGLETRANSLATE(D:D,""auto"",""en"")"),"Wuhan Min were appointed former director died")</f>
        <v>Wuhan Min were appointed former director died</v>
      </c>
      <c r="D2671" s="5" t="s">
        <v>6192</v>
      </c>
      <c r="E2671" s="4">
        <v>1279532</v>
      </c>
      <c r="F2671">
        <v>1</v>
      </c>
    </row>
    <row r="2672" spans="1:6" ht="13.5" customHeight="1">
      <c r="A2672" s="4" t="s">
        <v>6193</v>
      </c>
      <c r="B2672" s="4" t="s">
        <v>6027</v>
      </c>
      <c r="C2672" s="4" t="str">
        <f ca="1">IFERROR(__xludf.DUMMYFUNCTION("GOOGLETRANSLATE(D:D,""auto"",""en"")"),"Dr. Qinghua stay home to a cat talk function")</f>
        <v>Dr. Qinghua stay home to a cat talk function</v>
      </c>
      <c r="D2672" s="5" t="s">
        <v>6194</v>
      </c>
      <c r="E2672" s="4">
        <v>1275868</v>
      </c>
      <c r="F2672">
        <v>1</v>
      </c>
    </row>
    <row r="2673" spans="1:6" ht="13.5" customHeight="1">
      <c r="A2673" s="4" t="s">
        <v>6195</v>
      </c>
      <c r="B2673" s="4" t="s">
        <v>6196</v>
      </c>
      <c r="C2673" s="4" t="str">
        <f ca="1">IFERROR(__xludf.DUMMYFUNCTION("GOOGLETRANSLATE(D:D,""auto"",""en"")"),"Forced child with suspected pneumonia dye new departure arrested")</f>
        <v>Forced child with suspected pneumonia dye new departure arrested</v>
      </c>
      <c r="D2673" s="5" t="s">
        <v>6197</v>
      </c>
      <c r="E2673" s="4">
        <v>1272409</v>
      </c>
      <c r="F2673">
        <v>1</v>
      </c>
    </row>
    <row r="2674" spans="1:6" ht="13.5" customHeight="1">
      <c r="A2674" s="4" t="s">
        <v>6198</v>
      </c>
      <c r="B2674" s="4" t="s">
        <v>6199</v>
      </c>
      <c r="C2674" s="4" t="str">
        <f ca="1">IFERROR(__xludf.DUMMYFUNCTION("GOOGLETRANSLATE(D:D,""auto"",""en"")"),"16 bus passengers ride Jin M81162")</f>
        <v>16 bus passengers ride Jin M81162</v>
      </c>
      <c r="D2674" s="5" t="s">
        <v>6200</v>
      </c>
      <c r="E2674" s="4">
        <v>1233052</v>
      </c>
      <c r="F2674">
        <v>1</v>
      </c>
    </row>
    <row r="2675" spans="1:6" ht="13.5" hidden="1" customHeight="1">
      <c r="A2675" s="4" t="s">
        <v>6201</v>
      </c>
      <c r="B2675" s="4" t="s">
        <v>6199</v>
      </c>
      <c r="C2675" s="4" t="str">
        <f ca="1">IFERROR(__xludf.DUMMYFUNCTION("GOOGLETRANSLATE(D:D,""auto"",""en"")"),"Bangtan Boys Grammy")</f>
        <v>Bangtan Boys Grammy</v>
      </c>
      <c r="D2675" s="5" t="s">
        <v>6202</v>
      </c>
      <c r="E2675" s="4">
        <v>1053342</v>
      </c>
    </row>
    <row r="2676" spans="1:6" ht="13.5" customHeight="1">
      <c r="A2676" s="4" t="s">
        <v>6203</v>
      </c>
      <c r="B2676" s="4" t="s">
        <v>6204</v>
      </c>
      <c r="C2676" s="4" t="str">
        <f ca="1">IFERROR(__xludf.DUMMYFUNCTION("GOOGLETRANSLATE(D:D,""auto"",""en"")"),"Department of Transportation requires uninterrupted highway traffic around")</f>
        <v>Department of Transportation requires uninterrupted highway traffic around</v>
      </c>
      <c r="D2676" s="5" t="s">
        <v>6205</v>
      </c>
      <c r="E2676" s="4">
        <v>871239</v>
      </c>
      <c r="F2676">
        <v>1</v>
      </c>
    </row>
    <row r="2677" spans="1:6" ht="13.5" customHeight="1">
      <c r="A2677" s="4" t="s">
        <v>6206</v>
      </c>
      <c r="B2677" s="4" t="s">
        <v>6039</v>
      </c>
      <c r="C2677" s="4" t="str">
        <f ca="1">IFERROR(__xludf.DUMMYFUNCTION("GOOGLETRANSLATE(D:D,""auto"",""en"")"),"Wearing masks selfie contest")</f>
        <v>Wearing masks selfie contest</v>
      </c>
      <c r="D2677" s="5" t="s">
        <v>6207</v>
      </c>
      <c r="E2677" s="4">
        <v>861946</v>
      </c>
      <c r="F2677">
        <v>1</v>
      </c>
    </row>
    <row r="2678" spans="1:6" ht="13.5" customHeight="1">
      <c r="A2678" s="4" t="s">
        <v>6208</v>
      </c>
      <c r="B2678" s="4" t="s">
        <v>6177</v>
      </c>
      <c r="C2678" s="4" t="str">
        <f ca="1">IFERROR(__xludf.DUMMYFUNCTION("GOOGLETRANSLATE(D:D,""auto"",""en"")"),"16 Air China flight CA8275 passengers")</f>
        <v>16 Air China flight CA8275 passengers</v>
      </c>
      <c r="D2678" s="5" t="s">
        <v>6209</v>
      </c>
      <c r="E2678" s="4">
        <v>829230</v>
      </c>
      <c r="F2678">
        <v>1</v>
      </c>
    </row>
    <row r="2679" spans="1:6" ht="13.5" customHeight="1">
      <c r="A2679" s="4" t="s">
        <v>6210</v>
      </c>
      <c r="B2679" s="4" t="s">
        <v>6156</v>
      </c>
      <c r="C2679" s="4" t="str">
        <f ca="1">IFERROR(__xludf.DUMMYFUNCTION("GOOGLETRANSLATE(D:D,""auto"",""en"")"),"Nurse fighting against the epidemic bald hair cut")</f>
        <v>Nurse fighting against the epidemic bald hair cut</v>
      </c>
      <c r="D2679" s="5" t="s">
        <v>6211</v>
      </c>
      <c r="E2679" s="4">
        <v>798780</v>
      </c>
      <c r="F2679">
        <v>1</v>
      </c>
    </row>
    <row r="2680" spans="1:6" ht="13.5" hidden="1" customHeight="1">
      <c r="A2680" s="4" t="s">
        <v>6212</v>
      </c>
      <c r="B2680" s="4" t="s">
        <v>6199</v>
      </c>
      <c r="C2680" s="4" t="str">
        <f ca="1">IFERROR(__xludf.DUMMYFUNCTION("GOOGLETRANSLATE(D:D,""auto"",""en"")"),"Phone DJing Contest")</f>
        <v>Phone DJing Contest</v>
      </c>
      <c r="D2680" s="5" t="s">
        <v>6213</v>
      </c>
      <c r="E2680" s="4">
        <v>696878</v>
      </c>
    </row>
    <row r="2681" spans="1:6" ht="13.5" customHeight="1">
      <c r="A2681" s="4" t="s">
        <v>6214</v>
      </c>
      <c r="B2681" s="4" t="s">
        <v>6204</v>
      </c>
      <c r="C2681" s="4" t="str">
        <f ca="1">IFERROR(__xludf.DUMMYFUNCTION("GOOGLETRANSLATE(D:D,""auto"",""en"")"),"Wuhan to open one yuan shop supply one yuan vegetables")</f>
        <v>Wuhan to open one yuan shop supply one yuan vegetables</v>
      </c>
      <c r="D2681" s="5" t="s">
        <v>6215</v>
      </c>
      <c r="E2681" s="4">
        <v>684705</v>
      </c>
      <c r="F2681">
        <v>1</v>
      </c>
    </row>
    <row r="2682" spans="1:6" ht="13.5" hidden="1" customHeight="1">
      <c r="A2682" s="4" t="s">
        <v>6216</v>
      </c>
      <c r="B2682" s="4" t="s">
        <v>6217</v>
      </c>
      <c r="C2682" s="4" t="str">
        <f ca="1">IFERROR(__xludf.DUMMYFUNCTION("GOOGLETRANSLATE(D:D,""auto"",""en"")"),"Dear basketball")</f>
        <v>Dear basketball</v>
      </c>
      <c r="D2682" s="5" t="s">
        <v>6218</v>
      </c>
      <c r="E2682" s="4">
        <v>680698</v>
      </c>
    </row>
    <row r="2683" spans="1:6" ht="13.5" customHeight="1">
      <c r="A2683" s="4" t="s">
        <v>6219</v>
      </c>
      <c r="B2683" s="4" t="s">
        <v>6220</v>
      </c>
      <c r="C2683" s="4" t="str">
        <f ca="1">IFERROR(__xludf.DUMMYFUNCTION("GOOGLETRANSLATE(D:D,""auto"",""en"")"),"Wei health committee epidemic prevention and control conference")</f>
        <v>Wei health committee epidemic prevention and control conference</v>
      </c>
      <c r="D2683" s="5" t="s">
        <v>6221</v>
      </c>
      <c r="E2683" s="4">
        <v>627839</v>
      </c>
      <c r="F2683">
        <v>1</v>
      </c>
    </row>
    <row r="2684" spans="1:6" ht="13.5" customHeight="1">
      <c r="A2684" s="4" t="s">
        <v>6222</v>
      </c>
      <c r="B2684" s="4" t="s">
        <v>6223</v>
      </c>
      <c r="C2684" s="4" t="str">
        <f ca="1">IFERROR(__xludf.DUMMYFUNCTION("GOOGLETRANSLATE(D:D,""auto"",""en"")"),"Pause Zhejiang Provincial Road Passenger Transport")</f>
        <v>Pause Zhejiang Provincial Road Passenger Transport</v>
      </c>
      <c r="D2684" s="5" t="s">
        <v>6224</v>
      </c>
      <c r="E2684" s="4">
        <v>622277</v>
      </c>
      <c r="F2684">
        <v>1</v>
      </c>
    </row>
    <row r="2685" spans="1:6" ht="13.5" customHeight="1">
      <c r="A2685" s="4" t="s">
        <v>6222</v>
      </c>
      <c r="B2685" s="4" t="s">
        <v>6199</v>
      </c>
      <c r="C2685" s="4" t="str">
        <f ca="1">IFERROR(__xludf.DUMMYFUNCTION("GOOGLETRANSLATE(D:D,""auto"",""en"")"),"Chongqing suspend inter-provincial road passenger bus")</f>
        <v>Chongqing suspend inter-provincial road passenger bus</v>
      </c>
      <c r="D2685" s="5" t="s">
        <v>6225</v>
      </c>
      <c r="E2685" s="4">
        <v>610396</v>
      </c>
      <c r="F2685">
        <v>1</v>
      </c>
    </row>
    <row r="2686" spans="1:6" ht="13.5" customHeight="1">
      <c r="A2686" s="4" t="s">
        <v>4912</v>
      </c>
      <c r="B2686" s="4" t="s">
        <v>4913</v>
      </c>
      <c r="C2686" s="4" t="str">
        <f ca="1">IFERROR(__xludf.DUMMYFUNCTION("GOOGLETRANSLATE(D:D,""auto"",""en"")"),"Masks")</f>
        <v>Masks</v>
      </c>
      <c r="D2686" s="5" t="s">
        <v>4914</v>
      </c>
      <c r="E2686" s="4">
        <v>585887</v>
      </c>
      <c r="F2686">
        <v>1</v>
      </c>
    </row>
    <row r="2687" spans="1:6" ht="13.5" customHeight="1">
      <c r="A2687" s="4" t="s">
        <v>6212</v>
      </c>
      <c r="B2687" s="4" t="s">
        <v>6226</v>
      </c>
      <c r="C2687" s="4" t="str">
        <f ca="1">IFERROR(__xludf.DUMMYFUNCTION("GOOGLETRANSLATE(D:D,""auto"",""en"")"),"Henan new cumulative diagnosed with pneumonia increased to 128 cases")</f>
        <v>Henan new cumulative diagnosed with pneumonia increased to 128 cases</v>
      </c>
      <c r="D2687" s="5" t="s">
        <v>6227</v>
      </c>
      <c r="E2687" s="4">
        <v>584340</v>
      </c>
      <c r="F2687">
        <v>1</v>
      </c>
    </row>
    <row r="2688" spans="1:6" ht="13.5" customHeight="1">
      <c r="A2688" s="4" t="s">
        <v>6212</v>
      </c>
      <c r="B2688" s="4" t="s">
        <v>6228</v>
      </c>
      <c r="C2688" s="4" t="str">
        <f ca="1">IFERROR(__xludf.DUMMYFUNCTION("GOOGLETRANSLATE(D:D,""auto"",""en"")"),"Chinese New Year holidays extended to February 2")</f>
        <v>Chinese New Year holidays extended to February 2</v>
      </c>
      <c r="D2688" s="5" t="s">
        <v>6229</v>
      </c>
      <c r="E2688" s="4">
        <v>581968</v>
      </c>
      <c r="F2688">
        <v>1</v>
      </c>
    </row>
    <row r="2689" spans="1:6" ht="13.5" hidden="1" customHeight="1">
      <c r="A2689" s="4" t="s">
        <v>6230</v>
      </c>
      <c r="B2689" s="4" t="s">
        <v>6079</v>
      </c>
      <c r="C2689" s="4" t="str">
        <f ca="1">IFERROR(__xludf.DUMMYFUNCTION("GOOGLETRANSLATE(D:D,""auto"",""en"")"),"Song Weilong")</f>
        <v>Song Weilong</v>
      </c>
      <c r="D2689" s="5" t="s">
        <v>6231</v>
      </c>
      <c r="E2689" s="4">
        <v>547287</v>
      </c>
    </row>
    <row r="2690" spans="1:6" ht="13.5" customHeight="1">
      <c r="A2690" s="4" t="s">
        <v>5094</v>
      </c>
      <c r="B2690" s="4" t="s">
        <v>5095</v>
      </c>
      <c r="C2690" s="4" t="str">
        <f ca="1">IFERROR(__xludf.DUMMYFUNCTION("GOOGLETRANSLATE(D:D,""auto"",""en"")"),"China confirmed new cases of pneumonia")</f>
        <v>China confirmed new cases of pneumonia</v>
      </c>
      <c r="D2690" s="5" t="s">
        <v>5096</v>
      </c>
      <c r="E2690" s="4">
        <v>542073</v>
      </c>
      <c r="F2690">
        <v>1</v>
      </c>
    </row>
    <row r="2691" spans="1:6" ht="13.5" customHeight="1">
      <c r="A2691" s="4" t="s">
        <v>6232</v>
      </c>
      <c r="B2691" s="4" t="s">
        <v>6161</v>
      </c>
      <c r="C2691" s="4" t="str">
        <f ca="1">IFERROR(__xludf.DUMMYFUNCTION("GOOGLETRANSLATE(D:D,""auto"",""en"")"),"Shanghai confirmed a total of 53 cases of the new pneumonia")</f>
        <v>Shanghai confirmed a total of 53 cases of the new pneumonia</v>
      </c>
      <c r="D2691" s="5" t="s">
        <v>6233</v>
      </c>
      <c r="E2691" s="4">
        <v>540025</v>
      </c>
      <c r="F2691">
        <v>1</v>
      </c>
    </row>
    <row r="2692" spans="1:6" ht="13.5" customHeight="1">
      <c r="A2692" s="4" t="s">
        <v>6234</v>
      </c>
      <c r="B2692" s="4" t="s">
        <v>6087</v>
      </c>
      <c r="C2692" s="4" t="str">
        <f ca="1">IFERROR(__xludf.DUMMYFUNCTION("GOOGLETRANSLATE(D:D,""auto"",""en"")"),"Wuhan citizens living room jump Square Dance decompression")</f>
        <v>Wuhan citizens living room jump Square Dance decompression</v>
      </c>
      <c r="D2692" s="5" t="s">
        <v>6235</v>
      </c>
      <c r="E2692" s="4">
        <v>535314</v>
      </c>
      <c r="F2692">
        <v>1</v>
      </c>
    </row>
    <row r="2693" spans="1:6" ht="13.5" hidden="1" customHeight="1">
      <c r="A2693" s="4" t="s">
        <v>6230</v>
      </c>
      <c r="B2693" s="4" t="s">
        <v>6236</v>
      </c>
      <c r="C2693" s="4" t="str">
        <f ca="1">IFERROR(__xludf.DUMMYFUNCTION("GOOGLETRANSLATE(D:D,""auto"",""en"")"),"Bored like when people do not find you")</f>
        <v>Bored like when people do not find you</v>
      </c>
      <c r="D2693" s="5" t="s">
        <v>6237</v>
      </c>
      <c r="E2693" s="4">
        <v>471905</v>
      </c>
    </row>
    <row r="2694" spans="1:6" ht="13.5" customHeight="1">
      <c r="A2694" s="4" t="s">
        <v>6238</v>
      </c>
      <c r="B2694" s="4" t="s">
        <v>6024</v>
      </c>
      <c r="C2694" s="4" t="str">
        <f ca="1">IFERROR(__xludf.DUMMYFUNCTION("GOOGLETRANSLATE(D:D,""auto"",""en"")"),"Free train ticket refund measures")</f>
        <v>Free train ticket refund measures</v>
      </c>
      <c r="D2694" s="5" t="s">
        <v>6239</v>
      </c>
      <c r="E2694" s="4">
        <v>469941</v>
      </c>
      <c r="F2694">
        <v>1</v>
      </c>
    </row>
    <row r="2695" spans="1:6" ht="13.5" customHeight="1">
      <c r="A2695" s="4" t="s">
        <v>6240</v>
      </c>
      <c r="B2695" s="4" t="s">
        <v>6241</v>
      </c>
      <c r="C2695" s="4" t="str">
        <f ca="1">IFERROR(__xludf.DUMMYFUNCTION("GOOGLETRANSLATE(D:D,""auto"",""en"")"),"IELTS")</f>
        <v>IELTS</v>
      </c>
      <c r="D2695" s="5" t="s">
        <v>6242</v>
      </c>
      <c r="E2695" s="4">
        <v>432861</v>
      </c>
      <c r="F2695">
        <v>1</v>
      </c>
    </row>
    <row r="2696" spans="1:6" ht="13.5" hidden="1" customHeight="1">
      <c r="A2696" s="4" t="s">
        <v>6243</v>
      </c>
      <c r="B2696" s="4" t="s">
        <v>6244</v>
      </c>
      <c r="C2696" s="4" t="str">
        <f ca="1">IFERROR(__xludf.DUMMYFUNCTION("GOOGLETRANSLATE(D:D,""auto"",""en"")"),"Lang Lang Jina Grammy")</f>
        <v>Lang Lang Jina Grammy</v>
      </c>
      <c r="D2696" s="5" t="s">
        <v>6245</v>
      </c>
      <c r="E2696" s="4">
        <v>417665</v>
      </c>
    </row>
    <row r="2697" spans="1:6" ht="13.5" customHeight="1">
      <c r="A2697" s="4" t="s">
        <v>6246</v>
      </c>
      <c r="B2697" s="4" t="s">
        <v>6244</v>
      </c>
      <c r="C2697" s="4" t="str">
        <f ca="1">IFERROR(__xludf.DUMMYFUNCTION("GOOGLETRANSLATE(D:D,""auto"",""en"")"),"Henan village")</f>
        <v>Henan village</v>
      </c>
      <c r="D2697" s="5" t="s">
        <v>6247</v>
      </c>
      <c r="E2697" s="4">
        <v>393989</v>
      </c>
      <c r="F2697">
        <v>1</v>
      </c>
    </row>
    <row r="2698" spans="1:6" ht="13.5" customHeight="1">
      <c r="A2698" s="4" t="s">
        <v>6063</v>
      </c>
      <c r="B2698" s="4" t="s">
        <v>6223</v>
      </c>
      <c r="C2698" s="4" t="str">
        <f ca="1">IFERROR(__xludf.DUMMYFUNCTION("GOOGLETRANSLATE(D:D,""auto"",""en"")"),"Traffic Commission said that Beijing will not close City")</f>
        <v>Traffic Commission said that Beijing will not close City</v>
      </c>
      <c r="D2698" s="5" t="s">
        <v>6248</v>
      </c>
      <c r="E2698" s="4">
        <v>393242</v>
      </c>
      <c r="F2698">
        <v>1</v>
      </c>
    </row>
    <row r="2699" spans="1:6" ht="13.5" customHeight="1">
      <c r="A2699" s="4" t="s">
        <v>6063</v>
      </c>
      <c r="B2699" s="4" t="s">
        <v>6156</v>
      </c>
      <c r="C2699" s="4" t="str">
        <f ca="1">IFERROR(__xludf.DUMMYFUNCTION("GOOGLETRANSLATE(D:D,""auto"",""en"")"),"Development and Reform Commission issued 300 million yuan to support response to the outbreak")</f>
        <v>Development and Reform Commission issued 300 million yuan to support response to the outbreak</v>
      </c>
      <c r="D2699" s="5" t="s">
        <v>6249</v>
      </c>
      <c r="E2699" s="4">
        <v>378975</v>
      </c>
      <c r="F2699">
        <v>1</v>
      </c>
    </row>
    <row r="2700" spans="1:6" ht="13.5" customHeight="1">
      <c r="A2700" s="4" t="s">
        <v>6021</v>
      </c>
      <c r="B2700" s="4" t="s">
        <v>6022</v>
      </c>
      <c r="C2700" s="4" t="str">
        <f ca="1">IFERROR(__xludf.DUMMYFUNCTION("GOOGLETRANSLATE(D:D,""auto"",""en"")"),"500 million people to leave Wuhan")</f>
        <v>500 million people to leave Wuhan</v>
      </c>
      <c r="D2700" s="5" t="s">
        <v>6023</v>
      </c>
      <c r="E2700" s="4">
        <v>370463</v>
      </c>
      <c r="F2700">
        <v>1</v>
      </c>
    </row>
    <row r="2701" spans="1:6" ht="13.5" customHeight="1">
      <c r="A2701" s="4" t="s">
        <v>6063</v>
      </c>
      <c r="B2701" s="4" t="s">
        <v>6064</v>
      </c>
      <c r="C2701" s="4" t="str">
        <f ca="1">IFERROR(__xludf.DUMMYFUNCTION("GOOGLETRANSLATE(D:D,""auto"",""en"")"),"Han updated list of donations")</f>
        <v>Han updated list of donations</v>
      </c>
      <c r="D2701" s="5" t="s">
        <v>6065</v>
      </c>
      <c r="E2701" s="4">
        <v>317930</v>
      </c>
      <c r="F2701">
        <v>1</v>
      </c>
    </row>
    <row r="2702" spans="1:6" ht="13.5" hidden="1" customHeight="1">
      <c r="A2702" s="4" t="s">
        <v>6250</v>
      </c>
      <c r="B2702" s="4" t="s">
        <v>6251</v>
      </c>
      <c r="C2702" s="4" t="str">
        <f ca="1">IFERROR(__xludf.DUMMYFUNCTION("GOOGLETRANSLATE(D:D,""auto"",""en"")"),"Kobe Bryant NBA mourn")</f>
        <v>Kobe Bryant NBA mourn</v>
      </c>
      <c r="D2702" s="5" t="s">
        <v>6252</v>
      </c>
      <c r="E2702" s="4">
        <v>313026</v>
      </c>
    </row>
    <row r="2703" spans="1:6" ht="13.5" hidden="1" customHeight="1">
      <c r="A2703" s="4" t="s">
        <v>6063</v>
      </c>
      <c r="B2703" s="4" t="s">
        <v>6113</v>
      </c>
      <c r="C2703" s="4" t="str">
        <f ca="1">IFERROR(__xludf.DUMMYFUNCTION("GOOGLETRANSLATE(D:D,""auto"",""en"")"),"Black Mamba spirit")</f>
        <v>Black Mamba spirit</v>
      </c>
      <c r="D2703" s="5" t="s">
        <v>6253</v>
      </c>
      <c r="E2703" s="4">
        <v>303991</v>
      </c>
    </row>
    <row r="2704" spans="1:6" ht="13.5" hidden="1" customHeight="1">
      <c r="C2704" s="4" t="str">
        <f ca="1">IFERROR(__xludf.DUMMYFUNCTION("GOOGLETRANSLATE(D:D,""auto"",""en"")"),"#VALUE!")</f>
        <v>#VALUE!</v>
      </c>
    </row>
    <row r="2705" spans="1:6" ht="13.5" customHeight="1">
      <c r="A2705" s="4" t="s">
        <v>6254</v>
      </c>
      <c r="B2705" s="4" t="s">
        <v>6255</v>
      </c>
      <c r="C2705" s="4" t="str">
        <f ca="1">IFERROR(__xludf.DUMMYFUNCTION("GOOGLETRANSLATE(D:D,""auto"",""en"")"),"Experts respond if need be extended for holidays")</f>
        <v>Experts respond if need be extended for holidays</v>
      </c>
      <c r="D2705" s="4" t="s">
        <v>6256</v>
      </c>
      <c r="E2705" s="4">
        <v>6091872</v>
      </c>
      <c r="F2705">
        <v>1</v>
      </c>
    </row>
    <row r="2706" spans="1:6" ht="13.5" customHeight="1">
      <c r="A2706" s="4" t="s">
        <v>6254</v>
      </c>
      <c r="B2706" s="4" t="s">
        <v>6255</v>
      </c>
      <c r="C2706" s="4" t="str">
        <f ca="1">IFERROR(__xludf.DUMMYFUNCTION("GOOGLETRANSLATE(D:D,""auto"",""en"")"),"Antiviral Spray")</f>
        <v>Antiviral Spray</v>
      </c>
      <c r="D2706" s="5" t="s">
        <v>6257</v>
      </c>
      <c r="E2706" s="4">
        <v>2955179</v>
      </c>
      <c r="F2706">
        <v>1</v>
      </c>
    </row>
    <row r="2707" spans="1:6" ht="13.5" customHeight="1">
      <c r="A2707" s="4" t="s">
        <v>6258</v>
      </c>
      <c r="B2707" s="4" t="s">
        <v>6259</v>
      </c>
      <c r="C2707" s="4" t="str">
        <f ca="1">IFERROR(__xludf.DUMMYFUNCTION("GOOGLETRANSLATE(D:D,""auto"",""en"")"),"Window singing spread the infection")</f>
        <v>Window singing spread the infection</v>
      </c>
      <c r="D2707" s="5" t="s">
        <v>6260</v>
      </c>
      <c r="E2707" s="4">
        <v>2514258</v>
      </c>
      <c r="F2707">
        <v>1</v>
      </c>
    </row>
    <row r="2708" spans="1:6" ht="13.5" hidden="1" customHeight="1">
      <c r="A2708" s="4" t="s">
        <v>6261</v>
      </c>
      <c r="B2708" s="4" t="s">
        <v>6262</v>
      </c>
      <c r="C2708" s="4" t="str">
        <f ca="1">IFERROR(__xludf.DUMMYFUNCTION("GOOGLETRANSLATE(D:D,""auto"",""en"")"),"Bai Yansong")</f>
        <v>Bai Yansong</v>
      </c>
      <c r="D2708" s="5" t="s">
        <v>6263</v>
      </c>
      <c r="E2708" s="4">
        <v>2455568</v>
      </c>
    </row>
    <row r="2709" spans="1:6" ht="13.5" customHeight="1">
      <c r="A2709" s="4" t="s">
        <v>6264</v>
      </c>
      <c r="B2709" s="4" t="s">
        <v>6265</v>
      </c>
      <c r="C2709" s="4" t="str">
        <f ca="1">IFERROR(__xludf.DUMMYFUNCTION("GOOGLETRANSLATE(D:D,""auto"",""en"")"),"Tibet start the second response")</f>
        <v>Tibet start the second response</v>
      </c>
      <c r="D2709" s="5" t="s">
        <v>6266</v>
      </c>
      <c r="E2709" s="4">
        <v>2310639</v>
      </c>
      <c r="F2709">
        <v>1</v>
      </c>
    </row>
    <row r="2710" spans="1:6" ht="13.5" customHeight="1">
      <c r="A2710" s="4" t="s">
        <v>5803</v>
      </c>
      <c r="B2710" s="4" t="s">
        <v>5804</v>
      </c>
      <c r="C2710" s="4" t="str">
        <f ca="1">IFERROR(__xludf.DUMMYFUNCTION("GOOGLETRANSLATE(D:D,""auto"",""en"")"),"The latest outbreak Map")</f>
        <v>The latest outbreak Map</v>
      </c>
      <c r="D2710" s="5" t="s">
        <v>5805</v>
      </c>
      <c r="E2710" s="4">
        <v>2189856</v>
      </c>
      <c r="F2710">
        <v>1</v>
      </c>
    </row>
    <row r="2711" spans="1:6" ht="13.5" customHeight="1">
      <c r="A2711" s="4" t="s">
        <v>6267</v>
      </c>
      <c r="B2711" s="4" t="s">
        <v>6268</v>
      </c>
      <c r="C2711" s="4" t="str">
        <f ca="1">IFERROR(__xludf.DUMMYFUNCTION("GOOGLETRANSLATE(D:D,""auto"",""en"")"),"Notice of the Ministry of Education school extension")</f>
        <v>Notice of the Ministry of Education school extension</v>
      </c>
      <c r="D2711" s="5" t="s">
        <v>6269</v>
      </c>
      <c r="E2711" s="4">
        <v>2057244</v>
      </c>
      <c r="F2711">
        <v>1</v>
      </c>
    </row>
    <row r="2712" spans="1:6" ht="13.5" hidden="1" customHeight="1">
      <c r="A2712" s="4" t="s">
        <v>6270</v>
      </c>
      <c r="B2712" s="4" t="s">
        <v>6271</v>
      </c>
      <c r="C2712" s="4" t="str">
        <f ca="1">IFERROR(__xludf.DUMMYFUNCTION("GOOGLETRANSLATE(D:D,""auto"",""en"")"),"Taliban shoot down US aircraft CIA")</f>
        <v>Taliban shoot down US aircraft CIA</v>
      </c>
      <c r="D2712" s="5" t="s">
        <v>6272</v>
      </c>
      <c r="E2712" s="4">
        <v>2001933</v>
      </c>
    </row>
    <row r="2713" spans="1:6" ht="13.5" customHeight="1">
      <c r="A2713" s="4" t="s">
        <v>6273</v>
      </c>
      <c r="B2713" s="4" t="s">
        <v>6274</v>
      </c>
      <c r="C2713" s="4" t="str">
        <f ca="1">IFERROR(__xludf.DUMMYFUNCTION("GOOGLETRANSLATE(D:D,""auto"",""en"")"),"Guangdong's first novel coronavirus strains isolated strains")</f>
        <v>Guangdong's first novel coronavirus strains isolated strains</v>
      </c>
      <c r="D2713" s="5" t="s">
        <v>6275</v>
      </c>
      <c r="E2713" s="4">
        <v>1747417</v>
      </c>
      <c r="F2713">
        <v>1</v>
      </c>
    </row>
    <row r="2714" spans="1:6" ht="13.5" customHeight="1">
      <c r="A2714" s="4" t="s">
        <v>6276</v>
      </c>
      <c r="B2714" s="4" t="s">
        <v>6277</v>
      </c>
      <c r="C2714" s="4" t="str">
        <f ca="1">IFERROR(__xludf.DUMMYFUNCTION("GOOGLETRANSLATE(D:D,""auto"",""en"")"),"Designated host country tourists Hubei Hotel Information")</f>
        <v>Designated host country tourists Hubei Hotel Information</v>
      </c>
      <c r="D2714" s="5" t="s">
        <v>6278</v>
      </c>
      <c r="E2714" s="4">
        <v>1123367</v>
      </c>
      <c r="F2714">
        <v>1</v>
      </c>
    </row>
    <row r="2715" spans="1:6" ht="13.5" hidden="1" customHeight="1">
      <c r="A2715" s="4" t="s">
        <v>1181</v>
      </c>
      <c r="B2715" s="4" t="s">
        <v>1182</v>
      </c>
      <c r="C2715" s="4" t="str">
        <f ca="1">IFERROR(__xludf.DUMMYFUNCTION("GOOGLETRANSLATE(D:D,""auto"",""en"")"),"our song")</f>
        <v>our song</v>
      </c>
      <c r="D2715" s="5" t="s">
        <v>1183</v>
      </c>
      <c r="E2715" s="4">
        <v>1091103</v>
      </c>
    </row>
    <row r="2716" spans="1:6" ht="13.5" customHeight="1">
      <c r="A2716" s="4" t="s">
        <v>6279</v>
      </c>
      <c r="B2716" s="4" t="s">
        <v>6280</v>
      </c>
      <c r="C2716" s="4" t="str">
        <f ca="1">IFERROR(__xludf.DUMMYFUNCTION("GOOGLETRANSLATE(D:D,""auto"",""en"")"),"Shenzhen another example of the confirmed cases were cured")</f>
        <v>Shenzhen another example of the confirmed cases were cured</v>
      </c>
      <c r="D2716" s="5" t="s">
        <v>6281</v>
      </c>
      <c r="E2716" s="4">
        <v>879858</v>
      </c>
      <c r="F2716">
        <v>1</v>
      </c>
    </row>
    <row r="2717" spans="1:6" ht="13.5" hidden="1" customHeight="1">
      <c r="A2717" s="4" t="s">
        <v>6282</v>
      </c>
      <c r="B2717" s="4" t="s">
        <v>6283</v>
      </c>
      <c r="C2717" s="4" t="str">
        <f ca="1">IFERROR(__xludf.DUMMYFUNCTION("GOOGLETRANSLATE(D:D,""auto"",""en"")"),"Afghan crash of Flight")</f>
        <v>Afghan crash of Flight</v>
      </c>
      <c r="D2717" s="5" t="s">
        <v>6284</v>
      </c>
      <c r="E2717" s="4">
        <v>747723</v>
      </c>
    </row>
    <row r="2718" spans="1:6" ht="13.5" customHeight="1">
      <c r="A2718" s="4" t="s">
        <v>6285</v>
      </c>
      <c r="B2718" s="4" t="s">
        <v>6286</v>
      </c>
      <c r="C2718" s="4" t="str">
        <f ca="1">IFERROR(__xludf.DUMMYFUNCTION("GOOGLETRANSLATE(D:D,""auto"",""en"")"),"Hubei open beds 100 000")</f>
        <v>Hubei open beds 100 000</v>
      </c>
      <c r="D2718" s="5" t="s">
        <v>6287</v>
      </c>
      <c r="E2718" s="4">
        <v>699547</v>
      </c>
      <c r="F2718">
        <v>1</v>
      </c>
    </row>
    <row r="2719" spans="1:6" ht="13.5" customHeight="1">
      <c r="A2719" s="4" t="s">
        <v>6288</v>
      </c>
      <c r="B2719" s="4" t="s">
        <v>6289</v>
      </c>
      <c r="C2719" s="4" t="str">
        <f ca="1">IFERROR(__xludf.DUMMYFUNCTION("GOOGLETRANSLATE(D:D,""auto"",""en"")"),"Heilongjiang to suspend all inter-provincial passenger car")</f>
        <v>Heilongjiang to suspend all inter-provincial passenger car</v>
      </c>
      <c r="D2719" s="5" t="s">
        <v>6290</v>
      </c>
      <c r="E2719" s="4">
        <v>699113</v>
      </c>
      <c r="F2719">
        <v>1</v>
      </c>
    </row>
    <row r="2720" spans="1:6" ht="13.5" hidden="1" customHeight="1">
      <c r="A2720" s="4" t="s">
        <v>6291</v>
      </c>
      <c r="B2720" s="4" t="s">
        <v>6292</v>
      </c>
      <c r="C2720" s="4" t="str">
        <f ca="1">IFERROR(__xludf.DUMMYFUNCTION("GOOGLETRANSLATE(D:D,""auto"",""en"")"),"Bryant Recording")</f>
        <v>Bryant Recording</v>
      </c>
      <c r="D2720" s="5" t="s">
        <v>6293</v>
      </c>
      <c r="E2720" s="4">
        <v>698998</v>
      </c>
    </row>
    <row r="2721" spans="1:6" ht="13.5" hidden="1" customHeight="1">
      <c r="A2721" s="4" t="s">
        <v>6294</v>
      </c>
      <c r="B2721" s="4" t="s">
        <v>6295</v>
      </c>
      <c r="C2721" s="4" t="str">
        <f ca="1">IFERROR(__xludf.DUMMYFUNCTION("GOOGLETRANSLATE(D:D,""auto"",""en"")"),"Let's play a collapse")</f>
        <v>Let's play a collapse</v>
      </c>
      <c r="D2721" s="5" t="s">
        <v>6296</v>
      </c>
      <c r="E2721" s="4">
        <v>687658</v>
      </c>
    </row>
    <row r="2722" spans="1:6" ht="13.5" hidden="1" customHeight="1">
      <c r="A2722" s="4" t="s">
        <v>6297</v>
      </c>
      <c r="B2722" s="4" t="s">
        <v>6298</v>
      </c>
      <c r="C2722" s="4" t="str">
        <f ca="1">IFERROR(__xludf.DUMMYFUNCTION("GOOGLETRANSLATE(D:D,""auto"",""en"")"),"Bryant wife")</f>
        <v>Bryant wife</v>
      </c>
      <c r="D2722" s="5" t="s">
        <v>6299</v>
      </c>
      <c r="E2722" s="4">
        <v>680797</v>
      </c>
    </row>
    <row r="2723" spans="1:6" ht="13.5" hidden="1" customHeight="1">
      <c r="A2723" s="4" t="s">
        <v>6300</v>
      </c>
      <c r="B2723" s="4" t="s">
        <v>6301</v>
      </c>
      <c r="C2723" s="4" t="str">
        <f ca="1">IFERROR(__xludf.DUMMYFUNCTION("GOOGLETRANSLATE(D:D,""auto"",""en"")"),"Song Qian Song Weilong sense CP")</f>
        <v>Song Qian Song Weilong sense CP</v>
      </c>
      <c r="D2723" s="5" t="s">
        <v>6302</v>
      </c>
      <c r="E2723" s="4">
        <v>671514</v>
      </c>
    </row>
    <row r="2724" spans="1:6" ht="13.5" customHeight="1">
      <c r="A2724" s="4" t="s">
        <v>6303</v>
      </c>
      <c r="B2724" s="4" t="s">
        <v>6304</v>
      </c>
      <c r="C2724" s="4" t="str">
        <f ca="1">IFERROR(__xludf.DUMMYFUNCTION("GOOGLETRANSLATE(D:D,""auto"",""en"")"),"Can do in the living room")</f>
        <v>Can do in the living room</v>
      </c>
      <c r="D2724" s="5" t="s">
        <v>6305</v>
      </c>
      <c r="E2724" s="4">
        <v>660772</v>
      </c>
      <c r="F2724">
        <v>1</v>
      </c>
    </row>
    <row r="2725" spans="1:6" ht="13.5" hidden="1" customHeight="1">
      <c r="A2725" s="4" t="s">
        <v>6306</v>
      </c>
      <c r="B2725" s="4" t="s">
        <v>6307</v>
      </c>
      <c r="C2725" s="4" t="str">
        <f ca="1">IFERROR(__xludf.DUMMYFUNCTION("GOOGLETRANSLATE(D:D,""auto"",""en"")"),"More than sweet")</f>
        <v>More than sweet</v>
      </c>
      <c r="D2725" s="5" t="s">
        <v>6308</v>
      </c>
      <c r="E2725" s="4">
        <v>654327</v>
      </c>
    </row>
    <row r="2726" spans="1:6" ht="13.5" hidden="1" customHeight="1">
      <c r="A2726" s="4" t="s">
        <v>6309</v>
      </c>
      <c r="B2726" s="4" t="s">
        <v>6310</v>
      </c>
      <c r="C2726" s="4" t="str">
        <f ca="1">IFERROR(__xludf.DUMMYFUNCTION("GOOGLETRANSLATE(D:D,""auto"",""en"")"),"Doctors romantic gold master")</f>
        <v>Doctors romantic gold master</v>
      </c>
      <c r="D2726" s="5" t="s">
        <v>6311</v>
      </c>
      <c r="E2726" s="4">
        <v>653087</v>
      </c>
    </row>
    <row r="2727" spans="1:6" ht="13.5" customHeight="1">
      <c r="A2727" s="4" t="s">
        <v>6312</v>
      </c>
      <c r="B2727" s="4" t="s">
        <v>6289</v>
      </c>
      <c r="C2727" s="4" t="str">
        <f ca="1">IFERROR(__xludf.DUMMYFUNCTION("GOOGLETRANSLATE(D:D,""auto"",""en"")"),"Beijing will create the third year exam or do not meet environmental")</f>
        <v>Beijing will create the third year exam or do not meet environmental</v>
      </c>
      <c r="D2727" s="5" t="s">
        <v>6313</v>
      </c>
      <c r="E2727" s="4">
        <v>643569</v>
      </c>
      <c r="F2727">
        <v>1</v>
      </c>
    </row>
    <row r="2728" spans="1:6" ht="13.5" hidden="1" customHeight="1">
      <c r="A2728" s="4" t="s">
        <v>6108</v>
      </c>
      <c r="B2728" s="4" t="s">
        <v>6109</v>
      </c>
      <c r="C2728" s="4" t="str">
        <f ca="1">IFERROR(__xludf.DUMMYFUNCTION("GOOGLETRANSLATE(D:D,""auto"",""en"")"),"The next stop is happy")</f>
        <v>The next stop is happy</v>
      </c>
      <c r="D2728" s="5" t="s">
        <v>6110</v>
      </c>
      <c r="E2728" s="4">
        <v>638314</v>
      </c>
    </row>
    <row r="2729" spans="1:6" ht="13.5" customHeight="1">
      <c r="A2729" s="4" t="s">
        <v>6314</v>
      </c>
      <c r="B2729" s="4" t="s">
        <v>6315</v>
      </c>
      <c r="C2729" s="4" t="str">
        <f ca="1">IFERROR(__xludf.DUMMYFUNCTION("GOOGLETRANSLATE(D:D,""auto"",""en"")"),"Pakistan appeared five cases of suspected cases")</f>
        <v>Pakistan appeared five cases of suspected cases</v>
      </c>
      <c r="D2729" s="5" t="s">
        <v>6316</v>
      </c>
      <c r="E2729" s="4">
        <v>611498</v>
      </c>
      <c r="F2729">
        <v>1</v>
      </c>
    </row>
    <row r="2730" spans="1:6" ht="13.5" customHeight="1">
      <c r="A2730" s="4" t="s">
        <v>6317</v>
      </c>
      <c r="B2730" s="4" t="s">
        <v>6318</v>
      </c>
      <c r="C2730" s="4" t="str">
        <f ca="1">IFERROR(__xludf.DUMMYFUNCTION("GOOGLETRANSLATE(D:D,""auto"",""en"")"),"Cambodia's first confirmed cases")</f>
        <v>Cambodia's first confirmed cases</v>
      </c>
      <c r="D2730" s="5" t="s">
        <v>6319</v>
      </c>
      <c r="E2730" s="4">
        <v>604722</v>
      </c>
      <c r="F2730">
        <v>1</v>
      </c>
    </row>
    <row r="2731" spans="1:6" ht="13.5" customHeight="1">
      <c r="A2731" s="4" t="s">
        <v>6320</v>
      </c>
      <c r="B2731" s="4" t="s">
        <v>6321</v>
      </c>
      <c r="C2731" s="4" t="str">
        <f ca="1">IFERROR(__xludf.DUMMYFUNCTION("GOOGLETRANSLATE(D:D,""auto"",""en"")"),"Report cards go out to her parents party")</f>
        <v>Report cards go out to her parents party</v>
      </c>
      <c r="D2731" s="5" t="s">
        <v>6322</v>
      </c>
      <c r="E2731" s="4">
        <v>593965</v>
      </c>
      <c r="F2731">
        <v>1</v>
      </c>
    </row>
    <row r="2732" spans="1:6" ht="13.5" customHeight="1">
      <c r="A2732" s="4" t="s">
        <v>6323</v>
      </c>
      <c r="B2732" s="4" t="s">
        <v>6324</v>
      </c>
      <c r="C2732" s="4" t="str">
        <f ca="1">IFERROR(__xludf.DUMMYFUNCTION("GOOGLETRANSLATE(D:D,""auto"",""en"")"),"Jiangsu Province by February 17, no school")</f>
        <v>Jiangsu Province by February 17, no school</v>
      </c>
      <c r="D2732" s="5" t="s">
        <v>6325</v>
      </c>
      <c r="E2732" s="4">
        <v>589465</v>
      </c>
      <c r="F2732">
        <v>1</v>
      </c>
    </row>
    <row r="2733" spans="1:6" ht="13.5" customHeight="1">
      <c r="A2733" s="4" t="s">
        <v>6294</v>
      </c>
      <c r="B2733" s="4" t="s">
        <v>6326</v>
      </c>
      <c r="C2733" s="4" t="str">
        <f ca="1">IFERROR(__xludf.DUMMYFUNCTION("GOOGLETRANSLATE(D:D,""auto"",""en"")"),"Hainan's first new cases of pneumonia deaths")</f>
        <v>Hainan's first new cases of pneumonia deaths</v>
      </c>
      <c r="D2733" s="5" t="s">
        <v>6327</v>
      </c>
      <c r="E2733" s="4">
        <v>520638</v>
      </c>
      <c r="F2733">
        <v>1</v>
      </c>
    </row>
    <row r="2734" spans="1:6" ht="13.5" hidden="1" customHeight="1">
      <c r="A2734" s="4" t="s">
        <v>6328</v>
      </c>
      <c r="B2734" s="4" t="s">
        <v>6329</v>
      </c>
      <c r="C2734" s="4" t="str">
        <f ca="1">IFERROR(__xludf.DUMMYFUNCTION("GOOGLETRANSLATE(D:D,""auto"",""en"")"),"Xu grapefruit")</f>
        <v>Xu grapefruit</v>
      </c>
      <c r="D2734" s="5" t="s">
        <v>6330</v>
      </c>
      <c r="E2734" s="4">
        <v>494422</v>
      </c>
    </row>
    <row r="2735" spans="1:6" ht="13.5" customHeight="1">
      <c r="A2735" s="4" t="s">
        <v>6331</v>
      </c>
      <c r="B2735" s="4" t="s">
        <v>6332</v>
      </c>
      <c r="C2735" s="4" t="str">
        <f ca="1">IFERROR(__xludf.DUMMYFUNCTION("GOOGLETRANSLATE(D:D,""auto"",""en"")"),"Now I feel really home or not home")</f>
        <v>Now I feel really home or not home</v>
      </c>
      <c r="D2735" s="5" t="s">
        <v>6333</v>
      </c>
      <c r="E2735" s="4">
        <v>422491</v>
      </c>
      <c r="F2735">
        <v>1</v>
      </c>
    </row>
    <row r="2736" spans="1:6" ht="13.5" hidden="1" customHeight="1">
      <c r="A2736" s="4" t="s">
        <v>6334</v>
      </c>
      <c r="B2736" s="4" t="s">
        <v>6292</v>
      </c>
      <c r="C2736" s="4" t="str">
        <f ca="1">IFERROR(__xludf.DUMMYFUNCTION("GOOGLETRANSLATE(D:D,""auto"",""en"")"),"In BARS ball")</f>
        <v>In BARS ball</v>
      </c>
      <c r="D2736" s="5" t="s">
        <v>6335</v>
      </c>
      <c r="E2736" s="4">
        <v>405716</v>
      </c>
    </row>
    <row r="2737" spans="1:6" ht="13.5" customHeight="1">
      <c r="A2737" s="4" t="s">
        <v>6336</v>
      </c>
      <c r="B2737" s="4" t="s">
        <v>6337</v>
      </c>
      <c r="C2737" s="4" t="str">
        <f ca="1">IFERROR(__xludf.DUMMYFUNCTION("GOOGLETRANSLATE(D:D,""auto"",""en"")"),"Wuhan community organizations singing the national anthem")</f>
        <v>Wuhan community organizations singing the national anthem</v>
      </c>
      <c r="D2737" s="5" t="s">
        <v>6338</v>
      </c>
      <c r="E2737" s="4">
        <v>371845</v>
      </c>
      <c r="F2737">
        <v>1</v>
      </c>
    </row>
    <row r="2738" spans="1:6" ht="13.5" customHeight="1">
      <c r="A2738" s="4" t="s">
        <v>6339</v>
      </c>
      <c r="B2738" s="4" t="s">
        <v>6340</v>
      </c>
      <c r="C2738" s="4" t="str">
        <f ca="1">IFERROR(__xludf.DUMMYFUNCTION("GOOGLETRANSLATE(D:D,""auto"",""en"")"),"What are clusters of cases")</f>
        <v>What are clusters of cases</v>
      </c>
      <c r="D2738" s="5" t="s">
        <v>6341</v>
      </c>
      <c r="E2738" s="4">
        <v>362340</v>
      </c>
      <c r="F2738">
        <v>1</v>
      </c>
    </row>
    <row r="2739" spans="1:6" ht="13.5" hidden="1" customHeight="1">
      <c r="A2739" s="4" t="s">
        <v>5453</v>
      </c>
      <c r="B2739" s="4" t="s">
        <v>5454</v>
      </c>
      <c r="C2739" s="4" t="str">
        <f ca="1">IFERROR(__xludf.DUMMYFUNCTION("GOOGLETRANSLATE(D:D,""auto"",""en"")"),"News 11")</f>
        <v>News 11</v>
      </c>
      <c r="D2739" s="5" t="s">
        <v>5455</v>
      </c>
      <c r="E2739" s="4">
        <v>358857</v>
      </c>
    </row>
    <row r="2740" spans="1:6" ht="13.5" customHeight="1">
      <c r="A2740" s="4" t="s">
        <v>6342</v>
      </c>
      <c r="B2740" s="4" t="s">
        <v>6343</v>
      </c>
      <c r="C2740" s="4" t="str">
        <f ca="1">IFERROR(__xludf.DUMMYFUNCTION("GOOGLETRANSLATE(D:D,""auto"",""en"")"),"Vulcan Mountain aerial construction site")</f>
        <v>Vulcan Mountain aerial construction site</v>
      </c>
      <c r="D2740" s="5" t="s">
        <v>6344</v>
      </c>
      <c r="E2740" s="4">
        <v>347516</v>
      </c>
      <c r="F2740">
        <v>1</v>
      </c>
    </row>
    <row r="2741" spans="1:6" ht="13.5" customHeight="1">
      <c r="A2741" s="4" t="s">
        <v>6345</v>
      </c>
      <c r="B2741" s="4" t="s">
        <v>6346</v>
      </c>
      <c r="C2741" s="4" t="str">
        <f ca="1">IFERROR(__xludf.DUMMYFUNCTION("GOOGLETRANSLATE(D:D,""auto"",""en"")"),"Reporters visited the South China Seafood Market")</f>
        <v>Reporters visited the South China Seafood Market</v>
      </c>
      <c r="D2741" s="5" t="s">
        <v>6347</v>
      </c>
      <c r="E2741" s="4">
        <v>299753</v>
      </c>
      <c r="F2741">
        <v>1</v>
      </c>
    </row>
    <row r="2742" spans="1:6" ht="13.5" hidden="1" customHeight="1">
      <c r="A2742" s="4" t="s">
        <v>6348</v>
      </c>
      <c r="B2742" s="4" t="s">
        <v>6349</v>
      </c>
      <c r="C2742" s="4" t="str">
        <f ca="1">IFERROR(__xludf.DUMMYFUNCTION("GOOGLETRANSLATE(D:D,""auto"",""en"")"),"pick one of two")</f>
        <v>pick one of two</v>
      </c>
      <c r="D2742" s="5" t="s">
        <v>6350</v>
      </c>
      <c r="E2742" s="4">
        <v>278568</v>
      </c>
    </row>
    <row r="2743" spans="1:6" ht="13.5" customHeight="1">
      <c r="A2743" s="4" t="s">
        <v>6351</v>
      </c>
      <c r="B2743" s="4" t="s">
        <v>6352</v>
      </c>
      <c r="C2743" s="4" t="str">
        <f ca="1">IFERROR(__xludf.DUMMYFUNCTION("GOOGLETRANSLATE(D:D,""auto"",""en"")"),"Relieve the burden on individual policy extended to patients with suspected")</f>
        <v>Relieve the burden on individual policy extended to patients with suspected</v>
      </c>
      <c r="D2743" s="5" t="s">
        <v>6353</v>
      </c>
      <c r="E2743" s="4">
        <v>250028</v>
      </c>
      <c r="F2743">
        <v>1</v>
      </c>
    </row>
    <row r="2744" spans="1:6" ht="13.5" customHeight="1">
      <c r="A2744" s="4" t="s">
        <v>6354</v>
      </c>
      <c r="B2744" s="4" t="s">
        <v>6355</v>
      </c>
      <c r="C2744" s="4" t="str">
        <f ca="1">IFERROR(__xludf.DUMMYFUNCTION("GOOGLETRANSLATE(D:D,""auto"",""en"")"),"Zhejiang delayed opening the school")</f>
        <v>Zhejiang delayed opening the school</v>
      </c>
      <c r="D2744" s="5" t="s">
        <v>6356</v>
      </c>
      <c r="E2744" s="4">
        <v>231642</v>
      </c>
      <c r="F2744">
        <v>1</v>
      </c>
    </row>
    <row r="2745" spans="1:6" ht="13.5" customHeight="1">
      <c r="A2745" s="4" t="s">
        <v>4912</v>
      </c>
      <c r="B2745" s="4" t="s">
        <v>4913</v>
      </c>
      <c r="C2745" s="4" t="str">
        <f ca="1">IFERROR(__xludf.DUMMYFUNCTION("GOOGLETRANSLATE(D:D,""auto"",""en"")"),"Masks")</f>
        <v>Masks</v>
      </c>
      <c r="D2745" s="5" t="s">
        <v>4914</v>
      </c>
      <c r="E2745" s="4">
        <v>229642</v>
      </c>
      <c r="F2745">
        <v>1</v>
      </c>
    </row>
    <row r="2746" spans="1:6" ht="13.5" customHeight="1">
      <c r="A2746" s="4" t="s">
        <v>6357</v>
      </c>
      <c r="B2746" s="4" t="s">
        <v>6358</v>
      </c>
      <c r="C2746" s="4" t="str">
        <f ca="1">IFERROR(__xludf.DUMMYFUNCTION("GOOGLETRANSLATE(D:D,""auto"",""en"")"),"Shandong 20,000 goggles rush to the rescue Wuhan")</f>
        <v>Shandong 20,000 goggles rush to the rescue Wuhan</v>
      </c>
      <c r="D2746" s="5" t="s">
        <v>6359</v>
      </c>
      <c r="E2746" s="4">
        <v>223637</v>
      </c>
      <c r="F2746">
        <v>1</v>
      </c>
    </row>
    <row r="2747" spans="1:6" ht="13.5" customHeight="1">
      <c r="A2747" s="4" t="s">
        <v>6360</v>
      </c>
      <c r="B2747" s="4" t="s">
        <v>6361</v>
      </c>
      <c r="C2747" s="4" t="str">
        <f ca="1">IFERROR(__xludf.DUMMYFUNCTION("GOOGLETRANSLATE(D:D,""auto"",""en"")"),"Civil Aviation to extend free refund policy")</f>
        <v>Civil Aviation to extend free refund policy</v>
      </c>
      <c r="D2747" s="5" t="s">
        <v>6362</v>
      </c>
      <c r="E2747" s="4">
        <v>217719</v>
      </c>
      <c r="F2747">
        <v>1</v>
      </c>
    </row>
    <row r="2748" spans="1:6" ht="13.5" customHeight="1">
      <c r="A2748" s="4" t="s">
        <v>6345</v>
      </c>
      <c r="B2748" s="4" t="s">
        <v>6363</v>
      </c>
      <c r="C2748" s="4" t="str">
        <f ca="1">IFERROR(__xludf.DUMMYFUNCTION("GOOGLETRANSLATE(D:D,""auto"",""en"")"),"Shandong's first novel coronavirus detection products")</f>
        <v>Shandong's first novel coronavirus detection products</v>
      </c>
      <c r="D2748" s="5" t="s">
        <v>6364</v>
      </c>
      <c r="E2748" s="4">
        <v>217688</v>
      </c>
      <c r="F2748">
        <v>1</v>
      </c>
    </row>
    <row r="2749" spans="1:6" ht="13.5" customHeight="1">
      <c r="A2749" s="4" t="s">
        <v>6365</v>
      </c>
      <c r="B2749" s="4" t="s">
        <v>6366</v>
      </c>
      <c r="C2749" s="4" t="str">
        <f ca="1">IFERROR(__xludf.DUMMYFUNCTION("GOOGLETRANSLATE(D:D,""auto"",""en"")"),"Zhejiang delayed return to work")</f>
        <v>Zhejiang delayed return to work</v>
      </c>
      <c r="D2749" s="5" t="s">
        <v>6367</v>
      </c>
      <c r="E2749" s="4">
        <v>209396</v>
      </c>
      <c r="F2749">
        <v>1</v>
      </c>
    </row>
    <row r="2750" spans="1:6" ht="13.5" customHeight="1">
      <c r="A2750" s="4" t="s">
        <v>6368</v>
      </c>
      <c r="B2750" s="4" t="s">
        <v>6369</v>
      </c>
      <c r="C2750" s="4" t="str">
        <f ca="1">IFERROR(__xludf.DUMMYFUNCTION("GOOGLETRANSLATE(D:D,""auto"",""en"")"),"Wuxi delayed return to work to resume business")</f>
        <v>Wuxi delayed return to work to resume business</v>
      </c>
      <c r="D2750" s="5" t="s">
        <v>6370</v>
      </c>
      <c r="E2750" s="4">
        <v>204792</v>
      </c>
      <c r="F2750">
        <v>1</v>
      </c>
    </row>
    <row r="2751" spans="1:6" ht="13.5" hidden="1" customHeight="1">
      <c r="A2751" s="4" t="s">
        <v>6152</v>
      </c>
      <c r="B2751" s="4" t="s">
        <v>6153</v>
      </c>
      <c r="C2751" s="4" t="str">
        <f ca="1">IFERROR(__xludf.DUMMYFUNCTION("GOOGLETRANSLATE(D:D,""auto"",""en"")"),"Bryant helicopter crash reasons")</f>
        <v>Bryant helicopter crash reasons</v>
      </c>
      <c r="D2751" s="5" t="s">
        <v>6154</v>
      </c>
      <c r="E2751" s="4">
        <v>203976</v>
      </c>
    </row>
    <row r="2752" spans="1:6" ht="13.5" customHeight="1">
      <c r="A2752" s="4" t="s">
        <v>6250</v>
      </c>
      <c r="B2752" s="4" t="s">
        <v>6310</v>
      </c>
      <c r="C2752" s="4" t="str">
        <f ca="1">IFERROR(__xludf.DUMMYFUNCTION("GOOGLETRANSLATE(D:D,""auto"",""en"")"),"Yunnan postpone the opening")</f>
        <v>Yunnan postpone the opening</v>
      </c>
      <c r="D2752" s="5" t="s">
        <v>6371</v>
      </c>
      <c r="E2752" s="4">
        <v>202834</v>
      </c>
      <c r="F2752">
        <v>1</v>
      </c>
    </row>
    <row r="2753" spans="1:6" ht="13.5" customHeight="1">
      <c r="A2753" s="4" t="s">
        <v>6372</v>
      </c>
      <c r="B2753" s="4" t="s">
        <v>6373</v>
      </c>
      <c r="C2753" s="4" t="str">
        <f ca="1">IFERROR(__xludf.DUMMYFUNCTION("GOOGLETRANSLATE(D:D,""auto"",""en"")"),"If you appear whole body fatigue and soreness")</f>
        <v>If you appear whole body fatigue and soreness</v>
      </c>
      <c r="D2753" s="5" t="s">
        <v>6374</v>
      </c>
      <c r="E2753" s="4">
        <v>201870</v>
      </c>
      <c r="F2753">
        <v>1</v>
      </c>
    </row>
    <row r="2754" spans="1:6" ht="13.5" customHeight="1">
      <c r="A2754" s="4" t="s">
        <v>6366</v>
      </c>
      <c r="B2754" s="4" t="s">
        <v>6375</v>
      </c>
      <c r="C2754" s="4" t="str">
        <f ca="1">IFERROR(__xludf.DUMMYFUNCTION("GOOGLETRANSLATE(D:D,""auto"",""en"")"),"Wuhan Mayor acknowledged the information disclosure is not timely")</f>
        <v>Wuhan Mayor acknowledged the information disclosure is not timely</v>
      </c>
      <c r="D2754" s="5" t="s">
        <v>6376</v>
      </c>
      <c r="E2754" s="4">
        <v>201618</v>
      </c>
      <c r="F2754">
        <v>1</v>
      </c>
    </row>
    <row r="2755" spans="1:6" ht="13.5" hidden="1" customHeight="1">
      <c r="C2755" s="4" t="str">
        <f ca="1">IFERROR(__xludf.DUMMYFUNCTION("GOOGLETRANSLATE(D:D,""auto"",""en"")"),"#VALUE!")</f>
        <v>#VALUE!</v>
      </c>
    </row>
    <row r="2756" spans="1:6" ht="13.5" customHeight="1">
      <c r="A2756" s="4" t="s">
        <v>6377</v>
      </c>
      <c r="B2756" s="4" t="s">
        <v>6378</v>
      </c>
      <c r="C2756" s="4" t="str">
        <f ca="1">IFERROR(__xludf.DUMMYFUNCTION("GOOGLETRANSLATE(D:D,""auto"",""en"")"),"Of the total confirmed cases 4515 cases")</f>
        <v>Of the total confirmed cases 4515 cases</v>
      </c>
      <c r="D2756" s="4" t="s">
        <v>6379</v>
      </c>
      <c r="E2756" s="4">
        <v>7501900</v>
      </c>
      <c r="F2756">
        <v>1</v>
      </c>
    </row>
    <row r="2757" spans="1:6" ht="13.5" hidden="1" customHeight="1">
      <c r="A2757" s="4" t="s">
        <v>6380</v>
      </c>
      <c r="B2757" s="4" t="s">
        <v>6381</v>
      </c>
      <c r="C2757" s="4" t="str">
        <f ca="1">IFERROR(__xludf.DUMMYFUNCTION("GOOGLETRANSLATE(D:D,""auto"",""en"")"),"Great Year")</f>
        <v>Great Year</v>
      </c>
      <c r="D2757" s="5" t="s">
        <v>6382</v>
      </c>
      <c r="E2757" s="4">
        <v>3734201</v>
      </c>
    </row>
    <row r="2758" spans="1:6" ht="13.5" hidden="1" customHeight="1">
      <c r="A2758" s="4" t="s">
        <v>6383</v>
      </c>
      <c r="B2758" s="4" t="s">
        <v>6297</v>
      </c>
      <c r="C2758" s="4" t="str">
        <f ca="1">IFERROR(__xludf.DUMMYFUNCTION("GOOGLETRANSLATE(D:D,""auto"",""en"")"),"Tribute to James Bryant")</f>
        <v>Tribute to James Bryant</v>
      </c>
      <c r="D2758" s="5" t="s">
        <v>6384</v>
      </c>
      <c r="E2758" s="4">
        <v>3274574</v>
      </c>
    </row>
    <row r="2759" spans="1:6" ht="13.5" customHeight="1">
      <c r="A2759" s="4" t="s">
        <v>6385</v>
      </c>
      <c r="B2759" s="4" t="s">
        <v>6386</v>
      </c>
      <c r="C2759" s="4" t="str">
        <f ca="1">IFERROR(__xludf.DUMMYFUNCTION("GOOGLETRANSLATE(D:D,""auto"",""en"")"),"Danish media published cartoons insulted China")</f>
        <v>Danish media published cartoons insulted China</v>
      </c>
      <c r="D2759" s="5" t="s">
        <v>6387</v>
      </c>
      <c r="E2759" s="4">
        <v>2991438</v>
      </c>
      <c r="F2759">
        <v>1</v>
      </c>
    </row>
    <row r="2760" spans="1:6" ht="13.5" customHeight="1">
      <c r="A2760" s="4" t="s">
        <v>6388</v>
      </c>
      <c r="B2760" s="4" t="s">
        <v>6389</v>
      </c>
      <c r="C2760" s="4" t="str">
        <f ca="1">IFERROR(__xludf.DUMMYFUNCTION("GOOGLETRANSLATE(D:D,""auto"",""en"")"),"Novel coronavirus doubling time shorter than SARS")</f>
        <v>Novel coronavirus doubling time shorter than SARS</v>
      </c>
      <c r="D2760" s="5" t="s">
        <v>6390</v>
      </c>
      <c r="E2760" s="4">
        <v>2509307</v>
      </c>
      <c r="F2760">
        <v>1</v>
      </c>
    </row>
    <row r="2761" spans="1:6" ht="13.5" customHeight="1">
      <c r="A2761" s="4" t="s">
        <v>6391</v>
      </c>
      <c r="B2761" s="4" t="s">
        <v>6392</v>
      </c>
      <c r="C2761" s="4" t="str">
        <f ca="1">IFERROR(__xludf.DUMMYFUNCTION("GOOGLETRANSLATE(D:D,""auto"",""en"")"),"Novel coronavirus for all age groups are susceptible")</f>
        <v>Novel coronavirus for all age groups are susceptible</v>
      </c>
      <c r="D2761" s="5" t="s">
        <v>6393</v>
      </c>
      <c r="E2761" s="4">
        <v>2404102</v>
      </c>
      <c r="F2761">
        <v>1</v>
      </c>
    </row>
    <row r="2762" spans="1:6" ht="13.5" customHeight="1">
      <c r="A2762" s="4" t="s">
        <v>6394</v>
      </c>
      <c r="B2762" s="4" t="s">
        <v>6273</v>
      </c>
      <c r="C2762" s="4" t="str">
        <f ca="1">IFERROR(__xludf.DUMMYFUNCTION("GOOGLETRANSLATE(D:D,""auto"",""en"")"),"US CDC travel alert to its highest level in China")</f>
        <v>US CDC travel alert to its highest level in China</v>
      </c>
      <c r="D2762" s="5" t="s">
        <v>6395</v>
      </c>
      <c r="E2762" s="4">
        <v>2169900</v>
      </c>
      <c r="F2762">
        <v>1</v>
      </c>
    </row>
    <row r="2763" spans="1:6" ht="13.5" customHeight="1">
      <c r="A2763" s="4" t="s">
        <v>6396</v>
      </c>
      <c r="B2763" s="4" t="s">
        <v>6397</v>
      </c>
      <c r="C2763" s="4" t="str">
        <f ca="1">IFERROR(__xludf.DUMMYFUNCTION("GOOGLETRANSLATE(D:D,""auto"",""en"")"),"Novel coronavirus can be spread through contact")</f>
        <v>Novel coronavirus can be spread through contact</v>
      </c>
      <c r="D2763" s="5" t="s">
        <v>6398</v>
      </c>
      <c r="E2763" s="4">
        <v>1873362</v>
      </c>
      <c r="F2763">
        <v>1</v>
      </c>
    </row>
    <row r="2764" spans="1:6" ht="13.5" customHeight="1">
      <c r="A2764" s="4" t="s">
        <v>6399</v>
      </c>
      <c r="B2764" s="4" t="s">
        <v>6400</v>
      </c>
      <c r="C2764" s="4" t="str">
        <f ca="1">IFERROR(__xludf.DUMMYFUNCTION("GOOGLETRANSLATE(D:D,""auto"",""en"")"),"Mild patients about a week to recover")</f>
        <v>Mild patients about a week to recover</v>
      </c>
      <c r="D2764" s="5" t="s">
        <v>6401</v>
      </c>
      <c r="E2764" s="4">
        <v>1496711</v>
      </c>
      <c r="F2764">
        <v>1</v>
      </c>
    </row>
    <row r="2765" spans="1:6" ht="13.5" customHeight="1">
      <c r="A2765" s="4" t="s">
        <v>5803</v>
      </c>
      <c r="B2765" s="4" t="s">
        <v>5804</v>
      </c>
      <c r="C2765" s="4" t="str">
        <f ca="1">IFERROR(__xludf.DUMMYFUNCTION("GOOGLETRANSLATE(D:D,""auto"",""en"")"),"The latest outbreak Map")</f>
        <v>The latest outbreak Map</v>
      </c>
      <c r="D2765" s="5" t="s">
        <v>5805</v>
      </c>
      <c r="E2765" s="4">
        <v>1405960</v>
      </c>
      <c r="F2765">
        <v>1</v>
      </c>
    </row>
    <row r="2766" spans="1:6" ht="13.5" customHeight="1">
      <c r="A2766" s="4" t="s">
        <v>6402</v>
      </c>
      <c r="B2766" s="4" t="s">
        <v>6270</v>
      </c>
      <c r="C2766" s="4" t="str">
        <f ca="1">IFERROR(__xludf.DUMMYFUNCTION("GOOGLETRANSLATE(D:D,""auto"",""en"")"),"Fujian epidemic frontline doctors killed in car accident")</f>
        <v>Fujian epidemic frontline doctors killed in car accident</v>
      </c>
      <c r="D2766" s="5" t="s">
        <v>6403</v>
      </c>
      <c r="E2766" s="4">
        <v>1382253</v>
      </c>
      <c r="F2766">
        <v>1</v>
      </c>
    </row>
    <row r="2767" spans="1:6" ht="13.5" customHeight="1">
      <c r="A2767" s="4" t="s">
        <v>6404</v>
      </c>
      <c r="B2767" s="4" t="s">
        <v>6405</v>
      </c>
      <c r="C2767" s="4" t="str">
        <f ca="1">IFERROR(__xludf.DUMMYFUNCTION("GOOGLETRANSLATE(D:D,""auto"",""en"")"),"Hubei new 1291 cases of confirmed cases")</f>
        <v>Hubei new 1291 cases of confirmed cases</v>
      </c>
      <c r="D2767" s="5" t="s">
        <v>6406</v>
      </c>
      <c r="E2767" s="4">
        <v>1294453</v>
      </c>
      <c r="F2767">
        <v>1</v>
      </c>
    </row>
    <row r="2768" spans="1:6" ht="13.5" customHeight="1">
      <c r="A2768" s="4" t="s">
        <v>6407</v>
      </c>
      <c r="B2768" s="4" t="s">
        <v>6408</v>
      </c>
      <c r="C2768" s="4" t="str">
        <f ca="1">IFERROR(__xludf.DUMMYFUNCTION("GOOGLETRANSLATE(D:D,""auto"",""en"")"),"Henan first case of the disease deaths")</f>
        <v>Henan first case of the disease deaths</v>
      </c>
      <c r="D2768" s="5" t="s">
        <v>6409</v>
      </c>
      <c r="E2768" s="4">
        <v>1153626</v>
      </c>
      <c r="F2768">
        <v>1</v>
      </c>
    </row>
    <row r="2769" spans="1:6" ht="13.5" customHeight="1">
      <c r="A2769" s="4" t="s">
        <v>6410</v>
      </c>
      <c r="B2769" s="4" t="s">
        <v>6411</v>
      </c>
      <c r="C2769" s="4" t="str">
        <f ca="1">IFERROR(__xludf.DUMMYFUNCTION("GOOGLETRANSLATE(D:D,""auto"",""en"")"),"Guangxi to find fellow passengers over 5000")</f>
        <v>Guangxi to find fellow passengers over 5000</v>
      </c>
      <c r="D2769" s="5" t="s">
        <v>6412</v>
      </c>
      <c r="E2769" s="4">
        <v>1152957</v>
      </c>
      <c r="F2769">
        <v>1</v>
      </c>
    </row>
    <row r="2770" spans="1:6" ht="13.5" customHeight="1">
      <c r="A2770" s="4" t="s">
        <v>6413</v>
      </c>
      <c r="B2770" s="4" t="s">
        <v>6414</v>
      </c>
      <c r="C2770" s="4" t="str">
        <f ca="1">IFERROR(__xludf.DUMMYFUNCTION("GOOGLETRANSLATE(D:D,""auto"",""en"")"),"Tibet were observed for 14 days shall be designated quarantine")</f>
        <v>Tibet were observed for 14 days shall be designated quarantine</v>
      </c>
      <c r="D2770" s="5" t="s">
        <v>6415</v>
      </c>
      <c r="E2770" s="4">
        <v>656595</v>
      </c>
      <c r="F2770">
        <v>1</v>
      </c>
    </row>
    <row r="2771" spans="1:6" ht="13.5" hidden="1" customHeight="1">
      <c r="A2771" s="4" t="s">
        <v>6416</v>
      </c>
      <c r="B2771" s="4" t="s">
        <v>6264</v>
      </c>
      <c r="C2771" s="4" t="str">
        <f ca="1">IFERROR(__xludf.DUMMYFUNCTION("GOOGLETRANSLATE(D:D,""auto"",""en"")"),"Bi Zhifei angrily Xu Zheng")</f>
        <v>Bi Zhifei angrily Xu Zheng</v>
      </c>
      <c r="D2771" s="5" t="s">
        <v>6417</v>
      </c>
      <c r="E2771" s="4">
        <v>646580</v>
      </c>
    </row>
    <row r="2772" spans="1:6" ht="13.5" hidden="1" customHeight="1">
      <c r="A2772" s="4" t="s">
        <v>6418</v>
      </c>
      <c r="B2772" s="4" t="s">
        <v>6419</v>
      </c>
      <c r="C2772" s="4" t="str">
        <f ca="1">IFERROR(__xludf.DUMMYFUNCTION("GOOGLETRANSLATE(D:D,""auto"",""en"")"),"Bryant was riding a helicopter no black box")</f>
        <v>Bryant was riding a helicopter no black box</v>
      </c>
      <c r="D2772" s="5" t="s">
        <v>6420</v>
      </c>
      <c r="E2772" s="4">
        <v>635813</v>
      </c>
    </row>
    <row r="2773" spans="1:6" ht="13.5" customHeight="1">
      <c r="A2773" s="4" t="s">
        <v>6421</v>
      </c>
      <c r="B2773" s="4" t="s">
        <v>6422</v>
      </c>
      <c r="C2773" s="4" t="str">
        <f ca="1">IFERROR(__xludf.DUMMYFUNCTION("GOOGLETRANSLATE(D:D,""auto"",""en"")"),"Consumers questioned masks were beaten too expensive")</f>
        <v>Consumers questioned masks were beaten too expensive</v>
      </c>
      <c r="D2773" s="5" t="s">
        <v>6423</v>
      </c>
      <c r="E2773" s="4">
        <v>618256</v>
      </c>
      <c r="F2773">
        <v>1</v>
      </c>
    </row>
    <row r="2774" spans="1:6" ht="13.5" hidden="1" customHeight="1">
      <c r="A2774" s="4" t="s">
        <v>6424</v>
      </c>
      <c r="B2774" s="4" t="s">
        <v>6425</v>
      </c>
      <c r="C2774" s="4" t="str">
        <f ca="1">IFERROR(__xludf.DUMMYFUNCTION("GOOGLETRANSLATE(D:D,""auto"",""en"")"),"The hardest with a copy of a map")</f>
        <v>The hardest with a copy of a map</v>
      </c>
      <c r="D2774" s="5" t="s">
        <v>6426</v>
      </c>
      <c r="E2774" s="4">
        <v>587502</v>
      </c>
    </row>
    <row r="2775" spans="1:6" ht="13.5" customHeight="1">
      <c r="A2775" s="4" t="s">
        <v>6427</v>
      </c>
      <c r="B2775" s="4" t="s">
        <v>6428</v>
      </c>
      <c r="C2775" s="4" t="str">
        <f ca="1">IFERROR(__xludf.DUMMYFUNCTION("GOOGLETRANSLATE(D:D,""auto"",""en"")"),"Guangdong new new 42 cases of pneumonia")</f>
        <v>Guangdong new new 42 cases of pneumonia</v>
      </c>
      <c r="D2775" s="5" t="s">
        <v>6429</v>
      </c>
      <c r="E2775" s="4">
        <v>584183</v>
      </c>
      <c r="F2775">
        <v>1</v>
      </c>
    </row>
    <row r="2776" spans="1:6" ht="13.5" hidden="1" customHeight="1">
      <c r="A2776" s="4" t="s">
        <v>6306</v>
      </c>
      <c r="B2776" s="4" t="s">
        <v>6430</v>
      </c>
      <c r="C2776" s="4" t="str">
        <f ca="1">IFERROR(__xludf.DUMMYFUNCTION("GOOGLETRANSLATE(D:D,""auto"",""en"")"),"Boredom happy treasure")</f>
        <v>Boredom happy treasure</v>
      </c>
      <c r="D2776" s="5" t="s">
        <v>6431</v>
      </c>
      <c r="E2776" s="4">
        <v>578877</v>
      </c>
    </row>
    <row r="2777" spans="1:6" ht="13.5" customHeight="1">
      <c r="A2777" s="4" t="s">
        <v>6432</v>
      </c>
      <c r="B2777" s="4" t="s">
        <v>6433</v>
      </c>
      <c r="C2777" s="4" t="str">
        <f ca="1">IFERROR(__xludf.DUMMYFUNCTION("GOOGLETRANSLATE(D:D,""auto"",""en"")"),"How to distinguish between colds and flu new pneumonia")</f>
        <v>How to distinguish between colds and flu new pneumonia</v>
      </c>
      <c r="D2777" s="5" t="s">
        <v>6434</v>
      </c>
      <c r="E2777" s="4">
        <v>559196</v>
      </c>
      <c r="F2777">
        <v>1</v>
      </c>
    </row>
    <row r="2778" spans="1:6" ht="13.5" customHeight="1">
      <c r="A2778" s="4" t="s">
        <v>6435</v>
      </c>
      <c r="B2778" s="4" t="s">
        <v>6436</v>
      </c>
      <c r="C2778" s="4" t="str">
        <f ca="1">IFERROR(__xludf.DUMMYFUNCTION("GOOGLETRANSLATE(D:D,""auto"",""en"")"),"Beijing railway section train temporary outage")</f>
        <v>Beijing railway section train temporary outage</v>
      </c>
      <c r="D2778" s="5" t="s">
        <v>6437</v>
      </c>
      <c r="E2778" s="4">
        <v>529670</v>
      </c>
      <c r="F2778">
        <v>1</v>
      </c>
    </row>
    <row r="2779" spans="1:6" ht="13.5" customHeight="1">
      <c r="A2779" s="4" t="s">
        <v>5094</v>
      </c>
      <c r="B2779" s="4" t="s">
        <v>5095</v>
      </c>
      <c r="C2779" s="4" t="str">
        <f ca="1">IFERROR(__xludf.DUMMYFUNCTION("GOOGLETRANSLATE(D:D,""auto"",""en"")"),"China confirmed new cases of pneumonia")</f>
        <v>China confirmed new cases of pneumonia</v>
      </c>
      <c r="D2779" s="5" t="s">
        <v>5096</v>
      </c>
      <c r="E2779" s="4">
        <v>466623</v>
      </c>
      <c r="F2779">
        <v>1</v>
      </c>
    </row>
    <row r="2780" spans="1:6" ht="13.5" hidden="1" customHeight="1">
      <c r="A2780" s="4" t="s">
        <v>6291</v>
      </c>
      <c r="B2780" s="4" t="s">
        <v>6292</v>
      </c>
      <c r="C2780" s="4" t="str">
        <f ca="1">IFERROR(__xludf.DUMMYFUNCTION("GOOGLETRANSLATE(D:D,""auto"",""en"")"),"Bryant Recording")</f>
        <v>Bryant Recording</v>
      </c>
      <c r="D2780" s="5" t="s">
        <v>6293</v>
      </c>
      <c r="E2780" s="4">
        <v>447094</v>
      </c>
    </row>
    <row r="2781" spans="1:6" ht="13.5" customHeight="1">
      <c r="A2781" s="4" t="s">
        <v>6438</v>
      </c>
      <c r="B2781" s="4" t="s">
        <v>6328</v>
      </c>
      <c r="C2781" s="4" t="str">
        <f ca="1">IFERROR(__xludf.DUMMYFUNCTION("GOOGLETRANSLATE(D:D,""auto"",""en"")"),"Add new 21 cases of pneumonia in Sichuan")</f>
        <v>Add new 21 cases of pneumonia in Sichuan</v>
      </c>
      <c r="D2781" s="5" t="s">
        <v>6439</v>
      </c>
      <c r="E2781" s="4">
        <v>441423</v>
      </c>
      <c r="F2781">
        <v>1</v>
      </c>
    </row>
    <row r="2782" spans="1:6" ht="13.5" customHeight="1">
      <c r="A2782" s="4" t="s">
        <v>6440</v>
      </c>
      <c r="B2782" s="4" t="s">
        <v>6441</v>
      </c>
      <c r="C2782" s="4" t="str">
        <f ca="1">IFERROR(__xludf.DUMMYFUNCTION("GOOGLETRANSLATE(D:D,""auto"",""en"")"),"Jiangsu new new 23 cases of pneumonia")</f>
        <v>Jiangsu new new 23 cases of pneumonia</v>
      </c>
      <c r="D2782" s="5" t="s">
        <v>6442</v>
      </c>
      <c r="E2782" s="4">
        <v>400439</v>
      </c>
      <c r="F2782">
        <v>1</v>
      </c>
    </row>
    <row r="2783" spans="1:6" ht="13.5" customHeight="1">
      <c r="A2783" s="4" t="s">
        <v>6254</v>
      </c>
      <c r="B2783" s="4" t="s">
        <v>6255</v>
      </c>
      <c r="C2783" s="4" t="str">
        <f ca="1">IFERROR(__xludf.DUMMYFUNCTION("GOOGLETRANSLATE(D:D,""auto"",""en"")"),"Experts respond if need be extended for holidays")</f>
        <v>Experts respond if need be extended for holidays</v>
      </c>
      <c r="D2783" s="5" t="s">
        <v>6256</v>
      </c>
      <c r="E2783" s="4">
        <v>381523</v>
      </c>
      <c r="F2783">
        <v>1</v>
      </c>
    </row>
    <row r="2784" spans="1:6" ht="13.5" customHeight="1">
      <c r="A2784" s="4" t="s">
        <v>6254</v>
      </c>
      <c r="B2784" s="4" t="s">
        <v>6255</v>
      </c>
      <c r="C2784" s="4" t="str">
        <f ca="1">IFERROR(__xludf.DUMMYFUNCTION("GOOGLETRANSLATE(D:D,""auto"",""en"")"),"Antiviral Spray")</f>
        <v>Antiviral Spray</v>
      </c>
      <c r="D2784" s="5" t="s">
        <v>6257</v>
      </c>
      <c r="E2784" s="4">
        <v>364347</v>
      </c>
      <c r="F2784">
        <v>1</v>
      </c>
    </row>
    <row r="2785" spans="1:6" ht="13.5" customHeight="1">
      <c r="A2785" s="4" t="s">
        <v>6443</v>
      </c>
      <c r="B2785" s="4" t="s">
        <v>6320</v>
      </c>
      <c r="C2785" s="4" t="str">
        <f ca="1">IFERROR(__xludf.DUMMYFUNCTION("GOOGLETRANSLATE(D:D,""auto"",""en"")"),"Hebei new 15 cases of new pneumonia")</f>
        <v>Hebei new 15 cases of new pneumonia</v>
      </c>
      <c r="D2785" s="5" t="s">
        <v>6444</v>
      </c>
      <c r="E2785" s="4">
        <v>363783</v>
      </c>
      <c r="F2785">
        <v>1</v>
      </c>
    </row>
    <row r="2786" spans="1:6" ht="13.5" hidden="1" customHeight="1">
      <c r="A2786" s="4" t="s">
        <v>6108</v>
      </c>
      <c r="B2786" s="4" t="s">
        <v>6109</v>
      </c>
      <c r="C2786" s="4" t="str">
        <f ca="1">IFERROR(__xludf.DUMMYFUNCTION("GOOGLETRANSLATE(D:D,""auto"",""en"")"),"The next stop is happy")</f>
        <v>The next stop is happy</v>
      </c>
      <c r="D2786" s="5" t="s">
        <v>6110</v>
      </c>
      <c r="E2786" s="4">
        <v>311009</v>
      </c>
    </row>
    <row r="2787" spans="1:6" ht="13.5" customHeight="1">
      <c r="A2787" s="4" t="s">
        <v>6445</v>
      </c>
      <c r="B2787" s="4" t="s">
        <v>6446</v>
      </c>
      <c r="C2787" s="4" t="str">
        <f ca="1">IFERROR(__xludf.DUMMYFUNCTION("GOOGLETRANSLATE(D:D,""auto"",""en"")"),"Anhui new new 36 cases of pneumonia")</f>
        <v>Anhui new new 36 cases of pneumonia</v>
      </c>
      <c r="D2787" s="5" t="s">
        <v>6447</v>
      </c>
      <c r="E2787" s="4">
        <v>286693</v>
      </c>
      <c r="F2787">
        <v>1</v>
      </c>
    </row>
    <row r="2788" spans="1:6" ht="13.5" customHeight="1">
      <c r="A2788" s="4" t="s">
        <v>6448</v>
      </c>
      <c r="B2788" s="4" t="s">
        <v>6449</v>
      </c>
      <c r="C2788" s="4" t="str">
        <f ca="1">IFERROR(__xludf.DUMMYFUNCTION("GOOGLETRANSLATE(D:D,""auto"",""en"")"),"Shandong new cases of pneumonia, 12 cases of the new")</f>
        <v>Shandong new cases of pneumonia, 12 cases of the new</v>
      </c>
      <c r="D2788" s="5" t="s">
        <v>6450</v>
      </c>
      <c r="E2788" s="4">
        <v>281653</v>
      </c>
      <c r="F2788">
        <v>1</v>
      </c>
    </row>
    <row r="2789" spans="1:6" ht="13.5" customHeight="1">
      <c r="A2789" s="4" t="s">
        <v>6451</v>
      </c>
      <c r="B2789" s="4" t="s">
        <v>6452</v>
      </c>
      <c r="C2789" s="4" t="str">
        <f ca="1">IFERROR(__xludf.DUMMYFUNCTION("GOOGLETRANSLATE(D:D,""auto"",""en"")"),"Tianjin General Hospital was established epidemic medical treatment")</f>
        <v>Tianjin General Hospital was established epidemic medical treatment</v>
      </c>
      <c r="D2789" s="5" t="s">
        <v>6453</v>
      </c>
      <c r="E2789" s="4">
        <v>264440</v>
      </c>
      <c r="F2789">
        <v>1</v>
      </c>
    </row>
    <row r="2790" spans="1:6" ht="13.5" customHeight="1">
      <c r="A2790" s="4" t="s">
        <v>6454</v>
      </c>
      <c r="B2790" s="4" t="s">
        <v>6455</v>
      </c>
      <c r="C2790" s="4" t="str">
        <f ca="1">IFERROR(__xludf.DUMMYFUNCTION("GOOGLETRANSLATE(D:D,""auto"",""en"")"),"The new Chongqing new 22 cases of pneumonia")</f>
        <v>The new Chongqing new 22 cases of pneumonia</v>
      </c>
      <c r="D2790" s="5" t="s">
        <v>6456</v>
      </c>
      <c r="E2790" s="4">
        <v>261225</v>
      </c>
      <c r="F2790">
        <v>1</v>
      </c>
    </row>
    <row r="2791" spans="1:6" ht="13.5" customHeight="1">
      <c r="A2791" s="4" t="s">
        <v>6457</v>
      </c>
      <c r="B2791" s="4" t="s">
        <v>6458</v>
      </c>
      <c r="C2791" s="4" t="str">
        <f ca="1">IFERROR(__xludf.DUMMYFUNCTION("GOOGLETRANSLATE(D:D,""auto"",""en"")"),"Jilin add new pneumonia in 2 cases")</f>
        <v>Jilin add new pneumonia in 2 cases</v>
      </c>
      <c r="D2791" s="5" t="s">
        <v>6459</v>
      </c>
      <c r="E2791" s="4">
        <v>248168</v>
      </c>
      <c r="F2791">
        <v>1</v>
      </c>
    </row>
    <row r="2792" spans="1:6" ht="13.5" customHeight="1">
      <c r="A2792" s="4" t="s">
        <v>6267</v>
      </c>
      <c r="B2792" s="4" t="s">
        <v>6268</v>
      </c>
      <c r="C2792" s="4" t="str">
        <f ca="1">IFERROR(__xludf.DUMMYFUNCTION("GOOGLETRANSLATE(D:D,""auto"",""en"")"),"Notice of the Ministry of Education school extension")</f>
        <v>Notice of the Ministry of Education school extension</v>
      </c>
      <c r="D2792" s="5" t="s">
        <v>6269</v>
      </c>
      <c r="E2792" s="4">
        <v>240654</v>
      </c>
      <c r="F2792">
        <v>1</v>
      </c>
    </row>
    <row r="2793" spans="1:6" ht="13.5" customHeight="1">
      <c r="A2793" s="4" t="s">
        <v>6334</v>
      </c>
      <c r="B2793" s="4" t="s">
        <v>6292</v>
      </c>
      <c r="C2793" s="4" t="str">
        <f ca="1">IFERROR(__xludf.DUMMYFUNCTION("GOOGLETRANSLATE(D:D,""auto"",""en"")"),"In BARS ball")</f>
        <v>In BARS ball</v>
      </c>
      <c r="D2793" s="5" t="s">
        <v>6335</v>
      </c>
      <c r="E2793" s="4">
        <v>239751</v>
      </c>
      <c r="F2793">
        <v>1</v>
      </c>
    </row>
    <row r="2794" spans="1:6" ht="13.5" customHeight="1">
      <c r="A2794" s="4" t="s">
        <v>6460</v>
      </c>
      <c r="B2794" s="4" t="s">
        <v>6411</v>
      </c>
      <c r="C2794" s="4" t="str">
        <f ca="1">IFERROR(__xludf.DUMMYFUNCTION("GOOGLETRANSLATE(D:D,""auto"",""en"")"),"Henan new cases of pneumonia, 40 cases of the new")</f>
        <v>Henan new cases of pneumonia, 40 cases of the new</v>
      </c>
      <c r="D2794" s="5" t="s">
        <v>6461</v>
      </c>
      <c r="E2794" s="4">
        <v>224625</v>
      </c>
      <c r="F2794">
        <v>1</v>
      </c>
    </row>
    <row r="2795" spans="1:6" ht="13.5" customHeight="1">
      <c r="A2795" s="4" t="s">
        <v>6462</v>
      </c>
      <c r="B2795" s="4" t="s">
        <v>6348</v>
      </c>
      <c r="C2795" s="4" t="str">
        <f ca="1">IFERROR(__xludf.DUMMYFUNCTION("GOOGLETRANSLATE(D:D,""auto"",""en"")"),"Germany confirmed the first case of novel coronavirus in patients")</f>
        <v>Germany confirmed the first case of novel coronavirus in patients</v>
      </c>
      <c r="D2795" s="5" t="s">
        <v>6463</v>
      </c>
      <c r="E2795" s="4">
        <v>219231</v>
      </c>
      <c r="F2795">
        <v>1</v>
      </c>
    </row>
    <row r="2796" spans="1:6" ht="13.5" customHeight="1">
      <c r="A2796" s="4" t="s">
        <v>6462</v>
      </c>
      <c r="B2796" s="4" t="s">
        <v>6397</v>
      </c>
      <c r="C2796" s="4" t="str">
        <f ca="1">IFERROR(__xludf.DUMMYFUNCTION("GOOGLETRANSLATE(D:D,""auto"",""en"")"),"Xinjiang new cases of five cases of new pneumonia")</f>
        <v>Xinjiang new cases of five cases of new pneumonia</v>
      </c>
      <c r="D2796" s="5" t="s">
        <v>6464</v>
      </c>
      <c r="E2796" s="4">
        <v>214373</v>
      </c>
      <c r="F2796">
        <v>1</v>
      </c>
    </row>
    <row r="2797" spans="1:6" ht="13.5" customHeight="1">
      <c r="A2797" s="4" t="s">
        <v>6435</v>
      </c>
      <c r="B2797" s="4" t="s">
        <v>6465</v>
      </c>
      <c r="C2797" s="4" t="str">
        <f ca="1">IFERROR(__xludf.DUMMYFUNCTION("GOOGLETRANSLATE(D:D,""auto"",""en"")"),"Wuhan Union Hospital, three were infected health care workers was discharged")</f>
        <v>Wuhan Union Hospital, three were infected health care workers was discharged</v>
      </c>
      <c r="D2797" s="5" t="s">
        <v>6466</v>
      </c>
      <c r="E2797" s="4">
        <v>204257</v>
      </c>
      <c r="F2797">
        <v>1</v>
      </c>
    </row>
    <row r="2798" spans="1:6" ht="13.5" customHeight="1">
      <c r="A2798" s="4" t="s">
        <v>6467</v>
      </c>
      <c r="B2798" s="4" t="s">
        <v>6468</v>
      </c>
      <c r="C2798" s="4" t="str">
        <f ca="1">IFERROR(__xludf.DUMMYFUNCTION("GOOGLETRANSLATE(D:D,""auto"",""en"")"),"New Year grounded you")</f>
        <v>New Year grounded you</v>
      </c>
      <c r="D2798" s="5" t="s">
        <v>6469</v>
      </c>
      <c r="E2798" s="4">
        <v>202416</v>
      </c>
      <c r="F2798">
        <v>1</v>
      </c>
    </row>
    <row r="2799" spans="1:6" ht="13.5" hidden="1" customHeight="1">
      <c r="A2799" s="4" t="s">
        <v>6306</v>
      </c>
      <c r="B2799" s="4" t="s">
        <v>6307</v>
      </c>
      <c r="C2799" s="4" t="str">
        <f ca="1">IFERROR(__xludf.DUMMYFUNCTION("GOOGLETRANSLATE(D:D,""auto"",""en"")"),"More than sweet")</f>
        <v>More than sweet</v>
      </c>
      <c r="D2799" s="5" t="s">
        <v>6308</v>
      </c>
      <c r="E2799" s="4">
        <v>202124</v>
      </c>
    </row>
    <row r="2800" spans="1:6" ht="13.5" customHeight="1">
      <c r="A2800" s="4" t="s">
        <v>6470</v>
      </c>
      <c r="B2800" s="4" t="s">
        <v>6465</v>
      </c>
      <c r="C2800" s="4" t="str">
        <f ca="1">IFERROR(__xludf.DUMMYFUNCTION("GOOGLETRANSLATE(D:D,""auto"",""en"")"),"Jian Wei State informed the Commission discharge criteria")</f>
        <v>Jian Wei State informed the Commission discharge criteria</v>
      </c>
      <c r="D2800" s="5" t="s">
        <v>6471</v>
      </c>
      <c r="E2800" s="4">
        <v>191787</v>
      </c>
      <c r="F2800">
        <v>1</v>
      </c>
    </row>
    <row r="2801" spans="1:6" ht="13.5" customHeight="1">
      <c r="A2801" s="4" t="s">
        <v>6303</v>
      </c>
      <c r="B2801" s="4" t="s">
        <v>6304</v>
      </c>
      <c r="C2801" s="4" t="str">
        <f ca="1">IFERROR(__xludf.DUMMYFUNCTION("GOOGLETRANSLATE(D:D,""auto"",""en"")"),"Can do in the living room")</f>
        <v>Can do in the living room</v>
      </c>
      <c r="D2801" s="5" t="s">
        <v>6305</v>
      </c>
      <c r="E2801" s="4">
        <v>189629</v>
      </c>
      <c r="F2801">
        <v>1</v>
      </c>
    </row>
    <row r="2802" spans="1:6" ht="13.5" customHeight="1">
      <c r="A2802" s="4" t="s">
        <v>6472</v>
      </c>
      <c r="B2802" s="4" t="s">
        <v>6473</v>
      </c>
      <c r="C2802" s="4" t="str">
        <f ca="1">IFERROR(__xludf.DUMMYFUNCTION("GOOGLETRANSLATE(D:D,""auto"",""en"")"),"Epidemic joint prevention and control real-time broadcast")</f>
        <v>Epidemic joint prevention and control real-time broadcast</v>
      </c>
      <c r="D2802" s="5" t="s">
        <v>6474</v>
      </c>
      <c r="E2802" s="4">
        <v>179809</v>
      </c>
      <c r="F2802">
        <v>1</v>
      </c>
    </row>
    <row r="2803" spans="1:6" ht="13.5" customHeight="1">
      <c r="A2803" s="4" t="s">
        <v>6365</v>
      </c>
      <c r="B2803" s="4" t="s">
        <v>6475</v>
      </c>
      <c r="C2803" s="4" t="str">
        <f ca="1">IFERROR(__xludf.DUMMYFUNCTION("GOOGLETRANSLATE(D:D,""auto"",""en"")"),"Shanxi 7 new confirmed cases")</f>
        <v>Shanxi 7 new confirmed cases</v>
      </c>
      <c r="D2803" s="5" t="s">
        <v>6476</v>
      </c>
      <c r="E2803" s="4">
        <v>159121</v>
      </c>
      <c r="F2803">
        <v>1</v>
      </c>
    </row>
    <row r="2804" spans="1:6" ht="13.5" customHeight="1">
      <c r="A2804" s="4" t="s">
        <v>6258</v>
      </c>
      <c r="B2804" s="4" t="s">
        <v>6259</v>
      </c>
      <c r="C2804" s="4" t="str">
        <f ca="1">IFERROR(__xludf.DUMMYFUNCTION("GOOGLETRANSLATE(D:D,""auto"",""en"")"),"Window singing spread the infection")</f>
        <v>Window singing spread the infection</v>
      </c>
      <c r="D2804" s="5" t="s">
        <v>6260</v>
      </c>
      <c r="E2804" s="4">
        <v>154210</v>
      </c>
      <c r="F2804">
        <v>1</v>
      </c>
    </row>
    <row r="2805" spans="1:6" ht="13.5" customHeight="1">
      <c r="A2805" s="4" t="s">
        <v>6365</v>
      </c>
      <c r="B2805" s="4" t="s">
        <v>6366</v>
      </c>
      <c r="C2805" s="4" t="str">
        <f ca="1">IFERROR(__xludf.DUMMYFUNCTION("GOOGLETRANSLATE(D:D,""auto"",""en"")"),"Zhejiang delayed return to work")</f>
        <v>Zhejiang delayed return to work</v>
      </c>
      <c r="D2805" s="5" t="s">
        <v>6367</v>
      </c>
      <c r="E2805" s="4">
        <v>147339</v>
      </c>
      <c r="F2805">
        <v>1</v>
      </c>
    </row>
    <row r="2806" spans="1:6" ht="13.5" hidden="1" customHeight="1">
      <c r="C2806" s="4" t="str">
        <f ca="1">IFERROR(__xludf.DUMMYFUNCTION("GOOGLETRANSLATE(D:D,""auto"",""en"")"),"#VALUE!")</f>
        <v>#VALUE!</v>
      </c>
    </row>
    <row r="2807" spans="1:6" ht="13.5" customHeight="1">
      <c r="A2807" s="4" t="s">
        <v>6477</v>
      </c>
      <c r="B2807" s="4" t="s">
        <v>6478</v>
      </c>
      <c r="C2807" s="4" t="str">
        <f ca="1">IFERROR(__xludf.DUMMYFUNCTION("GOOGLETRANSLATE(D:D,""auto"",""en"")"),"We will not return due to infection big spring")</f>
        <v>We will not return due to infection big spring</v>
      </c>
      <c r="D2807" s="4" t="s">
        <v>6479</v>
      </c>
      <c r="E2807" s="4">
        <v>3207942</v>
      </c>
      <c r="F2807">
        <v>1</v>
      </c>
    </row>
    <row r="2808" spans="1:6" ht="13.5" customHeight="1">
      <c r="A2808" s="4" t="s">
        <v>6480</v>
      </c>
      <c r="B2808" s="4" t="s">
        <v>6481</v>
      </c>
      <c r="C2808" s="4" t="str">
        <f ca="1">IFERROR(__xludf.DUMMYFUNCTION("GOOGLETRANSLATE(D:D,""auto"",""en"")"),"Wuhan, Hubei Party Secretary in response to discrimination")</f>
        <v>Wuhan, Hubei Party Secretary in response to discrimination</v>
      </c>
      <c r="D2808" s="5" t="s">
        <v>6482</v>
      </c>
      <c r="E2808" s="4">
        <v>2484018</v>
      </c>
      <c r="F2808">
        <v>1</v>
      </c>
    </row>
    <row r="2809" spans="1:6" ht="13.5" customHeight="1">
      <c r="A2809" s="4" t="s">
        <v>6483</v>
      </c>
      <c r="B2809" s="4" t="s">
        <v>6484</v>
      </c>
      <c r="C2809" s="4" t="str">
        <f ca="1">IFERROR(__xludf.DUMMYFUNCTION("GOOGLETRANSLATE(D:D,""auto"",""en"")"),"The new outbreak of pneumonia may improve before the Lantern Festival")</f>
        <v>The new outbreak of pneumonia may improve before the Lantern Festival</v>
      </c>
      <c r="D2809" s="5" t="s">
        <v>6485</v>
      </c>
      <c r="E2809" s="4">
        <v>2389760</v>
      </c>
      <c r="F2809">
        <v>1</v>
      </c>
    </row>
    <row r="2810" spans="1:6" ht="13.5" hidden="1" customHeight="1">
      <c r="A2810" s="4" t="s">
        <v>6486</v>
      </c>
      <c r="B2810" s="4" t="s">
        <v>6487</v>
      </c>
      <c r="C2810" s="4" t="str">
        <f ca="1">IFERROR(__xludf.DUMMYFUNCTION("GOOGLETRANSLATE(D:D,""auto"",""en"")"),"JJ Stay With You")</f>
        <v>JJ Stay With You</v>
      </c>
      <c r="D2810" s="5" t="s">
        <v>6488</v>
      </c>
      <c r="E2810" s="4">
        <v>2360848</v>
      </c>
    </row>
    <row r="2811" spans="1:6" ht="13.5" customHeight="1">
      <c r="A2811" s="4" t="s">
        <v>6489</v>
      </c>
      <c r="B2811" s="4" t="s">
        <v>6490</v>
      </c>
      <c r="C2811" s="4" t="str">
        <f ca="1">IFERROR(__xludf.DUMMYFUNCTION("GOOGLETRANSLATE(D:D,""auto"",""en"")"),"The unauthorized trip will be prosecuted!")</f>
        <v>The unauthorized trip will be prosecuted!</v>
      </c>
      <c r="D2811" s="5" t="s">
        <v>6491</v>
      </c>
      <c r="E2811" s="4">
        <v>2248537</v>
      </c>
      <c r="F2811">
        <v>1</v>
      </c>
    </row>
    <row r="2812" spans="1:6" ht="13.5" customHeight="1">
      <c r="A2812" s="4" t="s">
        <v>6492</v>
      </c>
      <c r="B2812" s="4" t="s">
        <v>6493</v>
      </c>
      <c r="C2812" s="4" t="str">
        <f ca="1">IFERROR(__xludf.DUMMYFUNCTION("GOOGLETRANSLATE(D:D,""auto"",""en"")"),"Vulcan Hill Hospital renderings")</f>
        <v>Vulcan Hill Hospital renderings</v>
      </c>
      <c r="D2812" s="5" t="s">
        <v>6494</v>
      </c>
      <c r="E2812" s="4">
        <v>1817602</v>
      </c>
      <c r="F2812">
        <v>1</v>
      </c>
    </row>
    <row r="2813" spans="1:6" ht="13.5" customHeight="1">
      <c r="A2813" s="4" t="s">
        <v>6495</v>
      </c>
      <c r="B2813" s="4" t="s">
        <v>6496</v>
      </c>
      <c r="C2813" s="4" t="str">
        <f ca="1">IFERROR(__xludf.DUMMYFUNCTION("GOOGLETRANSLATE(D:D,""auto"",""en"")"),"Zhong Nanshan stressed that currently do not travel")</f>
        <v>Zhong Nanshan stressed that currently do not travel</v>
      </c>
      <c r="D2813" s="5" t="s">
        <v>6497</v>
      </c>
      <c r="E2813" s="4">
        <v>1643752</v>
      </c>
      <c r="F2813">
        <v>1</v>
      </c>
    </row>
    <row r="2814" spans="1:6" ht="13.5" hidden="1" customHeight="1">
      <c r="A2814" s="4" t="s">
        <v>6498</v>
      </c>
      <c r="B2814" s="4" t="s">
        <v>6499</v>
      </c>
      <c r="C2814" s="4" t="str">
        <f ca="1">IFERROR(__xludf.DUMMYFUNCTION("GOOGLETRANSLATE(D:D,""auto"",""en"")"),"Kobe Time magazine cover")</f>
        <v>Kobe Time magazine cover</v>
      </c>
      <c r="D2814" s="5" t="s">
        <v>6500</v>
      </c>
      <c r="E2814" s="4">
        <v>1574372</v>
      </c>
    </row>
    <row r="2815" spans="1:6" ht="13.5" customHeight="1">
      <c r="A2815" s="4" t="s">
        <v>6501</v>
      </c>
      <c r="B2815" s="4" t="s">
        <v>6502</v>
      </c>
      <c r="C2815" s="4" t="str">
        <f ca="1">IFERROR(__xludf.DUMMYFUNCTION("GOOGLETRANSLATE(D:D,""auto"",""en"")"),"Wuhan 87-year-old mother cured")</f>
        <v>Wuhan 87-year-old mother cured</v>
      </c>
      <c r="D2815" s="5" t="s">
        <v>6503</v>
      </c>
      <c r="E2815" s="4">
        <v>1545483</v>
      </c>
      <c r="F2815">
        <v>1</v>
      </c>
    </row>
    <row r="2816" spans="1:6" ht="13.5" customHeight="1">
      <c r="A2816" s="4" t="s">
        <v>6504</v>
      </c>
      <c r="B2816" s="4" t="s">
        <v>6505</v>
      </c>
      <c r="C2816" s="4" t="str">
        <f ca="1">IFERROR(__xludf.DUMMYFUNCTION("GOOGLETRANSLATE(D:D,""auto"",""en"")"),"How long can a vaccine")</f>
        <v>How long can a vaccine</v>
      </c>
      <c r="D2816" s="5" t="s">
        <v>6506</v>
      </c>
      <c r="E2816" s="4">
        <v>1469700</v>
      </c>
      <c r="F2816">
        <v>1</v>
      </c>
    </row>
    <row r="2817" spans="1:6" ht="13.5" hidden="1" customHeight="1">
      <c r="A2817" s="4" t="s">
        <v>6507</v>
      </c>
      <c r="B2817" s="4" t="s">
        <v>6508</v>
      </c>
      <c r="C2817" s="4" t="str">
        <f ca="1">IFERROR(__xludf.DUMMYFUNCTION("GOOGLETRANSLATE(D:D,""auto"",""en"")"),"Britain this month will be officially off Europe")</f>
        <v>Britain this month will be officially off Europe</v>
      </c>
      <c r="D2817" s="5" t="s">
        <v>6509</v>
      </c>
      <c r="E2817" s="4">
        <v>1368576</v>
      </c>
    </row>
    <row r="2818" spans="1:6" ht="13.5" customHeight="1">
      <c r="A2818" s="4" t="s">
        <v>6510</v>
      </c>
      <c r="B2818" s="4" t="s">
        <v>6511</v>
      </c>
      <c r="C2818" s="4" t="str">
        <f ca="1">IFERROR(__xludf.DUMMYFUNCTION("GOOGLETRANSLATE(D:D,""auto"",""en"")"),"One week or 10 days epidemic reached its peak")</f>
        <v>One week or 10 days epidemic reached its peak</v>
      </c>
      <c r="D2818" s="5" t="s">
        <v>6512</v>
      </c>
      <c r="E2818" s="4">
        <v>1066053</v>
      </c>
      <c r="F2818">
        <v>1</v>
      </c>
    </row>
    <row r="2819" spans="1:6" ht="13.5" hidden="1" customHeight="1">
      <c r="A2819" s="4" t="s">
        <v>6108</v>
      </c>
      <c r="B2819" s="4" t="s">
        <v>6109</v>
      </c>
      <c r="C2819" s="4" t="str">
        <f ca="1">IFERROR(__xludf.DUMMYFUNCTION("GOOGLETRANSLATE(D:D,""auto"",""en"")"),"The next stop is happy")</f>
        <v>The next stop is happy</v>
      </c>
      <c r="D2819" s="5" t="s">
        <v>6110</v>
      </c>
      <c r="E2819" s="4">
        <v>823668</v>
      </c>
    </row>
    <row r="2820" spans="1:6" ht="13.5" customHeight="1">
      <c r="A2820" s="4" t="s">
        <v>6513</v>
      </c>
      <c r="B2820" s="4" t="s">
        <v>6514</v>
      </c>
      <c r="C2820" s="4" t="str">
        <f ca="1">IFERROR(__xludf.DUMMYFUNCTION("GOOGLETRANSLATE(D:D,""auto"",""en"")"),"Whether data growth means increasing spread of the epidemic")</f>
        <v>Whether data growth means increasing spread of the epidemic</v>
      </c>
      <c r="D2820" s="5" t="s">
        <v>6515</v>
      </c>
      <c r="E2820" s="4">
        <v>776149</v>
      </c>
      <c r="F2820">
        <v>1</v>
      </c>
    </row>
    <row r="2821" spans="1:6" ht="13.5" customHeight="1">
      <c r="A2821" s="4" t="s">
        <v>6516</v>
      </c>
      <c r="B2821" s="4" t="s">
        <v>6484</v>
      </c>
      <c r="C2821" s="4" t="str">
        <f ca="1">IFERROR(__xludf.DUMMYFUNCTION("GOOGLETRANSLATE(D:D,""auto"",""en"")"),"WHO")</f>
        <v>WHO</v>
      </c>
      <c r="D2821" s="5" t="s">
        <v>6517</v>
      </c>
      <c r="E2821" s="4">
        <v>749055</v>
      </c>
      <c r="F2821">
        <v>1</v>
      </c>
    </row>
    <row r="2822" spans="1:6" ht="13.5" hidden="1" customHeight="1">
      <c r="A2822" s="4" t="s">
        <v>6518</v>
      </c>
      <c r="B2822" s="4" t="s">
        <v>6519</v>
      </c>
      <c r="C2822" s="4" t="str">
        <f ca="1">IFERROR(__xludf.DUMMYFUNCTION("GOOGLETRANSLATE(D:D,""auto"",""en"")"),"Bryant daughter")</f>
        <v>Bryant daughter</v>
      </c>
      <c r="D2822" s="5" t="s">
        <v>6520</v>
      </c>
      <c r="E2822" s="4">
        <v>747801</v>
      </c>
    </row>
    <row r="2823" spans="1:6" ht="13.5" hidden="1" customHeight="1">
      <c r="A2823" s="4" t="s">
        <v>6521</v>
      </c>
      <c r="B2823" s="4" t="s">
        <v>6522</v>
      </c>
      <c r="C2823" s="4" t="str">
        <f ca="1">IFERROR(__xludf.DUMMYFUNCTION("GOOGLETRANSLATE(D:D,""auto"",""en"")"),"Felt the joy of Elva")</f>
        <v>Felt the joy of Elva</v>
      </c>
      <c r="D2823" s="5" t="s">
        <v>6523</v>
      </c>
      <c r="E2823" s="4">
        <v>734478</v>
      </c>
    </row>
    <row r="2824" spans="1:6" ht="13.5" hidden="1" customHeight="1">
      <c r="A2824" s="4" t="s">
        <v>6524</v>
      </c>
      <c r="B2824" s="4" t="s">
        <v>6525</v>
      </c>
      <c r="C2824" s="4" t="str">
        <f ca="1">IFERROR(__xludf.DUMMYFUNCTION("GOOGLETRANSLATE(D:D,""auto"",""en"")"),"Mink")</f>
        <v>Mink</v>
      </c>
      <c r="D2824" s="5" t="s">
        <v>6526</v>
      </c>
      <c r="E2824" s="4">
        <v>728354</v>
      </c>
    </row>
    <row r="2825" spans="1:6" ht="13.5" hidden="1" customHeight="1">
      <c r="A2825" s="4" t="s">
        <v>5967</v>
      </c>
      <c r="B2825" s="4" t="s">
        <v>5968</v>
      </c>
      <c r="C2825" s="4" t="str">
        <f ca="1">IFERROR(__xludf.DUMMYFUNCTION("GOOGLETRANSLATE(D:D,""auto"",""en"")"),"Han")</f>
        <v>Han</v>
      </c>
      <c r="D2825" s="5" t="s">
        <v>5969</v>
      </c>
      <c r="E2825" s="4">
        <v>724791</v>
      </c>
    </row>
    <row r="2826" spans="1:6" ht="13.5" customHeight="1">
      <c r="A2826" s="4" t="s">
        <v>6527</v>
      </c>
      <c r="B2826" s="4" t="s">
        <v>6528</v>
      </c>
      <c r="C2826" s="4" t="str">
        <f ca="1">IFERROR(__xludf.DUMMYFUNCTION("GOOGLETRANSLATE(D:D,""auto"",""en"")"),"Since Taiwan's first family clusters of cases")</f>
        <v>Since Taiwan's first family clusters of cases</v>
      </c>
      <c r="D2826" s="5" t="s">
        <v>6529</v>
      </c>
      <c r="E2826" s="4">
        <v>713028</v>
      </c>
      <c r="F2826">
        <v>1</v>
      </c>
    </row>
    <row r="2827" spans="1:6" ht="13.5" customHeight="1">
      <c r="A2827" s="4" t="s">
        <v>6530</v>
      </c>
      <c r="B2827" s="4" t="s">
        <v>6519</v>
      </c>
      <c r="C2827" s="4" t="str">
        <f ca="1">IFERROR(__xludf.DUMMYFUNCTION("GOOGLETRANSLATE(D:D,""auto"",""en"")"),"Chongqing return to work time")</f>
        <v>Chongqing return to work time</v>
      </c>
      <c r="D2827" s="5" t="s">
        <v>6531</v>
      </c>
      <c r="E2827" s="4">
        <v>706179</v>
      </c>
      <c r="F2827">
        <v>1</v>
      </c>
    </row>
    <row r="2828" spans="1:6" ht="13.5" customHeight="1">
      <c r="A2828" s="4" t="s">
        <v>6532</v>
      </c>
      <c r="B2828" s="4" t="s">
        <v>6533</v>
      </c>
      <c r="C2828" s="4" t="str">
        <f ca="1">IFERROR(__xludf.DUMMYFUNCTION("GOOGLETRANSLATE(D:D,""auto"",""en"")"),"Isolated three novel coronavirus strains")</f>
        <v>Isolated three novel coronavirus strains</v>
      </c>
      <c r="D2828" s="5" t="s">
        <v>6534</v>
      </c>
      <c r="E2828" s="4">
        <v>703523</v>
      </c>
      <c r="F2828">
        <v>1</v>
      </c>
    </row>
    <row r="2829" spans="1:6" ht="13.5" hidden="1" customHeight="1">
      <c r="A2829" s="4" t="s">
        <v>6535</v>
      </c>
      <c r="B2829" s="4" t="s">
        <v>6514</v>
      </c>
      <c r="C2829" s="4" t="str">
        <f ca="1">IFERROR(__xludf.DUMMYFUNCTION("GOOGLETRANSLATE(D:D,""auto"",""en"")"),"What day is today")</f>
        <v>What day is today</v>
      </c>
      <c r="D2829" s="5" t="s">
        <v>6536</v>
      </c>
      <c r="E2829" s="4">
        <v>685777</v>
      </c>
    </row>
    <row r="2830" spans="1:6" ht="13.5" hidden="1" customHeight="1">
      <c r="A2830" s="4" t="s">
        <v>6537</v>
      </c>
      <c r="B2830" s="4" t="s">
        <v>6538</v>
      </c>
      <c r="C2830" s="4" t="str">
        <f ca="1">IFERROR(__xludf.DUMMYFUNCTION("GOOGLETRANSLATE(D:D,""auto"",""en"")"),"Thailand and Asia Airlines")</f>
        <v>Thailand and Asia Airlines</v>
      </c>
      <c r="D2830" s="5" t="s">
        <v>6539</v>
      </c>
      <c r="E2830" s="4">
        <v>672160</v>
      </c>
    </row>
    <row r="2831" spans="1:6" ht="13.5" hidden="1" customHeight="1">
      <c r="A2831" s="4" t="s">
        <v>6540</v>
      </c>
      <c r="B2831" s="4" t="s">
        <v>6541</v>
      </c>
      <c r="C2831" s="4" t="str">
        <f ca="1">IFERROR(__xludf.DUMMYFUNCTION("GOOGLETRANSLATE(D:D,""auto"",""en"")"),"Song Weilong good will")</f>
        <v>Song Weilong good will</v>
      </c>
      <c r="D2831" s="5" t="s">
        <v>6542</v>
      </c>
      <c r="E2831" s="4">
        <v>665445</v>
      </c>
    </row>
    <row r="2832" spans="1:6" ht="13.5" customHeight="1">
      <c r="A2832" s="4" t="s">
        <v>6543</v>
      </c>
      <c r="B2832" s="4" t="s">
        <v>6383</v>
      </c>
      <c r="C2832" s="4" t="str">
        <f ca="1">IFERROR(__xludf.DUMMYFUNCTION("GOOGLETRANSLATE(D:D,""auto"",""en"")"),"This holiday season we are in different states")</f>
        <v>This holiday season we are in different states</v>
      </c>
      <c r="D2832" s="5" t="s">
        <v>6544</v>
      </c>
      <c r="E2832" s="4">
        <v>625176</v>
      </c>
      <c r="F2832">
        <v>1</v>
      </c>
    </row>
    <row r="2833" spans="1:6" ht="13.5" customHeight="1">
      <c r="A2833" s="4" t="s">
        <v>6545</v>
      </c>
      <c r="B2833" s="4" t="s">
        <v>6546</v>
      </c>
      <c r="C2833" s="4" t="str">
        <f ca="1">IFERROR(__xludf.DUMMYFUNCTION("GOOGLETRANSLATE(D:D,""auto"",""en"")"),"Experts respond to daily whether to wear gloves")</f>
        <v>Experts respond to daily whether to wear gloves</v>
      </c>
      <c r="D2833" s="5" t="s">
        <v>6547</v>
      </c>
      <c r="E2833" s="4">
        <v>593553</v>
      </c>
      <c r="F2833">
        <v>1</v>
      </c>
    </row>
    <row r="2834" spans="1:6" ht="13.5" customHeight="1">
      <c r="A2834" s="4" t="s">
        <v>6548</v>
      </c>
      <c r="B2834" s="4" t="s">
        <v>6549</v>
      </c>
      <c r="C2834" s="4" t="str">
        <f ca="1">IFERROR(__xludf.DUMMYFUNCTION("GOOGLETRANSLATE(D:D,""auto"",""en"")"),"Fellow respond asymptomatic infection were also infected")</f>
        <v>Fellow respond asymptomatic infection were also infected</v>
      </c>
      <c r="D2834" s="5" t="s">
        <v>6550</v>
      </c>
      <c r="E2834" s="4">
        <v>533750</v>
      </c>
      <c r="F2834">
        <v>1</v>
      </c>
    </row>
    <row r="2835" spans="1:6" ht="13.5" customHeight="1">
      <c r="A2835" s="4" t="s">
        <v>6551</v>
      </c>
      <c r="B2835" s="4" t="s">
        <v>6546</v>
      </c>
      <c r="C2835" s="4" t="str">
        <f ca="1">IFERROR(__xludf.DUMMYFUNCTION("GOOGLETRANSLATE(D:D,""auto"",""en"")"),"WHO will send international experts study group as soon as possible")</f>
        <v>WHO will send international experts study group as soon as possible</v>
      </c>
      <c r="D2835" s="5" t="s">
        <v>6552</v>
      </c>
      <c r="E2835" s="4">
        <v>509187</v>
      </c>
      <c r="F2835">
        <v>1</v>
      </c>
    </row>
    <row r="2836" spans="1:6" ht="13.5" hidden="1" customHeight="1">
      <c r="A2836" s="4" t="s">
        <v>6553</v>
      </c>
      <c r="B2836" s="4" t="s">
        <v>6554</v>
      </c>
      <c r="C2836" s="4" t="str">
        <f ca="1">IFERROR(__xludf.DUMMYFUNCTION("GOOGLETRANSLATE(D:D,""auto"",""en"")"),"Weight star years ago large exposure")</f>
        <v>Weight star years ago large exposure</v>
      </c>
      <c r="D2836" s="5" t="s">
        <v>6555</v>
      </c>
      <c r="E2836" s="4">
        <v>447232</v>
      </c>
    </row>
    <row r="2837" spans="1:6" ht="13.5" customHeight="1">
      <c r="A2837" s="4" t="s">
        <v>6556</v>
      </c>
      <c r="B2837" s="4" t="s">
        <v>6557</v>
      </c>
      <c r="C2837" s="4" t="str">
        <f ca="1">IFERROR(__xludf.DUMMYFUNCTION("GOOGLETRANSLATE(D:D,""auto"",""en"")"),"Yellowstone former mayor's death")</f>
        <v>Yellowstone former mayor's death</v>
      </c>
      <c r="D2837" s="5" t="s">
        <v>6558</v>
      </c>
      <c r="E2837" s="4">
        <v>446000</v>
      </c>
      <c r="F2837">
        <v>1</v>
      </c>
    </row>
    <row r="2838" spans="1:6" ht="13.5" customHeight="1">
      <c r="A2838" s="4" t="s">
        <v>5803</v>
      </c>
      <c r="B2838" s="4" t="s">
        <v>5804</v>
      </c>
      <c r="C2838" s="4" t="str">
        <f ca="1">IFERROR(__xludf.DUMMYFUNCTION("GOOGLETRANSLATE(D:D,""auto"",""en"")"),"The latest outbreak Map")</f>
        <v>The latest outbreak Map</v>
      </c>
      <c r="D2838" s="5" t="s">
        <v>5805</v>
      </c>
      <c r="E2838" s="4">
        <v>442928</v>
      </c>
      <c r="F2838">
        <v>1</v>
      </c>
    </row>
    <row r="2839" spans="1:6" ht="13.5" customHeight="1">
      <c r="A2839" s="4" t="s">
        <v>6559</v>
      </c>
      <c r="B2839" s="4" t="s">
        <v>6496</v>
      </c>
      <c r="C2839" s="4" t="str">
        <f ca="1">IFERROR(__xludf.DUMMYFUNCTION("GOOGLETRANSLATE(D:D,""auto"",""en"")"),"Epidemic will further reduce mortality")</f>
        <v>Epidemic will further reduce mortality</v>
      </c>
      <c r="D2839" s="5" t="s">
        <v>6560</v>
      </c>
      <c r="E2839" s="4">
        <v>390577</v>
      </c>
      <c r="F2839">
        <v>1</v>
      </c>
    </row>
    <row r="2840" spans="1:6" ht="13.5" hidden="1" customHeight="1">
      <c r="A2840" s="4" t="s">
        <v>6561</v>
      </c>
      <c r="B2840" s="4" t="s">
        <v>6562</v>
      </c>
      <c r="C2840" s="4" t="str">
        <f ca="1">IFERROR(__xludf.DUMMYFUNCTION("GOOGLETRANSLATE(D:D,""auto"",""en"")"),"Have you seen the most hard-core of fireworks")</f>
        <v>Have you seen the most hard-core of fireworks</v>
      </c>
      <c r="D2840" s="5" t="s">
        <v>6563</v>
      </c>
      <c r="E2840" s="4">
        <v>379288</v>
      </c>
    </row>
    <row r="2841" spans="1:6" ht="13.5" customHeight="1">
      <c r="A2841" s="4" t="s">
        <v>6564</v>
      </c>
      <c r="B2841" s="4" t="s">
        <v>6565</v>
      </c>
      <c r="C2841" s="4" t="str">
        <f ca="1">IFERROR(__xludf.DUMMYFUNCTION("GOOGLETRANSLATE(D:D,""auto"",""en"")"),"Guangdong has confirmed 207 cases of the new pneumonia")</f>
        <v>Guangdong has confirmed 207 cases of the new pneumonia</v>
      </c>
      <c r="D2841" s="5" t="s">
        <v>6566</v>
      </c>
      <c r="E2841" s="4">
        <v>377831</v>
      </c>
      <c r="F2841">
        <v>1</v>
      </c>
    </row>
    <row r="2842" spans="1:6" ht="13.5" customHeight="1">
      <c r="A2842" s="4" t="s">
        <v>6567</v>
      </c>
      <c r="B2842" s="4" t="s">
        <v>6568</v>
      </c>
      <c r="C2842" s="4" t="str">
        <f ca="1">IFERROR(__xludf.DUMMYFUNCTION("GOOGLETRANSLATE(D:D,""auto"",""en"")"),"Women's Wuhan asymptomatic relatives were diagnosed return")</f>
        <v>Women's Wuhan asymptomatic relatives were diagnosed return</v>
      </c>
      <c r="D2842" s="5" t="s">
        <v>6569</v>
      </c>
      <c r="E2842" s="4">
        <v>376546</v>
      </c>
      <c r="F2842">
        <v>1</v>
      </c>
    </row>
    <row r="2843" spans="1:6" ht="13.5" customHeight="1">
      <c r="A2843" s="4" t="s">
        <v>6570</v>
      </c>
      <c r="B2843" s="4" t="s">
        <v>6571</v>
      </c>
      <c r="C2843" s="4" t="str">
        <f ca="1">IFERROR(__xludf.DUMMYFUNCTION("GOOGLETRANSLATE(D:D,""auto"",""en"")"),"Supermarkets buy things should disinfect it")</f>
        <v>Supermarkets buy things should disinfect it</v>
      </c>
      <c r="D2843" s="5" t="s">
        <v>6572</v>
      </c>
      <c r="E2843" s="4">
        <v>325605</v>
      </c>
      <c r="F2843">
        <v>1</v>
      </c>
    </row>
    <row r="2844" spans="1:6" ht="13.5" hidden="1" customHeight="1">
      <c r="A2844" s="4" t="s">
        <v>6573</v>
      </c>
      <c r="B2844" s="4" t="s">
        <v>6574</v>
      </c>
      <c r="C2844" s="4" t="str">
        <f ca="1">IFERROR(__xludf.DUMMYFUNCTION("GOOGLETRANSLATE(D:D,""auto"",""en"")"),"East Taiwan Earthquake")</f>
        <v>East Taiwan Earthquake</v>
      </c>
      <c r="D2844" s="5" t="s">
        <v>6575</v>
      </c>
      <c r="E2844" s="4">
        <v>324445</v>
      </c>
    </row>
    <row r="2845" spans="1:6" ht="13.5" customHeight="1">
      <c r="A2845" s="4" t="s">
        <v>6576</v>
      </c>
      <c r="B2845" s="4" t="s">
        <v>6404</v>
      </c>
      <c r="C2845" s="4" t="str">
        <f ca="1">IFERROR(__xludf.DUMMYFUNCTION("GOOGLETRANSLATE(D:D,""auto"",""en"")"),"Asymptomatic")</f>
        <v>Asymptomatic</v>
      </c>
      <c r="D2845" s="5" t="s">
        <v>6577</v>
      </c>
      <c r="E2845" s="4">
        <v>313863</v>
      </c>
      <c r="F2845">
        <v>1</v>
      </c>
    </row>
    <row r="2846" spans="1:6" ht="13.5" customHeight="1">
      <c r="A2846" s="4" t="s">
        <v>6578</v>
      </c>
      <c r="B2846" s="4" t="s">
        <v>6579</v>
      </c>
      <c r="C2846" s="4" t="str">
        <f ca="1">IFERROR(__xludf.DUMMYFUNCTION("GOOGLETRANSLATE(D:D,""auto"",""en"")"),"Enhance the detection capabilities result in data confirmed cases increased sharply")</f>
        <v>Enhance the detection capabilities result in data confirmed cases increased sharply</v>
      </c>
      <c r="D2846" s="5" t="s">
        <v>6580</v>
      </c>
      <c r="E2846" s="4">
        <v>294897</v>
      </c>
      <c r="F2846">
        <v>1</v>
      </c>
    </row>
    <row r="2847" spans="1:6" ht="13.5" customHeight="1">
      <c r="A2847" s="4" t="s">
        <v>6581</v>
      </c>
      <c r="B2847" s="4" t="s">
        <v>6582</v>
      </c>
      <c r="C2847" s="4" t="str">
        <f ca="1">IFERROR(__xludf.DUMMYFUNCTION("GOOGLETRANSLATE(D:D,""auto"",""en"")"),"State Examination interview postponed")</f>
        <v>State Examination interview postponed</v>
      </c>
      <c r="D2847" s="5" t="s">
        <v>6583</v>
      </c>
      <c r="E2847" s="4">
        <v>258026</v>
      </c>
      <c r="F2847">
        <v>1</v>
      </c>
    </row>
    <row r="2848" spans="1:6" ht="13.5" hidden="1" customHeight="1">
      <c r="A2848" s="4" t="s">
        <v>6584</v>
      </c>
      <c r="B2848" s="4" t="s">
        <v>6585</v>
      </c>
      <c r="C2848" s="4" t="str">
        <f ca="1">IFERROR(__xludf.DUMMYFUNCTION("GOOGLETRANSLATE(D:D,""auto"",""en"")"),"Cui baby")</f>
        <v>Cui baby</v>
      </c>
      <c r="D2848" s="5" t="s">
        <v>6586</v>
      </c>
      <c r="E2848" s="4">
        <v>248003</v>
      </c>
    </row>
    <row r="2849" spans="1:6" ht="13.5" hidden="1" customHeight="1">
      <c r="A2849" s="4" t="s">
        <v>6587</v>
      </c>
      <c r="B2849" s="4" t="s">
        <v>6588</v>
      </c>
      <c r="C2849" s="4" t="str">
        <f ca="1">IFERROR(__xludf.DUMMYFUNCTION("GOOGLETRANSLATE(D:D,""auto"",""en"")"),"McGrady Kobe Bryant tears memories")</f>
        <v>McGrady Kobe Bryant tears memories</v>
      </c>
      <c r="D2849" s="5" t="s">
        <v>6589</v>
      </c>
      <c r="E2849" s="4">
        <v>244481</v>
      </c>
    </row>
    <row r="2850" spans="1:6" ht="13.5" customHeight="1">
      <c r="A2850" s="4" t="s">
        <v>6590</v>
      </c>
      <c r="B2850" s="4" t="s">
        <v>6591</v>
      </c>
      <c r="C2850" s="4" t="str">
        <f ca="1">IFERROR(__xludf.DUMMYFUNCTION("GOOGLETRANSLATE(D:D,""auto"",""en"")"),"Experts respond asymptomatic patients with contagious")</f>
        <v>Experts respond asymptomatic patients with contagious</v>
      </c>
      <c r="D2850" s="5" t="s">
        <v>6592</v>
      </c>
      <c r="E2850" s="4">
        <v>238849</v>
      </c>
      <c r="F2850">
        <v>1</v>
      </c>
    </row>
    <row r="2851" spans="1:6" ht="13.5" hidden="1" customHeight="1">
      <c r="A2851" s="4" t="s">
        <v>6593</v>
      </c>
      <c r="B2851" s="4" t="s">
        <v>6594</v>
      </c>
      <c r="C2851" s="4" t="str">
        <f ca="1">IFERROR(__xludf.DUMMYFUNCTION("GOOGLETRANSLATE(D:D,""auto"",""en"")"),"The United States issued stamps Year of the Rat")</f>
        <v>The United States issued stamps Year of the Rat</v>
      </c>
      <c r="D2851" s="5" t="s">
        <v>6595</v>
      </c>
      <c r="E2851" s="4">
        <v>236501</v>
      </c>
    </row>
    <row r="2852" spans="1:6" ht="13.5" customHeight="1">
      <c r="A2852" s="4" t="s">
        <v>6596</v>
      </c>
      <c r="B2852" s="4" t="s">
        <v>6597</v>
      </c>
      <c r="C2852" s="4" t="str">
        <f ca="1">IFERROR(__xludf.DUMMYFUNCTION("GOOGLETRANSLATE(D:D,""auto"",""en"")"),"Raytheon began to build mountain board room")</f>
        <v>Raytheon began to build mountain board room</v>
      </c>
      <c r="D2852" s="5" t="s">
        <v>6598</v>
      </c>
      <c r="E2852" s="4">
        <v>235169</v>
      </c>
      <c r="F2852">
        <v>1</v>
      </c>
    </row>
    <row r="2853" spans="1:6" ht="13.5" customHeight="1">
      <c r="A2853" s="4" t="s">
        <v>6599</v>
      </c>
      <c r="B2853" s="4" t="s">
        <v>6490</v>
      </c>
      <c r="C2853" s="4" t="str">
        <f ca="1">IFERROR(__xludf.DUMMYFUNCTION("GOOGLETRANSLATE(D:D,""auto"",""en"")"),"Zhong Nanshan latest interview")</f>
        <v>Zhong Nanshan latest interview</v>
      </c>
      <c r="D2853" s="5" t="s">
        <v>6600</v>
      </c>
      <c r="E2853" s="4">
        <v>223321</v>
      </c>
      <c r="F2853">
        <v>1</v>
      </c>
    </row>
    <row r="2854" spans="1:6" ht="13.5" customHeight="1">
      <c r="A2854" s="4" t="s">
        <v>6532</v>
      </c>
      <c r="B2854" s="4" t="s">
        <v>6541</v>
      </c>
      <c r="C2854" s="4" t="str">
        <f ca="1">IFERROR(__xludf.DUMMYFUNCTION("GOOGLETRANSLATE(D:D,""auto"",""en"")"),"Ministry of Finance set aside 4.4 billion yuan subsidy epidemic prevention and control")</f>
        <v>Ministry of Finance set aside 4.4 billion yuan subsidy epidemic prevention and control</v>
      </c>
      <c r="D2854" s="5" t="s">
        <v>6601</v>
      </c>
      <c r="E2854" s="4">
        <v>176405</v>
      </c>
      <c r="F2854">
        <v>1</v>
      </c>
    </row>
    <row r="2855" spans="1:6" ht="13.5" customHeight="1">
      <c r="A2855" s="4" t="s">
        <v>6602</v>
      </c>
      <c r="B2855" s="4" t="s">
        <v>6603</v>
      </c>
      <c r="C2855" s="4" t="str">
        <f ca="1">IFERROR(__xludf.DUMMYFUNCTION("GOOGLETRANSLATE(D:D,""auto"",""en"")"),"From Mainland to Macao endorsement pause")</f>
        <v>From Mainland to Macao endorsement pause</v>
      </c>
      <c r="D2855" s="5" t="s">
        <v>6604</v>
      </c>
      <c r="E2855" s="4">
        <v>146079</v>
      </c>
      <c r="F2855">
        <v>1</v>
      </c>
    </row>
    <row r="2856" spans="1:6" ht="13.5" hidden="1" customHeight="1">
      <c r="A2856" s="4" t="s">
        <v>1181</v>
      </c>
      <c r="B2856" s="4" t="s">
        <v>1182</v>
      </c>
      <c r="C2856" s="4" t="str">
        <f ca="1">IFERROR(__xludf.DUMMYFUNCTION("GOOGLETRANSLATE(D:D,""auto"",""en"")"),"our song")</f>
        <v>our song</v>
      </c>
      <c r="D2856" s="5" t="s">
        <v>1183</v>
      </c>
      <c r="E2856" s="4">
        <v>145485</v>
      </c>
    </row>
    <row r="2857" spans="1:6" ht="13.5" hidden="1" customHeight="1">
      <c r="C2857" s="4" t="str">
        <f ca="1">IFERROR(__xludf.DUMMYFUNCTION("GOOGLETRANSLATE(D:D,""auto"",""en"")"),"#VALUE!")</f>
        <v>#VALUE!</v>
      </c>
    </row>
    <row r="2858" spans="1:6" ht="13.5" customHeight="1">
      <c r="A2858" s="4" t="s">
        <v>6605</v>
      </c>
      <c r="B2858" s="4" t="s">
        <v>6606</v>
      </c>
      <c r="C2858" s="4" t="str">
        <f ca="1">IFERROR(__xludf.DUMMYFUNCTION("GOOGLETRANSLATE(D:D,""auto"",""en"")"),"The number of new diagnosed SARS pneumonia than")</f>
        <v>The number of new diagnosed SARS pneumonia than</v>
      </c>
      <c r="D2858" s="4" t="s">
        <v>6607</v>
      </c>
      <c r="E2858" s="4">
        <v>6056169</v>
      </c>
      <c r="F2858">
        <v>1</v>
      </c>
    </row>
    <row r="2859" spans="1:6" ht="13.5" customHeight="1">
      <c r="A2859" s="4" t="s">
        <v>6608</v>
      </c>
      <c r="B2859" s="4" t="s">
        <v>6609</v>
      </c>
      <c r="C2859" s="4" t="str">
        <f ca="1">IFERROR(__xludf.DUMMYFUNCTION("GOOGLETRANSLATE(D:D,""auto"",""en"")"),"A 3-year-old diagnosed patients appear Shaanxi")</f>
        <v>A 3-year-old diagnosed patients appear Shaanxi</v>
      </c>
      <c r="D2859" s="5" t="s">
        <v>6610</v>
      </c>
      <c r="E2859" s="4">
        <v>2542899</v>
      </c>
      <c r="F2859">
        <v>1</v>
      </c>
    </row>
    <row r="2860" spans="1:6" ht="13.5" customHeight="1">
      <c r="A2860" s="4" t="s">
        <v>6611</v>
      </c>
      <c r="B2860" s="4" t="s">
        <v>6612</v>
      </c>
      <c r="C2860" s="4" t="str">
        <f ca="1">IFERROR(__xludf.DUMMYFUNCTION("GOOGLETRANSLATE(D:D,""auto"",""en"")"),"Japan confirmed tour bus driver was carrying Dalian")</f>
        <v>Japan confirmed tour bus driver was carrying Dalian</v>
      </c>
      <c r="D2860" s="5" t="s">
        <v>6613</v>
      </c>
      <c r="E2860" s="4">
        <v>1802919</v>
      </c>
      <c r="F2860">
        <v>1</v>
      </c>
    </row>
    <row r="2861" spans="1:6" ht="13.5" customHeight="1">
      <c r="A2861" s="4" t="s">
        <v>5803</v>
      </c>
      <c r="B2861" s="4" t="s">
        <v>5804</v>
      </c>
      <c r="C2861" s="4" t="str">
        <f ca="1">IFERROR(__xludf.DUMMYFUNCTION("GOOGLETRANSLATE(D:D,""auto"",""en"")"),"The latest outbreak Map")</f>
        <v>The latest outbreak Map</v>
      </c>
      <c r="D2861" s="5" t="s">
        <v>5805</v>
      </c>
      <c r="E2861" s="4">
        <v>1634748</v>
      </c>
      <c r="F2861">
        <v>1</v>
      </c>
    </row>
    <row r="2862" spans="1:6" ht="13.5" customHeight="1">
      <c r="A2862" s="4" t="s">
        <v>6614</v>
      </c>
      <c r="B2862" s="4" t="s">
        <v>6615</v>
      </c>
      <c r="C2862" s="4" t="str">
        <f ca="1">IFERROR(__xludf.DUMMYFUNCTION("GOOGLETRANSLATE(D:D,""auto"",""en"")"),"Of the total 5974 cases diagnosed with pneumonia new")</f>
        <v>Of the total 5974 cases diagnosed with pneumonia new</v>
      </c>
      <c r="D2862" s="5" t="s">
        <v>6616</v>
      </c>
      <c r="E2862" s="4">
        <v>1343893</v>
      </c>
      <c r="F2862">
        <v>1</v>
      </c>
    </row>
    <row r="2863" spans="1:6" ht="13.5" customHeight="1">
      <c r="A2863" s="4" t="s">
        <v>6617</v>
      </c>
      <c r="B2863" s="4" t="s">
        <v>6618</v>
      </c>
      <c r="C2863" s="4" t="str">
        <f ca="1">IFERROR(__xludf.DUMMYFUNCTION("GOOGLETRANSLATE(D:D,""auto"",""en"")"),"A case had to take the subway from Beijing West Railway Station to Beijing South Railway Station")</f>
        <v>A case had to take the subway from Beijing West Railway Station to Beijing South Railway Station</v>
      </c>
      <c r="D2863" s="5" t="s">
        <v>6619</v>
      </c>
      <c r="E2863" s="4">
        <v>1306004</v>
      </c>
      <c r="F2863">
        <v>1</v>
      </c>
    </row>
    <row r="2864" spans="1:6" ht="13.5" customHeight="1">
      <c r="A2864" s="4" t="s">
        <v>6620</v>
      </c>
      <c r="B2864" s="4" t="s">
        <v>6621</v>
      </c>
      <c r="C2864" s="4" t="str">
        <f ca="1">IFERROR(__xludf.DUMMYFUNCTION("GOOGLETRANSLATE(D:D,""auto"",""en"")"),"Dean Jinyintan hospital suffering from Amyotrophic Lateral Sclerosis disease")</f>
        <v>Dean Jinyintan hospital suffering from Amyotrophic Lateral Sclerosis disease</v>
      </c>
      <c r="D2864" s="5" t="s">
        <v>6622</v>
      </c>
      <c r="E2864" s="4">
        <v>1245740</v>
      </c>
      <c r="F2864">
        <v>1</v>
      </c>
    </row>
    <row r="2865" spans="1:6" ht="13.5" customHeight="1">
      <c r="A2865" s="4" t="s">
        <v>6623</v>
      </c>
      <c r="B2865" s="4" t="s">
        <v>6624</v>
      </c>
      <c r="C2865" s="4" t="str">
        <f ca="1">IFERROR(__xludf.DUMMYFUNCTION("GOOGLETRANSLATE(D:D,""auto"",""en"")"),"Tibet 1 new suspected case")</f>
        <v>Tibet 1 new suspected case</v>
      </c>
      <c r="D2865" s="5" t="s">
        <v>6625</v>
      </c>
      <c r="E2865" s="4">
        <v>1054650</v>
      </c>
      <c r="F2865">
        <v>1</v>
      </c>
    </row>
    <row r="2866" spans="1:6" ht="13.5" hidden="1" customHeight="1">
      <c r="A2866" s="4" t="s">
        <v>6498</v>
      </c>
      <c r="B2866" s="4" t="s">
        <v>6499</v>
      </c>
      <c r="C2866" s="4" t="str">
        <f ca="1">IFERROR(__xludf.DUMMYFUNCTION("GOOGLETRANSLATE(D:D,""auto"",""en"")"),"Kobe Time magazine cover")</f>
        <v>Kobe Time magazine cover</v>
      </c>
      <c r="D2866" s="5" t="s">
        <v>6500</v>
      </c>
      <c r="E2866" s="4">
        <v>936038</v>
      </c>
    </row>
    <row r="2867" spans="1:6" ht="13.5" customHeight="1">
      <c r="A2867" s="4" t="s">
        <v>6626</v>
      </c>
      <c r="B2867" s="4" t="s">
        <v>6627</v>
      </c>
      <c r="C2867" s="4" t="str">
        <f ca="1">IFERROR(__xludf.DUMMYFUNCTION("GOOGLETRANSLATE(D:D,""auto"",""en"")"),"Chongqing's first confirmed cases were cured")</f>
        <v>Chongqing's first confirmed cases were cured</v>
      </c>
      <c r="D2867" s="5" t="s">
        <v>6628</v>
      </c>
      <c r="E2867" s="4">
        <v>892705</v>
      </c>
      <c r="F2867">
        <v>1</v>
      </c>
    </row>
    <row r="2868" spans="1:6" ht="13.5" customHeight="1">
      <c r="A2868" s="4" t="s">
        <v>6629</v>
      </c>
      <c r="B2868" s="4" t="s">
        <v>6630</v>
      </c>
      <c r="C2868" s="4" t="str">
        <f ca="1">IFERROR(__xludf.DUMMYFUNCTION("GOOGLETRANSLATE(D:D,""auto"",""en"")"),"White House temporarily suspended Sino-US flights")</f>
        <v>White House temporarily suspended Sino-US flights</v>
      </c>
      <c r="D2868" s="5" t="s">
        <v>6631</v>
      </c>
      <c r="E2868" s="4">
        <v>814239</v>
      </c>
      <c r="F2868">
        <v>1</v>
      </c>
    </row>
    <row r="2869" spans="1:6" ht="13.5" customHeight="1">
      <c r="A2869" s="4" t="s">
        <v>6632</v>
      </c>
      <c r="B2869" s="4" t="s">
        <v>6633</v>
      </c>
      <c r="C2869" s="4" t="str">
        <f ca="1">IFERROR(__xludf.DUMMYFUNCTION("GOOGLETRANSLATE(D:D,""auto"",""en"")"),"Zhejiang new 123 cases of new pneumonia")</f>
        <v>Zhejiang new 123 cases of new pneumonia</v>
      </c>
      <c r="D2869" s="5" t="s">
        <v>6634</v>
      </c>
      <c r="E2869" s="4">
        <v>801909</v>
      </c>
      <c r="F2869">
        <v>1</v>
      </c>
    </row>
    <row r="2870" spans="1:6" ht="13.5" customHeight="1">
      <c r="A2870" s="4" t="s">
        <v>6635</v>
      </c>
      <c r="B2870" s="4" t="s">
        <v>6606</v>
      </c>
      <c r="C2870" s="4" t="str">
        <f ca="1">IFERROR(__xludf.DUMMYFUNCTION("GOOGLETRANSLATE(D:D,""auto"",""en"")"),"Guangdong new new 53 cases of pneumonia")</f>
        <v>Guangdong new new 53 cases of pneumonia</v>
      </c>
      <c r="D2870" s="5" t="s">
        <v>6636</v>
      </c>
      <c r="E2870" s="4">
        <v>640064</v>
      </c>
      <c r="F2870">
        <v>1</v>
      </c>
    </row>
    <row r="2871" spans="1:6" ht="13.5" customHeight="1">
      <c r="A2871" s="4" t="s">
        <v>6637</v>
      </c>
      <c r="B2871" s="4" t="s">
        <v>6501</v>
      </c>
      <c r="C2871" s="4" t="str">
        <f ca="1">IFERROR(__xludf.DUMMYFUNCTION("GOOGLETRANSLATE(D:D,""auto"",""en"")"),"Huanggang version of the official opening of Xiaotangshan")</f>
        <v>Huanggang version of the official opening of Xiaotangshan</v>
      </c>
      <c r="D2871" s="5" t="s">
        <v>6638</v>
      </c>
      <c r="E2871" s="4">
        <v>639261</v>
      </c>
      <c r="F2871">
        <v>1</v>
      </c>
    </row>
    <row r="2872" spans="1:6" ht="13.5" customHeight="1">
      <c r="A2872" s="4" t="s">
        <v>6639</v>
      </c>
      <c r="B2872" s="4" t="s">
        <v>6640</v>
      </c>
      <c r="C2872" s="4" t="str">
        <f ca="1">IFERROR(__xludf.DUMMYFUNCTION("GOOGLETRANSLATE(D:D,""auto"",""en"")"),"Hubei new new 840 cases of pneumonia")</f>
        <v>Hubei new new 840 cases of pneumonia</v>
      </c>
      <c r="D2872" s="5" t="s">
        <v>6641</v>
      </c>
      <c r="E2872" s="4">
        <v>632298</v>
      </c>
      <c r="F2872">
        <v>1</v>
      </c>
    </row>
    <row r="2873" spans="1:6" ht="13.5" customHeight="1">
      <c r="A2873" s="4" t="s">
        <v>6642</v>
      </c>
      <c r="B2873" s="4" t="s">
        <v>6643</v>
      </c>
      <c r="C2873" s="4" t="str">
        <f ca="1">IFERROR(__xludf.DUMMYFUNCTION("GOOGLETRANSLATE(D:D,""auto"",""en"")"),"Wuhan mother died in an isolation ward")</f>
        <v>Wuhan mother died in an isolation ward</v>
      </c>
      <c r="D2873" s="5" t="s">
        <v>6644</v>
      </c>
      <c r="E2873" s="4">
        <v>621640</v>
      </c>
      <c r="F2873">
        <v>1</v>
      </c>
    </row>
    <row r="2874" spans="1:6" ht="13.5" hidden="1" customHeight="1">
      <c r="A2874" s="4" t="s">
        <v>6645</v>
      </c>
      <c r="B2874" s="4" t="s">
        <v>6615</v>
      </c>
      <c r="C2874" s="4" t="str">
        <f ca="1">IFERROR(__xludf.DUMMYFUNCTION("GOOGLETRANSLATE(D:D,""auto"",""en"")"),"Bryant remains")</f>
        <v>Bryant remains</v>
      </c>
      <c r="D2874" s="5" t="s">
        <v>6646</v>
      </c>
      <c r="E2874" s="4">
        <v>618081</v>
      </c>
    </row>
    <row r="2875" spans="1:6" ht="13.5" customHeight="1">
      <c r="A2875" s="4" t="s">
        <v>6647</v>
      </c>
      <c r="B2875" s="4" t="s">
        <v>6648</v>
      </c>
      <c r="C2875" s="4" t="str">
        <f ca="1">IFERROR(__xludf.DUMMYFUNCTION("GOOGLETRANSLATE(D:D,""auto"",""en"")"),"University of Hong Kong Vaccine")</f>
        <v>University of Hong Kong Vaccine</v>
      </c>
      <c r="D2875" s="5" t="s">
        <v>6649</v>
      </c>
      <c r="E2875" s="4">
        <v>614656</v>
      </c>
      <c r="F2875">
        <v>1</v>
      </c>
    </row>
    <row r="2876" spans="1:6" ht="13.5" hidden="1" customHeight="1">
      <c r="A2876" s="4" t="s">
        <v>6650</v>
      </c>
      <c r="B2876" s="4" t="s">
        <v>6651</v>
      </c>
      <c r="C2876" s="4" t="str">
        <f ca="1">IFERROR(__xludf.DUMMYFUNCTION("GOOGLETRANSLATE(D:D,""auto"",""en"")"),"Ze Xu Ming division")</f>
        <v>Ze Xu Ming division</v>
      </c>
      <c r="D2876" s="5" t="s">
        <v>6652</v>
      </c>
      <c r="E2876" s="4">
        <v>604430</v>
      </c>
    </row>
    <row r="2877" spans="1:6" ht="13.5" hidden="1" customHeight="1">
      <c r="A2877" s="4" t="s">
        <v>6518</v>
      </c>
      <c r="B2877" s="4" t="s">
        <v>6519</v>
      </c>
      <c r="C2877" s="4" t="str">
        <f ca="1">IFERROR(__xludf.DUMMYFUNCTION("GOOGLETRANSLATE(D:D,""auto"",""en"")"),"Bryant daughter")</f>
        <v>Bryant daughter</v>
      </c>
      <c r="D2877" s="5" t="s">
        <v>6520</v>
      </c>
      <c r="E2877" s="4">
        <v>598359</v>
      </c>
    </row>
    <row r="2878" spans="1:6" ht="13.5" customHeight="1">
      <c r="A2878" s="4" t="s">
        <v>6653</v>
      </c>
      <c r="B2878" s="4" t="s">
        <v>6573</v>
      </c>
      <c r="C2878" s="4" t="str">
        <f ca="1">IFERROR(__xludf.DUMMYFUNCTION("GOOGLETRANSLATE(D:D,""auto"",""en"")"),"I knew you would do this holiday")</f>
        <v>I knew you would do this holiday</v>
      </c>
      <c r="D2878" s="5" t="s">
        <v>6654</v>
      </c>
      <c r="E2878" s="4">
        <v>595579</v>
      </c>
      <c r="F2878">
        <v>1</v>
      </c>
    </row>
    <row r="2879" spans="1:6" ht="13.5" customHeight="1">
      <c r="A2879" s="4" t="s">
        <v>6655</v>
      </c>
      <c r="B2879" s="4" t="s">
        <v>6656</v>
      </c>
      <c r="C2879" s="4" t="str">
        <f ca="1">IFERROR(__xludf.DUMMYFUNCTION("GOOGLETRANSLATE(D:D,""auto"",""en"")"),"New Year new ways about rice")</f>
        <v>New Year new ways about rice</v>
      </c>
      <c r="D2879" s="5" t="s">
        <v>6657</v>
      </c>
      <c r="E2879" s="4">
        <v>590868</v>
      </c>
      <c r="F2879">
        <v>1</v>
      </c>
    </row>
    <row r="2880" spans="1:6" ht="13.5" hidden="1" customHeight="1">
      <c r="A2880" s="4" t="s">
        <v>6521</v>
      </c>
      <c r="B2880" s="4" t="s">
        <v>6522</v>
      </c>
      <c r="C2880" s="4" t="str">
        <f ca="1">IFERROR(__xludf.DUMMYFUNCTION("GOOGLETRANSLATE(D:D,""auto"",""en"")"),"Felt the joy of Elva")</f>
        <v>Felt the joy of Elva</v>
      </c>
      <c r="D2880" s="5" t="s">
        <v>6523</v>
      </c>
      <c r="E2880" s="4">
        <v>554506</v>
      </c>
    </row>
    <row r="2881" spans="1:6" ht="13.5" hidden="1" customHeight="1">
      <c r="A2881" s="4" t="s">
        <v>6658</v>
      </c>
      <c r="B2881" s="4" t="s">
        <v>6599</v>
      </c>
      <c r="C2881" s="4" t="str">
        <f ca="1">IFERROR(__xludf.DUMMYFUNCTION("GOOGLETRANSLATE(D:D,""auto"",""en"")"),"Eat most afraid to hear the word")</f>
        <v>Eat most afraid to hear the word</v>
      </c>
      <c r="D2881" s="5" t="s">
        <v>6659</v>
      </c>
      <c r="E2881" s="4">
        <v>518314</v>
      </c>
    </row>
    <row r="2882" spans="1:6" ht="13.5" hidden="1" customHeight="1">
      <c r="A2882" s="4" t="s">
        <v>6660</v>
      </c>
      <c r="B2882" s="4" t="s">
        <v>6661</v>
      </c>
      <c r="C2882" s="4" t="str">
        <f ca="1">IFERROR(__xludf.DUMMYFUNCTION("GOOGLETRANSLATE(D:D,""auto"",""en"")"),"Cuba 7.7 earthquake")</f>
        <v>Cuba 7.7 earthquake</v>
      </c>
      <c r="D2882" s="5" t="s">
        <v>6662</v>
      </c>
      <c r="E2882" s="4">
        <v>503408</v>
      </c>
    </row>
    <row r="2883" spans="1:6" ht="13.5" customHeight="1">
      <c r="A2883" s="4" t="s">
        <v>6663</v>
      </c>
      <c r="B2883" s="4" t="s">
        <v>6630</v>
      </c>
      <c r="C2883" s="4" t="str">
        <f ca="1">IFERROR(__xludf.DUMMYFUNCTION("GOOGLETRANSLATE(D:D,""auto"",""en"")"),"Navy medical team in ICU's unique imprint")</f>
        <v>Navy medical team in ICU's unique imprint</v>
      </c>
      <c r="D2883" s="5" t="s">
        <v>6664</v>
      </c>
      <c r="E2883" s="4">
        <v>501628</v>
      </c>
      <c r="F2883">
        <v>1</v>
      </c>
    </row>
    <row r="2884" spans="1:6" ht="13.5" customHeight="1">
      <c r="A2884" s="4" t="s">
        <v>6665</v>
      </c>
      <c r="B2884" s="4" t="s">
        <v>6480</v>
      </c>
      <c r="C2884" s="4" t="str">
        <f ca="1">IFERROR(__xludf.DUMMYFUNCTION("GOOGLETRANSLATE(D:D,""auto"",""en"")"),"Record rush to the rescue teams captain Vlog Wuhan")</f>
        <v>Record rush to the rescue teams captain Vlog Wuhan</v>
      </c>
      <c r="D2884" s="5" t="s">
        <v>6666</v>
      </c>
      <c r="E2884" s="4">
        <v>486963</v>
      </c>
      <c r="F2884">
        <v>1</v>
      </c>
    </row>
    <row r="2885" spans="1:6" ht="13.5" hidden="1" customHeight="1">
      <c r="A2885" s="4" t="s">
        <v>6635</v>
      </c>
      <c r="B2885" s="4" t="s">
        <v>6667</v>
      </c>
      <c r="C2885" s="4" t="str">
        <f ca="1">IFERROR(__xludf.DUMMYFUNCTION("GOOGLETRANSLATE(D:D,""auto"",""en"")"),"Fifth welcome the God of Wealth")</f>
        <v>Fifth welcome the God of Wealth</v>
      </c>
      <c r="D2885" s="5" t="s">
        <v>6668</v>
      </c>
      <c r="E2885" s="4">
        <v>381550</v>
      </c>
    </row>
    <row r="2886" spans="1:6" ht="13.5" customHeight="1">
      <c r="A2886" s="4" t="s">
        <v>6483</v>
      </c>
      <c r="B2886" s="4" t="s">
        <v>6484</v>
      </c>
      <c r="C2886" s="4" t="str">
        <f ca="1">IFERROR(__xludf.DUMMYFUNCTION("GOOGLETRANSLATE(D:D,""auto"",""en"")"),"The new outbreak of pneumonia may improve before the Lantern Festival")</f>
        <v>The new outbreak of pneumonia may improve before the Lantern Festival</v>
      </c>
      <c r="D2886" s="5" t="s">
        <v>6485</v>
      </c>
      <c r="E2886" s="4">
        <v>376308</v>
      </c>
      <c r="F2886">
        <v>1</v>
      </c>
    </row>
    <row r="2887" spans="1:6" ht="13.5" customHeight="1">
      <c r="A2887" s="4" t="s">
        <v>6611</v>
      </c>
      <c r="B2887" s="4" t="s">
        <v>6669</v>
      </c>
      <c r="C2887" s="4" t="str">
        <f ca="1">IFERROR(__xludf.DUMMYFUNCTION("GOOGLETRANSLATE(D:D,""auto"",""en"")"),"How cool peace of mind to stay home")</f>
        <v>How cool peace of mind to stay home</v>
      </c>
      <c r="D2887" s="5" t="s">
        <v>6670</v>
      </c>
      <c r="E2887" s="4">
        <v>365707</v>
      </c>
      <c r="F2887">
        <v>1</v>
      </c>
    </row>
    <row r="2888" spans="1:6" ht="13.5" customHeight="1">
      <c r="A2888" s="4" t="s">
        <v>6671</v>
      </c>
      <c r="B2888" s="4" t="s">
        <v>6672</v>
      </c>
      <c r="C2888" s="4" t="str">
        <f ca="1">IFERROR(__xludf.DUMMYFUNCTION("GOOGLETRANSLATE(D:D,""auto"",""en"")"),"World Health Organization will send a team of experts to visit China")</f>
        <v>World Health Organization will send a team of experts to visit China</v>
      </c>
      <c r="D2888" s="5" t="s">
        <v>6673</v>
      </c>
      <c r="E2888" s="4">
        <v>341812</v>
      </c>
      <c r="F2888">
        <v>1</v>
      </c>
    </row>
    <row r="2889" spans="1:6" ht="13.5" customHeight="1">
      <c r="A2889" s="4" t="s">
        <v>6674</v>
      </c>
      <c r="B2889" s="4" t="s">
        <v>6675</v>
      </c>
      <c r="C2889" s="4" t="str">
        <f ca="1">IFERROR(__xludf.DUMMYFUNCTION("GOOGLETRANSLATE(D:D,""auto"",""en"")"),"Jiangsu new new 29 cases of pneumonia")</f>
        <v>Jiangsu new new 29 cases of pneumonia</v>
      </c>
      <c r="D2889" s="5" t="s">
        <v>6676</v>
      </c>
      <c r="E2889" s="4">
        <v>330171</v>
      </c>
      <c r="F2889">
        <v>1</v>
      </c>
    </row>
    <row r="2890" spans="1:6" ht="13.5" customHeight="1">
      <c r="A2890" s="4" t="s">
        <v>5094</v>
      </c>
      <c r="B2890" s="4" t="s">
        <v>5095</v>
      </c>
      <c r="C2890" s="4" t="str">
        <f ca="1">IFERROR(__xludf.DUMMYFUNCTION("GOOGLETRANSLATE(D:D,""auto"",""en"")"),"China confirmed new cases of pneumonia")</f>
        <v>China confirmed new cases of pneumonia</v>
      </c>
      <c r="D2890" s="5" t="s">
        <v>5096</v>
      </c>
      <c r="E2890" s="4">
        <v>322555</v>
      </c>
      <c r="F2890">
        <v>1</v>
      </c>
    </row>
    <row r="2891" spans="1:6" ht="13.5" customHeight="1">
      <c r="A2891" s="4" t="s">
        <v>6677</v>
      </c>
      <c r="B2891" s="4" t="s">
        <v>6678</v>
      </c>
      <c r="C2891" s="4" t="str">
        <f ca="1">IFERROR(__xludf.DUMMYFUNCTION("GOOGLETRANSLATE(D:D,""auto"",""en"")"),"Shandong new new 26 cases of pneumonia")</f>
        <v>Shandong new new 26 cases of pneumonia</v>
      </c>
      <c r="D2891" s="5" t="s">
        <v>6679</v>
      </c>
      <c r="E2891" s="4">
        <v>303969</v>
      </c>
      <c r="F2891">
        <v>1</v>
      </c>
    </row>
    <row r="2892" spans="1:6" ht="13.5" customHeight="1">
      <c r="A2892" s="4" t="s">
        <v>6680</v>
      </c>
      <c r="B2892" s="4" t="s">
        <v>6681</v>
      </c>
      <c r="C2892" s="4" t="str">
        <f ca="1">IFERROR(__xludf.DUMMYFUNCTION("GOOGLETRANSLATE(D:D,""auto"",""en"")"),"Henan new new 38 cases of pneumonia")</f>
        <v>Henan new new 38 cases of pneumonia</v>
      </c>
      <c r="D2892" s="5" t="s">
        <v>6682</v>
      </c>
      <c r="E2892" s="4">
        <v>280478</v>
      </c>
      <c r="F2892">
        <v>1</v>
      </c>
    </row>
    <row r="2893" spans="1:6" ht="13.5" customHeight="1">
      <c r="A2893" s="4" t="s">
        <v>6677</v>
      </c>
      <c r="B2893" s="4" t="s">
        <v>6683</v>
      </c>
      <c r="C2893" s="4" t="str">
        <f ca="1">IFERROR(__xludf.DUMMYFUNCTION("GOOGLETRANSLATE(D:D,""auto"",""en"")"),"Anhui new new 46 cases of pneumonia")</f>
        <v>Anhui new new 46 cases of pneumonia</v>
      </c>
      <c r="D2893" s="5" t="s">
        <v>6684</v>
      </c>
      <c r="E2893" s="4">
        <v>265813</v>
      </c>
      <c r="F2893">
        <v>1</v>
      </c>
    </row>
    <row r="2894" spans="1:6" ht="13.5" customHeight="1">
      <c r="A2894" s="4" t="s">
        <v>6685</v>
      </c>
      <c r="B2894" s="4" t="s">
        <v>6686</v>
      </c>
      <c r="C2894" s="4" t="str">
        <f ca="1">IFERROR(__xludf.DUMMYFUNCTION("GOOGLETRANSLATE(D:D,""auto"",""en"")"),"Guizhou no new cases")</f>
        <v>Guizhou no new cases</v>
      </c>
      <c r="D2894" s="5" t="s">
        <v>6687</v>
      </c>
      <c r="E2894" s="4">
        <v>256456</v>
      </c>
      <c r="F2894">
        <v>1</v>
      </c>
    </row>
    <row r="2895" spans="1:6" ht="13.5" customHeight="1">
      <c r="A2895" s="4" t="s">
        <v>6688</v>
      </c>
      <c r="B2895" s="4" t="s">
        <v>6689</v>
      </c>
      <c r="C2895" s="4" t="str">
        <f ca="1">IFERROR(__xludf.DUMMYFUNCTION("GOOGLETRANSLATE(D:D,""auto"",""en"")"),"Xi'an subway passengers to implement real-name registration")</f>
        <v>Xi'an subway passengers to implement real-name registration</v>
      </c>
      <c r="D2895" s="5" t="s">
        <v>6690</v>
      </c>
      <c r="E2895" s="4">
        <v>253326</v>
      </c>
      <c r="F2895">
        <v>1</v>
      </c>
    </row>
    <row r="2896" spans="1:6" ht="13.5" hidden="1" customHeight="1">
      <c r="A2896" s="4" t="s">
        <v>6691</v>
      </c>
      <c r="B2896" s="4" t="s">
        <v>6692</v>
      </c>
      <c r="C2896" s="4" t="str">
        <f ca="1">IFERROR(__xludf.DUMMYFUNCTION("GOOGLETRANSLATE(D:D,""auto"",""en"")"),"Qingdao takeaway")</f>
        <v>Qingdao takeaway</v>
      </c>
      <c r="D2896" s="5" t="s">
        <v>6693</v>
      </c>
      <c r="E2896" s="4">
        <v>252779</v>
      </c>
    </row>
    <row r="2897" spans="1:6" ht="13.5" customHeight="1">
      <c r="A2897" s="4" t="s">
        <v>6504</v>
      </c>
      <c r="B2897" s="4" t="s">
        <v>6505</v>
      </c>
      <c r="C2897" s="4" t="str">
        <f ca="1">IFERROR(__xludf.DUMMYFUNCTION("GOOGLETRANSLATE(D:D,""auto"",""en"")"),"How long can a vaccine")</f>
        <v>How long can a vaccine</v>
      </c>
      <c r="D2897" s="5" t="s">
        <v>6506</v>
      </c>
      <c r="E2897" s="4">
        <v>251608</v>
      </c>
      <c r="F2897">
        <v>1</v>
      </c>
    </row>
    <row r="2898" spans="1:6" ht="13.5" customHeight="1">
      <c r="A2898" s="4" t="s">
        <v>6694</v>
      </c>
      <c r="B2898" s="4" t="s">
        <v>6689</v>
      </c>
      <c r="C2898" s="4" t="str">
        <f ca="1">IFERROR(__xludf.DUMMYFUNCTION("GOOGLETRANSLATE(D:D,""auto"",""en"")"),"United Airlines announced the suspension of 24 flights to and from China and the US")</f>
        <v>United Airlines announced the suspension of 24 flights to and from China and the US</v>
      </c>
      <c r="D2898" s="5" t="s">
        <v>6695</v>
      </c>
      <c r="E2898" s="4">
        <v>249156</v>
      </c>
      <c r="F2898">
        <v>1</v>
      </c>
    </row>
    <row r="2899" spans="1:6" ht="13.5" customHeight="1">
      <c r="A2899" s="4" t="s">
        <v>6696</v>
      </c>
      <c r="B2899" s="4" t="s">
        <v>6697</v>
      </c>
      <c r="C2899" s="4" t="str">
        <f ca="1">IFERROR(__xludf.DUMMYFUNCTION("GOOGLETRANSLATE(D:D,""auto"",""en"")"),"Add new 18 cases of pneumonia in Sichuan")</f>
        <v>Add new 18 cases of pneumonia in Sichuan</v>
      </c>
      <c r="D2899" s="5" t="s">
        <v>6698</v>
      </c>
      <c r="E2899" s="4">
        <v>242306</v>
      </c>
      <c r="F2899">
        <v>1</v>
      </c>
    </row>
    <row r="2900" spans="1:6" ht="13.5" customHeight="1">
      <c r="A2900" s="4" t="s">
        <v>6537</v>
      </c>
      <c r="B2900" s="4" t="s">
        <v>6699</v>
      </c>
      <c r="C2900" s="4" t="str">
        <f ca="1">IFERROR(__xludf.DUMMYFUNCTION("GOOGLETRANSLATE(D:D,""auto"",""en"")"),"Jilin new one cases of new pneumonia")</f>
        <v>Jilin new one cases of new pneumonia</v>
      </c>
      <c r="D2900" s="5" t="s">
        <v>6700</v>
      </c>
      <c r="E2900" s="4">
        <v>220995</v>
      </c>
      <c r="F2900">
        <v>1</v>
      </c>
    </row>
    <row r="2901" spans="1:6" ht="13.5" hidden="1" customHeight="1">
      <c r="A2901" s="4" t="s">
        <v>6486</v>
      </c>
      <c r="B2901" s="4" t="s">
        <v>6487</v>
      </c>
      <c r="C2901" s="4" t="str">
        <f ca="1">IFERROR(__xludf.DUMMYFUNCTION("GOOGLETRANSLATE(D:D,""auto"",""en"")"),"JJ Stay With You")</f>
        <v>JJ Stay With You</v>
      </c>
      <c r="D2901" s="5" t="s">
        <v>6488</v>
      </c>
      <c r="E2901" s="4">
        <v>219335</v>
      </c>
    </row>
    <row r="2902" spans="1:6" ht="13.5" customHeight="1">
      <c r="A2902" s="4" t="s">
        <v>6701</v>
      </c>
      <c r="B2902" s="4" t="s">
        <v>6702</v>
      </c>
      <c r="C2902" s="4" t="str">
        <f ca="1">IFERROR(__xludf.DUMMYFUNCTION("GOOGLETRANSLATE(D:D,""auto"",""en"")"),"Inner Mongolia new three cases of new pneumonia")</f>
        <v>Inner Mongolia new three cases of new pneumonia</v>
      </c>
      <c r="D2902" s="5" t="s">
        <v>6703</v>
      </c>
      <c r="E2902" s="4">
        <v>214345</v>
      </c>
      <c r="F2902">
        <v>1</v>
      </c>
    </row>
    <row r="2903" spans="1:6" ht="13.5" customHeight="1">
      <c r="A2903" s="4" t="s">
        <v>6704</v>
      </c>
      <c r="B2903" s="4" t="s">
        <v>6705</v>
      </c>
      <c r="C2903" s="4" t="str">
        <f ca="1">IFERROR(__xludf.DUMMYFUNCTION("GOOGLETRANSLATE(D:D,""auto"",""en"")"),"Brazil 1 case of suspected cases")</f>
        <v>Brazil 1 case of suspected cases</v>
      </c>
      <c r="D2903" s="5" t="s">
        <v>6706</v>
      </c>
      <c r="E2903" s="4">
        <v>212002</v>
      </c>
      <c r="F2903">
        <v>1</v>
      </c>
    </row>
    <row r="2904" spans="1:6" ht="13.5" hidden="1" customHeight="1">
      <c r="A2904" s="4" t="s">
        <v>6707</v>
      </c>
      <c r="B2904" s="4" t="s">
        <v>6643</v>
      </c>
      <c r="C2904" s="4" t="str">
        <f ca="1">IFERROR(__xludf.DUMMYFUNCTION("GOOGLETRANSLATE(D:D,""auto"",""en"")"),"Large dominate new trailer")</f>
        <v>Large dominate new trailer</v>
      </c>
      <c r="D2904" s="5" t="s">
        <v>6708</v>
      </c>
      <c r="E2904" s="4">
        <v>208429</v>
      </c>
    </row>
    <row r="2905" spans="1:6" ht="13.5" hidden="1" customHeight="1">
      <c r="A2905" s="4" t="s">
        <v>6593</v>
      </c>
      <c r="B2905" s="4" t="s">
        <v>6594</v>
      </c>
      <c r="C2905" s="4" t="str">
        <f ca="1">IFERROR(__xludf.DUMMYFUNCTION("GOOGLETRANSLATE(D:D,""auto"",""en"")"),"The United States issued stamps Year of the Rat")</f>
        <v>The United States issued stamps Year of the Rat</v>
      </c>
      <c r="D2905" s="5" t="s">
        <v>6595</v>
      </c>
      <c r="E2905" s="4">
        <v>186679</v>
      </c>
    </row>
    <row r="2906" spans="1:6" ht="13.5" hidden="1" customHeight="1">
      <c r="A2906" s="4" t="s">
        <v>6537</v>
      </c>
      <c r="B2906" s="4" t="s">
        <v>6538</v>
      </c>
      <c r="C2906" s="4" t="str">
        <f ca="1">IFERROR(__xludf.DUMMYFUNCTION("GOOGLETRANSLATE(D:D,""auto"",""en"")"),"Thailand and Asia Airlines")</f>
        <v>Thailand and Asia Airlines</v>
      </c>
      <c r="D2906" s="5" t="s">
        <v>6539</v>
      </c>
      <c r="E2906" s="4">
        <v>186568</v>
      </c>
    </row>
    <row r="2907" spans="1:6" ht="13.5" customHeight="1">
      <c r="A2907" s="4" t="s">
        <v>6704</v>
      </c>
      <c r="B2907" s="4" t="s">
        <v>6709</v>
      </c>
      <c r="C2907" s="4" t="str">
        <f ca="1">IFERROR(__xludf.DUMMYFUNCTION("GOOGLETRANSLATE(D:D,""auto"",""en"")"),"Heilongjiang new seven cases of new pneumonia")</f>
        <v>Heilongjiang new seven cases of new pneumonia</v>
      </c>
      <c r="D2907" s="5" t="s">
        <v>6710</v>
      </c>
      <c r="E2907" s="4">
        <v>186493</v>
      </c>
      <c r="F2907">
        <v>1</v>
      </c>
    </row>
    <row r="2908" spans="1:6" ht="13.5" hidden="1" customHeight="1">
      <c r="C2908" s="4" t="str">
        <f ca="1">IFERROR(__xludf.DUMMYFUNCTION("GOOGLETRANSLATE(D:D,""auto"",""en"")"),"#VALUE!")</f>
        <v>#VALUE!</v>
      </c>
    </row>
    <row r="2909" spans="1:6" ht="13.5" customHeight="1">
      <c r="A2909" s="4" t="s">
        <v>6711</v>
      </c>
      <c r="B2909" s="4" t="s">
        <v>6712</v>
      </c>
      <c r="C2909" s="4" t="str">
        <f ca="1">IFERROR(__xludf.DUMMYFUNCTION("GOOGLETRANSLATE(D:D,""auto"",""en"")"),"Patients with secondary infections will heal you")</f>
        <v>Patients with secondary infections will heal you</v>
      </c>
      <c r="D2909" s="4" t="s">
        <v>6713</v>
      </c>
      <c r="E2909" s="4">
        <v>3190977</v>
      </c>
      <c r="F2909">
        <v>1</v>
      </c>
    </row>
    <row r="2910" spans="1:6" ht="13.5" customHeight="1">
      <c r="A2910" s="4" t="s">
        <v>6714</v>
      </c>
      <c r="B2910" s="4" t="s">
        <v>6715</v>
      </c>
      <c r="C2910" s="4" t="str">
        <f ca="1">IFERROR(__xludf.DUMMYFUNCTION("GOOGLETRANSLATE(D:D,""auto"",""en"")"),"Li Lanjuan whether to quarantine officers responded return")</f>
        <v>Li Lanjuan whether to quarantine officers responded return</v>
      </c>
      <c r="D2910" s="5" t="s">
        <v>6716</v>
      </c>
      <c r="E2910" s="4">
        <v>3121338</v>
      </c>
      <c r="F2910">
        <v>1</v>
      </c>
    </row>
    <row r="2911" spans="1:6" ht="13.5" customHeight="1">
      <c r="A2911" s="4" t="s">
        <v>6717</v>
      </c>
      <c r="B2911" s="4" t="s">
        <v>6718</v>
      </c>
      <c r="C2911" s="4" t="str">
        <f ca="1">IFERROR(__xludf.DUMMYFUNCTION("GOOGLETRANSLATE(D:D,""auto"",""en"")"),"The epidemic is still in the diffusion phase")</f>
        <v>The epidemic is still in the diffusion phase</v>
      </c>
      <c r="D2911" s="5" t="s">
        <v>6719</v>
      </c>
      <c r="E2911" s="4">
        <v>2588465</v>
      </c>
      <c r="F2911">
        <v>1</v>
      </c>
    </row>
    <row r="2912" spans="1:6" ht="13.5" hidden="1" customHeight="1">
      <c r="A2912" s="4" t="s">
        <v>6720</v>
      </c>
      <c r="B2912" s="4" t="s">
        <v>6721</v>
      </c>
      <c r="C2912" s="4" t="str">
        <f ca="1">IFERROR(__xludf.DUMMYFUNCTION("GOOGLETRANSLATE(D:D,""auto"",""en"")"),"CCTV occasionally have to hide it")</f>
        <v>CCTV occasionally have to hide it</v>
      </c>
      <c r="D2912" s="5" t="s">
        <v>6722</v>
      </c>
      <c r="E2912" s="4">
        <v>2335007</v>
      </c>
    </row>
    <row r="2913" spans="1:6" ht="13.5" customHeight="1">
      <c r="A2913" s="4" t="s">
        <v>6723</v>
      </c>
      <c r="B2913" s="4" t="s">
        <v>6724</v>
      </c>
      <c r="C2913" s="4" t="str">
        <f ca="1">IFERROR(__xludf.DUMMYFUNCTION("GOOGLETRANSLATE(D:D,""auto"",""en"")"),"Hubei long to respond to criticism of friends")</f>
        <v>Hubei long to respond to criticism of friends</v>
      </c>
      <c r="D2913" s="5" t="s">
        <v>6725</v>
      </c>
      <c r="E2913" s="4">
        <v>2019402</v>
      </c>
      <c r="F2913">
        <v>1</v>
      </c>
    </row>
    <row r="2914" spans="1:6" ht="13.5" customHeight="1">
      <c r="A2914" s="4" t="s">
        <v>6726</v>
      </c>
      <c r="B2914" s="4" t="s">
        <v>6727</v>
      </c>
      <c r="C2914" s="4" t="str">
        <f ca="1">IFERROR(__xludf.DUMMYFUNCTION("GOOGLETRANSLATE(D:D,""auto"",""en"")"),"Epidemic inflection point will appear")</f>
        <v>Epidemic inflection point will appear</v>
      </c>
      <c r="D2914" s="5" t="s">
        <v>6728</v>
      </c>
      <c r="E2914" s="4">
        <v>1916031</v>
      </c>
      <c r="F2914">
        <v>1</v>
      </c>
    </row>
    <row r="2915" spans="1:6" ht="13.5" customHeight="1">
      <c r="A2915" s="4" t="s">
        <v>6729</v>
      </c>
      <c r="B2915" s="4" t="s">
        <v>6730</v>
      </c>
      <c r="C2915" s="4" t="str">
        <f ca="1">IFERROR(__xludf.DUMMYFUNCTION("GOOGLETRANSLATE(D:D,""auto"",""en"")"),"Zhong Nanshan remote consultation involved in critically ill patients")</f>
        <v>Zhong Nanshan remote consultation involved in critically ill patients</v>
      </c>
      <c r="D2915" s="5" t="s">
        <v>6731</v>
      </c>
      <c r="E2915" s="4">
        <v>1412682</v>
      </c>
      <c r="F2915">
        <v>1</v>
      </c>
    </row>
    <row r="2916" spans="1:6" ht="13.5" customHeight="1">
      <c r="A2916" s="4" t="s">
        <v>6732</v>
      </c>
      <c r="B2916" s="4" t="s">
        <v>6733</v>
      </c>
      <c r="C2916" s="4" t="str">
        <f ca="1">IFERROR(__xludf.DUMMYFUNCTION("GOOGLETRANSLATE(D:D,""auto"",""en"")"),"Couples diagnosed before traveling by car passing through five provinces")</f>
        <v>Couples diagnosed before traveling by car passing through five provinces</v>
      </c>
      <c r="D2916" s="5" t="s">
        <v>6734</v>
      </c>
      <c r="E2916" s="4">
        <v>1378859</v>
      </c>
      <c r="F2916">
        <v>1</v>
      </c>
    </row>
    <row r="2917" spans="1:6" ht="13.5" hidden="1" customHeight="1">
      <c r="A2917" s="4" t="s">
        <v>6735</v>
      </c>
      <c r="B2917" s="4" t="s">
        <v>6736</v>
      </c>
      <c r="C2917" s="4" t="str">
        <f ca="1">IFERROR(__xludf.DUMMYFUNCTION("GOOGLETRANSLATE(D:D,""auto"",""en"")"),"Li Jiusong death")</f>
        <v>Li Jiusong death</v>
      </c>
      <c r="D2917" s="5" t="s">
        <v>6737</v>
      </c>
      <c r="E2917" s="4">
        <v>1371427</v>
      </c>
    </row>
    <row r="2918" spans="1:6" ht="13.5" customHeight="1">
      <c r="A2918" s="4" t="s">
        <v>6738</v>
      </c>
      <c r="B2918" s="4" t="s">
        <v>6739</v>
      </c>
      <c r="C2918" s="4" t="str">
        <f ca="1">IFERROR(__xludf.DUMMYFUNCTION("GOOGLETRANSLATE(D:D,""auto"",""en"")"),"Start a response Tibet")</f>
        <v>Start a response Tibet</v>
      </c>
      <c r="D2918" s="5" t="s">
        <v>6740</v>
      </c>
      <c r="E2918" s="4">
        <v>1367517</v>
      </c>
      <c r="F2918">
        <v>1</v>
      </c>
    </row>
    <row r="2919" spans="1:6" ht="13.5" customHeight="1">
      <c r="A2919" s="4" t="s">
        <v>6741</v>
      </c>
      <c r="B2919" s="4" t="s">
        <v>6742</v>
      </c>
      <c r="C2919" s="4" t="str">
        <f ca="1">IFERROR(__xludf.DUMMYFUNCTION("GOOGLETRANSLATE(D:D,""auto"",""en"")"),"Mrs. Dean heal hospital Jinyintan")</f>
        <v>Mrs. Dean heal hospital Jinyintan</v>
      </c>
      <c r="D2919" s="5" t="s">
        <v>6743</v>
      </c>
      <c r="E2919" s="4">
        <v>1363976</v>
      </c>
      <c r="F2919">
        <v>1</v>
      </c>
    </row>
    <row r="2920" spans="1:6" ht="13.5" customHeight="1">
      <c r="A2920" s="4" t="s">
        <v>6744</v>
      </c>
      <c r="B2920" s="4" t="s">
        <v>6724</v>
      </c>
      <c r="C2920" s="4" t="str">
        <f ca="1">IFERROR(__xludf.DUMMYFUNCTION("GOOGLETRANSLATE(D:D,""auto"",""en"")"),"Hubei long bow to health care workers")</f>
        <v>Hubei long bow to health care workers</v>
      </c>
      <c r="D2920" s="5" t="s">
        <v>6745</v>
      </c>
      <c r="E2920" s="4">
        <v>1359444</v>
      </c>
      <c r="F2920">
        <v>1</v>
      </c>
    </row>
    <row r="2921" spans="1:6" ht="13.5" customHeight="1">
      <c r="A2921" s="4" t="s">
        <v>6746</v>
      </c>
      <c r="B2921" s="4" t="s">
        <v>6747</v>
      </c>
      <c r="C2921" s="4" t="str">
        <f ca="1">IFERROR(__xludf.DUMMYFUNCTION("GOOGLETRANSLATE(D:D,""auto"",""en"")"),"Wuhan Institute of Virology sieve out the good inhibit viral drugs")</f>
        <v>Wuhan Institute of Virology sieve out the good inhibit viral drugs</v>
      </c>
      <c r="D2921" s="5" t="s">
        <v>6748</v>
      </c>
      <c r="E2921" s="4">
        <v>1354059</v>
      </c>
      <c r="F2921">
        <v>1</v>
      </c>
    </row>
    <row r="2922" spans="1:6" ht="13.5" customHeight="1">
      <c r="A2922" s="4" t="s">
        <v>6749</v>
      </c>
      <c r="B2922" s="4" t="s">
        <v>6750</v>
      </c>
      <c r="C2922" s="4" t="str">
        <f ca="1">IFERROR(__xludf.DUMMYFUNCTION("GOOGLETRANSLATE(D:D,""auto"",""en"")"),"Hubei enterprises return to work no earlier than February 13")</f>
        <v>Hubei enterprises return to work no earlier than February 13</v>
      </c>
      <c r="D2922" s="5" t="s">
        <v>6751</v>
      </c>
      <c r="E2922" s="4">
        <v>1352943</v>
      </c>
      <c r="F2922">
        <v>1</v>
      </c>
    </row>
    <row r="2923" spans="1:6" ht="13.5" customHeight="1">
      <c r="A2923" s="4" t="s">
        <v>6752</v>
      </c>
      <c r="B2923" s="4" t="s">
        <v>6753</v>
      </c>
      <c r="C2923" s="4" t="str">
        <f ca="1">IFERROR(__xludf.DUMMYFUNCTION("GOOGLETRANSLATE(D:D,""auto"",""en"")"),"High incidence of epidemic allow appropriate personnel deferred return")</f>
        <v>High incidence of epidemic allow appropriate personnel deferred return</v>
      </c>
      <c r="D2923" s="5" t="s">
        <v>6754</v>
      </c>
      <c r="E2923" s="4">
        <v>1345733</v>
      </c>
      <c r="F2923">
        <v>1</v>
      </c>
    </row>
    <row r="2924" spans="1:6" ht="13.5" hidden="1" customHeight="1">
      <c r="A2924" s="4" t="s">
        <v>6755</v>
      </c>
      <c r="B2924" s="4" t="s">
        <v>6730</v>
      </c>
      <c r="C2924" s="4" t="str">
        <f ca="1">IFERROR(__xludf.DUMMYFUNCTION("GOOGLETRANSLATE(D:D,""auto"",""en"")"),"SF")</f>
        <v>SF</v>
      </c>
      <c r="D2924" s="5" t="s">
        <v>6756</v>
      </c>
      <c r="E2924" s="4">
        <v>1341500</v>
      </c>
    </row>
    <row r="2925" spans="1:6" ht="13.5" customHeight="1">
      <c r="A2925" s="4" t="s">
        <v>6757</v>
      </c>
      <c r="B2925" s="4" t="s">
        <v>6715</v>
      </c>
      <c r="C2925" s="4" t="str">
        <f ca="1">IFERROR(__xludf.DUMMYFUNCTION("GOOGLETRANSLATE(D:D,""auto"",""en"")"),"Chinese women's football is isolated in Australia 14 days")</f>
        <v>Chinese women's football is isolated in Australia 14 days</v>
      </c>
      <c r="D2925" s="5" t="s">
        <v>6758</v>
      </c>
      <c r="E2925" s="4">
        <v>1339851</v>
      </c>
      <c r="F2925">
        <v>1</v>
      </c>
    </row>
    <row r="2926" spans="1:6" ht="13.5" hidden="1" customHeight="1">
      <c r="A2926" s="4" t="s">
        <v>6759</v>
      </c>
      <c r="B2926" s="4" t="s">
        <v>6760</v>
      </c>
      <c r="C2926" s="4" t="str">
        <f ca="1">IFERROR(__xludf.DUMMYFUNCTION("GOOGLETRANSLATE(D:D,""auto"",""en"")"),"Wenzhou high-speed")</f>
        <v>Wenzhou high-speed</v>
      </c>
      <c r="D2926" s="5" t="s">
        <v>6761</v>
      </c>
      <c r="E2926" s="4">
        <v>1335349</v>
      </c>
    </row>
    <row r="2927" spans="1:6" ht="13.5" hidden="1" customHeight="1">
      <c r="A2927" s="4" t="s">
        <v>6762</v>
      </c>
      <c r="B2927" s="4" t="s">
        <v>6763</v>
      </c>
      <c r="C2927" s="4" t="str">
        <f ca="1">IFERROR(__xludf.DUMMYFUNCTION("GOOGLETRANSLATE(D:D,""auto"",""en"")"),"One week after the previous week")</f>
        <v>One week after the previous week</v>
      </c>
      <c r="D2927" s="5" t="s">
        <v>6764</v>
      </c>
      <c r="E2927" s="4">
        <v>1312572</v>
      </c>
    </row>
    <row r="2928" spans="1:6" ht="13.5" hidden="1" customHeight="1">
      <c r="A2928" s="4" t="s">
        <v>6108</v>
      </c>
      <c r="B2928" s="4" t="s">
        <v>6109</v>
      </c>
      <c r="C2928" s="4" t="str">
        <f ca="1">IFERROR(__xludf.DUMMYFUNCTION("GOOGLETRANSLATE(D:D,""auto"",""en"")"),"The next stop is happy")</f>
        <v>The next stop is happy</v>
      </c>
      <c r="D2928" s="5" t="s">
        <v>6110</v>
      </c>
      <c r="E2928" s="4">
        <v>1007066</v>
      </c>
    </row>
    <row r="2929" spans="1:6" ht="13.5" hidden="1" customHeight="1">
      <c r="A2929" s="4" t="s">
        <v>6765</v>
      </c>
      <c r="B2929" s="4" t="s">
        <v>6766</v>
      </c>
      <c r="C2929" s="4" t="str">
        <f ca="1">IFERROR(__xludf.DUMMYFUNCTION("GOOGLETRANSLATE(D:D,""auto"",""en"")"),"Zeng Guang")</f>
        <v>Zeng Guang</v>
      </c>
      <c r="D2929" s="5" t="s">
        <v>6767</v>
      </c>
      <c r="E2929" s="4">
        <v>944469</v>
      </c>
    </row>
    <row r="2930" spans="1:6" ht="13.5" customHeight="1">
      <c r="A2930" s="4" t="s">
        <v>6768</v>
      </c>
      <c r="B2930" s="4" t="s">
        <v>6769</v>
      </c>
      <c r="C2930" s="4" t="str">
        <f ca="1">IFERROR(__xludf.DUMMYFUNCTION("GOOGLETRANSLATE(D:D,""auto"",""en"")"),"Sichuan's first deaths")</f>
        <v>Sichuan's first deaths</v>
      </c>
      <c r="D2930" s="5" t="s">
        <v>6770</v>
      </c>
      <c r="E2930" s="4">
        <v>845998</v>
      </c>
      <c r="F2930">
        <v>1</v>
      </c>
    </row>
    <row r="2931" spans="1:6" ht="13.5" hidden="1" customHeight="1">
      <c r="A2931" s="4" t="s">
        <v>6771</v>
      </c>
      <c r="B2931" s="4" t="s">
        <v>6772</v>
      </c>
      <c r="C2931" s="4" t="str">
        <f ca="1">IFERROR(__xludf.DUMMYFUNCTION("GOOGLETRANSLATE(D:D,""auto"",""en"")"),"Tan Song Yun Song Weilong new drama Reuters")</f>
        <v>Tan Song Yun Song Weilong new drama Reuters</v>
      </c>
      <c r="D2931" s="5" t="s">
        <v>6773</v>
      </c>
      <c r="E2931" s="4">
        <v>741734</v>
      </c>
    </row>
    <row r="2932" spans="1:6" ht="13.5" customHeight="1">
      <c r="A2932" s="4" t="s">
        <v>6774</v>
      </c>
      <c r="B2932" s="4" t="s">
        <v>6775</v>
      </c>
      <c r="C2932" s="4" t="str">
        <f ca="1">IFERROR(__xludf.DUMMYFUNCTION("GOOGLETRANSLATE(D:D,""auto"",""en"")"),"Beijing's first Winter Olympics test event canceled")</f>
        <v>Beijing's first Winter Olympics test event canceled</v>
      </c>
      <c r="D2932" s="5" t="s">
        <v>6776</v>
      </c>
      <c r="E2932" s="4">
        <v>691125</v>
      </c>
      <c r="F2932">
        <v>1</v>
      </c>
    </row>
    <row r="2933" spans="1:6" ht="13.5" customHeight="1">
      <c r="A2933" s="4" t="s">
        <v>6777</v>
      </c>
      <c r="B2933" s="4" t="s">
        <v>6778</v>
      </c>
      <c r="C2933" s="4" t="str">
        <f ca="1">IFERROR(__xludf.DUMMYFUNCTION("GOOGLETRANSLATE(D:D,""auto"",""en"")"),"Korean men diagnosed six days traveled to Seoul, Gyeonggi Province")</f>
        <v>Korean men diagnosed six days traveled to Seoul, Gyeonggi Province</v>
      </c>
      <c r="D2933" s="5" t="s">
        <v>6779</v>
      </c>
      <c r="E2933" s="4">
        <v>668044</v>
      </c>
      <c r="F2933">
        <v>1</v>
      </c>
    </row>
    <row r="2934" spans="1:6" ht="13.5" customHeight="1">
      <c r="A2934" s="4" t="s">
        <v>6780</v>
      </c>
      <c r="B2934" s="4" t="s">
        <v>6781</v>
      </c>
      <c r="C2934" s="4" t="str">
        <f ca="1">IFERROR(__xludf.DUMMYFUNCTION("GOOGLETRANSLATE(D:D,""auto"",""en"")"),"Lost luggage fitted clothes make masks 5800")</f>
        <v>Lost luggage fitted clothes make masks 5800</v>
      </c>
      <c r="D2934" s="5" t="s">
        <v>6782</v>
      </c>
      <c r="E2934" s="4">
        <v>602045</v>
      </c>
      <c r="F2934">
        <v>1</v>
      </c>
    </row>
    <row r="2935" spans="1:6" ht="13.5" hidden="1" customHeight="1">
      <c r="A2935" s="4" t="s">
        <v>6783</v>
      </c>
      <c r="B2935" s="4" t="s">
        <v>6784</v>
      </c>
      <c r="C2935" s="4" t="str">
        <f ca="1">IFERROR(__xludf.DUMMYFUNCTION("GOOGLETRANSLATE(D:D,""auto"",""en"")"),"Try your pants")</f>
        <v>Try your pants</v>
      </c>
      <c r="D2935" s="5" t="s">
        <v>6785</v>
      </c>
      <c r="E2935" s="4">
        <v>515783</v>
      </c>
    </row>
    <row r="2936" spans="1:6" ht="13.5" customHeight="1">
      <c r="A2936" s="4" t="s">
        <v>5803</v>
      </c>
      <c r="B2936" s="4" t="s">
        <v>5804</v>
      </c>
      <c r="C2936" s="4" t="str">
        <f ca="1">IFERROR(__xludf.DUMMYFUNCTION("GOOGLETRANSLATE(D:D,""auto"",""en"")"),"The latest outbreak Map")</f>
        <v>The latest outbreak Map</v>
      </c>
      <c r="D2936" s="5" t="s">
        <v>5805</v>
      </c>
      <c r="E2936" s="4">
        <v>509074</v>
      </c>
      <c r="F2936">
        <v>1</v>
      </c>
    </row>
    <row r="2937" spans="1:6" ht="13.5" customHeight="1">
      <c r="A2937" s="4" t="s">
        <v>6738</v>
      </c>
      <c r="B2937" s="4" t="s">
        <v>6727</v>
      </c>
      <c r="C2937" s="4" t="str">
        <f ca="1">IFERROR(__xludf.DUMMYFUNCTION("GOOGLETRANSLATE(D:D,""auto"",""en"")"),"Hunan five people diagnosed with the new crown after dinner pneumonia")</f>
        <v>Hunan five people diagnosed with the new crown after dinner pneumonia</v>
      </c>
      <c r="D2937" s="5" t="s">
        <v>6786</v>
      </c>
      <c r="E2937" s="4">
        <v>493770</v>
      </c>
      <c r="F2937">
        <v>1</v>
      </c>
    </row>
    <row r="2938" spans="1:6" ht="13.5" customHeight="1">
      <c r="A2938" s="4" t="s">
        <v>6738</v>
      </c>
      <c r="B2938" s="4" t="s">
        <v>6753</v>
      </c>
      <c r="C2938" s="4" t="str">
        <f ca="1">IFERROR(__xludf.DUMMYFUNCTION("GOOGLETRANSLATE(D:D,""auto"",""en"")"),"Who also do not meet the end of the epidemic who laugh fat")</f>
        <v>Who also do not meet the end of the epidemic who laugh fat</v>
      </c>
      <c r="D2938" s="5" t="s">
        <v>6787</v>
      </c>
      <c r="E2938" s="4">
        <v>467266</v>
      </c>
      <c r="F2938">
        <v>1</v>
      </c>
    </row>
    <row r="2939" spans="1:6" ht="13.5" customHeight="1">
      <c r="A2939" s="4" t="s">
        <v>6788</v>
      </c>
      <c r="B2939" s="4" t="s">
        <v>6789</v>
      </c>
      <c r="C2939" s="4" t="str">
        <f ca="1">IFERROR(__xludf.DUMMYFUNCTION("GOOGLETRANSLATE(D:D,""auto"",""en"")"),"Guangdong five infected people from abroad will be subject to the same treatment")</f>
        <v>Guangdong five infected people from abroad will be subject to the same treatment</v>
      </c>
      <c r="D2939" s="5" t="s">
        <v>6790</v>
      </c>
      <c r="E2939" s="4">
        <v>416264</v>
      </c>
      <c r="F2939">
        <v>1</v>
      </c>
    </row>
    <row r="2940" spans="1:6" ht="13.5" customHeight="1">
      <c r="A2940" s="4" t="s">
        <v>6791</v>
      </c>
      <c r="B2940" s="4" t="s">
        <v>6792</v>
      </c>
      <c r="C2940" s="4" t="str">
        <f ca="1">IFERROR(__xludf.DUMMYFUNCTION("GOOGLETRANSLATE(D:D,""auto"",""en"")"),"Huashan Hospital")</f>
        <v>Huashan Hospital</v>
      </c>
      <c r="D2940" s="5" t="s">
        <v>6793</v>
      </c>
      <c r="E2940" s="4">
        <v>400364</v>
      </c>
      <c r="F2940">
        <v>1</v>
      </c>
    </row>
    <row r="2941" spans="1:6" ht="13.5" customHeight="1">
      <c r="A2941" s="4" t="s">
        <v>6794</v>
      </c>
      <c r="B2941" s="4" t="s">
        <v>6795</v>
      </c>
      <c r="C2941" s="4" t="str">
        <f ca="1">IFERROR(__xludf.DUMMYFUNCTION("GOOGLETRANSLATE(D:D,""auto"",""en"")"),"Guangdong diagnosed five cases of foreigners and people from abroad infection")</f>
        <v>Guangdong diagnosed five cases of foreigners and people from abroad infection</v>
      </c>
      <c r="D2941" s="5" t="s">
        <v>6796</v>
      </c>
      <c r="E2941" s="4">
        <v>350568</v>
      </c>
      <c r="F2941">
        <v>1</v>
      </c>
    </row>
    <row r="2942" spans="1:6" ht="13.5" hidden="1" customHeight="1">
      <c r="A2942" s="4" t="s">
        <v>6797</v>
      </c>
      <c r="B2942" s="4" t="s">
        <v>6798</v>
      </c>
      <c r="C2942" s="4" t="str">
        <f ca="1">IFERROR(__xludf.DUMMYFUNCTION("GOOGLETRANSLATE(D:D,""auto"",""en"")"),"Chinese New Year me why five days did not wash your hair")</f>
        <v>Chinese New Year me why five days did not wash your hair</v>
      </c>
      <c r="D2942" s="5" t="s">
        <v>6799</v>
      </c>
      <c r="E2942" s="4">
        <v>337709</v>
      </c>
    </row>
    <row r="2943" spans="1:6" ht="13.5" customHeight="1">
      <c r="A2943" s="4" t="s">
        <v>6800</v>
      </c>
      <c r="B2943" s="4" t="s">
        <v>6801</v>
      </c>
      <c r="C2943" s="4" t="str">
        <f ca="1">IFERROR(__xludf.DUMMYFUNCTION("GOOGLETRANSLATE(D:D,""auto"",""en"")"),"Fancy Awards National People's fight against SARS")</f>
        <v>Fancy Awards National People's fight against SARS</v>
      </c>
      <c r="D2943" s="5" t="s">
        <v>6802</v>
      </c>
      <c r="E2943" s="4">
        <v>321873</v>
      </c>
      <c r="F2943">
        <v>1</v>
      </c>
    </row>
    <row r="2944" spans="1:6" ht="13.5" customHeight="1">
      <c r="A2944" s="4" t="s">
        <v>6803</v>
      </c>
      <c r="B2944" s="4" t="s">
        <v>6804</v>
      </c>
      <c r="C2944" s="4" t="str">
        <f ca="1">IFERROR(__xludf.DUMMYFUNCTION("GOOGLETRANSLATE(D:D,""auto"",""en"")"),"Take-home income courier will be contagious")</f>
        <v>Take-home income courier will be contagious</v>
      </c>
      <c r="D2944" s="5" t="s">
        <v>6805</v>
      </c>
      <c r="E2944" s="4">
        <v>305675</v>
      </c>
      <c r="F2944">
        <v>1</v>
      </c>
    </row>
    <row r="2945" spans="1:6" ht="13.5" customHeight="1">
      <c r="A2945" s="4" t="s">
        <v>6806</v>
      </c>
      <c r="B2945" s="4" t="s">
        <v>6753</v>
      </c>
      <c r="C2945" s="4" t="str">
        <f ca="1">IFERROR(__xludf.DUMMYFUNCTION("GOOGLETRANSLATE(D:D,""auto"",""en"")"),"Can stay home bored to what extent")</f>
        <v>Can stay home bored to what extent</v>
      </c>
      <c r="D2945" s="5" t="s">
        <v>6807</v>
      </c>
      <c r="E2945" s="4">
        <v>301746</v>
      </c>
      <c r="F2945">
        <v>1</v>
      </c>
    </row>
    <row r="2946" spans="1:6" ht="13.5" customHeight="1">
      <c r="A2946" s="4" t="s">
        <v>6808</v>
      </c>
      <c r="B2946" s="4" t="s">
        <v>6809</v>
      </c>
      <c r="C2946" s="4" t="str">
        <f ca="1">IFERROR(__xludf.DUMMYFUNCTION("GOOGLETRANSLATE(D:D,""auto"",""en"")"),"So when you can go out of the country say")</f>
        <v>So when you can go out of the country say</v>
      </c>
      <c r="D2946" s="5" t="s">
        <v>6810</v>
      </c>
      <c r="E2946" s="4">
        <v>299229</v>
      </c>
      <c r="F2946">
        <v>1</v>
      </c>
    </row>
    <row r="2947" spans="1:6" ht="13.5" customHeight="1">
      <c r="A2947" s="4" t="s">
        <v>6811</v>
      </c>
      <c r="B2947" s="4" t="s">
        <v>6812</v>
      </c>
      <c r="C2947" s="4" t="str">
        <f ca="1">IFERROR(__xludf.DUMMYFUNCTION("GOOGLETRANSLATE(D:D,""auto"",""en"")"),"Virus in wool clothing shorter survival time")</f>
        <v>Virus in wool clothing shorter survival time</v>
      </c>
      <c r="D2947" s="5" t="s">
        <v>6813</v>
      </c>
      <c r="E2947" s="4">
        <v>284654</v>
      </c>
      <c r="F2947">
        <v>1</v>
      </c>
    </row>
    <row r="2948" spans="1:6" ht="13.5" customHeight="1">
      <c r="A2948" s="4" t="s">
        <v>6752</v>
      </c>
      <c r="B2948" s="4" t="s">
        <v>6814</v>
      </c>
      <c r="C2948" s="4" t="str">
        <f ca="1">IFERROR(__xludf.DUMMYFUNCTION("GOOGLETRANSLATE(D:D,""auto"",""en"")"),"Health care workers sleeping position")</f>
        <v>Health care workers sleeping position</v>
      </c>
      <c r="D2948" s="5" t="s">
        <v>6815</v>
      </c>
      <c r="E2948" s="4">
        <v>281724</v>
      </c>
      <c r="F2948">
        <v>1</v>
      </c>
    </row>
    <row r="2949" spans="1:6" ht="13.5" customHeight="1">
      <c r="A2949" s="4" t="s">
        <v>6816</v>
      </c>
      <c r="B2949" s="4" t="s">
        <v>6817</v>
      </c>
      <c r="C2949" s="4" t="str">
        <f ca="1">IFERROR(__xludf.DUMMYFUNCTION("GOOGLETRANSLATE(D:D,""auto"",""en"")"),"Ministry to respond to an emergency masks")</f>
        <v>Ministry to respond to an emergency masks</v>
      </c>
      <c r="D2949" s="5" t="s">
        <v>6818</v>
      </c>
      <c r="E2949" s="4">
        <v>253223</v>
      </c>
      <c r="F2949">
        <v>1</v>
      </c>
    </row>
    <row r="2950" spans="1:6" ht="13.5" customHeight="1">
      <c r="A2950" s="4" t="s">
        <v>6819</v>
      </c>
      <c r="B2950" s="4" t="s">
        <v>6820</v>
      </c>
      <c r="C2950" s="4" t="str">
        <f ca="1">IFERROR(__xludf.DUMMYFUNCTION("GOOGLETRANSLATE(D:D,""auto"",""en"")"),"Truck drivers to deliver toll protective gloves")</f>
        <v>Truck drivers to deliver toll protective gloves</v>
      </c>
      <c r="D2950" s="5" t="s">
        <v>6821</v>
      </c>
      <c r="E2950" s="4">
        <v>225693</v>
      </c>
      <c r="F2950">
        <v>1</v>
      </c>
    </row>
    <row r="2951" spans="1:6" ht="13.5" customHeight="1">
      <c r="A2951" s="4" t="s">
        <v>6822</v>
      </c>
      <c r="B2951" s="4" t="s">
        <v>6620</v>
      </c>
      <c r="C2951" s="4" t="str">
        <f ca="1">IFERROR(__xludf.DUMMYFUNCTION("GOOGLETRANSLATE(D:D,""auto"",""en"")"),"Masks ordinary people do not have time for a change")</f>
        <v>Masks ordinary people do not have time for a change</v>
      </c>
      <c r="D2951" s="5" t="s">
        <v>6823</v>
      </c>
      <c r="E2951" s="4">
        <v>222801</v>
      </c>
      <c r="F2951">
        <v>1</v>
      </c>
    </row>
    <row r="2952" spans="1:6" ht="13.5" customHeight="1">
      <c r="A2952" s="4" t="s">
        <v>6824</v>
      </c>
      <c r="B2952" s="4" t="s">
        <v>6825</v>
      </c>
      <c r="C2952" s="4" t="str">
        <f ca="1">IFERROR(__xludf.DUMMYFUNCTION("GOOGLETRANSLATE(D:D,""auto"",""en"")"),"Internet companies return to work schedule")</f>
        <v>Internet companies return to work schedule</v>
      </c>
      <c r="D2952" s="5" t="s">
        <v>6826</v>
      </c>
      <c r="E2952" s="4">
        <v>222144</v>
      </c>
      <c r="F2952">
        <v>1</v>
      </c>
    </row>
    <row r="2953" spans="1:6" ht="13.5" customHeight="1">
      <c r="A2953" s="4" t="s">
        <v>6827</v>
      </c>
      <c r="B2953" s="4" t="s">
        <v>6828</v>
      </c>
      <c r="C2953" s="4" t="str">
        <f ca="1">IFERROR(__xludf.DUMMYFUNCTION("GOOGLETRANSLATE(D:D,""auto"",""en"")"),"Tibet's first informed of the new suspected cases of pneumonia")</f>
        <v>Tibet's first informed of the new suspected cases of pneumonia</v>
      </c>
      <c r="D2953" s="5" t="s">
        <v>6829</v>
      </c>
      <c r="E2953" s="4">
        <v>215234</v>
      </c>
      <c r="F2953">
        <v>1</v>
      </c>
    </row>
    <row r="2954" spans="1:6" ht="13.5" customHeight="1">
      <c r="A2954" s="4" t="s">
        <v>6830</v>
      </c>
      <c r="B2954" s="4" t="s">
        <v>6831</v>
      </c>
      <c r="C2954" s="4" t="str">
        <f ca="1">IFERROR(__xludf.DUMMYFUNCTION("GOOGLETRANSLATE(D:D,""auto"",""en"")"),"Leaves teachers are not asked to return immediately")</f>
        <v>Leaves teachers are not asked to return immediately</v>
      </c>
      <c r="D2954" s="5" t="s">
        <v>6832</v>
      </c>
      <c r="E2954" s="4">
        <v>193685</v>
      </c>
      <c r="F2954">
        <v>1</v>
      </c>
    </row>
    <row r="2955" spans="1:6" ht="13.5" customHeight="1">
      <c r="A2955" s="4" t="s">
        <v>6833</v>
      </c>
      <c r="B2955" s="4" t="s">
        <v>6834</v>
      </c>
      <c r="C2955" s="4" t="str">
        <f ca="1">IFERROR(__xludf.DUMMYFUNCTION("GOOGLETRANSLATE(D:D,""auto"",""en"")"),"Wuhan Ya")</f>
        <v>Wuhan Ya</v>
      </c>
      <c r="D2955" s="5" t="s">
        <v>6835</v>
      </c>
      <c r="E2955" s="4">
        <v>192401</v>
      </c>
      <c r="F2955">
        <v>1</v>
      </c>
    </row>
    <row r="2956" spans="1:6" ht="13.5" customHeight="1">
      <c r="A2956" s="4" t="s">
        <v>6836</v>
      </c>
      <c r="B2956" s="4" t="s">
        <v>6620</v>
      </c>
      <c r="C2956" s="4" t="str">
        <f ca="1">IFERROR(__xludf.DUMMYFUNCTION("GOOGLETRANSLATE(D:D,""auto"",""en"")"),"Australia successfully cultivate a new coronavirus samples")</f>
        <v>Australia successfully cultivate a new coronavirus samples</v>
      </c>
      <c r="D2956" s="5" t="s">
        <v>6837</v>
      </c>
      <c r="E2956" s="4">
        <v>181712</v>
      </c>
      <c r="F2956">
        <v>1</v>
      </c>
    </row>
    <row r="2957" spans="1:6" ht="13.5" hidden="1" customHeight="1">
      <c r="A2957" s="4" t="s">
        <v>6838</v>
      </c>
      <c r="B2957" s="4" t="s">
        <v>6839</v>
      </c>
      <c r="C2957" s="4" t="str">
        <f ca="1">IFERROR(__xludf.DUMMYFUNCTION("GOOGLETRANSLATE(D:D,""auto"",""en"")"),"New Year fortune makeup")</f>
        <v>New Year fortune makeup</v>
      </c>
      <c r="D2957" s="5" t="s">
        <v>6840</v>
      </c>
      <c r="E2957" s="4">
        <v>172437</v>
      </c>
    </row>
    <row r="2958" spans="1:6" ht="13.5" customHeight="1">
      <c r="A2958" s="4" t="s">
        <v>6841</v>
      </c>
      <c r="B2958" s="4" t="s">
        <v>6842</v>
      </c>
      <c r="C2958" s="4" t="str">
        <f ca="1">IFERROR(__xludf.DUMMYFUNCTION("GOOGLETRANSLATE(D:D,""auto"",""en"")"),"Chinese doctors")</f>
        <v>Chinese doctors</v>
      </c>
      <c r="D2958" s="5" t="s">
        <v>6843</v>
      </c>
      <c r="E2958" s="4">
        <v>150034</v>
      </c>
      <c r="F2958">
        <v>1</v>
      </c>
    </row>
    <row r="2959" spans="1:6" ht="13.5" hidden="1" customHeight="1">
      <c r="C2959" s="4" t="str">
        <f ca="1">IFERROR(__xludf.DUMMYFUNCTION("GOOGLETRANSLATE(D:D,""auto"",""en"")"),"#VALUE!")</f>
        <v>#VALUE!</v>
      </c>
    </row>
    <row r="2960" spans="1:6" ht="13.5" hidden="1" customHeight="1">
      <c r="A2960" s="4" t="s">
        <v>6844</v>
      </c>
      <c r="B2960" s="4" t="s">
        <v>6845</v>
      </c>
      <c r="C2960" s="4" t="str">
        <f ca="1">IFERROR(__xludf.DUMMYFUNCTION("GOOGLETRANSLATE(D:D,""auto"",""en"")"),"Bryant wife sound")</f>
        <v>Bryant wife sound</v>
      </c>
      <c r="D2960" s="4" t="s">
        <v>6846</v>
      </c>
      <c r="E2960" s="4">
        <v>5292723</v>
      </c>
    </row>
    <row r="2961" spans="1:6" ht="13.5" customHeight="1">
      <c r="A2961" s="4" t="s">
        <v>6847</v>
      </c>
      <c r="B2961" s="4" t="s">
        <v>6848</v>
      </c>
      <c r="C2961" s="4" t="str">
        <f ca="1">IFERROR(__xludf.DUMMYFUNCTION("GOOGLETRANSLATE(D:D,""auto"",""en"")"),"Female Military tears after take off the masks")</f>
        <v>Female Military tears after take off the masks</v>
      </c>
      <c r="D2961" s="5" t="s">
        <v>6849</v>
      </c>
      <c r="E2961" s="4">
        <v>4649774</v>
      </c>
      <c r="F2961">
        <v>1</v>
      </c>
    </row>
    <row r="2962" spans="1:6" ht="13.5" customHeight="1">
      <c r="A2962" s="4" t="s">
        <v>6850</v>
      </c>
      <c r="B2962" s="4" t="s">
        <v>6851</v>
      </c>
      <c r="C2962" s="4" t="str">
        <f ca="1">IFERROR(__xludf.DUMMYFUNCTION("GOOGLETRANSLATE(D:D,""auto"",""en"")"),"Pets also need access to isolated outbreaks")</f>
        <v>Pets also need access to isolated outbreaks</v>
      </c>
      <c r="D2962" s="5" t="s">
        <v>6852</v>
      </c>
      <c r="E2962" s="4">
        <v>2618796</v>
      </c>
      <c r="F2962">
        <v>1</v>
      </c>
    </row>
    <row r="2963" spans="1:6" ht="13.5" customHeight="1">
      <c r="A2963" s="4" t="s">
        <v>6853</v>
      </c>
      <c r="B2963" s="4" t="s">
        <v>6854</v>
      </c>
      <c r="C2963" s="4" t="str">
        <f ca="1">IFERROR(__xludf.DUMMYFUNCTION("GOOGLETRANSLATE(D:D,""auto"",""en"")"),"Of the total 7711 cases diagnosed with pneumonia new")</f>
        <v>Of the total 7711 cases diagnosed with pneumonia new</v>
      </c>
      <c r="D2963" s="5" t="s">
        <v>6855</v>
      </c>
      <c r="E2963" s="4">
        <v>1830901</v>
      </c>
      <c r="F2963">
        <v>1</v>
      </c>
    </row>
    <row r="2964" spans="1:6" ht="13.5" customHeight="1">
      <c r="A2964" s="4" t="s">
        <v>6856</v>
      </c>
      <c r="B2964" s="4" t="s">
        <v>6857</v>
      </c>
      <c r="C2964" s="4" t="str">
        <f ca="1">IFERROR(__xludf.DUMMYFUNCTION("GOOGLETRANSLATE(D:D,""auto"",""en"")"),"Infected persons spit or chase criminal liability to others")</f>
        <v>Infected persons spit or chase criminal liability to others</v>
      </c>
      <c r="D2964" s="5" t="s">
        <v>6858</v>
      </c>
      <c r="E2964" s="4">
        <v>1750844</v>
      </c>
      <c r="F2964">
        <v>1</v>
      </c>
    </row>
    <row r="2965" spans="1:6" ht="13.5" customHeight="1">
      <c r="A2965" s="4" t="s">
        <v>6850</v>
      </c>
      <c r="B2965" s="4" t="s">
        <v>6859</v>
      </c>
      <c r="C2965" s="4" t="str">
        <f ca="1">IFERROR(__xludf.DUMMYFUNCTION("GOOGLETRANSLATE(D:D,""auto"",""en"")"),"Nissan end of February masks 180 million")</f>
        <v>Nissan end of February masks 180 million</v>
      </c>
      <c r="D2965" s="5" t="s">
        <v>6860</v>
      </c>
      <c r="E2965" s="4">
        <v>1527931</v>
      </c>
      <c r="F2965">
        <v>1</v>
      </c>
    </row>
    <row r="2966" spans="1:6" ht="13.5" customHeight="1">
      <c r="A2966" s="4" t="s">
        <v>5803</v>
      </c>
      <c r="B2966" s="4" t="s">
        <v>5804</v>
      </c>
      <c r="C2966" s="4" t="str">
        <f ca="1">IFERROR(__xludf.DUMMYFUNCTION("GOOGLETRANSLATE(D:D,""auto"",""en"")"),"The latest outbreak Map")</f>
        <v>The latest outbreak Map</v>
      </c>
      <c r="D2966" s="5" t="s">
        <v>5805</v>
      </c>
      <c r="E2966" s="4">
        <v>1504761</v>
      </c>
      <c r="F2966">
        <v>1</v>
      </c>
    </row>
    <row r="2967" spans="1:6" ht="13.5" customHeight="1">
      <c r="A2967" s="4" t="s">
        <v>6861</v>
      </c>
      <c r="B2967" s="4" t="s">
        <v>6822</v>
      </c>
      <c r="C2967" s="4" t="str">
        <f ca="1">IFERROR(__xludf.DUMMYFUNCTION("GOOGLETRANSLATE(D:D,""auto"",""en"")"),"SF respond intercepted parcel courier sell masks")</f>
        <v>SF respond intercepted parcel courier sell masks</v>
      </c>
      <c r="D2967" s="5" t="s">
        <v>6862</v>
      </c>
      <c r="E2967" s="4">
        <v>1254449</v>
      </c>
      <c r="F2967">
        <v>1</v>
      </c>
    </row>
    <row r="2968" spans="1:6" ht="13.5" customHeight="1">
      <c r="A2968" s="4" t="s">
        <v>6863</v>
      </c>
      <c r="B2968" s="4" t="s">
        <v>6741</v>
      </c>
      <c r="C2968" s="4" t="str">
        <f ca="1">IFERROR(__xludf.DUMMYFUNCTION("GOOGLETRANSLATE(D:D,""auto"",""en"")"),"The first charter flight back to day staff found three cases of confirmed cases")</f>
        <v>The first charter flight back to day staff found three cases of confirmed cases</v>
      </c>
      <c r="D2968" s="5" t="s">
        <v>6864</v>
      </c>
      <c r="E2968" s="4">
        <v>988064</v>
      </c>
      <c r="F2968">
        <v>1</v>
      </c>
    </row>
    <row r="2969" spans="1:6" ht="13.5" customHeight="1">
      <c r="A2969" s="4" t="s">
        <v>6865</v>
      </c>
      <c r="B2969" s="4" t="s">
        <v>6866</v>
      </c>
      <c r="C2969" s="4" t="str">
        <f ca="1">IFERROR(__xludf.DUMMYFUNCTION("GOOGLETRANSLATE(D:D,""auto"",""en"")"),"Raytheon Hill Hospital all the electricity")</f>
        <v>Raytheon Hill Hospital all the electricity</v>
      </c>
      <c r="D2969" s="5" t="s">
        <v>6867</v>
      </c>
      <c r="E2969" s="4">
        <v>871132</v>
      </c>
      <c r="F2969">
        <v>1</v>
      </c>
    </row>
    <row r="2970" spans="1:6" ht="13.5" customHeight="1">
      <c r="A2970" s="4" t="s">
        <v>6868</v>
      </c>
      <c r="B2970" s="4" t="s">
        <v>6869</v>
      </c>
      <c r="C2970" s="4" t="str">
        <f ca="1">IFERROR(__xludf.DUMMYFUNCTION("GOOGLETRANSLATE(D:D,""auto"",""en"")"),"Tibet confirmed the first case of new pneumonia")</f>
        <v>Tibet confirmed the first case of new pneumonia</v>
      </c>
      <c r="D2970" s="5" t="s">
        <v>6870</v>
      </c>
      <c r="E2970" s="4">
        <v>842649</v>
      </c>
      <c r="F2970">
        <v>1</v>
      </c>
    </row>
    <row r="2971" spans="1:6" ht="13.5" hidden="1" customHeight="1">
      <c r="A2971" s="4" t="s">
        <v>6871</v>
      </c>
      <c r="B2971" s="4" t="s">
        <v>6836</v>
      </c>
      <c r="C2971" s="4" t="str">
        <f ca="1">IFERROR(__xludf.DUMMYFUNCTION("GOOGLETRANSLATE(D:D,""auto"",""en"")"),"Year 6")</f>
        <v>Year 6</v>
      </c>
      <c r="D2971" s="5" t="s">
        <v>6872</v>
      </c>
      <c r="E2971" s="4">
        <v>777952</v>
      </c>
    </row>
    <row r="2972" spans="1:6" ht="13.5" customHeight="1">
      <c r="A2972" s="4" t="s">
        <v>6873</v>
      </c>
      <c r="B2972" s="4" t="s">
        <v>6874</v>
      </c>
      <c r="C2972" s="4" t="str">
        <f ca="1">IFERROR(__xludf.DUMMYFUNCTION("GOOGLETRANSLATE(D:D,""auto"",""en"")"),"Zhejiang new 132 cases of new pneumonia")</f>
        <v>Zhejiang new 132 cases of new pneumonia</v>
      </c>
      <c r="D2972" s="5" t="s">
        <v>6875</v>
      </c>
      <c r="E2972" s="4">
        <v>777112</v>
      </c>
      <c r="F2972">
        <v>1</v>
      </c>
    </row>
    <row r="2973" spans="1:6" ht="13.5" customHeight="1">
      <c r="A2973" s="4" t="s">
        <v>6876</v>
      </c>
      <c r="B2973" s="4" t="s">
        <v>6783</v>
      </c>
      <c r="C2973" s="4" t="str">
        <f ca="1">IFERROR(__xludf.DUMMYFUNCTION("GOOGLETRANSLATE(D:D,""auto"",""en"")"),"Wuhan's first elderly critically ill patients discharged")</f>
        <v>Wuhan's first elderly critically ill patients discharged</v>
      </c>
      <c r="D2973" s="5" t="s">
        <v>6877</v>
      </c>
      <c r="E2973" s="4">
        <v>764632</v>
      </c>
      <c r="F2973">
        <v>1</v>
      </c>
    </row>
    <row r="2974" spans="1:6" ht="13.5" customHeight="1">
      <c r="A2974" s="4" t="s">
        <v>6717</v>
      </c>
      <c r="B2974" s="4" t="s">
        <v>6718</v>
      </c>
      <c r="C2974" s="4" t="str">
        <f ca="1">IFERROR(__xludf.DUMMYFUNCTION("GOOGLETRANSLATE(D:D,""auto"",""en"")"),"The epidemic is still in the diffusion phase")</f>
        <v>The epidemic is still in the diffusion phase</v>
      </c>
      <c r="D2974" s="5" t="s">
        <v>6719</v>
      </c>
      <c r="E2974" s="4">
        <v>754554</v>
      </c>
      <c r="F2974">
        <v>1</v>
      </c>
    </row>
    <row r="2975" spans="1:6" ht="13.5" hidden="1" customHeight="1">
      <c r="A2975" s="4" t="s">
        <v>6878</v>
      </c>
      <c r="B2975" s="4" t="s">
        <v>6879</v>
      </c>
      <c r="C2975" s="4" t="str">
        <f ca="1">IFERROR(__xludf.DUMMYFUNCTION("GOOGLETRANSLATE(D:D,""auto"",""en"")"),"Bryant wife replacement Avatar")</f>
        <v>Bryant wife replacement Avatar</v>
      </c>
      <c r="D2975" s="5" t="s">
        <v>6880</v>
      </c>
      <c r="E2975" s="4">
        <v>750470</v>
      </c>
    </row>
    <row r="2976" spans="1:6" ht="13.5" customHeight="1">
      <c r="A2976" s="4" t="s">
        <v>6881</v>
      </c>
      <c r="B2976" s="4" t="s">
        <v>6882</v>
      </c>
      <c r="C2976" s="4" t="str">
        <f ca="1">IFERROR(__xludf.DUMMYFUNCTION("GOOGLETRANSLATE(D:D,""auto"",""en"")"),"Beijing will punish dereliction of duty and other crimes to conceal the epidemic")</f>
        <v>Beijing will punish dereliction of duty and other crimes to conceal the epidemic</v>
      </c>
      <c r="D2976" s="5" t="s">
        <v>6883</v>
      </c>
      <c r="E2976" s="4">
        <v>738554</v>
      </c>
      <c r="F2976">
        <v>1</v>
      </c>
    </row>
    <row r="2977" spans="1:6" ht="13.5" customHeight="1">
      <c r="A2977" s="4" t="s">
        <v>6884</v>
      </c>
      <c r="B2977" s="4" t="s">
        <v>6885</v>
      </c>
      <c r="C2977" s="4" t="str">
        <f ca="1">IFERROR(__xludf.DUMMYFUNCTION("GOOGLETRANSLATE(D:D,""auto"",""en"")"),"Hospital drug delivery to patients with robots")</f>
        <v>Hospital drug delivery to patients with robots</v>
      </c>
      <c r="D2977" s="5" t="s">
        <v>6886</v>
      </c>
      <c r="E2977" s="4">
        <v>725519</v>
      </c>
      <c r="F2977">
        <v>1</v>
      </c>
    </row>
    <row r="2978" spans="1:6" ht="13.5" hidden="1" customHeight="1">
      <c r="A2978" s="4" t="s">
        <v>6887</v>
      </c>
      <c r="B2978" s="4" t="s">
        <v>6888</v>
      </c>
      <c r="C2978" s="4" t="str">
        <f ca="1">IFERROR(__xludf.DUMMYFUNCTION("GOOGLETRANSLATE(D:D,""auto"",""en"")"),"These days I feel")</f>
        <v>These days I feel</v>
      </c>
      <c r="D2978" s="5" t="s">
        <v>6889</v>
      </c>
      <c r="E2978" s="4">
        <v>723247</v>
      </c>
    </row>
    <row r="2979" spans="1:6" ht="13.5" customHeight="1">
      <c r="A2979" s="4" t="s">
        <v>6890</v>
      </c>
      <c r="B2979" s="4" t="s">
        <v>6891</v>
      </c>
      <c r="C2979" s="4" t="str">
        <f ca="1">IFERROR(__xludf.DUMMYFUNCTION("GOOGLETRANSLATE(D:D,""auto"",""en"")"),"Shantou confirmed cases in 11 cases of family clusters of cases")</f>
        <v>Shantou confirmed cases in 11 cases of family clusters of cases</v>
      </c>
      <c r="D2979" s="5" t="s">
        <v>6892</v>
      </c>
      <c r="E2979" s="4">
        <v>716129</v>
      </c>
      <c r="F2979">
        <v>1</v>
      </c>
    </row>
    <row r="2980" spans="1:6" ht="13.5" hidden="1" customHeight="1">
      <c r="A2980" s="4" t="s">
        <v>6893</v>
      </c>
      <c r="B2980" s="4" t="s">
        <v>6894</v>
      </c>
      <c r="C2980" s="4" t="str">
        <f ca="1">IFERROR(__xludf.DUMMYFUNCTION("GOOGLETRANSLATE(D:D,""auto"",""en"")"),"Oladipo comeback")</f>
        <v>Oladipo comeback</v>
      </c>
      <c r="D2980" s="5" t="s">
        <v>6895</v>
      </c>
      <c r="E2980" s="4">
        <v>691678</v>
      </c>
    </row>
    <row r="2981" spans="1:6" ht="13.5" customHeight="1">
      <c r="A2981" s="4" t="s">
        <v>6896</v>
      </c>
      <c r="B2981" s="4" t="s">
        <v>6897</v>
      </c>
      <c r="C2981" s="4" t="str">
        <f ca="1">IFERROR(__xludf.DUMMYFUNCTION("GOOGLETRANSLATE(D:D,""auto"",""en"")"),"Shanxi bus passengers diagnosed with a new type of pneumonia")</f>
        <v>Shanxi bus passengers diagnosed with a new type of pneumonia</v>
      </c>
      <c r="D2981" s="5" t="s">
        <v>6898</v>
      </c>
      <c r="E2981" s="4">
        <v>684255</v>
      </c>
      <c r="F2981">
        <v>1</v>
      </c>
    </row>
    <row r="2982" spans="1:6" ht="13.5" customHeight="1">
      <c r="A2982" s="4" t="s">
        <v>6899</v>
      </c>
      <c r="B2982" s="4" t="s">
        <v>6900</v>
      </c>
      <c r="C2982" s="4" t="str">
        <f ca="1">IFERROR(__xludf.DUMMYFUNCTION("GOOGLETRANSLATE(D:D,""auto"",""en"")"),"87-year-old Korean War veteran donated 20,000 masks")</f>
        <v>87-year-old Korean War veteran donated 20,000 masks</v>
      </c>
      <c r="D2982" s="5" t="s">
        <v>6901</v>
      </c>
      <c r="E2982" s="4">
        <v>598737</v>
      </c>
      <c r="F2982">
        <v>1</v>
      </c>
    </row>
    <row r="2983" spans="1:6" ht="13.5" hidden="1" customHeight="1">
      <c r="A2983" s="4" t="s">
        <v>6902</v>
      </c>
      <c r="B2983" s="4" t="s">
        <v>6903</v>
      </c>
      <c r="C2983" s="4" t="str">
        <f ca="1">IFERROR(__xludf.DUMMYFUNCTION("GOOGLETRANSLATE(D:D,""auto"",""en"")"),"Manchester City lost to Manchester United")</f>
        <v>Manchester City lost to Manchester United</v>
      </c>
      <c r="D2983" s="5" t="s">
        <v>6904</v>
      </c>
      <c r="E2983" s="4">
        <v>579701</v>
      </c>
    </row>
    <row r="2984" spans="1:6" ht="13.5" customHeight="1">
      <c r="A2984" s="4" t="s">
        <v>6905</v>
      </c>
      <c r="B2984" s="4" t="s">
        <v>6729</v>
      </c>
      <c r="C2984" s="4" t="str">
        <f ca="1">IFERROR(__xludf.DUMMYFUNCTION("GOOGLETRANSLATE(D:D,""auto"",""en"")"),"Shandong return to work time")</f>
        <v>Shandong return to work time</v>
      </c>
      <c r="D2984" s="5" t="s">
        <v>6906</v>
      </c>
      <c r="E2984" s="4">
        <v>578204</v>
      </c>
      <c r="F2984">
        <v>1</v>
      </c>
    </row>
    <row r="2985" spans="1:6" ht="13.5" customHeight="1">
      <c r="A2985" s="4" t="s">
        <v>6907</v>
      </c>
      <c r="B2985" s="4" t="s">
        <v>6854</v>
      </c>
      <c r="C2985" s="4" t="str">
        <f ca="1">IFERROR(__xludf.DUMMYFUNCTION("GOOGLETRANSLATE(D:D,""auto"",""en"")"),"World Health Organization")</f>
        <v>World Health Organization</v>
      </c>
      <c r="D2985" s="5" t="s">
        <v>6908</v>
      </c>
      <c r="E2985" s="4">
        <v>386687</v>
      </c>
      <c r="F2985">
        <v>1</v>
      </c>
    </row>
    <row r="2986" spans="1:6" ht="13.5" customHeight="1">
      <c r="A2986" s="4" t="s">
        <v>6909</v>
      </c>
      <c r="B2986" s="4" t="s">
        <v>6910</v>
      </c>
      <c r="C2986" s="4" t="str">
        <f ca="1">IFERROR(__xludf.DUMMYFUNCTION("GOOGLETRANSLATE(D:D,""auto"",""en"")"),"Jilin first confirmed patient discharged from hospital")</f>
        <v>Jilin first confirmed patient discharged from hospital</v>
      </c>
      <c r="D2986" s="5" t="s">
        <v>6911</v>
      </c>
      <c r="E2986" s="4">
        <v>373820</v>
      </c>
      <c r="F2986">
        <v>1</v>
      </c>
    </row>
    <row r="2987" spans="1:6" ht="13.5" hidden="1" customHeight="1">
      <c r="A2987" s="4" t="s">
        <v>6762</v>
      </c>
      <c r="B2987" s="4" t="s">
        <v>6763</v>
      </c>
      <c r="C2987" s="4" t="str">
        <f ca="1">IFERROR(__xludf.DUMMYFUNCTION("GOOGLETRANSLATE(D:D,""auto"",""en"")"),"One week after the previous week")</f>
        <v>One week after the previous week</v>
      </c>
      <c r="D2987" s="5" t="s">
        <v>6764</v>
      </c>
      <c r="E2987" s="4">
        <v>372503</v>
      </c>
    </row>
    <row r="2988" spans="1:6" ht="13.5" customHeight="1">
      <c r="A2988" s="4" t="s">
        <v>6912</v>
      </c>
      <c r="B2988" s="4" t="s">
        <v>6738</v>
      </c>
      <c r="C2988" s="4" t="str">
        <f ca="1">IFERROR(__xludf.DUMMYFUNCTION("GOOGLETRANSLATE(D:D,""auto"",""en"")"),"Lhasa, Tibet to find fellow passengers")</f>
        <v>Lhasa, Tibet to find fellow passengers</v>
      </c>
      <c r="D2988" s="5" t="s">
        <v>6913</v>
      </c>
      <c r="E2988" s="4">
        <v>332885</v>
      </c>
      <c r="F2988">
        <v>1</v>
      </c>
    </row>
    <row r="2989" spans="1:6" ht="13.5" customHeight="1">
      <c r="A2989" s="4" t="s">
        <v>6914</v>
      </c>
      <c r="B2989" s="4" t="s">
        <v>6915</v>
      </c>
      <c r="C2989" s="4" t="str">
        <f ca="1">IFERROR(__xludf.DUMMYFUNCTION("GOOGLETRANSLATE(D:D,""auto"",""en"")"),"Beijing new three cases of new pneumonia")</f>
        <v>Beijing new three cases of new pneumonia</v>
      </c>
      <c r="D2989" s="5" t="s">
        <v>6916</v>
      </c>
      <c r="E2989" s="4">
        <v>312069</v>
      </c>
      <c r="F2989">
        <v>1</v>
      </c>
    </row>
    <row r="2990" spans="1:6" ht="13.5" customHeight="1">
      <c r="A2990" s="4" t="s">
        <v>6917</v>
      </c>
      <c r="B2990" s="4" t="s">
        <v>6900</v>
      </c>
      <c r="C2990" s="4" t="str">
        <f ca="1">IFERROR(__xludf.DUMMYFUNCTION("GOOGLETRANSLATE(D:D,""auto"",""en"")"),"Lufthansa grounded inland route 73 classes")</f>
        <v>Lufthansa grounded inland route 73 classes</v>
      </c>
      <c r="D2990" s="5" t="s">
        <v>6918</v>
      </c>
      <c r="E2990" s="4">
        <v>307846</v>
      </c>
      <c r="F2990">
        <v>1</v>
      </c>
    </row>
    <row r="2991" spans="1:6" ht="13.5" hidden="1" customHeight="1">
      <c r="A2991" s="4" t="s">
        <v>6762</v>
      </c>
      <c r="B2991" s="4" t="s">
        <v>6919</v>
      </c>
      <c r="C2991" s="4" t="str">
        <f ca="1">IFERROR(__xludf.DUMMYFUNCTION("GOOGLETRANSLATE(D:D,""auto"",""en"")"),"European Parliament chorus send off off UK Europe")</f>
        <v>European Parliament chorus send off off UK Europe</v>
      </c>
      <c r="D2991" s="5" t="s">
        <v>6920</v>
      </c>
      <c r="E2991" s="4">
        <v>293360</v>
      </c>
    </row>
    <row r="2992" spans="1:6" ht="13.5" customHeight="1">
      <c r="A2992" s="4" t="s">
        <v>6912</v>
      </c>
      <c r="B2992" s="4" t="s">
        <v>6921</v>
      </c>
      <c r="C2992" s="4" t="str">
        <f ca="1">IFERROR(__xludf.DUMMYFUNCTION("GOOGLETRANSLATE(D:D,""auto"",""en"")"),"Hunan new new 56 cases of pneumonia")</f>
        <v>Hunan new new 56 cases of pneumonia</v>
      </c>
      <c r="D2992" s="5" t="s">
        <v>6922</v>
      </c>
      <c r="E2992" s="4">
        <v>291255</v>
      </c>
      <c r="F2992">
        <v>1</v>
      </c>
    </row>
    <row r="2993" spans="1:6" ht="13.5" hidden="1" customHeight="1">
      <c r="A2993" s="4" t="s">
        <v>6923</v>
      </c>
      <c r="B2993" s="4" t="s">
        <v>6924</v>
      </c>
      <c r="C2993" s="4" t="str">
        <f ca="1">IFERROR(__xludf.DUMMYFUNCTION("GOOGLETRANSLATE(D:D,""auto"",""en"")"),"The European Parliament passed the British off in Europe")</f>
        <v>The European Parliament passed the British off in Europe</v>
      </c>
      <c r="D2993" s="5" t="s">
        <v>6925</v>
      </c>
      <c r="E2993" s="4">
        <v>280474</v>
      </c>
    </row>
    <row r="2994" spans="1:6" ht="13.5" customHeight="1">
      <c r="A2994" s="4" t="s">
        <v>6926</v>
      </c>
      <c r="B2994" s="4" t="s">
        <v>6927</v>
      </c>
      <c r="C2994" s="4" t="str">
        <f ca="1">IFERROR(__xludf.DUMMYFUNCTION("GOOGLETRANSLATE(D:D,""auto"",""en"")"),"Add new 17 cases of pneumonia Fujian")</f>
        <v>Add new 17 cases of pneumonia Fujian</v>
      </c>
      <c r="D2994" s="5" t="s">
        <v>6928</v>
      </c>
      <c r="E2994" s="4">
        <v>274320</v>
      </c>
      <c r="F2994">
        <v>1</v>
      </c>
    </row>
    <row r="2995" spans="1:6" ht="13.5" customHeight="1">
      <c r="A2995" s="4" t="s">
        <v>5094</v>
      </c>
      <c r="B2995" s="4" t="s">
        <v>5095</v>
      </c>
      <c r="C2995" s="4" t="str">
        <f ca="1">IFERROR(__xludf.DUMMYFUNCTION("GOOGLETRANSLATE(D:D,""auto"",""en"")"),"China confirmed new cases of pneumonia")</f>
        <v>China confirmed new cases of pneumonia</v>
      </c>
      <c r="D2995" s="5" t="s">
        <v>5096</v>
      </c>
      <c r="E2995" s="4">
        <v>267385</v>
      </c>
      <c r="F2995">
        <v>1</v>
      </c>
    </row>
    <row r="2996" spans="1:6" ht="13.5" customHeight="1">
      <c r="A2996" s="4" t="s">
        <v>6929</v>
      </c>
      <c r="B2996" s="4" t="s">
        <v>6930</v>
      </c>
      <c r="C2996" s="4" t="str">
        <f ca="1">IFERROR(__xludf.DUMMYFUNCTION("GOOGLETRANSLATE(D:D,""auto"",""en"")"),"Dean responded Jinyintan hospital suffering from Amyotrophic Lateral Sclerosis disease")</f>
        <v>Dean responded Jinyintan hospital suffering from Amyotrophic Lateral Sclerosis disease</v>
      </c>
      <c r="D2996" s="5" t="s">
        <v>6931</v>
      </c>
      <c r="E2996" s="4">
        <v>263773</v>
      </c>
      <c r="F2996">
        <v>1</v>
      </c>
    </row>
    <row r="2997" spans="1:6" ht="13.5" customHeight="1">
      <c r="A2997" s="4" t="s">
        <v>6932</v>
      </c>
      <c r="B2997" s="4" t="s">
        <v>6933</v>
      </c>
      <c r="C2997" s="4" t="str">
        <f ca="1">IFERROR(__xludf.DUMMYFUNCTION("GOOGLETRANSLATE(D:D,""auto"",""en"")"),"Air Canada suspended all direct China flights")</f>
        <v>Air Canada suspended all direct China flights</v>
      </c>
      <c r="D2997" s="5" t="s">
        <v>6934</v>
      </c>
      <c r="E2997" s="4">
        <v>261094</v>
      </c>
      <c r="F2997">
        <v>1</v>
      </c>
    </row>
    <row r="2998" spans="1:6" ht="13.5" hidden="1" customHeight="1">
      <c r="A2998" s="4" t="s">
        <v>6108</v>
      </c>
      <c r="B2998" s="4" t="s">
        <v>6109</v>
      </c>
      <c r="C2998" s="4" t="str">
        <f ca="1">IFERROR(__xludf.DUMMYFUNCTION("GOOGLETRANSLATE(D:D,""auto"",""en"")"),"The next stop is happy")</f>
        <v>The next stop is happy</v>
      </c>
      <c r="D2998" s="5" t="s">
        <v>6110</v>
      </c>
      <c r="E2998" s="4">
        <v>255027</v>
      </c>
    </row>
    <row r="2999" spans="1:6" ht="13.5" hidden="1" customHeight="1">
      <c r="A2999" s="4" t="s">
        <v>6720</v>
      </c>
      <c r="B2999" s="4" t="s">
        <v>6721</v>
      </c>
      <c r="C2999" s="4" t="str">
        <f ca="1">IFERROR(__xludf.DUMMYFUNCTION("GOOGLETRANSLATE(D:D,""auto"",""en"")"),"CCTV occasionally have to hide it")</f>
        <v>CCTV occasionally have to hide it</v>
      </c>
      <c r="D2999" s="5" t="s">
        <v>6722</v>
      </c>
      <c r="E2999" s="4">
        <v>244351</v>
      </c>
    </row>
    <row r="3000" spans="1:6" ht="13.5" customHeight="1">
      <c r="A3000" s="4" t="s">
        <v>6935</v>
      </c>
      <c r="B3000" s="4" t="s">
        <v>6936</v>
      </c>
      <c r="C3000" s="4" t="str">
        <f ca="1">IFERROR(__xludf.DUMMYFUNCTION("GOOGLETRANSLATE(D:D,""auto"",""en"")"),"Finland confirmed the first case")</f>
        <v>Finland confirmed the first case</v>
      </c>
      <c r="D3000" s="5" t="s">
        <v>6937</v>
      </c>
      <c r="E3000" s="4">
        <v>221177</v>
      </c>
      <c r="F3000">
        <v>1</v>
      </c>
    </row>
    <row r="3001" spans="1:6" ht="13.5" customHeight="1">
      <c r="A3001" s="4" t="s">
        <v>6938</v>
      </c>
      <c r="B3001" s="4" t="s">
        <v>6939</v>
      </c>
      <c r="C3001" s="4" t="str">
        <f ca="1">IFERROR(__xludf.DUMMYFUNCTION("GOOGLETRANSLATE(D:D,""auto"",""en"")"),"Isolation diary")</f>
        <v>Isolation diary</v>
      </c>
      <c r="D3001" s="5" t="s">
        <v>6940</v>
      </c>
      <c r="E3001" s="4">
        <v>206063</v>
      </c>
      <c r="F3001">
        <v>1</v>
      </c>
    </row>
    <row r="3002" spans="1:6" ht="13.5" customHeight="1">
      <c r="A3002" s="4" t="s">
        <v>6941</v>
      </c>
      <c r="B3002" s="4" t="s">
        <v>6942</v>
      </c>
      <c r="C3002" s="4" t="str">
        <f ca="1">IFERROR(__xludf.DUMMYFUNCTION("GOOGLETRANSLATE(D:D,""auto"",""en"")"),"Beijing canceled Feb. 2 marriage registration")</f>
        <v>Beijing canceled Feb. 2 marriage registration</v>
      </c>
      <c r="D3002" s="5" t="s">
        <v>6943</v>
      </c>
      <c r="E3002" s="4">
        <v>205043</v>
      </c>
      <c r="F3002">
        <v>1</v>
      </c>
    </row>
    <row r="3003" spans="1:6" ht="13.5" customHeight="1">
      <c r="A3003" s="4" t="s">
        <v>6944</v>
      </c>
      <c r="B3003" s="4" t="s">
        <v>6933</v>
      </c>
      <c r="C3003" s="4" t="str">
        <f ca="1">IFERROR(__xludf.DUMMYFUNCTION("GOOGLETRANSLATE(D:D,""auto"",""en"")"),"Raytheon Hill Hospital scale")</f>
        <v>Raytheon Hill Hospital scale</v>
      </c>
      <c r="D3003" s="5" t="s">
        <v>6945</v>
      </c>
      <c r="E3003" s="4">
        <v>204267</v>
      </c>
      <c r="F3003">
        <v>1</v>
      </c>
    </row>
    <row r="3004" spans="1:6" ht="13.5" customHeight="1">
      <c r="A3004" s="4" t="s">
        <v>6917</v>
      </c>
      <c r="B3004" s="4" t="s">
        <v>6771</v>
      </c>
      <c r="C3004" s="4" t="str">
        <f ca="1">IFERROR(__xludf.DUMMYFUNCTION("GOOGLETRANSLATE(D:D,""auto"",""en"")"),"Anhui new new 48 cases of pneumonia")</f>
        <v>Anhui new new 48 cases of pneumonia</v>
      </c>
      <c r="D3004" s="5" t="s">
        <v>6946</v>
      </c>
      <c r="E3004" s="4">
        <v>203528</v>
      </c>
      <c r="F3004">
        <v>1</v>
      </c>
    </row>
    <row r="3005" spans="1:6" ht="13.5" customHeight="1">
      <c r="A3005" s="4" t="s">
        <v>6947</v>
      </c>
      <c r="B3005" s="4" t="s">
        <v>6948</v>
      </c>
      <c r="C3005" s="4" t="str">
        <f ca="1">IFERROR(__xludf.DUMMYFUNCTION("GOOGLETRANSLATE(D:D,""auto"",""en"")"),"Earthy copy prevention Banner")</f>
        <v>Earthy copy prevention Banner</v>
      </c>
      <c r="D3005" s="5" t="s">
        <v>6949</v>
      </c>
      <c r="E3005" s="4">
        <v>196513</v>
      </c>
      <c r="F3005">
        <v>1</v>
      </c>
    </row>
    <row r="3006" spans="1:6" ht="13.5" hidden="1" customHeight="1">
      <c r="A3006" s="4" t="s">
        <v>6759</v>
      </c>
      <c r="B3006" s="4" t="s">
        <v>6760</v>
      </c>
      <c r="C3006" s="4" t="str">
        <f ca="1">IFERROR(__xludf.DUMMYFUNCTION("GOOGLETRANSLATE(D:D,""auto"",""en"")"),"Wenzhou high-speed")</f>
        <v>Wenzhou high-speed</v>
      </c>
      <c r="D3006" s="5" t="s">
        <v>6761</v>
      </c>
      <c r="E3006" s="4">
        <v>180445</v>
      </c>
    </row>
    <row r="3007" spans="1:6" ht="13.5" customHeight="1">
      <c r="A3007" s="4" t="s">
        <v>6757</v>
      </c>
      <c r="B3007" s="4" t="s">
        <v>6715</v>
      </c>
      <c r="C3007" s="4" t="str">
        <f ca="1">IFERROR(__xludf.DUMMYFUNCTION("GOOGLETRANSLATE(D:D,""auto"",""en"")"),"Chinese women's football is isolated in Australia 14 days")</f>
        <v>Chinese women's football is isolated in Australia 14 days</v>
      </c>
      <c r="D3007" s="5" t="s">
        <v>6758</v>
      </c>
      <c r="E3007" s="4">
        <v>174399</v>
      </c>
      <c r="F3007">
        <v>1</v>
      </c>
    </row>
    <row r="3008" spans="1:6" ht="13.5" customHeight="1">
      <c r="A3008" s="4" t="s">
        <v>6726</v>
      </c>
      <c r="B3008" s="4" t="s">
        <v>6727</v>
      </c>
      <c r="C3008" s="4" t="str">
        <f ca="1">IFERROR(__xludf.DUMMYFUNCTION("GOOGLETRANSLATE(D:D,""auto"",""en"")"),"Epidemic inflection point will appear")</f>
        <v>Epidemic inflection point will appear</v>
      </c>
      <c r="D3008" s="5" t="s">
        <v>6728</v>
      </c>
      <c r="E3008" s="4">
        <v>166566</v>
      </c>
      <c r="F3008">
        <v>1</v>
      </c>
    </row>
    <row r="3009" spans="1:6" ht="13.5" hidden="1" customHeight="1">
      <c r="C3009" s="4" t="str">
        <f ca="1">IFERROR(__xludf.DUMMYFUNCTION("GOOGLETRANSLATE(D:D,""auto"",""en"")"),"#VALUE!")</f>
        <v>#VALUE!</v>
      </c>
    </row>
    <row r="3010" spans="1:6" ht="13.5" hidden="1" customHeight="1">
      <c r="A3010" s="4" t="s">
        <v>6950</v>
      </c>
      <c r="B3010" s="4" t="s">
        <v>6951</v>
      </c>
      <c r="C3010" s="4" t="str">
        <f ca="1">IFERROR(__xludf.DUMMYFUNCTION("GOOGLETRANSLATE(D:D,""auto"",""en"")"),"Actor Tiancheng Ren's death")</f>
        <v>Actor Tiancheng Ren's death</v>
      </c>
      <c r="D3010" s="4" t="s">
        <v>6952</v>
      </c>
      <c r="E3010" s="4">
        <v>5018935</v>
      </c>
    </row>
    <row r="3011" spans="1:6" ht="13.5" customHeight="1">
      <c r="A3011" s="4" t="s">
        <v>6953</v>
      </c>
      <c r="B3011" s="4" t="s">
        <v>6954</v>
      </c>
      <c r="C3011" s="4" t="str">
        <f ca="1">IFERROR(__xludf.DUMMYFUNCTION("GOOGLETRANSLATE(D:D,""auto"",""en"")"),"Hubei new confirmed cases 317")</f>
        <v>Hubei new confirmed cases 317</v>
      </c>
      <c r="D3011" s="5" t="s">
        <v>6955</v>
      </c>
      <c r="E3011" s="4">
        <v>2945261</v>
      </c>
      <c r="F3011">
        <v>1</v>
      </c>
    </row>
    <row r="3012" spans="1:6" ht="13.5" customHeight="1">
      <c r="A3012" s="4" t="s">
        <v>6956</v>
      </c>
      <c r="B3012" s="4" t="s">
        <v>6957</v>
      </c>
      <c r="C3012" s="4" t="str">
        <f ca="1">IFERROR(__xludf.DUMMYFUNCTION("GOOGLETRANSLATE(D:D,""auto"",""en"")"),"Huanggang Wei, director of health committee was dismissed Novelty Retrieval")</f>
        <v>Huanggang Wei, director of health committee was dismissed Novelty Retrieval</v>
      </c>
      <c r="D3012" s="5" t="s">
        <v>6958</v>
      </c>
      <c r="E3012" s="4">
        <v>2396100</v>
      </c>
      <c r="F3012">
        <v>1</v>
      </c>
    </row>
    <row r="3013" spans="1:6" ht="13.5" customHeight="1">
      <c r="A3013" s="4" t="s">
        <v>6959</v>
      </c>
      <c r="B3013" s="4" t="s">
        <v>6960</v>
      </c>
      <c r="C3013" s="4" t="str">
        <f ca="1">IFERROR(__xludf.DUMMYFUNCTION("GOOGLETRANSLATE(D:D,""auto"",""en"")"),"Gao Fu")</f>
        <v>Gao Fu</v>
      </c>
      <c r="D3013" s="5" t="s">
        <v>6961</v>
      </c>
      <c r="E3013" s="4">
        <v>2359759</v>
      </c>
      <c r="F3013">
        <v>1</v>
      </c>
    </row>
    <row r="3014" spans="1:6" ht="13.5" customHeight="1">
      <c r="A3014" s="4" t="s">
        <v>6907</v>
      </c>
      <c r="B3014" s="4" t="s">
        <v>6854</v>
      </c>
      <c r="C3014" s="4" t="str">
        <f ca="1">IFERROR(__xludf.DUMMYFUNCTION("GOOGLETRANSLATE(D:D,""auto"",""en"")"),"World Health Organization")</f>
        <v>World Health Organization</v>
      </c>
      <c r="D3014" s="5" t="s">
        <v>6908</v>
      </c>
      <c r="E3014" s="4">
        <v>2357492</v>
      </c>
      <c r="F3014">
        <v>1</v>
      </c>
    </row>
    <row r="3015" spans="1:6" ht="13.5" hidden="1" customHeight="1">
      <c r="A3015" s="4" t="s">
        <v>6962</v>
      </c>
      <c r="B3015" s="4" t="s">
        <v>6963</v>
      </c>
      <c r="C3015" s="4" t="str">
        <f ca="1">IFERROR(__xludf.DUMMYFUNCTION("GOOGLETRANSLATE(D:D,""auto"",""en"")"),"Warm spring flowers grandfather is gone")</f>
        <v>Warm spring flowers grandfather is gone</v>
      </c>
      <c r="D3015" s="5" t="s">
        <v>6964</v>
      </c>
      <c r="E3015" s="4">
        <v>2317562</v>
      </c>
    </row>
    <row r="3016" spans="1:6" ht="13.5" customHeight="1">
      <c r="A3016" s="4" t="s">
        <v>6965</v>
      </c>
      <c r="B3016" s="4" t="s">
        <v>6966</v>
      </c>
      <c r="C3016" s="4" t="str">
        <f ca="1">IFERROR(__xludf.DUMMYFUNCTION("GOOGLETRANSLATE(D:D,""auto"",""en"")"),"Official Journal Vulcan Hill Hospital conflict")</f>
        <v>Official Journal Vulcan Hill Hospital conflict</v>
      </c>
      <c r="D3016" s="5" t="s">
        <v>6967</v>
      </c>
      <c r="E3016" s="4">
        <v>1937477</v>
      </c>
      <c r="F3016">
        <v>1</v>
      </c>
    </row>
    <row r="3017" spans="1:6" ht="13.5" customHeight="1">
      <c r="A3017" s="4" t="s">
        <v>6968</v>
      </c>
      <c r="B3017" s="4" t="s">
        <v>6969</v>
      </c>
      <c r="C3017" s="4" t="str">
        <f ca="1">IFERROR(__xludf.DUMMYFUNCTION("GOOGLETRANSLATE(D:D,""auto"",""en"")"),"Beijing transition period from the input to the proliferation of")</f>
        <v>Beijing transition period from the input to the proliferation of</v>
      </c>
      <c r="D3017" s="5" t="s">
        <v>6970</v>
      </c>
      <c r="E3017" s="4">
        <v>1824859</v>
      </c>
      <c r="F3017">
        <v>1</v>
      </c>
    </row>
    <row r="3018" spans="1:6" ht="13.5" customHeight="1">
      <c r="A3018" s="4" t="s">
        <v>5803</v>
      </c>
      <c r="B3018" s="4" t="s">
        <v>5804</v>
      </c>
      <c r="C3018" s="4" t="str">
        <f ca="1">IFERROR(__xludf.DUMMYFUNCTION("GOOGLETRANSLATE(D:D,""auto"",""en"")"),"The latest outbreak Map")</f>
        <v>The latest outbreak Map</v>
      </c>
      <c r="D3018" s="5" t="s">
        <v>5805</v>
      </c>
      <c r="E3018" s="4">
        <v>1674947</v>
      </c>
      <c r="F3018">
        <v>1</v>
      </c>
    </row>
    <row r="3019" spans="1:6" ht="13.5" hidden="1" customHeight="1">
      <c r="A3019" s="4" t="s">
        <v>6971</v>
      </c>
      <c r="B3019" s="4" t="s">
        <v>6972</v>
      </c>
      <c r="C3019" s="4" t="str">
        <f ca="1">IFERROR(__xludf.DUMMYFUNCTION("GOOGLETRANSLATE(D:D,""auto"",""en"")"),"Elva unexciting love little genius")</f>
        <v>Elva unexciting love little genius</v>
      </c>
      <c r="D3019" s="5" t="s">
        <v>6973</v>
      </c>
      <c r="E3019" s="4">
        <v>1282643</v>
      </c>
    </row>
    <row r="3020" spans="1:6" ht="13.5" customHeight="1">
      <c r="A3020" s="4" t="s">
        <v>6974</v>
      </c>
      <c r="B3020" s="4" t="s">
        <v>6975</v>
      </c>
      <c r="C3020" s="4" t="str">
        <f ca="1">IFERROR(__xludf.DUMMYFUNCTION("GOOGLETRANSLATE(D:D,""auto"",""en"")"),"Vulcan Mountain site")</f>
        <v>Vulcan Mountain site</v>
      </c>
      <c r="D3020" s="5" t="s">
        <v>6976</v>
      </c>
      <c r="E3020" s="4">
        <v>1236924</v>
      </c>
      <c r="F3020">
        <v>1</v>
      </c>
    </row>
    <row r="3021" spans="1:6" ht="13.5" customHeight="1">
      <c r="A3021" s="4" t="s">
        <v>6977</v>
      </c>
      <c r="B3021" s="4" t="s">
        <v>6978</v>
      </c>
      <c r="C3021" s="4" t="str">
        <f ca="1">IFERROR(__xludf.DUMMYFUNCTION("GOOGLETRANSLATE(D:D,""auto"",""en"")"),"Hubei detection capability averaging approximately 4000 parts")</f>
        <v>Hubei detection capability averaging approximately 4000 parts</v>
      </c>
      <c r="D3021" s="5" t="s">
        <v>6979</v>
      </c>
      <c r="E3021" s="4">
        <v>1018602</v>
      </c>
      <c r="F3021">
        <v>1</v>
      </c>
    </row>
    <row r="3022" spans="1:6" ht="13.5" customHeight="1">
      <c r="A3022" s="4" t="s">
        <v>6980</v>
      </c>
      <c r="B3022" s="4" t="s">
        <v>6981</v>
      </c>
      <c r="C3022" s="4" t="str">
        <f ca="1">IFERROR(__xludf.DUMMYFUNCTION("GOOGLETRANSLATE(D:D,""auto"",""en"")"),"Hubei Provincial Committee expressed condolences for the dead epidemic")</f>
        <v>Hubei Provincial Committee expressed condolences for the dead epidemic</v>
      </c>
      <c r="D3022" s="5" t="s">
        <v>6982</v>
      </c>
      <c r="E3022" s="4">
        <v>1010969</v>
      </c>
      <c r="F3022">
        <v>1</v>
      </c>
    </row>
    <row r="3023" spans="1:6" ht="13.5" hidden="1" customHeight="1">
      <c r="A3023" s="4" t="s">
        <v>6983</v>
      </c>
      <c r="B3023" s="4" t="s">
        <v>6984</v>
      </c>
      <c r="C3023" s="4" t="str">
        <f ca="1">IFERROR(__xludf.DUMMYFUNCTION("GOOGLETRANSLATE(D:D,""auto"",""en"")"),"James Tattoo")</f>
        <v>James Tattoo</v>
      </c>
      <c r="D3023" s="5" t="s">
        <v>6985</v>
      </c>
      <c r="E3023" s="4">
        <v>991259</v>
      </c>
    </row>
    <row r="3024" spans="1:6" ht="13.5" customHeight="1">
      <c r="A3024" s="4" t="s">
        <v>6986</v>
      </c>
      <c r="B3024" s="4" t="s">
        <v>6987</v>
      </c>
      <c r="C3024" s="4" t="str">
        <f ca="1">IFERROR(__xludf.DUMMYFUNCTION("GOOGLETRANSLATE(D:D,""auto"",""en"")"),"Guangzhou's first two cases of infected children discharged from hospital")</f>
        <v>Guangzhou's first two cases of infected children discharged from hospital</v>
      </c>
      <c r="D3024" s="5" t="s">
        <v>6988</v>
      </c>
      <c r="E3024" s="4">
        <v>986116</v>
      </c>
      <c r="F3024">
        <v>1</v>
      </c>
    </row>
    <row r="3025" spans="1:6" ht="13.5" customHeight="1">
      <c r="A3025" s="4" t="s">
        <v>6989</v>
      </c>
      <c r="B3025" s="4" t="s">
        <v>6990</v>
      </c>
      <c r="C3025" s="4" t="str">
        <f ca="1">IFERROR(__xludf.DUMMYFUNCTION("GOOGLETRANSLATE(D:D,""auto"",""en"")"),"A business meeting of 30 people infected 11 people")</f>
        <v>A business meeting of 30 people infected 11 people</v>
      </c>
      <c r="D3025" s="5" t="s">
        <v>6991</v>
      </c>
      <c r="E3025" s="4">
        <v>959719</v>
      </c>
      <c r="F3025">
        <v>1</v>
      </c>
    </row>
    <row r="3026" spans="1:6" ht="13.5" hidden="1" customHeight="1">
      <c r="A3026" s="4" t="s">
        <v>6992</v>
      </c>
      <c r="B3026" s="4" t="s">
        <v>6993</v>
      </c>
      <c r="C3026" s="4" t="str">
        <f ca="1">IFERROR(__xludf.DUMMYFUNCTION("GOOGLETRANSLATE(D:D,""auto"",""en"")"),"Go")</f>
        <v>Go</v>
      </c>
      <c r="D3026" s="5" t="s">
        <v>6994</v>
      </c>
      <c r="E3026" s="4">
        <v>953911</v>
      </c>
    </row>
    <row r="3027" spans="1:6" ht="13.5" hidden="1" customHeight="1">
      <c r="A3027" s="4" t="s">
        <v>6995</v>
      </c>
      <c r="B3027" s="4" t="s">
        <v>6996</v>
      </c>
      <c r="C3027" s="4" t="str">
        <f ca="1">IFERROR(__xludf.DUMMYFUNCTION("GOOGLETRANSLATE(D:D,""auto"",""en"")"),"Ouyang Nana Wang source lines")</f>
        <v>Ouyang Nana Wang source lines</v>
      </c>
      <c r="D3027" s="5" t="s">
        <v>6997</v>
      </c>
      <c r="E3027" s="4">
        <v>936622</v>
      </c>
    </row>
    <row r="3028" spans="1:6" ht="13.5" hidden="1" customHeight="1">
      <c r="A3028" s="4" t="s">
        <v>6998</v>
      </c>
      <c r="B3028" s="4" t="s">
        <v>6999</v>
      </c>
      <c r="C3028" s="4" t="str">
        <f ca="1">IFERROR(__xludf.DUMMYFUNCTION("GOOGLETRANSLATE(D:D,""auto"",""en"")"),"Song Weilong male Nianxia")</f>
        <v>Song Weilong male Nianxia</v>
      </c>
      <c r="D3028" s="5" t="s">
        <v>7000</v>
      </c>
      <c r="E3028" s="4">
        <v>923255</v>
      </c>
    </row>
    <row r="3029" spans="1:6" ht="13.5" hidden="1" customHeight="1">
      <c r="A3029" s="4" t="s">
        <v>7001</v>
      </c>
      <c r="B3029" s="4" t="s">
        <v>7002</v>
      </c>
      <c r="C3029" s="4" t="str">
        <f ca="1">IFERROR(__xludf.DUMMYFUNCTION("GOOGLETRANSLATE(D:D,""auto"",""en"")"),"I was driven to the home of what the")</f>
        <v>I was driven to the home of what the</v>
      </c>
      <c r="D3029" s="5" t="s">
        <v>7003</v>
      </c>
      <c r="E3029" s="4">
        <v>898266</v>
      </c>
    </row>
    <row r="3030" spans="1:6" ht="13.5" customHeight="1">
      <c r="A3030" s="4" t="s">
        <v>7004</v>
      </c>
      <c r="B3030" s="4" t="s">
        <v>7005</v>
      </c>
      <c r="C3030" s="4" t="str">
        <f ca="1">IFERROR(__xludf.DUMMYFUNCTION("GOOGLETRANSLATE(D:D,""auto"",""en"")"),"Huanggang Wei health committee")</f>
        <v>Huanggang Wei health committee</v>
      </c>
      <c r="D3030" s="5" t="s">
        <v>7006</v>
      </c>
      <c r="E3030" s="4">
        <v>822031</v>
      </c>
      <c r="F3030">
        <v>1</v>
      </c>
    </row>
    <row r="3031" spans="1:6" ht="13.5" hidden="1" customHeight="1">
      <c r="A3031" s="4" t="s">
        <v>6108</v>
      </c>
      <c r="B3031" s="4" t="s">
        <v>6109</v>
      </c>
      <c r="C3031" s="4" t="str">
        <f ca="1">IFERROR(__xludf.DUMMYFUNCTION("GOOGLETRANSLATE(D:D,""auto"",""en"")"),"The next stop is happy")</f>
        <v>The next stop is happy</v>
      </c>
      <c r="D3031" s="5" t="s">
        <v>6110</v>
      </c>
      <c r="E3031" s="4">
        <v>728299</v>
      </c>
    </row>
    <row r="3032" spans="1:6" ht="13.5" customHeight="1">
      <c r="A3032" s="4" t="s">
        <v>7007</v>
      </c>
      <c r="B3032" s="4" t="s">
        <v>7008</v>
      </c>
      <c r="C3032" s="4" t="str">
        <f ca="1">IFERROR(__xludf.DUMMYFUNCTION("GOOGLETRANSLATE(D:D,""auto"",""en"")"),"Have you seen the most hard-core of masks")</f>
        <v>Have you seen the most hard-core of masks</v>
      </c>
      <c r="D3032" s="5" t="s">
        <v>7009</v>
      </c>
      <c r="E3032" s="4">
        <v>708773</v>
      </c>
      <c r="F3032">
        <v>1</v>
      </c>
    </row>
    <row r="3033" spans="1:6" ht="13.5" hidden="1" customHeight="1">
      <c r="A3033" s="4" t="s">
        <v>7010</v>
      </c>
      <c r="B3033" s="4" t="s">
        <v>7011</v>
      </c>
      <c r="C3033" s="4" t="str">
        <f ca="1">IFERROR(__xludf.DUMMYFUNCTION("GOOGLETRANSLATE(D:D,""auto"",""en"")"),"Let's play another collapse")</f>
        <v>Let's play another collapse</v>
      </c>
      <c r="D3033" s="5" t="s">
        <v>7012</v>
      </c>
      <c r="E3033" s="4">
        <v>657142</v>
      </c>
    </row>
    <row r="3034" spans="1:6" ht="13.5" customHeight="1">
      <c r="A3034" s="4" t="s">
        <v>7013</v>
      </c>
      <c r="B3034" s="4" t="s">
        <v>7014</v>
      </c>
      <c r="C3034" s="4" t="str">
        <f ca="1">IFERROR(__xludf.DUMMYFUNCTION("GOOGLETRANSLATE(D:D,""auto"",""en"")"),"29 cases of Nanning fellow officers")</f>
        <v>29 cases of Nanning fellow officers</v>
      </c>
      <c r="D3034" s="5" t="s">
        <v>7015</v>
      </c>
      <c r="E3034" s="4">
        <v>631535</v>
      </c>
      <c r="F3034">
        <v>1</v>
      </c>
    </row>
    <row r="3035" spans="1:6" ht="13.5" hidden="1" customHeight="1">
      <c r="A3035" s="4" t="s">
        <v>7016</v>
      </c>
      <c r="B3035" s="4" t="s">
        <v>7017</v>
      </c>
      <c r="C3035" s="4" t="str">
        <f ca="1">IFERROR(__xludf.DUMMYFUNCTION("GOOGLETRANSLATE(D:D,""auto"",""en"")"),"Large presided over")</f>
        <v>Large presided over</v>
      </c>
      <c r="D3035" s="5" t="s">
        <v>7018</v>
      </c>
      <c r="E3035" s="4">
        <v>551931</v>
      </c>
    </row>
    <row r="3036" spans="1:6" ht="13.5" customHeight="1">
      <c r="A3036" s="4" t="s">
        <v>7019</v>
      </c>
      <c r="B3036" s="4" t="s">
        <v>6960</v>
      </c>
      <c r="C3036" s="4" t="str">
        <f ca="1">IFERROR(__xludf.DUMMYFUNCTION("GOOGLETRANSLATE(D:D,""auto"",""en"")"),"Hubei Songzi Party Secretary Huang Xianglong suspected infection")</f>
        <v>Hubei Songzi Party Secretary Huang Xianglong suspected infection</v>
      </c>
      <c r="D3036" s="5" t="s">
        <v>7020</v>
      </c>
      <c r="E3036" s="4">
        <v>543621</v>
      </c>
      <c r="F3036">
        <v>1</v>
      </c>
    </row>
    <row r="3037" spans="1:6" ht="13.5" customHeight="1">
      <c r="A3037" s="4" t="s">
        <v>7021</v>
      </c>
      <c r="B3037" s="4" t="s">
        <v>7022</v>
      </c>
      <c r="C3037" s="4" t="str">
        <f ca="1">IFERROR(__xludf.DUMMYFUNCTION("GOOGLETRANSLATE(D:D,""auto"",""en"")"),"Hubei cumulative donations received 6,154,300")</f>
        <v>Hubei cumulative donations received 6,154,300</v>
      </c>
      <c r="D3037" s="5" t="s">
        <v>7023</v>
      </c>
      <c r="E3037" s="4">
        <v>505779</v>
      </c>
      <c r="F3037">
        <v>1</v>
      </c>
    </row>
    <row r="3038" spans="1:6" ht="13.5" customHeight="1">
      <c r="A3038" s="4" t="s">
        <v>7024</v>
      </c>
      <c r="B3038" s="4" t="s">
        <v>7025</v>
      </c>
      <c r="C3038" s="4" t="str">
        <f ca="1">IFERROR(__xludf.DUMMYFUNCTION("GOOGLETRANSLATE(D:D,""auto"",""en"")"),"Epidemic prevention and control materials companies resumed production complex")</f>
        <v>Epidemic prevention and control materials companies resumed production complex</v>
      </c>
      <c r="D3038" s="5" t="s">
        <v>7026</v>
      </c>
      <c r="E3038" s="4">
        <v>484660</v>
      </c>
      <c r="F3038">
        <v>1</v>
      </c>
    </row>
    <row r="3039" spans="1:6" ht="13.5" customHeight="1">
      <c r="A3039" s="4" t="s">
        <v>7027</v>
      </c>
      <c r="B3039" s="4" t="s">
        <v>7028</v>
      </c>
      <c r="C3039" s="4" t="str">
        <f ca="1">IFERROR(__xludf.DUMMYFUNCTION("GOOGLETRANSLATE(D:D,""auto"",""en"")"),"When goods vehicles through a toll station in Wuhan")</f>
        <v>When goods vehicles through a toll station in Wuhan</v>
      </c>
      <c r="D3039" s="5" t="s">
        <v>7029</v>
      </c>
      <c r="E3039" s="4">
        <v>467116</v>
      </c>
      <c r="F3039">
        <v>1</v>
      </c>
    </row>
    <row r="3040" spans="1:6" ht="13.5" hidden="1" customHeight="1">
      <c r="A3040" s="4" t="s">
        <v>7030</v>
      </c>
      <c r="B3040" s="4" t="s">
        <v>7031</v>
      </c>
      <c r="C3040" s="4" t="str">
        <f ca="1">IFERROR(__xludf.DUMMYFUNCTION("GOOGLETRANSLATE(D:D,""auto"",""en"")"),"Ginger Star")</f>
        <v>Ginger Star</v>
      </c>
      <c r="D3040" s="5" t="s">
        <v>7032</v>
      </c>
      <c r="E3040" s="4">
        <v>441398</v>
      </c>
    </row>
    <row r="3041" spans="1:6" ht="13.5" customHeight="1">
      <c r="A3041" s="4" t="s">
        <v>7033</v>
      </c>
      <c r="B3041" s="4" t="s">
        <v>7034</v>
      </c>
      <c r="C3041" s="4" t="str">
        <f ca="1">IFERROR(__xludf.DUMMYFUNCTION("GOOGLETRANSLATE(D:D,""auto"",""en"")"),"Shanghai medical experts to respond to the first-line party leader")</f>
        <v>Shanghai medical experts to respond to the first-line party leader</v>
      </c>
      <c r="D3041" s="5" t="s">
        <v>7035</v>
      </c>
      <c r="E3041" s="4">
        <v>441125</v>
      </c>
      <c r="F3041">
        <v>1</v>
      </c>
    </row>
    <row r="3042" spans="1:6" ht="13.5" hidden="1" customHeight="1">
      <c r="A3042" s="4" t="s">
        <v>7036</v>
      </c>
      <c r="B3042" s="4" t="s">
        <v>7037</v>
      </c>
      <c r="C3042" s="4" t="str">
        <f ca="1">IFERROR(__xludf.DUMMYFUNCTION("GOOGLETRANSLATE(D:D,""auto"",""en"")"),"Peng Min poetry Assembly")</f>
        <v>Peng Min poetry Assembly</v>
      </c>
      <c r="D3042" s="5" t="s">
        <v>7038</v>
      </c>
      <c r="E3042" s="4">
        <v>428020</v>
      </c>
    </row>
    <row r="3043" spans="1:6" ht="13.5" hidden="1" customHeight="1">
      <c r="A3043" s="4" t="s">
        <v>6923</v>
      </c>
      <c r="B3043" s="4" t="s">
        <v>6924</v>
      </c>
      <c r="C3043" s="4" t="str">
        <f ca="1">IFERROR(__xludf.DUMMYFUNCTION("GOOGLETRANSLATE(D:D,""auto"",""en"")"),"The European Parliament passed the British off in Europe")</f>
        <v>The European Parliament passed the British off in Europe</v>
      </c>
      <c r="D3043" s="5" t="s">
        <v>6925</v>
      </c>
      <c r="E3043" s="4">
        <v>362973</v>
      </c>
    </row>
    <row r="3044" spans="1:6" ht="13.5" hidden="1" customHeight="1">
      <c r="A3044" s="4" t="s">
        <v>7039</v>
      </c>
      <c r="B3044" s="4" t="s">
        <v>7040</v>
      </c>
      <c r="C3044" s="4" t="str">
        <f ca="1">IFERROR(__xludf.DUMMYFUNCTION("GOOGLETRANSLATE(D:D,""auto"",""en"")"),"Zhou")</f>
        <v>Zhou</v>
      </c>
      <c r="D3044" s="5" t="s">
        <v>7041</v>
      </c>
      <c r="E3044" s="4">
        <v>347049</v>
      </c>
    </row>
    <row r="3045" spans="1:6" ht="13.5" customHeight="1">
      <c r="A3045" s="4" t="s">
        <v>7042</v>
      </c>
      <c r="B3045" s="4" t="s">
        <v>7043</v>
      </c>
      <c r="C3045" s="4" t="str">
        <f ca="1">IFERROR(__xludf.DUMMYFUNCTION("GOOGLETRANSLATE(D:D,""auto"",""en"")"),"Seized 38 million counterfeit masks only")</f>
        <v>Seized 38 million counterfeit masks only</v>
      </c>
      <c r="D3045" s="5" t="s">
        <v>7044</v>
      </c>
      <c r="E3045" s="4">
        <v>345471</v>
      </c>
      <c r="F3045">
        <v>1</v>
      </c>
    </row>
    <row r="3046" spans="1:6" ht="13.5" customHeight="1">
      <c r="A3046" s="4" t="s">
        <v>6980</v>
      </c>
      <c r="B3046" s="4" t="s">
        <v>7045</v>
      </c>
      <c r="C3046" s="4" t="str">
        <f ca="1">IFERROR(__xludf.DUMMYFUNCTION("GOOGLETRANSLATE(D:D,""auto"",""en"")"),"Health Bureau deputy director of patient privacy leaks being investigated")</f>
        <v>Health Bureau deputy director of patient privacy leaks being investigated</v>
      </c>
      <c r="D3046" s="5" t="s">
        <v>7046</v>
      </c>
      <c r="E3046" s="4">
        <v>338328</v>
      </c>
      <c r="F3046">
        <v>1</v>
      </c>
    </row>
    <row r="3047" spans="1:6" ht="13.5" hidden="1" customHeight="1">
      <c r="A3047" s="4" t="s">
        <v>7047</v>
      </c>
      <c r="B3047" s="4" t="s">
        <v>7048</v>
      </c>
      <c r="C3047" s="4" t="str">
        <f ca="1">IFERROR(__xludf.DUMMYFUNCTION("GOOGLETRANSLATE(D:D,""auto"",""en"")"),"Eve sixth comparison with FIG.")</f>
        <v>Eve sixth comparison with FIG.</v>
      </c>
      <c r="D3047" s="5" t="s">
        <v>7049</v>
      </c>
      <c r="E3047" s="4">
        <v>332735</v>
      </c>
    </row>
    <row r="3048" spans="1:6" ht="13.5" customHeight="1">
      <c r="A3048" s="4" t="s">
        <v>7050</v>
      </c>
      <c r="B3048" s="4" t="s">
        <v>7051</v>
      </c>
      <c r="C3048" s="4" t="str">
        <f ca="1">IFERROR(__xludf.DUMMYFUNCTION("GOOGLETRANSLATE(D:D,""auto"",""en"")"),"After the outbreak of the person you most want to see")</f>
        <v>After the outbreak of the person you most want to see</v>
      </c>
      <c r="D3048" s="5" t="s">
        <v>7052</v>
      </c>
      <c r="E3048" s="4">
        <v>303804</v>
      </c>
      <c r="F3048">
        <v>1</v>
      </c>
    </row>
    <row r="3049" spans="1:6" ht="13.5" customHeight="1">
      <c r="A3049" s="4" t="s">
        <v>6989</v>
      </c>
      <c r="B3049" s="4" t="s">
        <v>7053</v>
      </c>
      <c r="C3049" s="4" t="str">
        <f ca="1">IFERROR(__xludf.DUMMYFUNCTION("GOOGLETRANSLATE(D:D,""auto"",""en"")"),"Hubei Provincial Committee in response to a hard to find")</f>
        <v>Hubei Provincial Committee in response to a hard to find</v>
      </c>
      <c r="D3049" s="5" t="s">
        <v>7054</v>
      </c>
      <c r="E3049" s="4">
        <v>292208</v>
      </c>
      <c r="F3049">
        <v>1</v>
      </c>
    </row>
    <row r="3050" spans="1:6" ht="13.5" customHeight="1">
      <c r="A3050" s="4" t="s">
        <v>7055</v>
      </c>
      <c r="B3050" s="4" t="s">
        <v>6981</v>
      </c>
      <c r="C3050" s="4" t="str">
        <f ca="1">IFERROR(__xludf.DUMMYFUNCTION("GOOGLETRANSLATE(D:D,""auto"",""en"")"),"How do personal protection after return")</f>
        <v>How do personal protection after return</v>
      </c>
      <c r="D3050" s="5" t="s">
        <v>7056</v>
      </c>
      <c r="E3050" s="4">
        <v>281002</v>
      </c>
      <c r="F3050">
        <v>1</v>
      </c>
    </row>
    <row r="3051" spans="1:6" ht="13.5" customHeight="1">
      <c r="A3051" s="4" t="s">
        <v>7057</v>
      </c>
      <c r="B3051" s="4" t="s">
        <v>7058</v>
      </c>
      <c r="C3051" s="4" t="str">
        <f ca="1">IFERROR(__xludf.DUMMYFUNCTION("GOOGLETRANSLATE(D:D,""auto"",""en"")"),"Playing nurse the patient's family pneumonia jingfangxingju")</f>
        <v>Playing nurse the patient's family pneumonia jingfangxingju</v>
      </c>
      <c r="D3051" s="5" t="s">
        <v>7059</v>
      </c>
      <c r="E3051" s="4">
        <v>274822</v>
      </c>
      <c r="F3051">
        <v>1</v>
      </c>
    </row>
    <row r="3052" spans="1:6" ht="13.5" customHeight="1">
      <c r="A3052" s="4" t="s">
        <v>7060</v>
      </c>
      <c r="B3052" s="4" t="s">
        <v>7061</v>
      </c>
      <c r="C3052" s="4" t="str">
        <f ca="1">IFERROR(__xludf.DUMMYFUNCTION("GOOGLETRANSLATE(D:D,""auto"",""en"")"),"Hu star to wear masks")</f>
        <v>Hu star to wear masks</v>
      </c>
      <c r="D3052" s="5" t="s">
        <v>7062</v>
      </c>
      <c r="E3052" s="4">
        <v>271606</v>
      </c>
      <c r="F3052">
        <v>1</v>
      </c>
    </row>
    <row r="3053" spans="1:6" ht="13.5" hidden="1" customHeight="1">
      <c r="A3053" s="4" t="s">
        <v>7063</v>
      </c>
      <c r="B3053" s="4" t="s">
        <v>7064</v>
      </c>
      <c r="C3053" s="4" t="str">
        <f ca="1">IFERROR(__xludf.DUMMYFUNCTION("GOOGLETRANSLATE(D:D,""auto"",""en"")"),"Ning Huanyu")</f>
        <v>Ning Huanyu</v>
      </c>
      <c r="D3053" s="5" t="s">
        <v>7065</v>
      </c>
      <c r="E3053" s="4">
        <v>258190</v>
      </c>
    </row>
    <row r="3054" spans="1:6" ht="13.5" hidden="1" customHeight="1">
      <c r="A3054" s="4" t="s">
        <v>7066</v>
      </c>
      <c r="B3054" s="4" t="s">
        <v>7067</v>
      </c>
      <c r="C3054" s="4" t="str">
        <f ca="1">IFERROR(__xludf.DUMMYFUNCTION("GOOGLETRANSLATE(D:D,""auto"",""en"")"),"These days I can not figure out most things")</f>
        <v>These days I can not figure out most things</v>
      </c>
      <c r="D3054" s="5" t="s">
        <v>7068</v>
      </c>
      <c r="E3054" s="4">
        <v>218658</v>
      </c>
    </row>
    <row r="3055" spans="1:6" ht="13.5" customHeight="1">
      <c r="A3055" s="4" t="s">
        <v>7069</v>
      </c>
      <c r="B3055" s="4" t="s">
        <v>6893</v>
      </c>
      <c r="C3055" s="4" t="str">
        <f ca="1">IFERROR(__xludf.DUMMYFUNCTION("GOOGLETRANSLATE(D:D,""auto"",""en"")"),"Network instruction during the outbreak in Hubei")</f>
        <v>Network instruction during the outbreak in Hubei</v>
      </c>
      <c r="D3055" s="5" t="s">
        <v>7070</v>
      </c>
      <c r="E3055" s="4">
        <v>160705</v>
      </c>
      <c r="F3055">
        <v>1</v>
      </c>
    </row>
    <row r="3056" spans="1:6" ht="13.5" hidden="1" customHeight="1">
      <c r="A3056" s="4" t="s">
        <v>7071</v>
      </c>
      <c r="B3056" s="4" t="s">
        <v>7072</v>
      </c>
      <c r="C3056" s="4" t="str">
        <f ca="1">IFERROR(__xludf.DUMMYFUNCTION("GOOGLETRANSLATE(D:D,""auto"",""en"")"),"Owen tears mourning Bryant")</f>
        <v>Owen tears mourning Bryant</v>
      </c>
      <c r="D3056" s="5" t="s">
        <v>7073</v>
      </c>
      <c r="E3056" s="4">
        <v>126070</v>
      </c>
    </row>
    <row r="3057" spans="1:6" ht="13.5" hidden="1" customHeight="1">
      <c r="A3057" s="4" t="s">
        <v>7074</v>
      </c>
      <c r="B3057" s="4" t="s">
        <v>7075</v>
      </c>
      <c r="C3057" s="4" t="str">
        <f ca="1">IFERROR(__xludf.DUMMYFUNCTION("GOOGLETRANSLATE(D:D,""auto"",""en"")"),"Federer state")</f>
        <v>Federer state</v>
      </c>
      <c r="D3057" s="5" t="s">
        <v>7076</v>
      </c>
      <c r="E3057" s="4">
        <v>112773</v>
      </c>
    </row>
    <row r="3058" spans="1:6" ht="13.5" customHeight="1">
      <c r="A3058" s="4" t="s">
        <v>7077</v>
      </c>
      <c r="B3058" s="4" t="s">
        <v>7078</v>
      </c>
      <c r="C3058" s="4" t="str">
        <f ca="1">IFERROR(__xludf.DUMMYFUNCTION("GOOGLETRANSLATE(D:D,""auto"",""en"")"),"Levels of financial support for epidemic prevention and control 27.3 billion yuan")</f>
        <v>Levels of financial support for epidemic prevention and control 27.3 billion yuan</v>
      </c>
      <c r="D3058" s="5" t="s">
        <v>7079</v>
      </c>
      <c r="E3058" s="4">
        <v>110002</v>
      </c>
      <c r="F3058">
        <v>1</v>
      </c>
    </row>
    <row r="3059" spans="1:6" ht="13.5" customHeight="1">
      <c r="A3059" s="4" t="s">
        <v>7080</v>
      </c>
      <c r="B3059" s="4" t="s">
        <v>7081</v>
      </c>
      <c r="C3059" s="4" t="str">
        <f ca="1">IFERROR(__xludf.DUMMYFUNCTION("GOOGLETRANSLATE(D:D,""auto"",""en"")"),"After the end of the hardest things to eat")</f>
        <v>After the end of the hardest things to eat</v>
      </c>
      <c r="D3059" s="5" t="s">
        <v>7082</v>
      </c>
      <c r="E3059" s="4">
        <v>106936</v>
      </c>
      <c r="F3059">
        <v>1</v>
      </c>
    </row>
    <row r="3060" spans="1:6" ht="13.5" hidden="1" customHeight="1">
      <c r="C3060" s="4" t="str">
        <f ca="1">IFERROR(__xludf.DUMMYFUNCTION("GOOGLETRANSLATE(D:D,""auto"",""en"")"),"#VALUE!")</f>
        <v>#VALUE!</v>
      </c>
    </row>
    <row r="3061" spans="1:6" ht="13.5" customHeight="1">
      <c r="A3061" s="4" t="s">
        <v>7083</v>
      </c>
      <c r="B3061" s="4" t="s">
        <v>7084</v>
      </c>
      <c r="C3061" s="4" t="str">
        <f ca="1">IFERROR(__xludf.DUMMYFUNCTION("GOOGLETRANSLATE(D:D,""auto"",""en"")"),"China decided to send charter flights overseas citizens Hubei home")</f>
        <v>China decided to send charter flights overseas citizens Hubei home</v>
      </c>
      <c r="D3061" s="4" t="s">
        <v>7085</v>
      </c>
      <c r="E3061" s="4">
        <v>5580916</v>
      </c>
      <c r="F3061">
        <v>1</v>
      </c>
    </row>
    <row r="3062" spans="1:6" ht="13.5" customHeight="1">
      <c r="A3062" s="4" t="s">
        <v>7086</v>
      </c>
      <c r="B3062" s="4" t="s">
        <v>6980</v>
      </c>
      <c r="C3062" s="4" t="str">
        <f ca="1">IFERROR(__xludf.DUMMYFUNCTION("GOOGLETRANSLATE(D:D,""auto"",""en"")"),"Of the total 9692 cases diagnosed")</f>
        <v>Of the total 9692 cases diagnosed</v>
      </c>
      <c r="D3062" s="5" t="s">
        <v>7087</v>
      </c>
      <c r="E3062" s="4">
        <v>3613343</v>
      </c>
      <c r="F3062">
        <v>1</v>
      </c>
    </row>
    <row r="3063" spans="1:6" ht="13.5" customHeight="1">
      <c r="A3063" s="4" t="s">
        <v>7088</v>
      </c>
      <c r="B3063" s="4" t="s">
        <v>7089</v>
      </c>
      <c r="C3063" s="4" t="str">
        <f ca="1">IFERROR(__xludf.DUMMYFUNCTION("GOOGLETRANSLATE(D:D,""auto"",""en"")"),"Northern large cities will be put in reserve vegetables")</f>
        <v>Northern large cities will be put in reserve vegetables</v>
      </c>
      <c r="D3063" s="5" t="s">
        <v>7090</v>
      </c>
      <c r="E3063" s="4">
        <v>2550608</v>
      </c>
      <c r="F3063">
        <v>1</v>
      </c>
    </row>
    <row r="3064" spans="1:6" ht="13.5" customHeight="1">
      <c r="A3064" s="4" t="s">
        <v>7001</v>
      </c>
      <c r="B3064" s="4" t="s">
        <v>7091</v>
      </c>
      <c r="C3064" s="4" t="str">
        <f ca="1">IFERROR(__xludf.DUMMYFUNCTION("GOOGLETRANSLATE(D:D,""auto"",""en"")"),"CDC response papers")</f>
        <v>CDC response papers</v>
      </c>
      <c r="D3064" s="5" t="s">
        <v>7092</v>
      </c>
      <c r="E3064" s="4">
        <v>2203765</v>
      </c>
      <c r="F3064">
        <v>1</v>
      </c>
    </row>
    <row r="3065" spans="1:6" ht="13.5" customHeight="1">
      <c r="A3065" s="4" t="s">
        <v>5803</v>
      </c>
      <c r="B3065" s="4" t="s">
        <v>5804</v>
      </c>
      <c r="C3065" s="4" t="str">
        <f ca="1">IFERROR(__xludf.DUMMYFUNCTION("GOOGLETRANSLATE(D:D,""auto"",""en"")"),"The latest outbreak Map")</f>
        <v>The latest outbreak Map</v>
      </c>
      <c r="D3065" s="5" t="s">
        <v>5805</v>
      </c>
      <c r="E3065" s="4">
        <v>1506468</v>
      </c>
      <c r="F3065">
        <v>1</v>
      </c>
    </row>
    <row r="3066" spans="1:6" ht="13.5" customHeight="1">
      <c r="A3066" s="4" t="s">
        <v>6907</v>
      </c>
      <c r="B3066" s="4" t="s">
        <v>7060</v>
      </c>
      <c r="C3066" s="4" t="str">
        <f ca="1">IFERROR(__xludf.DUMMYFUNCTION("GOOGLETRANSLATE(D:D,""auto"",""en"")"),"Chongqing Nantong fly 83 flights were observed Medicine")</f>
        <v>Chongqing Nantong fly 83 flights were observed Medicine</v>
      </c>
      <c r="D3066" s="5" t="s">
        <v>7093</v>
      </c>
      <c r="E3066" s="4">
        <v>1108462</v>
      </c>
      <c r="F3066">
        <v>1</v>
      </c>
    </row>
    <row r="3067" spans="1:6" ht="13.5" customHeight="1">
      <c r="A3067" s="4" t="s">
        <v>7094</v>
      </c>
      <c r="B3067" s="4" t="s">
        <v>6884</v>
      </c>
      <c r="C3067" s="4" t="str">
        <f ca="1">IFERROR(__xludf.DUMMYFUNCTION("GOOGLETRANSLATE(D:D,""auto"",""en"")"),"Zhejiang new 109 cases of new pneumonia")</f>
        <v>Zhejiang new 109 cases of new pneumonia</v>
      </c>
      <c r="D3067" s="5" t="s">
        <v>7095</v>
      </c>
      <c r="E3067" s="4">
        <v>995255</v>
      </c>
      <c r="F3067">
        <v>1</v>
      </c>
    </row>
    <row r="3068" spans="1:6" ht="13.5" hidden="1" customHeight="1">
      <c r="A3068" s="4" t="s">
        <v>7096</v>
      </c>
      <c r="B3068" s="4" t="s">
        <v>7097</v>
      </c>
      <c r="C3068" s="4" t="str">
        <f ca="1">IFERROR(__xludf.DUMMYFUNCTION("GOOGLETRANSLATE(D:D,""auto"",""en"")"),"NBA All-Star Game restructuring")</f>
        <v>NBA All-Star Game restructuring</v>
      </c>
      <c r="D3068" s="5" t="s">
        <v>7098</v>
      </c>
      <c r="E3068" s="4">
        <v>985684</v>
      </c>
    </row>
    <row r="3069" spans="1:6" ht="13.5" customHeight="1">
      <c r="A3069" s="4" t="s">
        <v>6907</v>
      </c>
      <c r="B3069" s="4" t="s">
        <v>6854</v>
      </c>
      <c r="C3069" s="4" t="str">
        <f ca="1">IFERROR(__xludf.DUMMYFUNCTION("GOOGLETRANSLATE(D:D,""auto"",""en"")"),"World Health Organization")</f>
        <v>World Health Organization</v>
      </c>
      <c r="D3069" s="5" t="s">
        <v>6908</v>
      </c>
      <c r="E3069" s="4">
        <v>937530</v>
      </c>
      <c r="F3069">
        <v>1</v>
      </c>
    </row>
    <row r="3070" spans="1:6" ht="13.5" customHeight="1">
      <c r="A3070" s="4" t="s">
        <v>7099</v>
      </c>
      <c r="B3070" s="4" t="s">
        <v>7100</v>
      </c>
      <c r="C3070" s="4" t="str">
        <f ca="1">IFERROR(__xludf.DUMMYFUNCTION("GOOGLETRANSLATE(D:D,""auto"",""en"")"),"Hebei enterprises return to work no earlier than February 9")</f>
        <v>Hebei enterprises return to work no earlier than February 9</v>
      </c>
      <c r="D3070" s="5" t="s">
        <v>7101</v>
      </c>
      <c r="E3070" s="4">
        <v>577443</v>
      </c>
      <c r="F3070">
        <v>1</v>
      </c>
    </row>
    <row r="3071" spans="1:6" ht="13.5" customHeight="1">
      <c r="A3071" s="4" t="s">
        <v>7102</v>
      </c>
      <c r="B3071" s="4" t="s">
        <v>7103</v>
      </c>
      <c r="C3071" s="4" t="str">
        <f ca="1">IFERROR(__xludf.DUMMYFUNCTION("GOOGLETRANSLATE(D:D,""auto"",""en"")"),"Henan resumed deadline postponed")</f>
        <v>Henan resumed deadline postponed</v>
      </c>
      <c r="D3071" s="5" t="s">
        <v>7104</v>
      </c>
      <c r="E3071" s="4">
        <v>530846</v>
      </c>
      <c r="F3071">
        <v>1</v>
      </c>
    </row>
    <row r="3072" spans="1:6" ht="13.5" hidden="1" customHeight="1">
      <c r="A3072" s="4" t="s">
        <v>6962</v>
      </c>
      <c r="B3072" s="4" t="s">
        <v>6963</v>
      </c>
      <c r="C3072" s="4" t="str">
        <f ca="1">IFERROR(__xludf.DUMMYFUNCTION("GOOGLETRANSLATE(D:D,""auto"",""en"")"),"Warm spring flowers grandfather is gone")</f>
        <v>Warm spring flowers grandfather is gone</v>
      </c>
      <c r="D3072" s="5" t="s">
        <v>6964</v>
      </c>
      <c r="E3072" s="4">
        <v>520938</v>
      </c>
    </row>
    <row r="3073" spans="1:6" ht="13.5" customHeight="1">
      <c r="A3073" s="4" t="s">
        <v>7105</v>
      </c>
      <c r="B3073" s="4" t="s">
        <v>7106</v>
      </c>
      <c r="C3073" s="4" t="str">
        <f ca="1">IFERROR(__xludf.DUMMYFUNCTION("GOOGLETRANSLATE(D:D,""auto"",""en"")"),"14, T156 and K1454 times a passenger")</f>
        <v>14, T156 and K1454 times a passenger</v>
      </c>
      <c r="D3073" s="5" t="s">
        <v>7107</v>
      </c>
      <c r="E3073" s="4">
        <v>474463</v>
      </c>
      <c r="F3073">
        <v>1</v>
      </c>
    </row>
    <row r="3074" spans="1:6" ht="13.5" customHeight="1">
      <c r="A3074" s="4" t="s">
        <v>6965</v>
      </c>
      <c r="B3074" s="4" t="s">
        <v>6966</v>
      </c>
      <c r="C3074" s="4" t="str">
        <f ca="1">IFERROR(__xludf.DUMMYFUNCTION("GOOGLETRANSLATE(D:D,""auto"",""en"")"),"Official Journal Vulcan Hill Hospital conflict")</f>
        <v>Official Journal Vulcan Hill Hospital conflict</v>
      </c>
      <c r="D3074" s="5" t="s">
        <v>6967</v>
      </c>
      <c r="E3074" s="4">
        <v>468441</v>
      </c>
      <c r="F3074">
        <v>1</v>
      </c>
    </row>
    <row r="3075" spans="1:6" ht="13.5" customHeight="1">
      <c r="A3075" s="4" t="s">
        <v>7108</v>
      </c>
      <c r="B3075" s="4" t="s">
        <v>7109</v>
      </c>
      <c r="C3075" s="4" t="str">
        <f ca="1">IFERROR(__xludf.DUMMYFUNCTION("GOOGLETRANSLATE(D:D,""auto"",""en"")"),"Henan new new 74 cases of pneumonia")</f>
        <v>Henan new new 74 cases of pneumonia</v>
      </c>
      <c r="D3075" s="5" t="s">
        <v>7110</v>
      </c>
      <c r="E3075" s="4">
        <v>456941</v>
      </c>
      <c r="F3075">
        <v>1</v>
      </c>
    </row>
    <row r="3076" spans="1:6" ht="13.5" hidden="1" customHeight="1">
      <c r="A3076" s="4" t="s">
        <v>7111</v>
      </c>
      <c r="B3076" s="4" t="s">
        <v>7112</v>
      </c>
      <c r="C3076" s="4" t="str">
        <f ca="1">IFERROR(__xludf.DUMMYFUNCTION("GOOGLETRANSLATE(D:D,""auto"",""en"")"),"NetEase carefully selected collapse")</f>
        <v>NetEase carefully selected collapse</v>
      </c>
      <c r="D3076" s="5" t="s">
        <v>7113</v>
      </c>
      <c r="E3076" s="4">
        <v>455995</v>
      </c>
    </row>
    <row r="3077" spans="1:6" ht="13.5" customHeight="1">
      <c r="A3077" s="4" t="s">
        <v>7114</v>
      </c>
      <c r="B3077" s="4" t="s">
        <v>7115</v>
      </c>
      <c r="C3077" s="4" t="str">
        <f ca="1">IFERROR(__xludf.DUMMYFUNCTION("GOOGLETRANSLATE(D:D,""auto"",""en"")"),"US first case of human to human transmission cases")</f>
        <v>US first case of human to human transmission cases</v>
      </c>
      <c r="D3077" s="5" t="s">
        <v>7116</v>
      </c>
      <c r="E3077" s="4">
        <v>453518</v>
      </c>
      <c r="F3077">
        <v>1</v>
      </c>
    </row>
    <row r="3078" spans="1:6" ht="13.5" hidden="1" customHeight="1">
      <c r="A3078" s="4" t="s">
        <v>7117</v>
      </c>
      <c r="B3078" s="4" t="s">
        <v>7118</v>
      </c>
      <c r="C3078" s="4" t="str">
        <f ca="1">IFERROR(__xludf.DUMMYFUNCTION("GOOGLETRANSLATE(D:D,""auto"",""en"")"),"NBA All-Star lineup")</f>
        <v>NBA All-Star lineup</v>
      </c>
      <c r="D3078" s="5" t="s">
        <v>7119</v>
      </c>
      <c r="E3078" s="4">
        <v>447353</v>
      </c>
    </row>
    <row r="3079" spans="1:6" ht="13.5" customHeight="1">
      <c r="A3079" s="4" t="s">
        <v>7120</v>
      </c>
      <c r="B3079" s="4" t="s">
        <v>7121</v>
      </c>
      <c r="C3079" s="4" t="str">
        <f ca="1">IFERROR(__xludf.DUMMYFUNCTION("GOOGLETRANSLATE(D:D,""auto"",""en"")"),"Italian first two cases confirmed cases")</f>
        <v>Italian first two cases confirmed cases</v>
      </c>
      <c r="D3079" s="5" t="s">
        <v>7122</v>
      </c>
      <c r="E3079" s="4">
        <v>444178</v>
      </c>
      <c r="F3079">
        <v>1</v>
      </c>
    </row>
    <row r="3080" spans="1:6" ht="13.5" customHeight="1">
      <c r="A3080" s="4" t="s">
        <v>7123</v>
      </c>
      <c r="B3080" s="4" t="s">
        <v>7124</v>
      </c>
      <c r="C3080" s="4" t="str">
        <f ca="1">IFERROR(__xludf.DUMMYFUNCTION("GOOGLETRANSLATE(D:D,""auto"",""en"")"),"Hubei new 1220 cases")</f>
        <v>Hubei new 1220 cases</v>
      </c>
      <c r="D3080" s="5" t="s">
        <v>7125</v>
      </c>
      <c r="E3080" s="4">
        <v>443610</v>
      </c>
      <c r="F3080">
        <v>1</v>
      </c>
    </row>
    <row r="3081" spans="1:6" ht="13.5" customHeight="1">
      <c r="A3081" s="4" t="s">
        <v>7126</v>
      </c>
      <c r="B3081" s="4" t="s">
        <v>7127</v>
      </c>
      <c r="C3081" s="4" t="str">
        <f ca="1">IFERROR(__xludf.DUMMYFUNCTION("GOOGLETRANSLATE(D:D,""auto"",""en"")"),"Shaanxi new 24 cases of new pneumonia")</f>
        <v>Shaanxi new 24 cases of new pneumonia</v>
      </c>
      <c r="D3081" s="5" t="s">
        <v>7128</v>
      </c>
      <c r="E3081" s="4">
        <v>383779</v>
      </c>
      <c r="F3081">
        <v>1</v>
      </c>
    </row>
    <row r="3082" spans="1:6" ht="13.5" customHeight="1">
      <c r="A3082" s="4" t="s">
        <v>6989</v>
      </c>
      <c r="B3082" s="4" t="s">
        <v>6990</v>
      </c>
      <c r="C3082" s="4" t="str">
        <f ca="1">IFERROR(__xludf.DUMMYFUNCTION("GOOGLETRANSLATE(D:D,""auto"",""en"")"),"A business meeting of 30 people infected 11 people")</f>
        <v>A business meeting of 30 people infected 11 people</v>
      </c>
      <c r="D3082" s="5" t="s">
        <v>6991</v>
      </c>
      <c r="E3082" s="4">
        <v>367918</v>
      </c>
      <c r="F3082">
        <v>1</v>
      </c>
    </row>
    <row r="3083" spans="1:6" ht="13.5" customHeight="1">
      <c r="A3083" s="4" t="s">
        <v>7001</v>
      </c>
      <c r="B3083" s="4" t="s">
        <v>7002</v>
      </c>
      <c r="C3083" s="4" t="str">
        <f ca="1">IFERROR(__xludf.DUMMYFUNCTION("GOOGLETRANSLATE(D:D,""auto"",""en"")"),"I was driven to the home of what the")</f>
        <v>I was driven to the home of what the</v>
      </c>
      <c r="D3083" s="5" t="s">
        <v>7003</v>
      </c>
      <c r="E3083" s="4">
        <v>342767</v>
      </c>
      <c r="F3083">
        <v>1</v>
      </c>
    </row>
    <row r="3084" spans="1:6" ht="13.5" customHeight="1">
      <c r="A3084" s="4" t="s">
        <v>7129</v>
      </c>
      <c r="B3084" s="4" t="s">
        <v>7130</v>
      </c>
      <c r="C3084" s="4" t="str">
        <f ca="1">IFERROR(__xludf.DUMMYFUNCTION("GOOGLETRANSLATE(D:D,""auto"",""en"")"),"Anhui new new 37 cases of pneumonia")</f>
        <v>Anhui new new 37 cases of pneumonia</v>
      </c>
      <c r="D3084" s="5" t="s">
        <v>7131</v>
      </c>
      <c r="E3084" s="4">
        <v>331342</v>
      </c>
      <c r="F3084">
        <v>1</v>
      </c>
    </row>
    <row r="3085" spans="1:6" ht="13.5" hidden="1" customHeight="1">
      <c r="A3085" s="4" t="s">
        <v>6992</v>
      </c>
      <c r="B3085" s="4" t="s">
        <v>6993</v>
      </c>
      <c r="C3085" s="4" t="str">
        <f ca="1">IFERROR(__xludf.DUMMYFUNCTION("GOOGLETRANSLATE(D:D,""auto"",""en"")"),"Go")</f>
        <v>Go</v>
      </c>
      <c r="D3085" s="5" t="s">
        <v>6994</v>
      </c>
      <c r="E3085" s="4">
        <v>263835</v>
      </c>
    </row>
    <row r="3086" spans="1:6" ht="13.5" hidden="1" customHeight="1">
      <c r="A3086" s="4" t="s">
        <v>6998</v>
      </c>
      <c r="B3086" s="4" t="s">
        <v>6999</v>
      </c>
      <c r="C3086" s="4" t="str">
        <f ca="1">IFERROR(__xludf.DUMMYFUNCTION("GOOGLETRANSLATE(D:D,""auto"",""en"")"),"Song Weilong male Nianxia")</f>
        <v>Song Weilong male Nianxia</v>
      </c>
      <c r="D3086" s="5" t="s">
        <v>7000</v>
      </c>
      <c r="E3086" s="4">
        <v>226543</v>
      </c>
    </row>
    <row r="3087" spans="1:6" ht="13.5" customHeight="1">
      <c r="A3087" s="4" t="s">
        <v>6989</v>
      </c>
      <c r="B3087" s="4" t="s">
        <v>7053</v>
      </c>
      <c r="C3087" s="4" t="str">
        <f ca="1">IFERROR(__xludf.DUMMYFUNCTION("GOOGLETRANSLATE(D:D,""auto"",""en"")"),"Hubei Provincial Committee in response to a hard to find")</f>
        <v>Hubei Provincial Committee in response to a hard to find</v>
      </c>
      <c r="D3087" s="5" t="s">
        <v>7054</v>
      </c>
      <c r="E3087" s="4">
        <v>190400</v>
      </c>
      <c r="F3087">
        <v>1</v>
      </c>
    </row>
    <row r="3088" spans="1:6" ht="13.5" hidden="1" customHeight="1">
      <c r="A3088" s="4" t="s">
        <v>7132</v>
      </c>
      <c r="B3088" s="4" t="s">
        <v>7133</v>
      </c>
      <c r="C3088" s="4" t="str">
        <f ca="1">IFERROR(__xludf.DUMMYFUNCTION("GOOGLETRANSLATE(D:D,""auto"",""en"")"),"Human photographed so far the clearest picture of the sun")</f>
        <v>Human photographed so far the clearest picture of the sun</v>
      </c>
      <c r="D3088" s="5" t="s">
        <v>7134</v>
      </c>
      <c r="E3088" s="4">
        <v>190185</v>
      </c>
    </row>
    <row r="3089" spans="1:6" ht="13.5" customHeight="1">
      <c r="A3089" s="4" t="s">
        <v>7024</v>
      </c>
      <c r="B3089" s="4" t="s">
        <v>7025</v>
      </c>
      <c r="C3089" s="4" t="str">
        <f ca="1">IFERROR(__xludf.DUMMYFUNCTION("GOOGLETRANSLATE(D:D,""auto"",""en"")"),"Epidemic prevention and control materials companies resumed production complex")</f>
        <v>Epidemic prevention and control materials companies resumed production complex</v>
      </c>
      <c r="D3089" s="5" t="s">
        <v>7026</v>
      </c>
      <c r="E3089" s="4">
        <v>190140</v>
      </c>
      <c r="F3089">
        <v>1</v>
      </c>
    </row>
    <row r="3090" spans="1:6" ht="13.5" customHeight="1">
      <c r="A3090" s="4" t="s">
        <v>6956</v>
      </c>
      <c r="B3090" s="4" t="s">
        <v>6957</v>
      </c>
      <c r="C3090" s="4" t="str">
        <f ca="1">IFERROR(__xludf.DUMMYFUNCTION("GOOGLETRANSLATE(D:D,""auto"",""en"")"),"Huanggang Wei, director of health committee was dismissed Novelty Retrieval")</f>
        <v>Huanggang Wei, director of health committee was dismissed Novelty Retrieval</v>
      </c>
      <c r="D3090" s="5" t="s">
        <v>6958</v>
      </c>
      <c r="E3090" s="4">
        <v>190139</v>
      </c>
      <c r="F3090">
        <v>1</v>
      </c>
    </row>
    <row r="3091" spans="1:6" ht="13.5" hidden="1" customHeight="1">
      <c r="A3091" s="4" t="s">
        <v>6995</v>
      </c>
      <c r="B3091" s="4" t="s">
        <v>6996</v>
      </c>
      <c r="C3091" s="4" t="str">
        <f ca="1">IFERROR(__xludf.DUMMYFUNCTION("GOOGLETRANSLATE(D:D,""auto"",""en"")"),"Ouyang Nana Wang source lines")</f>
        <v>Ouyang Nana Wang source lines</v>
      </c>
      <c r="D3091" s="5" t="s">
        <v>6997</v>
      </c>
      <c r="E3091" s="4">
        <v>179213</v>
      </c>
    </row>
    <row r="3092" spans="1:6" ht="13.5" customHeight="1">
      <c r="A3092" s="4" t="s">
        <v>7050</v>
      </c>
      <c r="B3092" s="4" t="s">
        <v>7051</v>
      </c>
      <c r="C3092" s="4" t="str">
        <f ca="1">IFERROR(__xludf.DUMMYFUNCTION("GOOGLETRANSLATE(D:D,""auto"",""en"")"),"After the outbreak of the person you most want to see")</f>
        <v>After the outbreak of the person you most want to see</v>
      </c>
      <c r="D3092" s="5" t="s">
        <v>7052</v>
      </c>
      <c r="E3092" s="4">
        <v>176330</v>
      </c>
      <c r="F3092">
        <v>1</v>
      </c>
    </row>
    <row r="3093" spans="1:6" ht="13.5" customHeight="1">
      <c r="A3093" s="4" t="s">
        <v>7007</v>
      </c>
      <c r="B3093" s="4" t="s">
        <v>7008</v>
      </c>
      <c r="C3093" s="4" t="str">
        <f ca="1">IFERROR(__xludf.DUMMYFUNCTION("GOOGLETRANSLATE(D:D,""auto"",""en"")"),"Have you seen the most hard-core of masks")</f>
        <v>Have you seen the most hard-core of masks</v>
      </c>
      <c r="D3093" s="5" t="s">
        <v>7009</v>
      </c>
      <c r="E3093" s="4">
        <v>160483</v>
      </c>
      <c r="F3093">
        <v>1</v>
      </c>
    </row>
    <row r="3094" spans="1:6" ht="13.5" hidden="1" customHeight="1">
      <c r="A3094" s="4" t="s">
        <v>6923</v>
      </c>
      <c r="B3094" s="4" t="s">
        <v>6924</v>
      </c>
      <c r="C3094" s="4" t="str">
        <f ca="1">IFERROR(__xludf.DUMMYFUNCTION("GOOGLETRANSLATE(D:D,""auto"",""en"")"),"The European Parliament passed the British off in Europe")</f>
        <v>The European Parliament passed the British off in Europe</v>
      </c>
      <c r="D3094" s="5" t="s">
        <v>6925</v>
      </c>
      <c r="E3094" s="4">
        <v>160313</v>
      </c>
    </row>
    <row r="3095" spans="1:6" ht="13.5" hidden="1" customHeight="1">
      <c r="A3095" s="4" t="s">
        <v>6108</v>
      </c>
      <c r="B3095" s="4" t="s">
        <v>6109</v>
      </c>
      <c r="C3095" s="4" t="str">
        <f ca="1">IFERROR(__xludf.DUMMYFUNCTION("GOOGLETRANSLATE(D:D,""auto"",""en"")"),"The next stop is happy")</f>
        <v>The next stop is happy</v>
      </c>
      <c r="D3095" s="5" t="s">
        <v>6110</v>
      </c>
      <c r="E3095" s="4">
        <v>160306</v>
      </c>
    </row>
    <row r="3096" spans="1:6" ht="13.5" customHeight="1">
      <c r="A3096" s="4" t="s">
        <v>7027</v>
      </c>
      <c r="B3096" s="4" t="s">
        <v>7028</v>
      </c>
      <c r="C3096" s="4" t="str">
        <f ca="1">IFERROR(__xludf.DUMMYFUNCTION("GOOGLETRANSLATE(D:D,""auto"",""en"")"),"When goods vehicles through a toll station in Wuhan")</f>
        <v>When goods vehicles through a toll station in Wuhan</v>
      </c>
      <c r="D3096" s="5" t="s">
        <v>7029</v>
      </c>
      <c r="E3096" s="4">
        <v>159468</v>
      </c>
      <c r="F3096">
        <v>1</v>
      </c>
    </row>
    <row r="3097" spans="1:6" ht="13.5" hidden="1" customHeight="1">
      <c r="A3097" s="4" t="s">
        <v>6950</v>
      </c>
      <c r="B3097" s="4" t="s">
        <v>6951</v>
      </c>
      <c r="C3097" s="4" t="str">
        <f ca="1">IFERROR(__xludf.DUMMYFUNCTION("GOOGLETRANSLATE(D:D,""auto"",""en"")"),"Actor Tiancheng Ren's death")</f>
        <v>Actor Tiancheng Ren's death</v>
      </c>
      <c r="D3097" s="5" t="s">
        <v>6952</v>
      </c>
      <c r="E3097" s="4">
        <v>152463</v>
      </c>
    </row>
    <row r="3098" spans="1:6" ht="13.5" customHeight="1">
      <c r="A3098" s="4" t="s">
        <v>6974</v>
      </c>
      <c r="B3098" s="4" t="s">
        <v>6975</v>
      </c>
      <c r="C3098" s="4" t="str">
        <f ca="1">IFERROR(__xludf.DUMMYFUNCTION("GOOGLETRANSLATE(D:D,""auto"",""en"")"),"Vulcan Mountain site")</f>
        <v>Vulcan Mountain site</v>
      </c>
      <c r="D3098" s="5" t="s">
        <v>6976</v>
      </c>
      <c r="E3098" s="4">
        <v>132544</v>
      </c>
      <c r="F3098">
        <v>1</v>
      </c>
    </row>
    <row r="3099" spans="1:6" ht="13.5" hidden="1" customHeight="1">
      <c r="A3099" s="4" t="s">
        <v>6983</v>
      </c>
      <c r="B3099" s="4" t="s">
        <v>6984</v>
      </c>
      <c r="C3099" s="4" t="str">
        <f ca="1">IFERROR(__xludf.DUMMYFUNCTION("GOOGLETRANSLATE(D:D,""auto"",""en"")"),"James Tattoo")</f>
        <v>James Tattoo</v>
      </c>
      <c r="D3099" s="5" t="s">
        <v>6985</v>
      </c>
      <c r="E3099" s="4">
        <v>130753</v>
      </c>
    </row>
    <row r="3100" spans="1:6" ht="13.5" hidden="1" customHeight="1">
      <c r="A3100" s="4" t="s">
        <v>7036</v>
      </c>
      <c r="B3100" s="4" t="s">
        <v>7037</v>
      </c>
      <c r="C3100" s="4" t="str">
        <f ca="1">IFERROR(__xludf.DUMMYFUNCTION("GOOGLETRANSLATE(D:D,""auto"",""en"")"),"Peng Min poetry Assembly")</f>
        <v>Peng Min poetry Assembly</v>
      </c>
      <c r="D3100" s="5" t="s">
        <v>7038</v>
      </c>
      <c r="E3100" s="4">
        <v>119276</v>
      </c>
    </row>
    <row r="3101" spans="1:6" ht="13.5" customHeight="1">
      <c r="A3101" s="4" t="s">
        <v>7021</v>
      </c>
      <c r="B3101" s="4" t="s">
        <v>7022</v>
      </c>
      <c r="C3101" s="4" t="str">
        <f ca="1">IFERROR(__xludf.DUMMYFUNCTION("GOOGLETRANSLATE(D:D,""auto"",""en"")"),"Hubei cumulative donations received 6,154,300")</f>
        <v>Hubei cumulative donations received 6,154,300</v>
      </c>
      <c r="D3101" s="5" t="s">
        <v>7023</v>
      </c>
      <c r="E3101" s="4">
        <v>118700</v>
      </c>
      <c r="F3101">
        <v>1</v>
      </c>
    </row>
    <row r="3102" spans="1:6" ht="13.5" customHeight="1">
      <c r="A3102" s="4" t="s">
        <v>6968</v>
      </c>
      <c r="B3102" s="4" t="s">
        <v>6969</v>
      </c>
      <c r="C3102" s="4" t="str">
        <f ca="1">IFERROR(__xludf.DUMMYFUNCTION("GOOGLETRANSLATE(D:D,""auto"",""en"")"),"Beijing transition period from the input to the proliferation of")</f>
        <v>Beijing transition period from the input to the proliferation of</v>
      </c>
      <c r="D3102" s="5" t="s">
        <v>6970</v>
      </c>
      <c r="E3102" s="4">
        <v>118107</v>
      </c>
      <c r="F3102">
        <v>1</v>
      </c>
    </row>
    <row r="3103" spans="1:6" ht="13.5" customHeight="1">
      <c r="A3103" s="4" t="s">
        <v>7055</v>
      </c>
      <c r="B3103" s="4" t="s">
        <v>6981</v>
      </c>
      <c r="C3103" s="4" t="str">
        <f ca="1">IFERROR(__xludf.DUMMYFUNCTION("GOOGLETRANSLATE(D:D,""auto"",""en"")"),"How do personal protection after return")</f>
        <v>How do personal protection after return</v>
      </c>
      <c r="D3103" s="5" t="s">
        <v>7056</v>
      </c>
      <c r="E3103" s="4">
        <v>103539</v>
      </c>
      <c r="F3103">
        <v>1</v>
      </c>
    </row>
    <row r="3104" spans="1:6" ht="13.5" customHeight="1">
      <c r="A3104" s="4" t="s">
        <v>7042</v>
      </c>
      <c r="B3104" s="4" t="s">
        <v>7043</v>
      </c>
      <c r="C3104" s="4" t="str">
        <f ca="1">IFERROR(__xludf.DUMMYFUNCTION("GOOGLETRANSLATE(D:D,""auto"",""en"")"),"Seized 38 million counterfeit masks only")</f>
        <v>Seized 38 million counterfeit masks only</v>
      </c>
      <c r="D3104" s="5" t="s">
        <v>7044</v>
      </c>
      <c r="E3104" s="4">
        <v>100129</v>
      </c>
      <c r="F3104">
        <v>1</v>
      </c>
    </row>
    <row r="3105" spans="1:6" ht="13.5" customHeight="1">
      <c r="A3105" s="4" t="s">
        <v>7019</v>
      </c>
      <c r="B3105" s="4" t="s">
        <v>6960</v>
      </c>
      <c r="C3105" s="4" t="str">
        <f ca="1">IFERROR(__xludf.DUMMYFUNCTION("GOOGLETRANSLATE(D:D,""auto"",""en"")"),"Hubei Songzi Party Secretary Huang Xianglong suspected infection")</f>
        <v>Hubei Songzi Party Secretary Huang Xianglong suspected infection</v>
      </c>
      <c r="D3105" s="5" t="s">
        <v>7020</v>
      </c>
      <c r="E3105" s="4">
        <v>84571</v>
      </c>
      <c r="F3105">
        <v>1</v>
      </c>
    </row>
    <row r="3106" spans="1:6" ht="13.5" hidden="1" customHeight="1">
      <c r="A3106" s="4" t="s">
        <v>7016</v>
      </c>
      <c r="B3106" s="4" t="s">
        <v>7017</v>
      </c>
      <c r="C3106" s="4" t="str">
        <f ca="1">IFERROR(__xludf.DUMMYFUNCTION("GOOGLETRANSLATE(D:D,""auto"",""en"")"),"Large presided over")</f>
        <v>Large presided over</v>
      </c>
      <c r="D3106" s="5" t="s">
        <v>7018</v>
      </c>
      <c r="E3106" s="4">
        <v>84498</v>
      </c>
    </row>
    <row r="3107" spans="1:6" ht="13.5" hidden="1" customHeight="1">
      <c r="A3107" s="4" t="s">
        <v>6971</v>
      </c>
      <c r="B3107" s="4" t="s">
        <v>6972</v>
      </c>
      <c r="C3107" s="4" t="str">
        <f ca="1">IFERROR(__xludf.DUMMYFUNCTION("GOOGLETRANSLATE(D:D,""auto"",""en"")"),"Elva unexciting love little genius")</f>
        <v>Elva unexciting love little genius</v>
      </c>
      <c r="D3107" s="5" t="s">
        <v>6973</v>
      </c>
      <c r="E3107" s="4">
        <v>84354</v>
      </c>
    </row>
    <row r="3108" spans="1:6" ht="13.5" hidden="1" customHeight="1">
      <c r="A3108" s="4" t="s">
        <v>7030</v>
      </c>
      <c r="B3108" s="4" t="s">
        <v>7031</v>
      </c>
      <c r="C3108" s="4" t="str">
        <f ca="1">IFERROR(__xludf.DUMMYFUNCTION("GOOGLETRANSLATE(D:D,""auto"",""en"")"),"Ginger Star")</f>
        <v>Ginger Star</v>
      </c>
      <c r="D3108" s="5" t="s">
        <v>7032</v>
      </c>
      <c r="E3108" s="4">
        <v>80995</v>
      </c>
    </row>
    <row r="3109" spans="1:6" ht="13.5" customHeight="1">
      <c r="A3109" s="4" t="s">
        <v>7033</v>
      </c>
      <c r="B3109" s="4" t="s">
        <v>7034</v>
      </c>
      <c r="C3109" s="4" t="str">
        <f ca="1">IFERROR(__xludf.DUMMYFUNCTION("GOOGLETRANSLATE(D:D,""auto"",""en"")"),"Shanghai medical experts to respond to the first-line party leader")</f>
        <v>Shanghai medical experts to respond to the first-line party leader</v>
      </c>
      <c r="D3109" s="5" t="s">
        <v>7035</v>
      </c>
      <c r="E3109" s="4">
        <v>75853</v>
      </c>
      <c r="F3109">
        <v>1</v>
      </c>
    </row>
    <row r="3110" spans="1:6" ht="13.5" customHeight="1">
      <c r="A3110" s="4" t="s">
        <v>7004</v>
      </c>
      <c r="B3110" s="4" t="s">
        <v>7005</v>
      </c>
      <c r="C3110" s="4" t="str">
        <f ca="1">IFERROR(__xludf.DUMMYFUNCTION("GOOGLETRANSLATE(D:D,""auto"",""en"")"),"Huanggang Wei health committee")</f>
        <v>Huanggang Wei health committee</v>
      </c>
      <c r="D3110" s="5" t="s">
        <v>7006</v>
      </c>
      <c r="E3110" s="4">
        <v>71903</v>
      </c>
      <c r="F3110">
        <v>1</v>
      </c>
    </row>
    <row r="3111" spans="1:6" ht="13.5" hidden="1" customHeight="1">
      <c r="C3111" s="4" t="str">
        <f ca="1">IFERROR(__xludf.DUMMYFUNCTION("GOOGLETRANSLATE(D:D,""auto"",""en"")"),"#VALUE!")</f>
        <v>#VALUE!</v>
      </c>
    </row>
    <row r="3112" spans="1:6" ht="13.5" customHeight="1">
      <c r="A3112" s="4" t="s">
        <v>7135</v>
      </c>
      <c r="B3112" s="4" t="s">
        <v>7136</v>
      </c>
      <c r="C3112" s="4" t="str">
        <f ca="1">IFERROR(__xludf.DUMMYFUNCTION("GOOGLETRANSLATE(D:D,""auto"",""en"")"),"SHL can inhibit the novel coronavirus")</f>
        <v>SHL can inhibit the novel coronavirus</v>
      </c>
      <c r="D3112" s="4" t="s">
        <v>7137</v>
      </c>
      <c r="E3112" s="4">
        <v>16134192</v>
      </c>
      <c r="F3112">
        <v>1</v>
      </c>
    </row>
    <row r="3113" spans="1:6" ht="13.5" customHeight="1">
      <c r="A3113" s="4" t="s">
        <v>7138</v>
      </c>
      <c r="B3113" s="4" t="s">
        <v>7139</v>
      </c>
      <c r="C3113" s="4" t="str">
        <f ca="1">IFERROR(__xludf.DUMMYFUNCTION("GOOGLETRANSLATE(D:D,""auto"",""en"")"),"Italy declared a state of emergency")</f>
        <v>Italy declared a state of emergency</v>
      </c>
      <c r="D3113" s="5" t="s">
        <v>7140</v>
      </c>
      <c r="E3113" s="4">
        <v>3704710</v>
      </c>
      <c r="F3113">
        <v>1</v>
      </c>
    </row>
    <row r="3114" spans="1:6" ht="13.5" customHeight="1">
      <c r="A3114" s="4" t="s">
        <v>7141</v>
      </c>
      <c r="B3114" s="4" t="s">
        <v>7142</v>
      </c>
      <c r="C3114" s="4" t="str">
        <f ca="1">IFERROR(__xludf.DUMMYFUNCTION("GOOGLETRANSLATE(D:D,""auto"",""en"")"),"62 countries for Chinese citizens implementation of immigration control")</f>
        <v>62 countries for Chinese citizens implementation of immigration control</v>
      </c>
      <c r="D3114" s="5" t="s">
        <v>7143</v>
      </c>
      <c r="E3114" s="4">
        <v>2894726</v>
      </c>
      <c r="F3114">
        <v>1</v>
      </c>
    </row>
    <row r="3115" spans="1:6" ht="13.5" hidden="1" customHeight="1">
      <c r="A3115" s="4" t="s">
        <v>7144</v>
      </c>
      <c r="B3115" s="4" t="s">
        <v>7145</v>
      </c>
      <c r="C3115" s="4" t="str">
        <f ca="1">IFERROR(__xludf.DUMMYFUNCTION("GOOGLETRANSLATE(D:D,""auto"",""en"")"),"Wang Ou Ni Ni to recommend what tonics")</f>
        <v>Wang Ou Ni Ni to recommend what tonics</v>
      </c>
      <c r="D3115" s="5" t="s">
        <v>7146</v>
      </c>
      <c r="E3115" s="4">
        <v>2719932</v>
      </c>
    </row>
    <row r="3116" spans="1:6" ht="13.5" customHeight="1">
      <c r="A3116" s="4" t="s">
        <v>7147</v>
      </c>
      <c r="B3116" s="4" t="s">
        <v>7148</v>
      </c>
      <c r="C3116" s="4" t="str">
        <f ca="1">IFERROR(__xludf.DUMMYFUNCTION("GOOGLETRANSLATE(D:D,""auto"",""en"")"),"Wuhan received a total of 2.586 billion yuan of social contributions")</f>
        <v>Wuhan received a total of 2.586 billion yuan of social contributions</v>
      </c>
      <c r="D3116" s="5" t="s">
        <v>7149</v>
      </c>
      <c r="E3116" s="4">
        <v>2267355</v>
      </c>
      <c r="F3116">
        <v>1</v>
      </c>
    </row>
    <row r="3117" spans="1:6" ht="13.5" customHeight="1">
      <c r="A3117" s="4" t="s">
        <v>7150</v>
      </c>
      <c r="B3117" s="4" t="s">
        <v>7151</v>
      </c>
      <c r="C3117" s="4" t="str">
        <f ca="1">IFERROR(__xludf.DUMMYFUNCTION("GOOGLETRANSLATE(D:D,""auto"",""en"")"),"Gold and Silver Lake Wuhan hospital 20 patients discharged from hospital group")</f>
        <v>Gold and Silver Lake Wuhan hospital 20 patients discharged from hospital group</v>
      </c>
      <c r="D3117" s="5" t="s">
        <v>7152</v>
      </c>
      <c r="E3117" s="4">
        <v>2042987</v>
      </c>
      <c r="F3117">
        <v>1</v>
      </c>
    </row>
    <row r="3118" spans="1:6" ht="13.5" customHeight="1">
      <c r="A3118" s="4" t="s">
        <v>7153</v>
      </c>
      <c r="B3118" s="4" t="s">
        <v>7154</v>
      </c>
      <c r="C3118" s="4" t="str">
        <f ca="1">IFERROR(__xludf.DUMMYFUNCTION("GOOGLETRANSLATE(D:D,""auto"",""en"")"),"One person dialogue, deputy secretary of Hubei Province")</f>
        <v>One person dialogue, deputy secretary of Hubei Province</v>
      </c>
      <c r="D3118" s="5" t="s">
        <v>7155</v>
      </c>
      <c r="E3118" s="4">
        <v>1778319</v>
      </c>
      <c r="F3118">
        <v>1</v>
      </c>
    </row>
    <row r="3119" spans="1:6" ht="13.5" customHeight="1">
      <c r="A3119" s="4" t="s">
        <v>5803</v>
      </c>
      <c r="B3119" s="4" t="s">
        <v>5804</v>
      </c>
      <c r="C3119" s="4" t="str">
        <f ca="1">IFERROR(__xludf.DUMMYFUNCTION("GOOGLETRANSLATE(D:D,""auto"",""en"")"),"The latest outbreak Map")</f>
        <v>The latest outbreak Map</v>
      </c>
      <c r="D3119" s="5" t="s">
        <v>5805</v>
      </c>
      <c r="E3119" s="4">
        <v>1613816</v>
      </c>
      <c r="F3119">
        <v>1</v>
      </c>
    </row>
    <row r="3120" spans="1:6" ht="13.5" customHeight="1">
      <c r="A3120" s="4" t="s">
        <v>7156</v>
      </c>
      <c r="B3120" s="4" t="s">
        <v>7157</v>
      </c>
      <c r="C3120" s="4" t="str">
        <f ca="1">IFERROR(__xludf.DUMMYFUNCTION("GOOGLETRANSLATE(D:D,""auto"",""en"")"),"Wuhan Union Hospital received much-needed supplies")</f>
        <v>Wuhan Union Hospital received much-needed supplies</v>
      </c>
      <c r="D3120" s="5" t="s">
        <v>7158</v>
      </c>
      <c r="E3120" s="4">
        <v>1594430</v>
      </c>
      <c r="F3120">
        <v>1</v>
      </c>
    </row>
    <row r="3121" spans="1:6" ht="13.5" customHeight="1">
      <c r="A3121" s="4" t="s">
        <v>7159</v>
      </c>
      <c r="B3121" s="4" t="s">
        <v>7160</v>
      </c>
      <c r="C3121" s="4" t="str">
        <f ca="1">IFERROR(__xludf.DUMMYFUNCTION("GOOGLETRANSLATE(D:D,""auto"",""en"")"),"Australian Capital declared a state of emergency")</f>
        <v>Australian Capital declared a state of emergency</v>
      </c>
      <c r="D3121" s="5" t="s">
        <v>7161</v>
      </c>
      <c r="E3121" s="4">
        <v>1494780</v>
      </c>
      <c r="F3121">
        <v>1</v>
      </c>
    </row>
    <row r="3122" spans="1:6" ht="13.5" hidden="1" customHeight="1">
      <c r="A3122" s="4" t="s">
        <v>7162</v>
      </c>
      <c r="B3122" s="4" t="s">
        <v>7163</v>
      </c>
      <c r="C3122" s="4" t="str">
        <f ca="1">IFERROR(__xludf.DUMMYFUNCTION("GOOGLETRANSLATE(D:D,""auto"",""en"")"),"Brush microblogging mood every day")</f>
        <v>Brush microblogging mood every day</v>
      </c>
      <c r="D3122" s="5" t="s">
        <v>7164</v>
      </c>
      <c r="E3122" s="4">
        <v>1386180</v>
      </c>
    </row>
    <row r="3123" spans="1:6" ht="13.5" customHeight="1">
      <c r="A3123" s="4" t="s">
        <v>7165</v>
      </c>
      <c r="B3123" s="4" t="s">
        <v>7166</v>
      </c>
      <c r="C3123" s="4" t="str">
        <f ca="1">IFERROR(__xludf.DUMMYFUNCTION("GOOGLETRANSLATE(D:D,""auto"",""en"")"),"Wuhan stock of 34,400 tons of vegetables")</f>
        <v>Wuhan stock of 34,400 tons of vegetables</v>
      </c>
      <c r="D3123" s="5" t="s">
        <v>7167</v>
      </c>
      <c r="E3123" s="4">
        <v>1112060</v>
      </c>
      <c r="F3123">
        <v>1</v>
      </c>
    </row>
    <row r="3124" spans="1:6" ht="13.5" customHeight="1">
      <c r="A3124" s="4" t="s">
        <v>7168</v>
      </c>
      <c r="B3124" s="4" t="s">
        <v>7169</v>
      </c>
      <c r="C3124" s="4" t="str">
        <f ca="1">IFERROR(__xludf.DUMMYFUNCTION("GOOGLETRANSLATE(D:D,""auto"",""en"")"),"Hubei Red Cross response to material supply problem")</f>
        <v>Hubei Red Cross response to material supply problem</v>
      </c>
      <c r="D3124" s="5" t="s">
        <v>7170</v>
      </c>
      <c r="E3124" s="4">
        <v>1082258</v>
      </c>
      <c r="F3124">
        <v>1</v>
      </c>
    </row>
    <row r="3125" spans="1:6" ht="13.5" customHeight="1">
      <c r="A3125" s="4" t="s">
        <v>7171</v>
      </c>
      <c r="B3125" s="4" t="s">
        <v>7172</v>
      </c>
      <c r="C3125" s="4" t="str">
        <f ca="1">IFERROR(__xludf.DUMMYFUNCTION("GOOGLETRANSLATE(D:D,""auto"",""en"")"),"President of the Charity Hospital in response to the use of masks")</f>
        <v>President of the Charity Hospital in response to the use of masks</v>
      </c>
      <c r="D3125" s="5" t="s">
        <v>7173</v>
      </c>
      <c r="E3125" s="4">
        <v>1053287</v>
      </c>
      <c r="F3125">
        <v>1</v>
      </c>
    </row>
    <row r="3126" spans="1:6" ht="13.5" customHeight="1">
      <c r="A3126" s="4" t="s">
        <v>7174</v>
      </c>
      <c r="B3126" s="4" t="s">
        <v>7175</v>
      </c>
      <c r="C3126" s="4" t="str">
        <f ca="1">IFERROR(__xludf.DUMMYFUNCTION("GOOGLETRANSLATE(D:D,""auto"",""en"")"),"Vulcan Mountain February 3 patients can be treated")</f>
        <v>Vulcan Mountain February 3 patients can be treated</v>
      </c>
      <c r="D3126" s="5" t="s">
        <v>7176</v>
      </c>
      <c r="E3126" s="4">
        <v>805048</v>
      </c>
      <c r="F3126">
        <v>1</v>
      </c>
    </row>
    <row r="3127" spans="1:6" ht="13.5" hidden="1" customHeight="1">
      <c r="A3127" s="4" t="s">
        <v>7177</v>
      </c>
      <c r="B3127" s="4" t="s">
        <v>7160</v>
      </c>
      <c r="C3127" s="4" t="str">
        <f ca="1">IFERROR(__xludf.DUMMYFUNCTION("GOOGLETRANSLATE(D:D,""auto"",""en"")"),"Gao Xiaosong")</f>
        <v>Gao Xiaosong</v>
      </c>
      <c r="D3127" s="5" t="s">
        <v>7178</v>
      </c>
      <c r="E3127" s="4">
        <v>799028</v>
      </c>
    </row>
    <row r="3128" spans="1:6" ht="13.5" hidden="1" customHeight="1">
      <c r="A3128" s="4" t="s">
        <v>7179</v>
      </c>
      <c r="B3128" s="4" t="s">
        <v>7163</v>
      </c>
      <c r="C3128" s="4" t="str">
        <f ca="1">IFERROR(__xludf.DUMMYFUNCTION("GOOGLETRANSLATE(D:D,""auto"",""en"")"),"Sansei III pillow book white light trailers")</f>
        <v>Sansei III pillow book white light trailers</v>
      </c>
      <c r="D3128" s="5" t="s">
        <v>7180</v>
      </c>
      <c r="E3128" s="4">
        <v>795994</v>
      </c>
    </row>
    <row r="3129" spans="1:6" ht="13.5" hidden="1" customHeight="1">
      <c r="A3129" s="4" t="s">
        <v>7156</v>
      </c>
      <c r="B3129" s="4" t="s">
        <v>7181</v>
      </c>
      <c r="C3129" s="4" t="str">
        <f ca="1">IFERROR(__xludf.DUMMYFUNCTION("GOOGLETRANSLATE(D:D,""auto"",""en"")"),"JiangMengJie father views")</f>
        <v>JiangMengJie father views</v>
      </c>
      <c r="D3129" s="5" t="s">
        <v>7182</v>
      </c>
      <c r="E3129" s="4">
        <v>786795</v>
      </c>
    </row>
    <row r="3130" spans="1:6" ht="13.5" hidden="1" customHeight="1">
      <c r="A3130" s="4" t="s">
        <v>7183</v>
      </c>
      <c r="B3130" s="4" t="s">
        <v>7184</v>
      </c>
      <c r="C3130" s="4" t="str">
        <f ca="1">IFERROR(__xludf.DUMMYFUNCTION("GOOGLETRANSLATE(D:D,""auto"",""en"")"),"Zhao Shan")</f>
        <v>Zhao Shan</v>
      </c>
      <c r="D3130" s="5" t="s">
        <v>7185</v>
      </c>
      <c r="E3130" s="4">
        <v>780673</v>
      </c>
    </row>
    <row r="3131" spans="1:6" ht="13.5" hidden="1" customHeight="1">
      <c r="A3131" s="4" t="s">
        <v>7186</v>
      </c>
      <c r="B3131" s="4" t="s">
        <v>7187</v>
      </c>
      <c r="C3131" s="4" t="str">
        <f ca="1">IFERROR(__xludf.DUMMYFUNCTION("GOOGLETRANSLATE(D:D,""auto"",""en"")"),"Lin Shengbin")</f>
        <v>Lin Shengbin</v>
      </c>
      <c r="D3131" s="5" t="s">
        <v>7188</v>
      </c>
      <c r="E3131" s="4">
        <v>772422</v>
      </c>
    </row>
    <row r="3132" spans="1:6" ht="13.5" hidden="1" customHeight="1">
      <c r="A3132" s="4" t="s">
        <v>7189</v>
      </c>
      <c r="B3132" s="4" t="s">
        <v>7190</v>
      </c>
      <c r="C3132" s="4" t="str">
        <f ca="1">IFERROR(__xludf.DUMMYFUNCTION("GOOGLETRANSLATE(D:D,""auto"",""en"")"),"He who set the stars")</f>
        <v>He who set the stars</v>
      </c>
      <c r="D3132" s="5" t="s">
        <v>7191</v>
      </c>
      <c r="E3132" s="4">
        <v>766099</v>
      </c>
    </row>
    <row r="3133" spans="1:6" ht="13.5" hidden="1" customHeight="1">
      <c r="A3133" s="4" t="s">
        <v>7192</v>
      </c>
      <c r="B3133" s="4" t="s">
        <v>7193</v>
      </c>
      <c r="C3133" s="4" t="str">
        <f ca="1">IFERROR(__xludf.DUMMYFUNCTION("GOOGLETRANSLATE(D:D,""auto"",""en"")"),"Pace four female viviparous")</f>
        <v>Pace four female viviparous</v>
      </c>
      <c r="D3133" s="5" t="s">
        <v>7194</v>
      </c>
      <c r="E3133" s="4">
        <v>760833</v>
      </c>
    </row>
    <row r="3134" spans="1:6" ht="13.5" customHeight="1">
      <c r="A3134" s="4" t="s">
        <v>7195</v>
      </c>
      <c r="B3134" s="4" t="s">
        <v>7196</v>
      </c>
      <c r="C3134" s="4" t="str">
        <f ca="1">IFERROR(__xludf.DUMMYFUNCTION("GOOGLETRANSLATE(D:D,""auto"",""en"")"),"Wenzhou school time")</f>
        <v>Wenzhou school time</v>
      </c>
      <c r="D3134" s="5" t="s">
        <v>7197</v>
      </c>
      <c r="E3134" s="4">
        <v>759057</v>
      </c>
      <c r="F3134">
        <v>1</v>
      </c>
    </row>
    <row r="3135" spans="1:6" ht="13.5" customHeight="1">
      <c r="A3135" s="4" t="s">
        <v>7153</v>
      </c>
      <c r="B3135" s="4" t="s">
        <v>7120</v>
      </c>
      <c r="C3135" s="4" t="str">
        <f ca="1">IFERROR(__xludf.DUMMYFUNCTION("GOOGLETRANSLATE(D:D,""auto"",""en"")"),"School a little cheaper even think about accounting")</f>
        <v>School a little cheaper even think about accounting</v>
      </c>
      <c r="D3135" s="5" t="s">
        <v>7198</v>
      </c>
      <c r="E3135" s="4">
        <v>724631</v>
      </c>
      <c r="F3135">
        <v>1</v>
      </c>
    </row>
    <row r="3136" spans="1:6" ht="13.5" hidden="1" customHeight="1">
      <c r="A3136" s="4" t="s">
        <v>7199</v>
      </c>
      <c r="B3136" s="4" t="s">
        <v>7200</v>
      </c>
      <c r="C3136" s="4" t="str">
        <f ca="1">IFERROR(__xludf.DUMMYFUNCTION("GOOGLETRANSLATE(D:D,""auto"",""en"")"),"Hangzhou Red Cross")</f>
        <v>Hangzhou Red Cross</v>
      </c>
      <c r="D3136" s="5" t="s">
        <v>7201</v>
      </c>
      <c r="E3136" s="4">
        <v>698956</v>
      </c>
    </row>
    <row r="3137" spans="1:6" ht="13.5" customHeight="1">
      <c r="A3137" s="4" t="s">
        <v>7150</v>
      </c>
      <c r="B3137" s="4" t="s">
        <v>7202</v>
      </c>
      <c r="C3137" s="4" t="str">
        <f ca="1">IFERROR(__xludf.DUMMYFUNCTION("GOOGLETRANSLATE(D:D,""auto"",""en"")"),"Host Live cough")</f>
        <v>Host Live cough</v>
      </c>
      <c r="D3137" s="5" t="s">
        <v>7203</v>
      </c>
      <c r="E3137" s="4">
        <v>666678</v>
      </c>
      <c r="F3137">
        <v>1</v>
      </c>
    </row>
    <row r="3138" spans="1:6" ht="13.5" customHeight="1">
      <c r="A3138" s="4" t="s">
        <v>7204</v>
      </c>
      <c r="B3138" s="4" t="s">
        <v>7205</v>
      </c>
      <c r="C3138" s="4" t="str">
        <f ca="1">IFERROR(__xludf.DUMMYFUNCTION("GOOGLETRANSLATE(D:D,""auto"",""en"")"),"More than 60,000 medical workers fighting Wuhan")</f>
        <v>More than 60,000 medical workers fighting Wuhan</v>
      </c>
      <c r="D3138" s="5" t="s">
        <v>7206</v>
      </c>
      <c r="E3138" s="4">
        <v>643285</v>
      </c>
      <c r="F3138">
        <v>1</v>
      </c>
    </row>
    <row r="3139" spans="1:6" ht="13.5" hidden="1" customHeight="1">
      <c r="A3139" s="4" t="s">
        <v>7207</v>
      </c>
      <c r="B3139" s="4" t="s">
        <v>7169</v>
      </c>
      <c r="C3139" s="4" t="str">
        <f ca="1">IFERROR(__xludf.DUMMYFUNCTION("GOOGLETRANSLATE(D:D,""auto"",""en"")"),"Chongqing newspaper published dish")</f>
        <v>Chongqing newspaper published dish</v>
      </c>
      <c r="D3139" s="5" t="s">
        <v>7208</v>
      </c>
      <c r="E3139" s="4">
        <v>641210</v>
      </c>
    </row>
    <row r="3140" spans="1:6" ht="13.5" customHeight="1">
      <c r="A3140" s="4" t="s">
        <v>7209</v>
      </c>
      <c r="B3140" s="4" t="s">
        <v>6923</v>
      </c>
      <c r="C3140" s="4" t="str">
        <f ca="1">IFERROR(__xludf.DUMMYFUNCTION("GOOGLETRANSLATE(D:D,""auto"",""en"")"),"Cure patients with the risk of re-infection")</f>
        <v>Cure patients with the risk of re-infection</v>
      </c>
      <c r="D3140" s="5" t="s">
        <v>7210</v>
      </c>
      <c r="E3140" s="4">
        <v>605796</v>
      </c>
      <c r="F3140">
        <v>1</v>
      </c>
    </row>
    <row r="3141" spans="1:6" ht="13.5" customHeight="1">
      <c r="A3141" s="4" t="s">
        <v>7211</v>
      </c>
      <c r="B3141" s="4" t="s">
        <v>7212</v>
      </c>
      <c r="C3141" s="4" t="str">
        <f ca="1">IFERROR(__xludf.DUMMYFUNCTION("GOOGLETRANSLATE(D:D,""auto"",""en"")"),"Union Hospital of Wuhan Municipal Party Committee Secretary responded missing no shortage of supplies")</f>
        <v>Union Hospital of Wuhan Municipal Party Committee Secretary responded missing no shortage of supplies</v>
      </c>
      <c r="D3141" s="5" t="s">
        <v>7213</v>
      </c>
      <c r="E3141" s="4">
        <v>589121</v>
      </c>
      <c r="F3141">
        <v>1</v>
      </c>
    </row>
    <row r="3142" spans="1:6" ht="13.5" customHeight="1">
      <c r="A3142" s="4" t="s">
        <v>7162</v>
      </c>
      <c r="B3142" s="4" t="s">
        <v>7136</v>
      </c>
      <c r="C3142" s="4" t="str">
        <f ca="1">IFERROR(__xludf.DUMMYFUNCTION("GOOGLETRANSLATE(D:D,""auto"",""en"")"),"Japan and more Chinese rush to the rescue")</f>
        <v>Japan and more Chinese rush to the rescue</v>
      </c>
      <c r="D3142" s="5" t="s">
        <v>7214</v>
      </c>
      <c r="E3142" s="4">
        <v>583725</v>
      </c>
      <c r="F3142">
        <v>1</v>
      </c>
    </row>
    <row r="3143" spans="1:6" ht="13.5" customHeight="1">
      <c r="A3143" s="4" t="s">
        <v>7215</v>
      </c>
      <c r="B3143" s="4" t="s">
        <v>7108</v>
      </c>
      <c r="C3143" s="4" t="str">
        <f ca="1">IFERROR(__xludf.DUMMYFUNCTION("GOOGLETRANSLATE(D:D,""auto"",""en"")"),"Koji Yano donated 130,000 masks")</f>
        <v>Koji Yano donated 130,000 masks</v>
      </c>
      <c r="D3143" s="5" t="s">
        <v>7216</v>
      </c>
      <c r="E3143" s="4">
        <v>567303</v>
      </c>
      <c r="F3143">
        <v>1</v>
      </c>
    </row>
    <row r="3144" spans="1:6" ht="13.5" hidden="1" customHeight="1">
      <c r="A3144" s="4" t="s">
        <v>7217</v>
      </c>
      <c r="B3144" s="4" t="s">
        <v>7117</v>
      </c>
      <c r="C3144" s="4" t="str">
        <f ca="1">IFERROR(__xludf.DUMMYFUNCTION("GOOGLETRANSLATE(D:D,""auto"",""en"")"),"NetEase carefully selected and collapse")</f>
        <v>NetEase carefully selected and collapse</v>
      </c>
      <c r="D3144" s="5" t="s">
        <v>7218</v>
      </c>
      <c r="E3144" s="4">
        <v>562508</v>
      </c>
    </row>
    <row r="3145" spans="1:6" ht="13.5" hidden="1" customHeight="1">
      <c r="A3145" s="4" t="s">
        <v>7219</v>
      </c>
      <c r="B3145" s="4" t="s">
        <v>7212</v>
      </c>
      <c r="C3145" s="4" t="str">
        <f ca="1">IFERROR(__xludf.DUMMYFUNCTION("GOOGLETRANSLATE(D:D,""auto"",""en"")"),"Ye Luming funny")</f>
        <v>Ye Luming funny</v>
      </c>
      <c r="D3145" s="5" t="s">
        <v>7220</v>
      </c>
      <c r="E3145" s="4">
        <v>561535</v>
      </c>
    </row>
    <row r="3146" spans="1:6" ht="13.5" customHeight="1">
      <c r="A3146" s="4" t="s">
        <v>7221</v>
      </c>
      <c r="B3146" s="4" t="s">
        <v>7222</v>
      </c>
      <c r="C3146" s="4" t="str">
        <f ca="1">IFERROR(__xludf.DUMMYFUNCTION("GOOGLETRANSLATE(D:D,""auto"",""en"")"),"When a virus is found in the response to disease control human transmission")</f>
        <v>When a virus is found in the response to disease control human transmission</v>
      </c>
      <c r="D3146" s="5" t="s">
        <v>7223</v>
      </c>
      <c r="E3146" s="4">
        <v>551472</v>
      </c>
      <c r="F3146">
        <v>1</v>
      </c>
    </row>
    <row r="3147" spans="1:6" ht="13.5" hidden="1" customHeight="1">
      <c r="A3147" s="4" t="s">
        <v>7224</v>
      </c>
      <c r="B3147" s="4" t="s">
        <v>7225</v>
      </c>
      <c r="C3147" s="4" t="str">
        <f ca="1">IFERROR(__xludf.DUMMYFUNCTION("GOOGLETRANSLATE(D:D,""auto"",""en"")"),"News Network against children call father")</f>
        <v>News Network against children call father</v>
      </c>
      <c r="D3147" s="5" t="s">
        <v>7226</v>
      </c>
      <c r="E3147" s="4">
        <v>454014</v>
      </c>
    </row>
    <row r="3148" spans="1:6" ht="13.5" customHeight="1">
      <c r="A3148" s="4" t="s">
        <v>7227</v>
      </c>
      <c r="B3148" s="4" t="s">
        <v>7228</v>
      </c>
      <c r="C3148" s="4" t="str">
        <f ca="1">IFERROR(__xludf.DUMMYFUNCTION("GOOGLETRANSLATE(D:D,""auto"",""en"")"),"Residents protest at the Korean isolation")</f>
        <v>Residents protest at the Korean isolation</v>
      </c>
      <c r="D3148" s="5" t="s">
        <v>7229</v>
      </c>
      <c r="E3148" s="4">
        <v>435206</v>
      </c>
      <c r="F3148">
        <v>1</v>
      </c>
    </row>
    <row r="3149" spans="1:6" ht="13.5" customHeight="1">
      <c r="A3149" s="4" t="s">
        <v>7209</v>
      </c>
      <c r="B3149" s="4" t="s">
        <v>7230</v>
      </c>
      <c r="C3149" s="4" t="str">
        <f ca="1">IFERROR(__xludf.DUMMYFUNCTION("GOOGLETRANSLATE(D:D,""auto"",""en"")"),"Dad finally hold crazy")</f>
        <v>Dad finally hold crazy</v>
      </c>
      <c r="D3149" s="5" t="s">
        <v>7231</v>
      </c>
      <c r="E3149" s="4">
        <v>359739</v>
      </c>
      <c r="F3149">
        <v>1</v>
      </c>
    </row>
    <row r="3150" spans="1:6" ht="13.5" customHeight="1">
      <c r="A3150" s="4" t="s">
        <v>6717</v>
      </c>
      <c r="B3150" s="4" t="s">
        <v>6718</v>
      </c>
      <c r="C3150" s="4" t="str">
        <f ca="1">IFERROR(__xludf.DUMMYFUNCTION("GOOGLETRANSLATE(D:D,""auto"",""en"")"),"The epidemic is still in the diffusion phase")</f>
        <v>The epidemic is still in the diffusion phase</v>
      </c>
      <c r="D3150" s="5" t="s">
        <v>6719</v>
      </c>
      <c r="E3150" s="4">
        <v>337244</v>
      </c>
      <c r="F3150">
        <v>1</v>
      </c>
    </row>
    <row r="3151" spans="1:6" ht="13.5" customHeight="1">
      <c r="A3151" s="4" t="s">
        <v>7209</v>
      </c>
      <c r="B3151" s="4" t="s">
        <v>7232</v>
      </c>
      <c r="C3151" s="4" t="str">
        <f ca="1">IFERROR(__xludf.DUMMYFUNCTION("GOOGLETRANSLATE(D:D,""auto"",""en"")"),"China imported 56.228 million masks over the past week")</f>
        <v>China imported 56.228 million masks over the past week</v>
      </c>
      <c r="D3151" s="5" t="s">
        <v>7233</v>
      </c>
      <c r="E3151" s="4">
        <v>332133</v>
      </c>
      <c r="F3151">
        <v>1</v>
      </c>
    </row>
    <row r="3152" spans="1:6" ht="13.5" hidden="1" customHeight="1">
      <c r="A3152" s="4" t="s">
        <v>7204</v>
      </c>
      <c r="B3152" s="4" t="s">
        <v>7234</v>
      </c>
      <c r="C3152" s="4" t="str">
        <f ca="1">IFERROR(__xludf.DUMMYFUNCTION("GOOGLETRANSLATE(D:D,""auto"",""en"")"),"How much do you care at home")</f>
        <v>How much do you care at home</v>
      </c>
      <c r="D3152" s="5" t="s">
        <v>7235</v>
      </c>
      <c r="E3152" s="4">
        <v>321226</v>
      </c>
    </row>
    <row r="3153" spans="1:6" ht="13.5" hidden="1" customHeight="1">
      <c r="A3153" s="4" t="s">
        <v>7236</v>
      </c>
      <c r="B3153" s="4" t="s">
        <v>7237</v>
      </c>
      <c r="C3153" s="4" t="str">
        <f ca="1">IFERROR(__xludf.DUMMYFUNCTION("GOOGLETRANSLATE(D:D,""auto"",""en"")"),"Liu Yifei riding action scenes")</f>
        <v>Liu Yifei riding action scenes</v>
      </c>
      <c r="D3153" s="5" t="s">
        <v>7238</v>
      </c>
      <c r="E3153" s="4">
        <v>320527</v>
      </c>
    </row>
    <row r="3154" spans="1:6" ht="13.5" customHeight="1">
      <c r="A3154" s="4" t="s">
        <v>7239</v>
      </c>
      <c r="B3154" s="4" t="s">
        <v>7117</v>
      </c>
      <c r="C3154" s="4" t="str">
        <f ca="1">IFERROR(__xludf.DUMMYFUNCTION("GOOGLETRANSLATE(D:D,""auto"",""en"")"),"Back to Beijing personnel can not enter the community to play 12345")</f>
        <v>Back to Beijing personnel can not enter the community to play 12345</v>
      </c>
      <c r="D3154" s="5" t="s">
        <v>7240</v>
      </c>
      <c r="E3154" s="4">
        <v>284705</v>
      </c>
      <c r="F3154">
        <v>1</v>
      </c>
    </row>
    <row r="3155" spans="1:6" ht="13.5" hidden="1" customHeight="1">
      <c r="A3155" s="4" t="s">
        <v>7209</v>
      </c>
      <c r="B3155" s="4" t="s">
        <v>7241</v>
      </c>
      <c r="C3155" s="4" t="str">
        <f ca="1">IFERROR(__xludf.DUMMYFUNCTION("GOOGLETRANSLATE(D:D,""auto"",""en"")"),"These days I brush microblogging")</f>
        <v>These days I brush microblogging</v>
      </c>
      <c r="D3155" s="5" t="s">
        <v>7242</v>
      </c>
      <c r="E3155" s="4">
        <v>273435</v>
      </c>
    </row>
    <row r="3156" spans="1:6" ht="13.5" customHeight="1">
      <c r="A3156" s="4" t="s">
        <v>7236</v>
      </c>
      <c r="B3156" s="4" t="s">
        <v>7243</v>
      </c>
      <c r="C3156" s="4" t="str">
        <f ca="1">IFERROR(__xludf.DUMMYFUNCTION("GOOGLETRANSLATE(D:D,""auto"",""en"")"),"Enjoin charity issued once every three days by the donation case")</f>
        <v>Enjoin charity issued once every three days by the donation case</v>
      </c>
      <c r="D3156" s="5" t="s">
        <v>7244</v>
      </c>
      <c r="E3156" s="4">
        <v>271853</v>
      </c>
      <c r="F3156">
        <v>1</v>
      </c>
    </row>
    <row r="3157" spans="1:6" ht="13.5" customHeight="1">
      <c r="A3157" s="4" t="s">
        <v>7245</v>
      </c>
      <c r="B3157" s="4" t="s">
        <v>7246</v>
      </c>
      <c r="C3157" s="4" t="str">
        <f ca="1">IFERROR(__xludf.DUMMYFUNCTION("GOOGLETRANSLATE(D:D,""auto"",""en"")"),"Hubei will be extended Lunar New Year holidays")</f>
        <v>Hubei will be extended Lunar New Year holidays</v>
      </c>
      <c r="D3157" s="5" t="s">
        <v>7247</v>
      </c>
      <c r="E3157" s="4">
        <v>271143</v>
      </c>
      <c r="F3157">
        <v>1</v>
      </c>
    </row>
    <row r="3158" spans="1:6" ht="13.5" customHeight="1">
      <c r="A3158" s="4" t="s">
        <v>7248</v>
      </c>
      <c r="B3158" s="4" t="s">
        <v>7249</v>
      </c>
      <c r="C3158" s="4" t="str">
        <f ca="1">IFERROR(__xludf.DUMMYFUNCTION("GOOGLETRANSLATE(D:D,""auto"",""en"")"),"Russia confirmed two cases of the new pneumonia")</f>
        <v>Russia confirmed two cases of the new pneumonia</v>
      </c>
      <c r="D3158" s="5" t="s">
        <v>7250</v>
      </c>
      <c r="E3158" s="4">
        <v>262104</v>
      </c>
      <c r="F3158">
        <v>1</v>
      </c>
    </row>
    <row r="3159" spans="1:6" ht="13.5" customHeight="1">
      <c r="A3159" s="4" t="s">
        <v>7251</v>
      </c>
      <c r="B3159" s="4" t="s">
        <v>7252</v>
      </c>
      <c r="C3159" s="4" t="str">
        <f ca="1">IFERROR(__xludf.DUMMYFUNCTION("GOOGLETRANSLATE(D:D,""auto"",""en"")"),"Guangzhou Real Estate Leasing Association initiative to reduce rents")</f>
        <v>Guangzhou Real Estate Leasing Association initiative to reduce rents</v>
      </c>
      <c r="D3159" s="5" t="s">
        <v>7253</v>
      </c>
      <c r="E3159" s="4">
        <v>257436</v>
      </c>
      <c r="F3159">
        <v>1</v>
      </c>
    </row>
    <row r="3160" spans="1:6" ht="13.5" hidden="1" customHeight="1">
      <c r="A3160" s="4" t="s">
        <v>7254</v>
      </c>
      <c r="B3160" s="4" t="s">
        <v>7255</v>
      </c>
      <c r="C3160" s="4" t="str">
        <f ca="1">IFERROR(__xludf.DUMMYFUNCTION("GOOGLETRANSLATE(D:D,""auto"",""en"")"),"To the parents to do dishes")</f>
        <v>To the parents to do dishes</v>
      </c>
      <c r="D3160" s="5" t="s">
        <v>7256</v>
      </c>
      <c r="E3160" s="4">
        <v>256366</v>
      </c>
    </row>
    <row r="3161" spans="1:6" ht="13.5" customHeight="1">
      <c r="A3161" s="4" t="s">
        <v>7257</v>
      </c>
      <c r="B3161" s="4" t="s">
        <v>7258</v>
      </c>
      <c r="C3161" s="4" t="str">
        <f ca="1">IFERROR(__xludf.DUMMYFUNCTION("GOOGLETRANSLATE(D:D,""auto"",""en"")"),"Guangzhou appointment to buy masks")</f>
        <v>Guangzhou appointment to buy masks</v>
      </c>
      <c r="D3161" s="5" t="s">
        <v>7259</v>
      </c>
      <c r="E3161" s="4">
        <v>255775</v>
      </c>
      <c r="F3161">
        <v>1</v>
      </c>
    </row>
    <row r="3162" spans="1:6" ht="13.5" hidden="1" customHeight="1">
      <c r="C3162" s="4" t="str">
        <f ca="1">IFERROR(__xludf.DUMMYFUNCTION("GOOGLETRANSLATE(D:D,""auto"",""en"")"),"#VALUE!")</f>
        <v>#VALUE!</v>
      </c>
    </row>
    <row r="3163" spans="1:6" ht="13.5" customHeight="1">
      <c r="A3163" s="4" t="s">
        <v>7260</v>
      </c>
      <c r="B3163" s="4" t="s">
        <v>7261</v>
      </c>
      <c r="C3163" s="4" t="str">
        <f ca="1">IFERROR(__xludf.DUMMYFUNCTION("GOOGLETRANSLATE(D:D,""auto"",""en"")"),"Do not buy self-medication with oral Shuanghuanglian")</f>
        <v>Do not buy self-medication with oral Shuanghuanglian</v>
      </c>
      <c r="D3163" s="4" t="s">
        <v>7262</v>
      </c>
      <c r="E3163" s="4">
        <v>3212760</v>
      </c>
      <c r="F3163">
        <v>1</v>
      </c>
    </row>
    <row r="3164" spans="1:6" ht="13.5" customHeight="1">
      <c r="A3164" s="4" t="s">
        <v>7263</v>
      </c>
      <c r="B3164" s="4" t="s">
        <v>7264</v>
      </c>
      <c r="C3164" s="4" t="str">
        <f ca="1">IFERROR(__xludf.DUMMYFUNCTION("GOOGLETRANSLATE(D:D,""auto"",""en"")"),"Chongqing first case of deaths")</f>
        <v>Chongqing first case of deaths</v>
      </c>
      <c r="D3164" s="5" t="s">
        <v>7265</v>
      </c>
      <c r="E3164" s="4">
        <v>2561833</v>
      </c>
      <c r="F3164">
        <v>1</v>
      </c>
    </row>
    <row r="3165" spans="1:6" ht="13.5" customHeight="1">
      <c r="A3165" s="4" t="s">
        <v>7266</v>
      </c>
      <c r="B3165" s="4" t="s">
        <v>7138</v>
      </c>
      <c r="C3165" s="4" t="str">
        <f ca="1">IFERROR(__xludf.DUMMYFUNCTION("GOOGLETRANSLATE(D:D,""auto"",""en"")"),"The United States announced a public health emergency")</f>
        <v>The United States announced a public health emergency</v>
      </c>
      <c r="D3165" s="5" t="s">
        <v>7267</v>
      </c>
      <c r="E3165" s="4">
        <v>1994044</v>
      </c>
      <c r="F3165">
        <v>1</v>
      </c>
    </row>
    <row r="3166" spans="1:6" ht="13.5" customHeight="1">
      <c r="A3166" s="4" t="s">
        <v>7268</v>
      </c>
      <c r="B3166" s="4" t="s">
        <v>7269</v>
      </c>
      <c r="C3166" s="4" t="str">
        <f ca="1">IFERROR(__xludf.DUMMYFUNCTION("GOOGLETRANSLATE(D:D,""auto"",""en"")"),"Red Cross")</f>
        <v>Red Cross</v>
      </c>
      <c r="D3166" s="5" t="s">
        <v>7270</v>
      </c>
      <c r="E3166" s="4">
        <v>1933077</v>
      </c>
      <c r="F3166">
        <v>1</v>
      </c>
    </row>
    <row r="3167" spans="1:6" ht="13.5" customHeight="1">
      <c r="A3167" s="4" t="s">
        <v>7271</v>
      </c>
      <c r="B3167" s="4" t="s">
        <v>7272</v>
      </c>
      <c r="C3167" s="4" t="str">
        <f ca="1">IFERROR(__xludf.DUMMYFUNCTION("GOOGLETRANSLATE(D:D,""auto"",""en"")"),"Wuhan little sister to the hospital every day to cook 800")</f>
        <v>Wuhan little sister to the hospital every day to cook 800</v>
      </c>
      <c r="D3167" s="5" t="s">
        <v>7273</v>
      </c>
      <c r="E3167" s="4">
        <v>1872348</v>
      </c>
      <c r="F3167">
        <v>1</v>
      </c>
    </row>
    <row r="3168" spans="1:6" ht="13.5" customHeight="1">
      <c r="A3168" s="4" t="s">
        <v>7274</v>
      </c>
      <c r="B3168" s="4" t="s">
        <v>7275</v>
      </c>
      <c r="C3168" s="4" t="str">
        <f ca="1">IFERROR(__xludf.DUMMYFUNCTION("GOOGLETRANSLATE(D:D,""auto"",""en"")"),"The total station reporter visited Wuhan Red Cross")</f>
        <v>The total station reporter visited Wuhan Red Cross</v>
      </c>
      <c r="D3168" s="5" t="s">
        <v>7276</v>
      </c>
      <c r="E3168" s="4">
        <v>1795114</v>
      </c>
      <c r="F3168">
        <v>1</v>
      </c>
    </row>
    <row r="3169" spans="1:6" ht="13.5" customHeight="1">
      <c r="A3169" s="4" t="s">
        <v>7277</v>
      </c>
      <c r="B3169" s="4" t="s">
        <v>7278</v>
      </c>
      <c r="C3169" s="4" t="str">
        <f ca="1">IFERROR(__xludf.DUMMYFUNCTION("GOOGLETRANSLATE(D:D,""auto"",""en"")"),"The national total of 11,791 cases diagnosed pneumonia new")</f>
        <v>The national total of 11,791 cases diagnosed pneumonia new</v>
      </c>
      <c r="D3169" s="5" t="s">
        <v>7279</v>
      </c>
      <c r="E3169" s="4">
        <v>1423585</v>
      </c>
      <c r="F3169">
        <v>1</v>
      </c>
    </row>
    <row r="3170" spans="1:6" ht="13.5" customHeight="1">
      <c r="A3170" s="4" t="s">
        <v>7280</v>
      </c>
      <c r="B3170" s="4" t="s">
        <v>7156</v>
      </c>
      <c r="C3170" s="4" t="str">
        <f ca="1">IFERROR(__xludf.DUMMYFUNCTION("GOOGLETRANSLATE(D:D,""auto"",""en"")"),"Huanggang City, home town secretary of the mayor was removed from office")</f>
        <v>Huanggang City, home town secretary of the mayor was removed from office</v>
      </c>
      <c r="D3170" s="5" t="s">
        <v>7281</v>
      </c>
      <c r="E3170" s="4">
        <v>1385947</v>
      </c>
      <c r="F3170">
        <v>1</v>
      </c>
    </row>
    <row r="3171" spans="1:6" ht="13.5" customHeight="1">
      <c r="A3171" s="4" t="s">
        <v>7144</v>
      </c>
      <c r="B3171" s="4" t="s">
        <v>7282</v>
      </c>
      <c r="C3171" s="4" t="str">
        <f ca="1">IFERROR(__xludf.DUMMYFUNCTION("GOOGLETRANSLATE(D:D,""auto"",""en"")"),"Fight Ebola female medic rush to the rescue again, Hubei")</f>
        <v>Fight Ebola female medic rush to the rescue again, Hubei</v>
      </c>
      <c r="D3171" s="5" t="s">
        <v>7283</v>
      </c>
      <c r="E3171" s="4">
        <v>1166080</v>
      </c>
      <c r="F3171">
        <v>1</v>
      </c>
    </row>
    <row r="3172" spans="1:6" ht="13.5" customHeight="1">
      <c r="A3172" s="4" t="s">
        <v>7284</v>
      </c>
      <c r="B3172" s="4" t="s">
        <v>7285</v>
      </c>
      <c r="C3172" s="4" t="str">
        <f ca="1">IFERROR(__xludf.DUMMYFUNCTION("GOOGLETRANSLATE(D:D,""auto"",""en"")"),"Double yolk moon cake SHL")</f>
        <v>Double yolk moon cake SHL</v>
      </c>
      <c r="D3172" s="5" t="s">
        <v>7286</v>
      </c>
      <c r="E3172" s="4">
        <v>1132077</v>
      </c>
      <c r="F3172">
        <v>1</v>
      </c>
    </row>
    <row r="3173" spans="1:6" ht="13.5" customHeight="1">
      <c r="A3173" s="4" t="s">
        <v>7287</v>
      </c>
      <c r="B3173" s="4" t="s">
        <v>7288</v>
      </c>
      <c r="C3173" s="4" t="str">
        <f ca="1">IFERROR(__xludf.DUMMYFUNCTION("GOOGLETRANSLATE(D:D,""auto"",""en"")"),"Han Hong to talk about charity")</f>
        <v>Han Hong to talk about charity</v>
      </c>
      <c r="D3173" s="5" t="s">
        <v>7289</v>
      </c>
      <c r="E3173" s="4">
        <v>1045462</v>
      </c>
      <c r="F3173">
        <v>1</v>
      </c>
    </row>
    <row r="3174" spans="1:6" ht="13.5" customHeight="1">
      <c r="A3174" s="4" t="s">
        <v>5803</v>
      </c>
      <c r="B3174" s="4" t="s">
        <v>5804</v>
      </c>
      <c r="C3174" s="4" t="str">
        <f ca="1">IFERROR(__xludf.DUMMYFUNCTION("GOOGLETRANSLATE(D:D,""auto"",""en"")"),"The latest outbreak Map")</f>
        <v>The latest outbreak Map</v>
      </c>
      <c r="D3174" s="5" t="s">
        <v>5805</v>
      </c>
      <c r="E3174" s="4">
        <v>1005121</v>
      </c>
      <c r="F3174">
        <v>1</v>
      </c>
    </row>
    <row r="3175" spans="1:6" ht="13.5" customHeight="1">
      <c r="A3175" s="4" t="s">
        <v>7290</v>
      </c>
      <c r="B3175" s="4" t="s">
        <v>7291</v>
      </c>
      <c r="C3175" s="4" t="str">
        <f ca="1">IFERROR(__xludf.DUMMYFUNCTION("GOOGLETRANSLATE(D:D,""auto"",""en"")"),"Hangzhou Red Cross published daily balance")</f>
        <v>Hangzhou Red Cross published daily balance</v>
      </c>
      <c r="D3175" s="5" t="s">
        <v>7292</v>
      </c>
      <c r="E3175" s="4">
        <v>1004359</v>
      </c>
      <c r="F3175">
        <v>1</v>
      </c>
    </row>
    <row r="3176" spans="1:6" ht="13.5" hidden="1" customHeight="1">
      <c r="A3176" s="4" t="s">
        <v>7293</v>
      </c>
      <c r="B3176" s="4" t="s">
        <v>7294</v>
      </c>
      <c r="C3176" s="4" t="str">
        <f ca="1">IFERROR(__xludf.DUMMYFUNCTION("GOOGLETRANSLATE(D:D,""auto"",""en"")"),"Lakers Kobe Bryant Tribute")</f>
        <v>Lakers Kobe Bryant Tribute</v>
      </c>
      <c r="D3176" s="5" t="s">
        <v>7295</v>
      </c>
      <c r="E3176" s="4">
        <v>815339</v>
      </c>
    </row>
    <row r="3177" spans="1:6" ht="13.5" customHeight="1">
      <c r="A3177" s="4" t="s">
        <v>7271</v>
      </c>
      <c r="B3177" s="4" t="s">
        <v>7296</v>
      </c>
      <c r="C3177" s="4" t="str">
        <f ca="1">IFERROR(__xludf.DUMMYFUNCTION("GOOGLETRANSLATE(D:D,""auto"",""en"")"),"Lilac Garden")</f>
        <v>Lilac Garden</v>
      </c>
      <c r="D3177" s="5" t="s">
        <v>7297</v>
      </c>
      <c r="E3177" s="4">
        <v>812453</v>
      </c>
      <c r="F3177">
        <v>1</v>
      </c>
    </row>
    <row r="3178" spans="1:6" ht="13.5" hidden="1" customHeight="1">
      <c r="A3178" s="4" t="s">
        <v>7298</v>
      </c>
      <c r="B3178" s="4" t="s">
        <v>7299</v>
      </c>
      <c r="C3178" s="4" t="str">
        <f ca="1">IFERROR(__xludf.DUMMYFUNCTION("GOOGLETRANSLATE(D:D,""auto"",""en"")"),"more")</f>
        <v>more</v>
      </c>
      <c r="D3178" s="5" t="s">
        <v>7300</v>
      </c>
      <c r="E3178" s="4">
        <v>808894</v>
      </c>
    </row>
    <row r="3179" spans="1:6" ht="13.5" customHeight="1">
      <c r="A3179" s="4" t="s">
        <v>7301</v>
      </c>
      <c r="B3179" s="4" t="s">
        <v>7294</v>
      </c>
      <c r="C3179" s="4" t="str">
        <f ca="1">IFERROR(__xludf.DUMMYFUNCTION("GOOGLETRANSLATE(D:D,""auto"",""en"")"),"Do not quarrel with his family before the end of the epidemic")</f>
        <v>Do not quarrel with his family before the end of the epidemic</v>
      </c>
      <c r="D3179" s="5" t="s">
        <v>7302</v>
      </c>
      <c r="E3179" s="4">
        <v>805390</v>
      </c>
      <c r="F3179">
        <v>1</v>
      </c>
    </row>
    <row r="3180" spans="1:6" ht="13.5" customHeight="1">
      <c r="A3180" s="4" t="s">
        <v>7303</v>
      </c>
      <c r="B3180" s="4" t="s">
        <v>7304</v>
      </c>
      <c r="C3180" s="4" t="str">
        <f ca="1">IFERROR(__xludf.DUMMYFUNCTION("GOOGLETRANSLATE(D:D,""auto"",""en"")"),"Hide fever bribed")</f>
        <v>Hide fever bribed</v>
      </c>
      <c r="D3180" s="5" t="s">
        <v>7305</v>
      </c>
      <c r="E3180" s="4">
        <v>798284</v>
      </c>
      <c r="F3180">
        <v>1</v>
      </c>
    </row>
    <row r="3181" spans="1:6" ht="13.5" hidden="1" customHeight="1">
      <c r="A3181" s="4" t="s">
        <v>7306</v>
      </c>
      <c r="B3181" s="4" t="s">
        <v>7307</v>
      </c>
      <c r="C3181" s="4" t="str">
        <f ca="1">IFERROR(__xludf.DUMMYFUNCTION("GOOGLETRANSLATE(D:D,""auto"",""en"")"),"Chen Ming")</f>
        <v>Chen Ming</v>
      </c>
      <c r="D3181" s="5" t="s">
        <v>7308</v>
      </c>
      <c r="E3181" s="4">
        <v>792945</v>
      </c>
    </row>
    <row r="3182" spans="1:6" ht="13.5" hidden="1" customHeight="1">
      <c r="A3182" s="4" t="s">
        <v>7309</v>
      </c>
      <c r="B3182" s="4" t="s">
        <v>7310</v>
      </c>
      <c r="C3182" s="4" t="str">
        <f ca="1">IFERROR(__xludf.DUMMYFUNCTION("GOOGLETRANSLATE(D:D,""auto"",""en"")"),"James Bryant jersey hanging locker")</f>
        <v>James Bryant jersey hanging locker</v>
      </c>
      <c r="D3182" s="5" t="s">
        <v>7311</v>
      </c>
      <c r="E3182" s="4">
        <v>789971</v>
      </c>
    </row>
    <row r="3183" spans="1:6" ht="13.5" customHeight="1">
      <c r="A3183" s="4" t="s">
        <v>7312</v>
      </c>
      <c r="B3183" s="4" t="s">
        <v>7313</v>
      </c>
      <c r="C3183" s="4" t="str">
        <f ca="1">IFERROR(__xludf.DUMMYFUNCTION("GOOGLETRANSLATE(D:D,""auto"",""en"")"),"Yen value changes after wear masks")</f>
        <v>Yen value changes after wear masks</v>
      </c>
      <c r="D3183" s="5" t="s">
        <v>7314</v>
      </c>
      <c r="E3183" s="4">
        <v>782944</v>
      </c>
      <c r="F3183">
        <v>1</v>
      </c>
    </row>
    <row r="3184" spans="1:6" ht="13.5" hidden="1" customHeight="1">
      <c r="A3184" s="4" t="s">
        <v>7315</v>
      </c>
      <c r="B3184" s="4" t="s">
        <v>3115</v>
      </c>
      <c r="C3184" s="4" t="str">
        <f ca="1">IFERROR(__xludf.DUMMYFUNCTION("GOOGLETRANSLATE(D:D,""auto"",""en"")"),"Japan earthquake")</f>
        <v>Japan earthquake</v>
      </c>
      <c r="D3184" s="5" t="s">
        <v>7316</v>
      </c>
      <c r="E3184" s="4">
        <v>781890</v>
      </c>
    </row>
    <row r="3185" spans="1:6" ht="13.5" hidden="1" customHeight="1">
      <c r="A3185" s="4" t="s">
        <v>7317</v>
      </c>
      <c r="B3185" s="4" t="s">
        <v>7318</v>
      </c>
      <c r="C3185" s="4" t="str">
        <f ca="1">IFERROR(__xludf.DUMMYFUNCTION("GOOGLETRANSLATE(D:D,""auto"",""en"")"),"Owen 54 minutes")</f>
        <v>Owen 54 minutes</v>
      </c>
      <c r="D3185" s="5" t="s">
        <v>7319</v>
      </c>
      <c r="E3185" s="4">
        <v>693845</v>
      </c>
    </row>
    <row r="3186" spans="1:6" ht="13.5" customHeight="1">
      <c r="A3186" s="4" t="s">
        <v>7320</v>
      </c>
      <c r="B3186" s="4" t="s">
        <v>7321</v>
      </c>
      <c r="C3186" s="4" t="str">
        <f ca="1">IFERROR(__xludf.DUMMYFUNCTION("GOOGLETRANSLATE(D:D,""auto"",""en"")"),"Hunan delayed return to work and school business school")</f>
        <v>Hunan delayed return to work and school business school</v>
      </c>
      <c r="D3186" s="5" t="s">
        <v>7322</v>
      </c>
      <c r="E3186" s="4">
        <v>651278</v>
      </c>
      <c r="F3186">
        <v>1</v>
      </c>
    </row>
    <row r="3187" spans="1:6" ht="13.5" customHeight="1">
      <c r="A3187" s="4" t="s">
        <v>7323</v>
      </c>
      <c r="B3187" s="4" t="s">
        <v>7219</v>
      </c>
      <c r="C3187" s="4" t="str">
        <f ca="1">IFERROR(__xludf.DUMMYFUNCTION("GOOGLETRANSLATE(D:D,""auto"",""en"")"),"Meter long row of people late at night to buy SHL team")</f>
        <v>Meter long row of people late at night to buy SHL team</v>
      </c>
      <c r="D3187" s="5" t="s">
        <v>7324</v>
      </c>
      <c r="E3187" s="4">
        <v>629078</v>
      </c>
      <c r="F3187">
        <v>1</v>
      </c>
    </row>
    <row r="3188" spans="1:6" ht="13.5" hidden="1" customHeight="1">
      <c r="A3188" s="4" t="s">
        <v>7325</v>
      </c>
      <c r="B3188" s="4" t="s">
        <v>7326</v>
      </c>
      <c r="C3188" s="4" t="str">
        <f ca="1">IFERROR(__xludf.DUMMYFUNCTION("GOOGLETRANSLATE(D:D,""auto"",""en"")"),"Dry noodles sticky rice filling")</f>
        <v>Dry noodles sticky rice filling</v>
      </c>
      <c r="D3188" s="5" t="s">
        <v>7327</v>
      </c>
      <c r="E3188" s="4">
        <v>607291</v>
      </c>
    </row>
    <row r="3189" spans="1:6" ht="13.5" customHeight="1">
      <c r="A3189" s="4" t="s">
        <v>7328</v>
      </c>
      <c r="B3189" s="4" t="s">
        <v>7321</v>
      </c>
      <c r="C3189" s="4" t="str">
        <f ca="1">IFERROR(__xludf.DUMMYFUNCTION("GOOGLETRANSLATE(D:D,""auto"",""en"")"),"Shanghai drug response")</f>
        <v>Shanghai drug response</v>
      </c>
      <c r="D3189" s="5" t="s">
        <v>7329</v>
      </c>
      <c r="E3189" s="4">
        <v>597236</v>
      </c>
      <c r="F3189">
        <v>1</v>
      </c>
    </row>
    <row r="3190" spans="1:6" ht="13.5" customHeight="1">
      <c r="A3190" s="4" t="s">
        <v>7330</v>
      </c>
      <c r="B3190" s="4" t="s">
        <v>7331</v>
      </c>
      <c r="C3190" s="4" t="str">
        <f ca="1">IFERROR(__xludf.DUMMYFUNCTION("GOOGLETRANSLATE(D:D,""auto"",""en"")"),"Ministry of Foreign Affairs to respond to the United States and unfriendly remarks")</f>
        <v>Ministry of Foreign Affairs to respond to the United States and unfriendly remarks</v>
      </c>
      <c r="D3190" s="5" t="s">
        <v>7332</v>
      </c>
      <c r="E3190" s="4">
        <v>585516</v>
      </c>
      <c r="F3190">
        <v>1</v>
      </c>
    </row>
    <row r="3191" spans="1:6" ht="13.5" customHeight="1">
      <c r="A3191" s="4" t="s">
        <v>7333</v>
      </c>
      <c r="B3191" s="4" t="s">
        <v>7334</v>
      </c>
      <c r="C3191" s="4" t="str">
        <f ca="1">IFERROR(__xludf.DUMMYFUNCTION("GOOGLETRANSLATE(D:D,""auto"",""en"")"),"Guangdong add new pneumonia cases 127 cases")</f>
        <v>Guangdong add new pneumonia cases 127 cases</v>
      </c>
      <c r="D3191" s="5" t="s">
        <v>7335</v>
      </c>
      <c r="E3191" s="4">
        <v>562977</v>
      </c>
      <c r="F3191">
        <v>1</v>
      </c>
    </row>
    <row r="3192" spans="1:6" ht="13.5" customHeight="1">
      <c r="A3192" s="4" t="s">
        <v>7336</v>
      </c>
      <c r="B3192" s="4" t="s">
        <v>7337</v>
      </c>
      <c r="C3192" s="4" t="str">
        <f ca="1">IFERROR(__xludf.DUMMYFUNCTION("GOOGLETRANSLATE(D:D,""auto"",""en"")"),"Hubei Ji compatriots stranded abroad to return home instantly")</f>
        <v>Hubei Ji compatriots stranded abroad to return home instantly</v>
      </c>
      <c r="D3192" s="5" t="s">
        <v>7338</v>
      </c>
      <c r="E3192" s="4">
        <v>553617</v>
      </c>
      <c r="F3192">
        <v>1</v>
      </c>
    </row>
    <row r="3193" spans="1:6" ht="13.5" hidden="1" customHeight="1">
      <c r="A3193" s="4" t="s">
        <v>7339</v>
      </c>
      <c r="B3193" s="4" t="s">
        <v>7321</v>
      </c>
      <c r="C3193" s="4" t="str">
        <f ca="1">IFERROR(__xludf.DUMMYFUNCTION("GOOGLETRANSLATE(D:D,""auto"",""en"")"),"Britain officially off Europe")</f>
        <v>Britain officially off Europe</v>
      </c>
      <c r="D3193" s="5" t="s">
        <v>7340</v>
      </c>
      <c r="E3193" s="4">
        <v>474748</v>
      </c>
    </row>
    <row r="3194" spans="1:6" ht="13.5" customHeight="1">
      <c r="A3194" s="4" t="s">
        <v>7341</v>
      </c>
      <c r="B3194" s="4" t="s">
        <v>7342</v>
      </c>
      <c r="C3194" s="4" t="str">
        <f ca="1">IFERROR(__xludf.DUMMYFUNCTION("GOOGLETRANSLATE(D:D,""auto"",""en"")"),"18 new confirmed cases in Shandong")</f>
        <v>18 new confirmed cases in Shandong</v>
      </c>
      <c r="D3194" s="5" t="s">
        <v>7343</v>
      </c>
      <c r="E3194" s="4">
        <v>457074</v>
      </c>
      <c r="F3194">
        <v>1</v>
      </c>
    </row>
    <row r="3195" spans="1:6" ht="13.5" hidden="1" customHeight="1">
      <c r="A3195" s="4" t="s">
        <v>7344</v>
      </c>
      <c r="B3195" s="4" t="s">
        <v>7345</v>
      </c>
      <c r="C3195" s="4" t="str">
        <f ca="1">IFERROR(__xludf.DUMMYFUNCTION("GOOGLETRANSLATE(D:D,""auto"",""en"")"),"Fast and Furious trailer 9")</f>
        <v>Fast and Furious trailer 9</v>
      </c>
      <c r="D3195" s="5" t="s">
        <v>7346</v>
      </c>
      <c r="E3195" s="4">
        <v>411364</v>
      </c>
    </row>
    <row r="3196" spans="1:6" ht="13.5" hidden="1" customHeight="1">
      <c r="A3196" s="4" t="s">
        <v>7347</v>
      </c>
      <c r="B3196" s="4" t="s">
        <v>7348</v>
      </c>
      <c r="C3196" s="4" t="str">
        <f ca="1">IFERROR(__xludf.DUMMYFUNCTION("GOOGLETRANSLATE(D:D,""auto"",""en"")"),"Listen Southerners say tongue twisters too unzipped")</f>
        <v>Listen Southerners say tongue twisters too unzipped</v>
      </c>
      <c r="D3196" s="5" t="s">
        <v>7349</v>
      </c>
      <c r="E3196" s="4">
        <v>407968</v>
      </c>
    </row>
    <row r="3197" spans="1:6" ht="13.5" customHeight="1">
      <c r="A3197" s="4" t="s">
        <v>7350</v>
      </c>
      <c r="B3197" s="4" t="s">
        <v>7351</v>
      </c>
      <c r="C3197" s="4" t="str">
        <f ca="1">IFERROR(__xludf.DUMMYFUNCTION("GOOGLETRANSLATE(D:D,""auto"",""en"")"),"Add new cases of pneumonia 30 cases in Sichuan")</f>
        <v>Add new cases of pneumonia 30 cases in Sichuan</v>
      </c>
      <c r="D3197" s="5" t="s">
        <v>7352</v>
      </c>
      <c r="E3197" s="4">
        <v>383526</v>
      </c>
      <c r="F3197">
        <v>1</v>
      </c>
    </row>
    <row r="3198" spans="1:6" ht="13.5" hidden="1" customHeight="1">
      <c r="A3198" s="4" t="s">
        <v>7353</v>
      </c>
      <c r="B3198" s="4" t="s">
        <v>7254</v>
      </c>
      <c r="C3198" s="4" t="str">
        <f ca="1">IFERROR(__xludf.DUMMYFUNCTION("GOOGLETRANSLATE(D:D,""auto"",""en"")"),"Lin Yun cute")</f>
        <v>Lin Yun cute</v>
      </c>
      <c r="D3198" s="5" t="s">
        <v>7354</v>
      </c>
      <c r="E3198" s="4">
        <v>377633</v>
      </c>
    </row>
    <row r="3199" spans="1:6" ht="13.5" hidden="1" customHeight="1">
      <c r="A3199" s="4" t="s">
        <v>7355</v>
      </c>
      <c r="B3199" s="4" t="s">
        <v>7299</v>
      </c>
      <c r="C3199" s="4" t="str">
        <f ca="1">IFERROR(__xludf.DUMMYFUNCTION("GOOGLETRANSLATE(D:D,""auto"",""en"")"),"Scientific things we do not want to put too much")</f>
        <v>Scientific things we do not want to put too much</v>
      </c>
      <c r="D3199" s="5" t="s">
        <v>7356</v>
      </c>
      <c r="E3199" s="4">
        <v>368119</v>
      </c>
    </row>
    <row r="3200" spans="1:6" ht="13.5" hidden="1" customHeight="1">
      <c r="A3200" s="4" t="s">
        <v>7144</v>
      </c>
      <c r="B3200" s="4" t="s">
        <v>7145</v>
      </c>
      <c r="C3200" s="4" t="str">
        <f ca="1">IFERROR(__xludf.DUMMYFUNCTION("GOOGLETRANSLATE(D:D,""auto"",""en"")"),"Wang Ou Ni Ni to recommend what tonics")</f>
        <v>Wang Ou Ni Ni to recommend what tonics</v>
      </c>
      <c r="D3200" s="5" t="s">
        <v>7146</v>
      </c>
      <c r="E3200" s="4">
        <v>345554</v>
      </c>
    </row>
    <row r="3201" spans="1:6" ht="13.5" hidden="1" customHeight="1">
      <c r="A3201" s="4" t="s">
        <v>7357</v>
      </c>
      <c r="B3201" s="4" t="s">
        <v>7358</v>
      </c>
      <c r="C3201" s="4" t="str">
        <f ca="1">IFERROR(__xludf.DUMMYFUNCTION("GOOGLETRANSLATE(D:D,""auto"",""en"")"),"Huoxiangzhengqi")</f>
        <v>Huoxiangzhengqi</v>
      </c>
      <c r="D3201" s="5" t="s">
        <v>7359</v>
      </c>
      <c r="E3201" s="4">
        <v>332965</v>
      </c>
    </row>
    <row r="3202" spans="1:6" ht="13.5" customHeight="1">
      <c r="A3202" s="4" t="s">
        <v>7360</v>
      </c>
      <c r="B3202" s="4" t="s">
        <v>7162</v>
      </c>
      <c r="C3202" s="4" t="str">
        <f ca="1">IFERROR(__xludf.DUMMYFUNCTION("GOOGLETRANSLATE(D:D,""auto"",""en"")"),"Henan new 70 cases of confirmed cases")</f>
        <v>Henan new 70 cases of confirmed cases</v>
      </c>
      <c r="D3202" s="5" t="s">
        <v>7361</v>
      </c>
      <c r="E3202" s="4">
        <v>314146</v>
      </c>
      <c r="F3202">
        <v>1</v>
      </c>
    </row>
    <row r="3203" spans="1:6" ht="13.5" customHeight="1">
      <c r="A3203" s="4" t="s">
        <v>7135</v>
      </c>
      <c r="B3203" s="4" t="s">
        <v>7136</v>
      </c>
      <c r="C3203" s="4" t="str">
        <f ca="1">IFERROR(__xludf.DUMMYFUNCTION("GOOGLETRANSLATE(D:D,""auto"",""en"")"),"SHL can inhibit the novel coronavirus")</f>
        <v>SHL can inhibit the novel coronavirus</v>
      </c>
      <c r="D3203" s="5" t="s">
        <v>7137</v>
      </c>
      <c r="E3203" s="4">
        <v>311917</v>
      </c>
      <c r="F3203">
        <v>1</v>
      </c>
    </row>
    <row r="3204" spans="1:6" ht="13.5" customHeight="1">
      <c r="A3204" s="4" t="s">
        <v>7165</v>
      </c>
      <c r="B3204" s="4" t="s">
        <v>7362</v>
      </c>
      <c r="C3204" s="4" t="str">
        <f ca="1">IFERROR(__xludf.DUMMYFUNCTION("GOOGLETRANSLATE(D:D,""auto"",""en"")"),"Among family members since the first cases of infection in Germany")</f>
        <v>Among family members since the first cases of infection in Germany</v>
      </c>
      <c r="D3204" s="5" t="s">
        <v>7363</v>
      </c>
      <c r="E3204" s="4">
        <v>280749</v>
      </c>
      <c r="F3204">
        <v>1</v>
      </c>
    </row>
    <row r="3205" spans="1:6" ht="13.5" customHeight="1">
      <c r="A3205" s="4" t="s">
        <v>7183</v>
      </c>
      <c r="B3205" s="4" t="s">
        <v>7364</v>
      </c>
      <c r="C3205" s="4" t="str">
        <f ca="1">IFERROR(__xludf.DUMMYFUNCTION("GOOGLETRANSLATE(D:D,""auto"",""en"")"),"Sleep you do not know the day of the week")</f>
        <v>Sleep you do not know the day of the week</v>
      </c>
      <c r="D3205" s="5" t="s">
        <v>7365</v>
      </c>
      <c r="E3205" s="4">
        <v>274314</v>
      </c>
      <c r="F3205">
        <v>1</v>
      </c>
    </row>
    <row r="3206" spans="1:6" ht="13.5" customHeight="1">
      <c r="A3206" s="4" t="s">
        <v>7165</v>
      </c>
      <c r="B3206" s="4" t="s">
        <v>7166</v>
      </c>
      <c r="C3206" s="4" t="str">
        <f ca="1">IFERROR(__xludf.DUMMYFUNCTION("GOOGLETRANSLATE(D:D,""auto"",""en"")"),"Wuhan stock of 34,400 tons of vegetables")</f>
        <v>Wuhan stock of 34,400 tons of vegetables</v>
      </c>
      <c r="D3206" s="5" t="s">
        <v>7167</v>
      </c>
      <c r="E3206" s="4">
        <v>247869</v>
      </c>
      <c r="F3206">
        <v>1</v>
      </c>
    </row>
    <row r="3207" spans="1:6" ht="13.5" customHeight="1">
      <c r="A3207" s="4" t="s">
        <v>7366</v>
      </c>
      <c r="B3207" s="4" t="s">
        <v>7367</v>
      </c>
      <c r="C3207" s="4" t="str">
        <f ca="1">IFERROR(__xludf.DUMMYFUNCTION("GOOGLETRANSLATE(D:D,""auto"",""en"")"),"Xi'an delayed return to work")</f>
        <v>Xi'an delayed return to work</v>
      </c>
      <c r="D3207" s="5" t="s">
        <v>7368</v>
      </c>
      <c r="E3207" s="4">
        <v>237433</v>
      </c>
      <c r="F3207">
        <v>1</v>
      </c>
    </row>
    <row r="3208" spans="1:6" ht="13.5" hidden="1" customHeight="1">
      <c r="A3208" s="4" t="s">
        <v>7183</v>
      </c>
      <c r="B3208" s="4" t="s">
        <v>7184</v>
      </c>
      <c r="C3208" s="4" t="str">
        <f ca="1">IFERROR(__xludf.DUMMYFUNCTION("GOOGLETRANSLATE(D:D,""auto"",""en"")"),"Zhao Shan")</f>
        <v>Zhao Shan</v>
      </c>
      <c r="D3208" s="5" t="s">
        <v>7185</v>
      </c>
      <c r="E3208" s="4">
        <v>236513</v>
      </c>
    </row>
    <row r="3209" spans="1:6" ht="13.5" customHeight="1">
      <c r="A3209" s="4" t="s">
        <v>7369</v>
      </c>
      <c r="B3209" s="4" t="s">
        <v>7318</v>
      </c>
      <c r="C3209" s="4" t="str">
        <f ca="1">IFERROR(__xludf.DUMMYFUNCTION("GOOGLETRANSLATE(D:D,""auto"",""en"")"),"Shaanxi new cases of pneumonia, 15 cases of the new")</f>
        <v>Shaanxi new cases of pneumonia, 15 cases of the new</v>
      </c>
      <c r="D3209" s="5" t="s">
        <v>7370</v>
      </c>
      <c r="E3209" s="4">
        <v>233966</v>
      </c>
      <c r="F3209">
        <v>1</v>
      </c>
    </row>
    <row r="3210" spans="1:6" ht="13.5" hidden="1" customHeight="1">
      <c r="A3210" s="4" t="s">
        <v>7183</v>
      </c>
      <c r="B3210" s="4" t="s">
        <v>7307</v>
      </c>
      <c r="C3210" s="4" t="str">
        <f ca="1">IFERROR(__xludf.DUMMYFUNCTION("GOOGLETRANSLATE(D:D,""auto"",""en"")"),"February Hello")</f>
        <v>February Hello</v>
      </c>
      <c r="D3210" s="5" t="s">
        <v>7371</v>
      </c>
      <c r="E3210" s="4">
        <v>228813</v>
      </c>
    </row>
    <row r="3211" spans="1:6" ht="13.5" customHeight="1">
      <c r="A3211" s="4" t="s">
        <v>7372</v>
      </c>
      <c r="B3211" s="4" t="s">
        <v>7156</v>
      </c>
      <c r="C3211" s="4" t="str">
        <f ca="1">IFERROR(__xludf.DUMMYFUNCTION("GOOGLETRANSLATE(D:D,""auto"",""en"")"),"Tianjin postponed resumption of school")</f>
        <v>Tianjin postponed resumption of school</v>
      </c>
      <c r="D3211" s="5" t="s">
        <v>7373</v>
      </c>
      <c r="E3211" s="4">
        <v>198230</v>
      </c>
      <c r="F3211">
        <v>1</v>
      </c>
    </row>
    <row r="3212" spans="1:6" ht="13.5" hidden="1" customHeight="1">
      <c r="C3212" s="4" t="str">
        <f ca="1">IFERROR(__xludf.DUMMYFUNCTION("GOOGLETRANSLATE(D:D,""auto"",""en"")"),"#VALUE!")</f>
        <v>#VALUE!</v>
      </c>
    </row>
    <row r="3213" spans="1:6" ht="13.5" hidden="1" customHeight="1">
      <c r="A3213" s="4" t="s">
        <v>7374</v>
      </c>
      <c r="B3213" s="4" t="s">
        <v>7375</v>
      </c>
      <c r="C3213" s="4" t="str">
        <f ca="1">IFERROR(__xludf.DUMMYFUNCTION("GOOGLETRANSLATE(D:D,""auto"",""en"")"),"Hunan bird flu")</f>
        <v>Hunan bird flu</v>
      </c>
      <c r="D3213" s="4" t="s">
        <v>7376</v>
      </c>
      <c r="E3213" s="4">
        <v>10822673</v>
      </c>
    </row>
    <row r="3214" spans="1:6" ht="13.5" hidden="1" customHeight="1">
      <c r="A3214" s="4" t="s">
        <v>7377</v>
      </c>
      <c r="B3214" s="4" t="s">
        <v>7378</v>
      </c>
      <c r="C3214" s="4" t="str">
        <f ca="1">IFERROR(__xludf.DUMMYFUNCTION("GOOGLETRANSLATE(D:D,""auto"",""en"")"),"Elva boyfriend")</f>
        <v>Elva boyfriend</v>
      </c>
      <c r="D3214" s="5" t="s">
        <v>7379</v>
      </c>
      <c r="E3214" s="4">
        <v>4831612</v>
      </c>
    </row>
    <row r="3215" spans="1:6" ht="13.5" customHeight="1">
      <c r="A3215" s="4" t="s">
        <v>7380</v>
      </c>
      <c r="B3215" s="4" t="s">
        <v>7381</v>
      </c>
      <c r="C3215" s="4" t="str">
        <f ca="1">IFERROR(__xludf.DUMMYFUNCTION("GOOGLETRANSLATE(D:D,""auto"",""en"")"),"Wuhan Red Cross bar Security CCTV reporter")</f>
        <v>Wuhan Red Cross bar Security CCTV reporter</v>
      </c>
      <c r="D3215" s="5" t="s">
        <v>7382</v>
      </c>
      <c r="E3215" s="4">
        <v>3073290</v>
      </c>
      <c r="F3215">
        <v>1</v>
      </c>
    </row>
    <row r="3216" spans="1:6" ht="13.5" customHeight="1">
      <c r="A3216" s="4" t="s">
        <v>7383</v>
      </c>
      <c r="B3216" s="4" t="s">
        <v>7384</v>
      </c>
      <c r="C3216" s="4" t="str">
        <f ca="1">IFERROR(__xludf.DUMMYFUNCTION("GOOGLETRANSLATE(D:D,""auto"",""en"")"),"Huanggang deal with party members and cadres punished 337 people")</f>
        <v>Huanggang deal with party members and cadres punished 337 people</v>
      </c>
      <c r="D3216" s="5" t="s">
        <v>7385</v>
      </c>
      <c r="E3216" s="4">
        <v>2875173</v>
      </c>
      <c r="F3216">
        <v>1</v>
      </c>
    </row>
    <row r="3217" spans="1:6" ht="13.5" hidden="1" customHeight="1">
      <c r="A3217" s="4" t="s">
        <v>6261</v>
      </c>
      <c r="B3217" s="4" t="s">
        <v>6262</v>
      </c>
      <c r="C3217" s="4" t="str">
        <f ca="1">IFERROR(__xludf.DUMMYFUNCTION("GOOGLETRANSLATE(D:D,""auto"",""en"")"),"Bai Yansong")</f>
        <v>Bai Yansong</v>
      </c>
      <c r="D3217" s="5" t="s">
        <v>6263</v>
      </c>
      <c r="E3217" s="4">
        <v>2457898</v>
      </c>
    </row>
    <row r="3218" spans="1:6" ht="13.5" customHeight="1">
      <c r="A3218" s="4" t="s">
        <v>7386</v>
      </c>
      <c r="B3218" s="4" t="s">
        <v>7387</v>
      </c>
      <c r="C3218" s="4" t="str">
        <f ca="1">IFERROR(__xludf.DUMMYFUNCTION("GOOGLETRANSLATE(D:D,""auto"",""en"")"),"Wuhan Red Cross rumor bar buckle medical supplies")</f>
        <v>Wuhan Red Cross rumor bar buckle medical supplies</v>
      </c>
      <c r="D3218" s="5" t="s">
        <v>7388</v>
      </c>
      <c r="E3218" s="4">
        <v>2308867</v>
      </c>
      <c r="F3218">
        <v>1</v>
      </c>
    </row>
    <row r="3219" spans="1:6" ht="13.5" customHeight="1">
      <c r="A3219" s="4" t="s">
        <v>7389</v>
      </c>
      <c r="B3219" s="4" t="s">
        <v>7390</v>
      </c>
      <c r="C3219" s="4" t="str">
        <f ca="1">IFERROR(__xludf.DUMMYFUNCTION("GOOGLETRANSLATE(D:D,""auto"",""en"")"),"Vulcan Hill Hospital will directly receive donations")</f>
        <v>Vulcan Hill Hospital will directly receive donations</v>
      </c>
      <c r="D3219" s="5" t="s">
        <v>7391</v>
      </c>
      <c r="E3219" s="4">
        <v>1646146</v>
      </c>
      <c r="F3219">
        <v>1</v>
      </c>
    </row>
    <row r="3220" spans="1:6" ht="13.5" customHeight="1">
      <c r="A3220" s="4" t="s">
        <v>7392</v>
      </c>
      <c r="B3220" s="4" t="s">
        <v>7393</v>
      </c>
      <c r="C3220" s="4" t="str">
        <f ca="1">IFERROR(__xludf.DUMMYFUNCTION("GOOGLETRANSLATE(D:D,""auto"",""en"")"),"Hubei Red Cross will be responsible accountable,")</f>
        <v>Hubei Red Cross will be responsible accountable,</v>
      </c>
      <c r="D3220" s="5" t="s">
        <v>7394</v>
      </c>
      <c r="E3220" s="4">
        <v>1612763</v>
      </c>
      <c r="F3220">
        <v>1</v>
      </c>
    </row>
    <row r="3221" spans="1:6" ht="13.5" customHeight="1">
      <c r="A3221" s="4" t="s">
        <v>5803</v>
      </c>
      <c r="B3221" s="4" t="s">
        <v>5804</v>
      </c>
      <c r="C3221" s="4" t="str">
        <f ca="1">IFERROR(__xludf.DUMMYFUNCTION("GOOGLETRANSLATE(D:D,""auto"",""en"")"),"The latest outbreak Map")</f>
        <v>The latest outbreak Map</v>
      </c>
      <c r="D3221" s="5" t="s">
        <v>5805</v>
      </c>
      <c r="E3221" s="4">
        <v>1423200</v>
      </c>
      <c r="F3221">
        <v>1</v>
      </c>
    </row>
    <row r="3222" spans="1:6" ht="13.5" customHeight="1">
      <c r="A3222" s="4" t="s">
        <v>7395</v>
      </c>
      <c r="B3222" s="4" t="s">
        <v>7396</v>
      </c>
      <c r="C3222" s="4" t="str">
        <f ca="1">IFERROR(__xludf.DUMMYFUNCTION("GOOGLETRANSLATE(D:D,""auto"",""en"")"),"Hubei extended Lunar New Year holidays")</f>
        <v>Hubei extended Lunar New Year holidays</v>
      </c>
      <c r="D3222" s="5" t="s">
        <v>7397</v>
      </c>
      <c r="E3222" s="4">
        <v>1308130</v>
      </c>
      <c r="F3222">
        <v>1</v>
      </c>
    </row>
    <row r="3223" spans="1:6" ht="13.5" hidden="1" customHeight="1">
      <c r="A3223" s="4" t="s">
        <v>2608</v>
      </c>
      <c r="B3223" s="4" t="s">
        <v>2609</v>
      </c>
      <c r="C3223" s="4" t="str">
        <f ca="1">IFERROR(__xludf.DUMMYFUNCTION("GOOGLETRANSLATE(D:D,""auto"",""en"")"),"Landing of love")</f>
        <v>Landing of love</v>
      </c>
      <c r="D3223" s="5" t="s">
        <v>2610</v>
      </c>
      <c r="E3223" s="4">
        <v>1151157</v>
      </c>
    </row>
    <row r="3224" spans="1:6" ht="13.5" customHeight="1">
      <c r="A3224" s="4" t="s">
        <v>7398</v>
      </c>
      <c r="B3224" s="4" t="s">
        <v>7399</v>
      </c>
      <c r="C3224" s="4" t="str">
        <f ca="1">IFERROR(__xludf.DUMMYFUNCTION("GOOGLETRANSLATE(D:D,""auto"",""en"")"),"17 D615 passenger compartment 3 times")</f>
        <v>17 D615 passenger compartment 3 times</v>
      </c>
      <c r="D3224" s="5" t="s">
        <v>7400</v>
      </c>
      <c r="E3224" s="4">
        <v>1128432</v>
      </c>
      <c r="F3224">
        <v>1</v>
      </c>
    </row>
    <row r="3225" spans="1:6" ht="13.5" customHeight="1">
      <c r="A3225" s="4" t="s">
        <v>7401</v>
      </c>
      <c r="B3225" s="4" t="s">
        <v>7402</v>
      </c>
      <c r="C3225" s="4" t="str">
        <f ca="1">IFERROR(__xludf.DUMMYFUNCTION("GOOGLETRANSLATE(D:D,""auto"",""en"")"),"Shuanghuanglian of novel coronavirus untargeted")</f>
        <v>Shuanghuanglian of novel coronavirus untargeted</v>
      </c>
      <c r="D3225" s="5" t="s">
        <v>7403</v>
      </c>
      <c r="E3225" s="4">
        <v>981719</v>
      </c>
      <c r="F3225">
        <v>1</v>
      </c>
    </row>
    <row r="3226" spans="1:6" ht="13.5" customHeight="1">
      <c r="A3226" s="4" t="s">
        <v>7404</v>
      </c>
      <c r="B3226" s="4" t="s">
        <v>7381</v>
      </c>
      <c r="C3226" s="4" t="str">
        <f ca="1">IFERROR(__xludf.DUMMYFUNCTION("GOOGLETRANSLATE(D:D,""auto"",""en"")"),"I am not a god of medicine prototype support the fight against SARS")</f>
        <v>I am not a god of medicine prototype support the fight against SARS</v>
      </c>
      <c r="D3226" s="5" t="s">
        <v>7405</v>
      </c>
      <c r="E3226" s="4">
        <v>823215</v>
      </c>
      <c r="F3226">
        <v>1</v>
      </c>
    </row>
    <row r="3227" spans="1:6" ht="13.5" customHeight="1">
      <c r="A3227" s="4" t="s">
        <v>7406</v>
      </c>
      <c r="B3227" s="4" t="s">
        <v>7320</v>
      </c>
      <c r="C3227" s="4" t="str">
        <f ca="1">IFERROR(__xludf.DUMMYFUNCTION("GOOGLETRANSLATE(D:D,""auto"",""en"")"),"The central bank will provide 300 billion yuan of special re-lending")</f>
        <v>The central bank will provide 300 billion yuan of special re-lending</v>
      </c>
      <c r="D3227" s="5" t="s">
        <v>7407</v>
      </c>
      <c r="E3227" s="4">
        <v>760060</v>
      </c>
      <c r="F3227">
        <v>1</v>
      </c>
    </row>
    <row r="3228" spans="1:6" ht="13.5" hidden="1" customHeight="1">
      <c r="A3228" s="4" t="s">
        <v>7408</v>
      </c>
      <c r="B3228" s="4" t="s">
        <v>7378</v>
      </c>
      <c r="C3228" s="4" t="str">
        <f ca="1">IFERROR(__xludf.DUMMYFUNCTION("GOOGLETRANSLATE(D:D,""auto"",""en"")"),"Korean TV collapse")</f>
        <v>Korean TV collapse</v>
      </c>
      <c r="D3228" s="5" t="s">
        <v>7409</v>
      </c>
      <c r="E3228" s="4">
        <v>754385</v>
      </c>
    </row>
    <row r="3229" spans="1:6" ht="13.5" customHeight="1">
      <c r="A3229" s="4" t="s">
        <v>7380</v>
      </c>
      <c r="B3229" s="4" t="s">
        <v>7381</v>
      </c>
      <c r="C3229" s="4" t="str">
        <f ca="1">IFERROR(__xludf.DUMMYFUNCTION("GOOGLETRANSLATE(D:D,""auto"",""en"")"),"Song Hye Kyo solidarity Wuhan")</f>
        <v>Song Hye Kyo solidarity Wuhan</v>
      </c>
      <c r="D3229" s="5" t="s">
        <v>7410</v>
      </c>
      <c r="E3229" s="4">
        <v>750286</v>
      </c>
      <c r="F3229">
        <v>1</v>
      </c>
    </row>
    <row r="3230" spans="1:6" ht="13.5" hidden="1" customHeight="1">
      <c r="A3230" s="4" t="s">
        <v>7266</v>
      </c>
      <c r="B3230" s="4" t="s">
        <v>7411</v>
      </c>
      <c r="C3230" s="4" t="str">
        <f ca="1">IFERROR(__xludf.DUMMYFUNCTION("GOOGLETRANSLATE(D:D,""auto"",""en"")"),"Pakistan")</f>
        <v>Pakistan</v>
      </c>
      <c r="D3230" s="5" t="s">
        <v>7412</v>
      </c>
      <c r="E3230" s="4">
        <v>743929</v>
      </c>
    </row>
    <row r="3231" spans="1:6" ht="13.5" hidden="1" customHeight="1">
      <c r="A3231" s="4" t="s">
        <v>974</v>
      </c>
      <c r="B3231" s="4" t="s">
        <v>975</v>
      </c>
      <c r="C3231" s="4" t="str">
        <f ca="1">IFERROR(__xludf.DUMMYFUNCTION("GOOGLETRANSLATE(D:D,""auto"",""en"")"),"Sound clinical environment")</f>
        <v>Sound clinical environment</v>
      </c>
      <c r="D3231" s="5" t="s">
        <v>976</v>
      </c>
      <c r="E3231" s="4">
        <v>738129</v>
      </c>
    </row>
    <row r="3232" spans="1:6" ht="13.5" hidden="1" customHeight="1">
      <c r="A3232" s="4" t="s">
        <v>6108</v>
      </c>
      <c r="B3232" s="4" t="s">
        <v>6109</v>
      </c>
      <c r="C3232" s="4" t="str">
        <f ca="1">IFERROR(__xludf.DUMMYFUNCTION("GOOGLETRANSLATE(D:D,""auto"",""en"")"),"The next stop is happy")</f>
        <v>The next stop is happy</v>
      </c>
      <c r="D3232" s="5" t="s">
        <v>6110</v>
      </c>
      <c r="E3232" s="4">
        <v>733376</v>
      </c>
    </row>
    <row r="3233" spans="1:6" ht="13.5" hidden="1" customHeight="1">
      <c r="A3233" s="4" t="s">
        <v>4266</v>
      </c>
      <c r="B3233" s="4" t="s">
        <v>4267</v>
      </c>
      <c r="C3233" s="4" t="str">
        <f ca="1">IFERROR(__xludf.DUMMYFUNCTION("GOOGLETRANSLATE(D:D,""auto"",""en"")"),"Tucao Assembly")</f>
        <v>Tucao Assembly</v>
      </c>
      <c r="D3233" s="5" t="s">
        <v>4268</v>
      </c>
      <c r="E3233" s="4">
        <v>727074</v>
      </c>
    </row>
    <row r="3234" spans="1:6" ht="13.5" hidden="1" customHeight="1">
      <c r="A3234" s="4" t="s">
        <v>7413</v>
      </c>
      <c r="B3234" s="4" t="s">
        <v>7414</v>
      </c>
      <c r="C3234" s="4" t="str">
        <f ca="1">IFERROR(__xludf.DUMMYFUNCTION("GOOGLETRANSLATE(D:D,""auto"",""en"")"),"Aoqialuofu overcome Fan Zhendong")</f>
        <v>Aoqialuofu overcome Fan Zhendong</v>
      </c>
      <c r="D3234" s="5" t="s">
        <v>7415</v>
      </c>
      <c r="E3234" s="4">
        <v>604424</v>
      </c>
    </row>
    <row r="3235" spans="1:6" ht="13.5" hidden="1" customHeight="1">
      <c r="A3235" s="4" t="s">
        <v>1169</v>
      </c>
      <c r="B3235" s="4" t="s">
        <v>1170</v>
      </c>
      <c r="C3235" s="4" t="str">
        <f ca="1">IFERROR(__xludf.DUMMYFUNCTION("GOOGLETRANSLATE(D:D,""auto"",""en"")"),"want to see you")</f>
        <v>want to see you</v>
      </c>
      <c r="D3235" s="5" t="s">
        <v>1171</v>
      </c>
      <c r="E3235" s="4">
        <v>508003</v>
      </c>
    </row>
    <row r="3236" spans="1:6" ht="13.5" customHeight="1">
      <c r="A3236" s="4" t="s">
        <v>7416</v>
      </c>
      <c r="B3236" s="4" t="s">
        <v>7384</v>
      </c>
      <c r="C3236" s="4" t="str">
        <f ca="1">IFERROR(__xludf.DUMMYFUNCTION("GOOGLETRANSLATE(D:D,""auto"",""en"")"),"Parents fighting front line son alone to take care of themselves")</f>
        <v>Parents fighting front line son alone to take care of themselves</v>
      </c>
      <c r="D3236" s="5" t="s">
        <v>7417</v>
      </c>
      <c r="E3236" s="4">
        <v>476601</v>
      </c>
      <c r="F3236">
        <v>1</v>
      </c>
    </row>
    <row r="3237" spans="1:6" ht="13.5" customHeight="1">
      <c r="A3237" s="4" t="s">
        <v>7418</v>
      </c>
      <c r="B3237" s="4" t="s">
        <v>7419</v>
      </c>
      <c r="C3237" s="4" t="str">
        <f ca="1">IFERROR(__xludf.DUMMYFUNCTION("GOOGLETRANSLATE(D:D,""auto"",""en"")"),"Wuhan Zoo")</f>
        <v>Wuhan Zoo</v>
      </c>
      <c r="D3237" s="5" t="s">
        <v>7420</v>
      </c>
      <c r="E3237" s="4">
        <v>437178</v>
      </c>
      <c r="F3237">
        <v>1</v>
      </c>
    </row>
    <row r="3238" spans="1:6" ht="13.5" customHeight="1">
      <c r="A3238" s="4" t="s">
        <v>7421</v>
      </c>
      <c r="B3238" s="4" t="s">
        <v>7303</v>
      </c>
      <c r="C3238" s="4" t="str">
        <f ca="1">IFERROR(__xludf.DUMMYFUNCTION("GOOGLETRANSLATE(D:D,""auto"",""en"")"),"9 Province supplies directly to Wuhan Union")</f>
        <v>9 Province supplies directly to Wuhan Union</v>
      </c>
      <c r="D3238" s="5" t="s">
        <v>7422</v>
      </c>
      <c r="E3238" s="4">
        <v>414791</v>
      </c>
      <c r="F3238">
        <v>1</v>
      </c>
    </row>
    <row r="3239" spans="1:6" ht="13.5" customHeight="1">
      <c r="A3239" s="4" t="s">
        <v>7423</v>
      </c>
      <c r="B3239" s="4" t="s">
        <v>7424</v>
      </c>
      <c r="C3239" s="4" t="str">
        <f ca="1">IFERROR(__xludf.DUMMYFUNCTION("GOOGLETRANSLATE(D:D,""auto"",""en"")"),"22-year-old nurse's hand infection")</f>
        <v>22-year-old nurse's hand infection</v>
      </c>
      <c r="D3239" s="5" t="s">
        <v>7425</v>
      </c>
      <c r="E3239" s="4">
        <v>400703</v>
      </c>
      <c r="F3239">
        <v>1</v>
      </c>
    </row>
    <row r="3240" spans="1:6" ht="13.5" hidden="1" customHeight="1">
      <c r="A3240" s="4" t="s">
        <v>7426</v>
      </c>
      <c r="B3240" s="4" t="s">
        <v>7427</v>
      </c>
      <c r="C3240" s="4" t="str">
        <f ca="1">IFERROR(__xludf.DUMMYFUNCTION("GOOGLETRANSLATE(D:D,""auto"",""en"")"),"Before and now ask why the difference")</f>
        <v>Before and now ask why the difference</v>
      </c>
      <c r="D3240" s="5" t="s">
        <v>7428</v>
      </c>
      <c r="E3240" s="4">
        <v>374771</v>
      </c>
    </row>
    <row r="3241" spans="1:6" ht="13.5" hidden="1" customHeight="1">
      <c r="A3241" s="4" t="s">
        <v>1040</v>
      </c>
      <c r="B3241" s="4" t="s">
        <v>1041</v>
      </c>
      <c r="C3241" s="4" t="str">
        <f ca="1">IFERROR(__xludf.DUMMYFUNCTION("GOOGLETRANSLATE(D:D,""auto"",""en"")"),"Host competition")</f>
        <v>Host competition</v>
      </c>
      <c r="D3241" s="5" t="s">
        <v>1042</v>
      </c>
      <c r="E3241" s="4">
        <v>372366</v>
      </c>
    </row>
    <row r="3242" spans="1:6" ht="13.5" customHeight="1">
      <c r="A3242" s="4" t="s">
        <v>7426</v>
      </c>
      <c r="B3242" s="4" t="s">
        <v>7429</v>
      </c>
      <c r="C3242" s="4" t="str">
        <f ca="1">IFERROR(__xludf.DUMMYFUNCTION("GOOGLETRANSLATE(D:D,""auto"",""en"")"),"Heilongjiang epidemic of a public official dinner will be discharged")</f>
        <v>Heilongjiang epidemic of a public official dinner will be discharged</v>
      </c>
      <c r="D3242" s="5" t="s">
        <v>7430</v>
      </c>
      <c r="E3242" s="4">
        <v>337929</v>
      </c>
      <c r="F3242">
        <v>1</v>
      </c>
    </row>
    <row r="3243" spans="1:6" ht="13.5" hidden="1" customHeight="1">
      <c r="A3243" s="4" t="s">
        <v>7431</v>
      </c>
      <c r="B3243" s="4" t="s">
        <v>7432</v>
      </c>
      <c r="C3243" s="4" t="str">
        <f ca="1">IFERROR(__xludf.DUMMYFUNCTION("GOOGLETRANSLATE(D:D,""auto"",""en"")"),"Dianchi Lake Seagull")</f>
        <v>Dianchi Lake Seagull</v>
      </c>
      <c r="D3243" s="5" t="s">
        <v>7433</v>
      </c>
      <c r="E3243" s="4">
        <v>319647</v>
      </c>
    </row>
    <row r="3244" spans="1:6" ht="13.5" customHeight="1">
      <c r="A3244" s="4" t="s">
        <v>7434</v>
      </c>
      <c r="B3244" s="4" t="s">
        <v>7301</v>
      </c>
      <c r="C3244" s="4" t="str">
        <f ca="1">IFERROR(__xludf.DUMMYFUNCTION("GOOGLETRANSLATE(D:D,""auto"",""en"")"),"Stop movies and television filming during the epidemic")</f>
        <v>Stop movies and television filming during the epidemic</v>
      </c>
      <c r="D3244" s="5" t="s">
        <v>7435</v>
      </c>
      <c r="E3244" s="4">
        <v>299816</v>
      </c>
      <c r="F3244">
        <v>1</v>
      </c>
    </row>
    <row r="3245" spans="1:6" ht="13.5" customHeight="1">
      <c r="A3245" s="4" t="s">
        <v>7436</v>
      </c>
      <c r="B3245" s="4" t="s">
        <v>7437</v>
      </c>
      <c r="C3245" s="4" t="str">
        <f ca="1">IFERROR(__xludf.DUMMYFUNCTION("GOOGLETRANSLATE(D:D,""auto"",""en"")"),"Wuhan Red Cross presence is not timely allocation problem")</f>
        <v>Wuhan Red Cross presence is not timely allocation problem</v>
      </c>
      <c r="D3245" s="5" t="s">
        <v>7438</v>
      </c>
      <c r="E3245" s="4">
        <v>278283</v>
      </c>
      <c r="F3245">
        <v>1</v>
      </c>
    </row>
    <row r="3246" spans="1:6" ht="13.5" customHeight="1">
      <c r="A3246" s="4" t="s">
        <v>6717</v>
      </c>
      <c r="B3246" s="4" t="s">
        <v>6718</v>
      </c>
      <c r="C3246" s="4" t="str">
        <f ca="1">IFERROR(__xludf.DUMMYFUNCTION("GOOGLETRANSLATE(D:D,""auto"",""en"")"),"The epidemic is still in the diffusion phase")</f>
        <v>The epidemic is still in the diffusion phase</v>
      </c>
      <c r="D3246" s="5" t="s">
        <v>6719</v>
      </c>
      <c r="E3246" s="4">
        <v>275745</v>
      </c>
      <c r="F3246">
        <v>1</v>
      </c>
    </row>
    <row r="3247" spans="1:6" ht="13.5" hidden="1" customHeight="1">
      <c r="A3247" s="4" t="s">
        <v>7398</v>
      </c>
      <c r="B3247" s="4" t="s">
        <v>7439</v>
      </c>
      <c r="C3247" s="4" t="str">
        <f ca="1">IFERROR(__xludf.DUMMYFUNCTION("GOOGLETRANSLATE(D:D,""auto"",""en"")"),"St. Petersburg stadium collapse")</f>
        <v>St. Petersburg stadium collapse</v>
      </c>
      <c r="D3247" s="5" t="s">
        <v>7440</v>
      </c>
      <c r="E3247" s="4">
        <v>275575</v>
      </c>
    </row>
    <row r="3248" spans="1:6" ht="13.5" customHeight="1">
      <c r="A3248" s="4" t="s">
        <v>7441</v>
      </c>
      <c r="B3248" s="4" t="s">
        <v>7320</v>
      </c>
      <c r="C3248" s="4" t="str">
        <f ca="1">IFERROR(__xludf.DUMMYFUNCTION("GOOGLETRANSLATE(D:D,""auto"",""en"")"),"SHL")</f>
        <v>SHL</v>
      </c>
      <c r="D3248" s="5" t="s">
        <v>7442</v>
      </c>
      <c r="E3248" s="4">
        <v>247018</v>
      </c>
      <c r="F3248">
        <v>1</v>
      </c>
    </row>
    <row r="3249" spans="1:6" ht="13.5" customHeight="1">
      <c r="A3249" s="4" t="s">
        <v>7398</v>
      </c>
      <c r="B3249" s="4" t="s">
        <v>7443</v>
      </c>
      <c r="C3249" s="4" t="str">
        <f ca="1">IFERROR(__xludf.DUMMYFUNCTION("GOOGLETRANSLATE(D:D,""auto"",""en"")"),"Wuhan Vulcan Hill Hospital foundation construction completed")</f>
        <v>Wuhan Vulcan Hill Hospital foundation construction completed</v>
      </c>
      <c r="D3249" s="5" t="s">
        <v>7444</v>
      </c>
      <c r="E3249" s="4">
        <v>241961</v>
      </c>
      <c r="F3249">
        <v>1</v>
      </c>
    </row>
    <row r="3250" spans="1:6" ht="13.5" customHeight="1">
      <c r="A3250" s="4" t="s">
        <v>7268</v>
      </c>
      <c r="B3250" s="4" t="s">
        <v>7269</v>
      </c>
      <c r="C3250" s="4" t="str">
        <f ca="1">IFERROR(__xludf.DUMMYFUNCTION("GOOGLETRANSLATE(D:D,""auto"",""en"")"),"Red Cross")</f>
        <v>Red Cross</v>
      </c>
      <c r="D3250" s="5" t="s">
        <v>7270</v>
      </c>
      <c r="E3250" s="4">
        <v>240204</v>
      </c>
      <c r="F3250">
        <v>1</v>
      </c>
    </row>
    <row r="3251" spans="1:6" ht="13.5" customHeight="1">
      <c r="A3251" s="4" t="s">
        <v>7398</v>
      </c>
      <c r="B3251" s="4" t="s">
        <v>7445</v>
      </c>
      <c r="C3251" s="4" t="str">
        <f ca="1">IFERROR(__xludf.DUMMYFUNCTION("GOOGLETRANSLATE(D:D,""auto"",""en"")"),"Hangzhou, the public can make an appointment to apply for free masks")</f>
        <v>Hangzhou, the public can make an appointment to apply for free masks</v>
      </c>
      <c r="D3251" s="5" t="s">
        <v>7446</v>
      </c>
      <c r="E3251" s="4">
        <v>221137</v>
      </c>
      <c r="F3251">
        <v>1</v>
      </c>
    </row>
    <row r="3252" spans="1:6" ht="13.5" hidden="1" customHeight="1">
      <c r="A3252" s="4" t="s">
        <v>7447</v>
      </c>
      <c r="B3252" s="4" t="s">
        <v>7448</v>
      </c>
      <c r="C3252" s="4" t="str">
        <f ca="1">IFERROR(__xludf.DUMMYFUNCTION("GOOGLETRANSLATE(D:D,""auto"",""en"")"),"Massu")</f>
        <v>Massu</v>
      </c>
      <c r="D3252" s="5" t="s">
        <v>7449</v>
      </c>
      <c r="E3252" s="4">
        <v>218215</v>
      </c>
    </row>
    <row r="3253" spans="1:6" ht="13.5" customHeight="1">
      <c r="A3253" s="4" t="s">
        <v>7383</v>
      </c>
      <c r="B3253" s="4" t="s">
        <v>7450</v>
      </c>
      <c r="C3253" s="4" t="str">
        <f ca="1">IFERROR(__xludf.DUMMYFUNCTION("GOOGLETRANSLATE(D:D,""auto"",""en"")"),"Huanggang Mayor response to disease control official answer any of them")</f>
        <v>Huanggang Mayor response to disease control official answer any of them</v>
      </c>
      <c r="D3253" s="5" t="s">
        <v>7451</v>
      </c>
      <c r="E3253" s="4">
        <v>211955</v>
      </c>
      <c r="F3253">
        <v>1</v>
      </c>
    </row>
    <row r="3254" spans="1:6" ht="13.5" customHeight="1">
      <c r="A3254" s="4" t="s">
        <v>7452</v>
      </c>
      <c r="B3254" s="4" t="s">
        <v>7453</v>
      </c>
      <c r="C3254" s="4" t="str">
        <f ca="1">IFERROR(__xludf.DUMMYFUNCTION("GOOGLETRANSLATE(D:D,""auto"",""en"")"),"No new Tibet without critical illness and no deaths")</f>
        <v>No new Tibet without critical illness and no deaths</v>
      </c>
      <c r="D3254" s="5" t="s">
        <v>7454</v>
      </c>
      <c r="E3254" s="4">
        <v>207547</v>
      </c>
      <c r="F3254">
        <v>1</v>
      </c>
    </row>
    <row r="3255" spans="1:6" ht="13.5" customHeight="1">
      <c r="A3255" s="4" t="s">
        <v>7455</v>
      </c>
      <c r="B3255" s="4" t="s">
        <v>7366</v>
      </c>
      <c r="C3255" s="4" t="str">
        <f ca="1">IFERROR(__xludf.DUMMYFUNCTION("GOOGLETRANSLATE(D:D,""auto"",""en"")"),"Game disco")</f>
        <v>Game disco</v>
      </c>
      <c r="D3255" s="5" t="s">
        <v>7456</v>
      </c>
      <c r="E3255" s="4">
        <v>199743</v>
      </c>
      <c r="F3255">
        <v>1</v>
      </c>
    </row>
    <row r="3256" spans="1:6" ht="13.5" customHeight="1">
      <c r="A3256" s="4" t="s">
        <v>7441</v>
      </c>
      <c r="B3256" s="4" t="s">
        <v>7457</v>
      </c>
      <c r="C3256" s="4" t="str">
        <f ca="1">IFERROR(__xludf.DUMMYFUNCTION("GOOGLETRANSLATE(D:D,""auto"",""en"")"),"Beijing postponed school children are paid for care")</f>
        <v>Beijing postponed school children are paid for care</v>
      </c>
      <c r="D3256" s="5" t="s">
        <v>7458</v>
      </c>
      <c r="E3256" s="4">
        <v>184759</v>
      </c>
      <c r="F3256">
        <v>1</v>
      </c>
    </row>
    <row r="3257" spans="1:6" ht="13.5" hidden="1" customHeight="1">
      <c r="A3257" s="4" t="s">
        <v>7459</v>
      </c>
      <c r="B3257" s="4" t="s">
        <v>7460</v>
      </c>
      <c r="C3257" s="4" t="str">
        <f ca="1">IFERROR(__xludf.DUMMYFUNCTION("GOOGLETRANSLATE(D:D,""auto"",""en"")"),"Kobe Bryant All-Star Tribute")</f>
        <v>Kobe Bryant All-Star Tribute</v>
      </c>
      <c r="D3257" s="5" t="s">
        <v>7461</v>
      </c>
      <c r="E3257" s="4">
        <v>171972</v>
      </c>
    </row>
    <row r="3258" spans="1:6" ht="13.5" customHeight="1">
      <c r="A3258" s="4" t="s">
        <v>7462</v>
      </c>
      <c r="B3258" s="4" t="s">
        <v>7347</v>
      </c>
      <c r="C3258" s="4" t="str">
        <f ca="1">IFERROR(__xludf.DUMMYFUNCTION("GOOGLETRANSLATE(D:D,""auto"",""en"")"),"How are you doing Wuhan")</f>
        <v>How are you doing Wuhan</v>
      </c>
      <c r="D3258" s="5" t="s">
        <v>7463</v>
      </c>
      <c r="E3258" s="4">
        <v>168102</v>
      </c>
      <c r="F3258">
        <v>1</v>
      </c>
    </row>
    <row r="3259" spans="1:6" ht="13.5" customHeight="1">
      <c r="A3259" s="4" t="s">
        <v>7464</v>
      </c>
      <c r="B3259" s="4" t="s">
        <v>7465</v>
      </c>
      <c r="C3259" s="4" t="str">
        <f ca="1">IFERROR(__xludf.DUMMYFUNCTION("GOOGLETRANSLATE(D:D,""auto"",""en"")"),"Apple retail stores in mainland close to 9")</f>
        <v>Apple retail stores in mainland close to 9</v>
      </c>
      <c r="D3259" s="5" t="s">
        <v>7466</v>
      </c>
      <c r="E3259" s="4">
        <v>129256</v>
      </c>
      <c r="F3259">
        <v>1</v>
      </c>
    </row>
    <row r="3260" spans="1:6" ht="13.5" hidden="1" customHeight="1">
      <c r="A3260" s="4" t="s">
        <v>7467</v>
      </c>
      <c r="B3260" s="4" t="s">
        <v>7317</v>
      </c>
      <c r="C3260" s="4" t="str">
        <f ca="1">IFERROR(__xludf.DUMMYFUNCTION("GOOGLETRANSLATE(D:D,""auto"",""en"")"),"Guoping advance swept the women's singles semi-finals")</f>
        <v>Guoping advance swept the women's singles semi-finals</v>
      </c>
      <c r="D3260" s="5" t="s">
        <v>7468</v>
      </c>
      <c r="E3260" s="4">
        <v>107316</v>
      </c>
    </row>
    <row r="3261" spans="1:6" ht="13.5" hidden="1" customHeight="1">
      <c r="A3261" s="4" t="s">
        <v>7469</v>
      </c>
      <c r="B3261" s="4" t="s">
        <v>5526</v>
      </c>
      <c r="C3261" s="4" t="str">
        <f ca="1">IFERROR(__xludf.DUMMYFUNCTION("GOOGLETRANSLATE(D:D,""auto"",""en"")"),"Australian Open")</f>
        <v>Australian Open</v>
      </c>
      <c r="D3261" s="5" t="s">
        <v>7470</v>
      </c>
      <c r="E3261" s="4">
        <v>83413</v>
      </c>
    </row>
    <row r="3262" spans="1:6" ht="13.5" customHeight="1">
      <c r="A3262" s="4" t="s">
        <v>7471</v>
      </c>
      <c r="B3262" s="4" t="s">
        <v>7135</v>
      </c>
      <c r="C3262" s="4" t="str">
        <f ca="1">IFERROR(__xludf.DUMMYFUNCTION("GOOGLETRANSLATE(D:D,""auto"",""en"")"),"CCTV reporter interviewed Wuhan Union Hospital")</f>
        <v>CCTV reporter interviewed Wuhan Union Hospital</v>
      </c>
      <c r="D3262" s="5" t="s">
        <v>7472</v>
      </c>
      <c r="E3262" s="4">
        <v>82023</v>
      </c>
      <c r="F3262">
        <v>1</v>
      </c>
    </row>
    <row r="3263" spans="1:6" ht="13.5" hidden="1" customHeight="1">
      <c r="C3263" s="4" t="str">
        <f ca="1">IFERROR(__xludf.DUMMYFUNCTION("GOOGLETRANSLATE(D:D,""auto"",""en"")"),"#VALUE!")</f>
        <v>#VALUE!</v>
      </c>
    </row>
    <row r="3264" spans="1:6" ht="13.5" customHeight="1">
      <c r="A3264" s="4" t="s">
        <v>7473</v>
      </c>
      <c r="B3264" s="4" t="s">
        <v>7474</v>
      </c>
      <c r="C3264" s="4" t="str">
        <f ca="1">IFERROR(__xludf.DUMMYFUNCTION("GOOGLETRANSLATE(D:D,""auto"",""en"")"),"The earliest detection of outbreaks of Dr. Wu Hannv")</f>
        <v>The earliest detection of outbreaks of Dr. Wu Hannv</v>
      </c>
      <c r="D3264" s="4" t="s">
        <v>7475</v>
      </c>
      <c r="E3264" s="4">
        <v>7102696</v>
      </c>
      <c r="F3264">
        <v>1</v>
      </c>
    </row>
    <row r="3265" spans="1:6" ht="13.5" customHeight="1">
      <c r="A3265" s="4" t="s">
        <v>7476</v>
      </c>
      <c r="B3265" s="4" t="s">
        <v>7406</v>
      </c>
      <c r="C3265" s="4" t="str">
        <f ca="1">IFERROR(__xludf.DUMMYFUNCTION("GOOGLETRANSLATE(D:D,""auto"",""en"")"),"Harbin Chinese New Year dinner causing many infections")</f>
        <v>Harbin Chinese New Year dinner causing many infections</v>
      </c>
      <c r="D3265" s="5" t="s">
        <v>7477</v>
      </c>
      <c r="E3265" s="4">
        <v>3878030</v>
      </c>
      <c r="F3265">
        <v>1</v>
      </c>
    </row>
    <row r="3266" spans="1:6" ht="13.5" customHeight="1">
      <c r="A3266" s="4" t="s">
        <v>7478</v>
      </c>
      <c r="B3266" s="4" t="s">
        <v>7479</v>
      </c>
      <c r="C3266" s="4" t="str">
        <f ca="1">IFERROR(__xludf.DUMMYFUNCTION("GOOGLETRANSLATE(D:D,""auto"",""en"")"),"Wuhan look at satellite images comparing past and present")</f>
        <v>Wuhan look at satellite images comparing past and present</v>
      </c>
      <c r="D3266" s="5" t="s">
        <v>7480</v>
      </c>
      <c r="E3266" s="4">
        <v>2707081</v>
      </c>
      <c r="F3266">
        <v>1</v>
      </c>
    </row>
    <row r="3267" spans="1:6" ht="13.5" customHeight="1">
      <c r="A3267" s="4" t="s">
        <v>7481</v>
      </c>
      <c r="B3267" s="4" t="s">
        <v>7482</v>
      </c>
      <c r="C3267" s="4" t="str">
        <f ca="1">IFERROR(__xludf.DUMMYFUNCTION("GOOGLETRANSLATE(D:D,""auto"",""en"")"),"N95 respirator masks KN95")</f>
        <v>N95 respirator masks KN95</v>
      </c>
      <c r="D3267" s="5" t="s">
        <v>7483</v>
      </c>
      <c r="E3267" s="4">
        <v>2647147</v>
      </c>
      <c r="F3267">
        <v>1</v>
      </c>
    </row>
    <row r="3268" spans="1:6" ht="13.5" customHeight="1">
      <c r="A3268" s="4" t="s">
        <v>7484</v>
      </c>
      <c r="B3268" s="4" t="s">
        <v>7485</v>
      </c>
      <c r="C3268" s="4" t="str">
        <f ca="1">IFERROR(__xludf.DUMMYFUNCTION("GOOGLETRANSLATE(D:D,""auto"",""en"")"),"Treatment success rate is higher than a stream and bird flu")</f>
        <v>Treatment success rate is higher than a stream and bird flu</v>
      </c>
      <c r="D3268" s="5" t="s">
        <v>7486</v>
      </c>
      <c r="E3268" s="4">
        <v>2481990</v>
      </c>
      <c r="F3268">
        <v>1</v>
      </c>
    </row>
    <row r="3269" spans="1:6" ht="13.5" customHeight="1">
      <c r="A3269" s="4" t="s">
        <v>7487</v>
      </c>
      <c r="B3269" s="4" t="s">
        <v>7277</v>
      </c>
      <c r="C3269" s="4" t="str">
        <f ca="1">IFERROR(__xludf.DUMMYFUNCTION("GOOGLETRANSLATE(D:D,""auto"",""en"")"),"Patients diagnosed with detection of viral RNA-positive stool")</f>
        <v>Patients diagnosed with detection of viral RNA-positive stool</v>
      </c>
      <c r="D3269" s="5" t="s">
        <v>7488</v>
      </c>
      <c r="E3269" s="4">
        <v>1863205</v>
      </c>
      <c r="F3269">
        <v>1</v>
      </c>
    </row>
    <row r="3270" spans="1:6" ht="13.5" hidden="1" customHeight="1">
      <c r="A3270" s="4" t="s">
        <v>7489</v>
      </c>
      <c r="B3270" s="4" t="s">
        <v>7490</v>
      </c>
      <c r="C3270" s="4" t="str">
        <f ca="1">IFERROR(__xludf.DUMMYFUNCTION("GOOGLETRANSLATE(D:D,""auto"",""en"")"),"20200202")</f>
        <v>20200202</v>
      </c>
      <c r="D3270" s="5" t="s">
        <v>7491</v>
      </c>
      <c r="E3270" s="4">
        <v>1718623</v>
      </c>
    </row>
    <row r="3271" spans="1:6" ht="13.5" customHeight="1">
      <c r="A3271" s="4" t="s">
        <v>7492</v>
      </c>
      <c r="B3271" s="4" t="s">
        <v>7493</v>
      </c>
      <c r="C3271" s="4" t="str">
        <f ca="1">IFERROR(__xludf.DUMMYFUNCTION("GOOGLETRANSLATE(D:D,""auto"",""en"")"),"More than rush to the rescue Wuhan university medical school")</f>
        <v>More than rush to the rescue Wuhan university medical school</v>
      </c>
      <c r="D3271" s="5" t="s">
        <v>7494</v>
      </c>
      <c r="E3271" s="4">
        <v>1479991</v>
      </c>
      <c r="F3271">
        <v>1</v>
      </c>
    </row>
    <row r="3272" spans="1:6" ht="13.5" customHeight="1">
      <c r="A3272" s="4" t="s">
        <v>5803</v>
      </c>
      <c r="B3272" s="4" t="s">
        <v>5804</v>
      </c>
      <c r="C3272" s="4" t="str">
        <f ca="1">IFERROR(__xludf.DUMMYFUNCTION("GOOGLETRANSLATE(D:D,""auto"",""en"")"),"The latest outbreak Map")</f>
        <v>The latest outbreak Map</v>
      </c>
      <c r="D3272" s="5" t="s">
        <v>5805</v>
      </c>
      <c r="E3272" s="4">
        <v>1135491</v>
      </c>
      <c r="F3272">
        <v>1</v>
      </c>
    </row>
    <row r="3273" spans="1:6" ht="13.5" customHeight="1">
      <c r="A3273" s="4" t="s">
        <v>7495</v>
      </c>
      <c r="B3273" s="4" t="s">
        <v>7496</v>
      </c>
      <c r="C3273" s="4" t="str">
        <f ca="1">IFERROR(__xludf.DUMMYFUNCTION("GOOGLETRANSLATE(D:D,""auto"",""en"")"),"No power to stop asymptomatic persons into the community to return to Beijing")</f>
        <v>No power to stop asymptomatic persons into the community to return to Beijing</v>
      </c>
      <c r="D3273" s="5" t="s">
        <v>7497</v>
      </c>
      <c r="E3273" s="4">
        <v>1134730</v>
      </c>
      <c r="F3273">
        <v>1</v>
      </c>
    </row>
    <row r="3274" spans="1:6" ht="13.5" customHeight="1">
      <c r="A3274" s="4" t="s">
        <v>5967</v>
      </c>
      <c r="B3274" s="4" t="s">
        <v>5968</v>
      </c>
      <c r="C3274" s="4" t="str">
        <f ca="1">IFERROR(__xludf.DUMMYFUNCTION("GOOGLETRANSLATE(D:D,""auto"",""en"")"),"Han")</f>
        <v>Han</v>
      </c>
      <c r="D3274" s="5" t="s">
        <v>5969</v>
      </c>
      <c r="E3274" s="4">
        <v>1133454</v>
      </c>
      <c r="F3274">
        <v>1</v>
      </c>
    </row>
    <row r="3275" spans="1:6" ht="13.5" customHeight="1">
      <c r="A3275" s="4" t="s">
        <v>7498</v>
      </c>
      <c r="B3275" s="4" t="s">
        <v>7496</v>
      </c>
      <c r="C3275" s="4" t="str">
        <f ca="1">IFERROR(__xludf.DUMMYFUNCTION("GOOGLETRANSLATE(D:D,""auto"",""en"")"),"There is no evidence of mutation novel coronavirus")</f>
        <v>There is no evidence of mutation novel coronavirus</v>
      </c>
      <c r="D3275" s="5" t="s">
        <v>7499</v>
      </c>
      <c r="E3275" s="4">
        <v>1130537</v>
      </c>
      <c r="F3275">
        <v>1</v>
      </c>
    </row>
    <row r="3276" spans="1:6" ht="13.5" hidden="1" customHeight="1">
      <c r="A3276" s="4" t="s">
        <v>7500</v>
      </c>
      <c r="B3276" s="4" t="s">
        <v>7501</v>
      </c>
      <c r="C3276" s="4" t="str">
        <f ca="1">IFERROR(__xludf.DUMMYFUNCTION("GOOGLETRANSLATE(D:D,""auto"",""en"")"),"Beijing snow")</f>
        <v>Beijing snow</v>
      </c>
      <c r="D3276" s="5" t="s">
        <v>7502</v>
      </c>
      <c r="E3276" s="4">
        <v>1117814</v>
      </c>
    </row>
    <row r="3277" spans="1:6" ht="13.5" customHeight="1">
      <c r="A3277" s="4" t="s">
        <v>7503</v>
      </c>
      <c r="B3277" s="4" t="s">
        <v>7504</v>
      </c>
      <c r="C3277" s="4" t="str">
        <f ca="1">IFERROR(__xludf.DUMMYFUNCTION("GOOGLETRANSLATE(D:D,""auto"",""en"")"),"Experts draw attention to the risk of the spread of the digestive system")</f>
        <v>Experts draw attention to the risk of the spread of the digestive system</v>
      </c>
      <c r="D3277" s="5" t="s">
        <v>7505</v>
      </c>
      <c r="E3277" s="4">
        <v>1095715</v>
      </c>
      <c r="F3277">
        <v>1</v>
      </c>
    </row>
    <row r="3278" spans="1:6" ht="13.5" customHeight="1">
      <c r="A3278" s="4" t="s">
        <v>7506</v>
      </c>
      <c r="B3278" s="4" t="s">
        <v>7507</v>
      </c>
      <c r="C3278" s="4" t="str">
        <f ca="1">IFERROR(__xludf.DUMMYFUNCTION("GOOGLETRANSLATE(D:D,""auto"",""en"")"),"Chinese Red Cross Society sent a work team to go to Wuhan")</f>
        <v>Chinese Red Cross Society sent a work team to go to Wuhan</v>
      </c>
      <c r="D3278" s="5" t="s">
        <v>7508</v>
      </c>
      <c r="E3278" s="4">
        <v>1000469</v>
      </c>
      <c r="F3278">
        <v>1</v>
      </c>
    </row>
    <row r="3279" spans="1:6" ht="13.5" hidden="1" customHeight="1">
      <c r="A3279" s="4" t="s">
        <v>7509</v>
      </c>
      <c r="B3279" s="4" t="s">
        <v>7510</v>
      </c>
      <c r="C3279" s="4" t="str">
        <f ca="1">IFERROR(__xludf.DUMMYFUNCTION("GOOGLETRANSLATE(D:D,""auto"",""en"")"),"Hu Hai-Quan")</f>
        <v>Hu Hai-Quan</v>
      </c>
      <c r="D3279" s="5" t="s">
        <v>7511</v>
      </c>
      <c r="E3279" s="4">
        <v>997886</v>
      </c>
    </row>
    <row r="3280" spans="1:6" ht="13.5" customHeight="1">
      <c r="A3280" s="4" t="s">
        <v>7512</v>
      </c>
      <c r="B3280" s="4" t="s">
        <v>7406</v>
      </c>
      <c r="C3280" s="4" t="str">
        <f ca="1">IFERROR(__xludf.DUMMYFUNCTION("GOOGLETRANSLATE(D:D,""auto"",""en"")"),"Return to work around the schedule to resume classes")</f>
        <v>Return to work around the schedule to resume classes</v>
      </c>
      <c r="D3280" s="5" t="s">
        <v>7513</v>
      </c>
      <c r="E3280" s="4">
        <v>995718</v>
      </c>
      <c r="F3280">
        <v>1</v>
      </c>
    </row>
    <row r="3281" spans="1:6" ht="13.5" customHeight="1">
      <c r="A3281" s="4" t="s">
        <v>7514</v>
      </c>
      <c r="B3281" s="4" t="s">
        <v>7515</v>
      </c>
      <c r="C3281" s="4" t="str">
        <f ca="1">IFERROR(__xludf.DUMMYFUNCTION("GOOGLETRANSLATE(D:D,""auto"",""en"")"),"Party Secretary of Hebei a result of inadequate control of Phytophthora be accountable")</f>
        <v>Party Secretary of Hebei a result of inadequate control of Phytophthora be accountable</v>
      </c>
      <c r="D3281" s="5" t="s">
        <v>7516</v>
      </c>
      <c r="E3281" s="4">
        <v>993101</v>
      </c>
      <c r="F3281">
        <v>1</v>
      </c>
    </row>
    <row r="3282" spans="1:6" ht="13.5" hidden="1" customHeight="1">
      <c r="A3282" s="4" t="s">
        <v>7447</v>
      </c>
      <c r="B3282" s="4" t="s">
        <v>7448</v>
      </c>
      <c r="C3282" s="4" t="str">
        <f ca="1">IFERROR(__xludf.DUMMYFUNCTION("GOOGLETRANSLATE(D:D,""auto"",""en"")"),"Massu")</f>
        <v>Massu</v>
      </c>
      <c r="D3282" s="5" t="s">
        <v>7449</v>
      </c>
      <c r="E3282" s="4">
        <v>992195</v>
      </c>
    </row>
    <row r="3283" spans="1:6" ht="13.5" customHeight="1">
      <c r="A3283" s="4" t="s">
        <v>7506</v>
      </c>
      <c r="B3283" s="4" t="s">
        <v>7517</v>
      </c>
      <c r="C3283" s="4" t="str">
        <f ca="1">IFERROR(__xludf.DUMMYFUNCTION("GOOGLETRANSLATE(D:D,""auto"",""en"")"),"The national total of 14,380 cases diagnosed pneumonia new")</f>
        <v>The national total of 14,380 cases diagnosed pneumonia new</v>
      </c>
      <c r="D3283" s="5" t="s">
        <v>7518</v>
      </c>
      <c r="E3283" s="4">
        <v>990021</v>
      </c>
      <c r="F3283">
        <v>1</v>
      </c>
    </row>
    <row r="3284" spans="1:6" ht="13.5" customHeight="1">
      <c r="A3284" s="4" t="s">
        <v>7519</v>
      </c>
      <c r="B3284" s="4" t="s">
        <v>7436</v>
      </c>
      <c r="C3284" s="4" t="str">
        <f ca="1">IFERROR(__xludf.DUMMYFUNCTION("GOOGLETRANSLATE(D:D,""auto"",""en"")"),"Stay home these days to know something")</f>
        <v>Stay home these days to know something</v>
      </c>
      <c r="D3284" s="5" t="s">
        <v>7520</v>
      </c>
      <c r="E3284" s="4">
        <v>871448</v>
      </c>
      <c r="F3284">
        <v>1</v>
      </c>
    </row>
    <row r="3285" spans="1:6" ht="13.5" hidden="1" customHeight="1">
      <c r="A3285" s="4" t="s">
        <v>7521</v>
      </c>
      <c r="B3285" s="4" t="s">
        <v>7522</v>
      </c>
      <c r="C3285" s="4" t="str">
        <f ca="1">IFERROR(__xludf.DUMMYFUNCTION("GOOGLETRANSLATE(D:D,""auto"",""en"")"),"Depp")</f>
        <v>Depp</v>
      </c>
      <c r="D3285" s="5" t="s">
        <v>7523</v>
      </c>
      <c r="E3285" s="4">
        <v>868792</v>
      </c>
    </row>
    <row r="3286" spans="1:6" ht="13.5" customHeight="1">
      <c r="A3286" s="4" t="s">
        <v>7524</v>
      </c>
      <c r="B3286" s="4" t="s">
        <v>7493</v>
      </c>
      <c r="C3286" s="4" t="str">
        <f ca="1">IFERROR(__xludf.DUMMYFUNCTION("GOOGLETRANSLATE(D:D,""auto"",""en"")"),"Gold and Silver Lake Wuhan hospital donations Announcement")</f>
        <v>Gold and Silver Lake Wuhan hospital donations Announcement</v>
      </c>
      <c r="D3286" s="5" t="s">
        <v>7525</v>
      </c>
      <c r="E3286" s="4">
        <v>644155</v>
      </c>
      <c r="F3286">
        <v>1</v>
      </c>
    </row>
    <row r="3287" spans="1:6" ht="13.5" customHeight="1">
      <c r="A3287" s="4" t="s">
        <v>7526</v>
      </c>
      <c r="B3287" s="4" t="s">
        <v>7515</v>
      </c>
      <c r="C3287" s="4" t="str">
        <f ca="1">IFERROR(__xludf.DUMMYFUNCTION("GOOGLETRANSLATE(D:D,""auto"",""en"")"),"Air Force eight large transport aircraft arrived in Wuhan")</f>
        <v>Air Force eight large transport aircraft arrived in Wuhan</v>
      </c>
      <c r="D3287" s="5" t="s">
        <v>7527</v>
      </c>
      <c r="E3287" s="4">
        <v>595543</v>
      </c>
      <c r="F3287">
        <v>1</v>
      </c>
    </row>
    <row r="3288" spans="1:6" ht="13.5" customHeight="1">
      <c r="A3288" s="4" t="s">
        <v>7492</v>
      </c>
      <c r="B3288" s="4" t="s">
        <v>7528</v>
      </c>
      <c r="C3288" s="4" t="str">
        <f ca="1">IFERROR(__xludf.DUMMYFUNCTION("GOOGLETRANSLATE(D:D,""auto"",""en"")"),"Philippines first case of deaths")</f>
        <v>Philippines first case of deaths</v>
      </c>
      <c r="D3288" s="5" t="s">
        <v>7529</v>
      </c>
      <c r="E3288" s="4">
        <v>570992</v>
      </c>
      <c r="F3288">
        <v>1</v>
      </c>
    </row>
    <row r="3289" spans="1:6" ht="13.5" customHeight="1">
      <c r="A3289" s="4" t="s">
        <v>7506</v>
      </c>
      <c r="B3289" s="4" t="s">
        <v>7530</v>
      </c>
      <c r="C3289" s="4" t="str">
        <f ca="1">IFERROR(__xludf.DUMMYFUNCTION("GOOGLETRANSLATE(D:D,""auto"",""en"")"),"Children should wear special masks disposable")</f>
        <v>Children should wear special masks disposable</v>
      </c>
      <c r="D3289" s="5" t="s">
        <v>7531</v>
      </c>
      <c r="E3289" s="4">
        <v>567624</v>
      </c>
      <c r="F3289">
        <v>1</v>
      </c>
    </row>
    <row r="3290" spans="1:6" ht="13.5" customHeight="1">
      <c r="A3290" s="4" t="s">
        <v>7532</v>
      </c>
      <c r="B3290" s="4" t="s">
        <v>7533</v>
      </c>
      <c r="C3290" s="4" t="str">
        <f ca="1">IFERROR(__xludf.DUMMYFUNCTION("GOOGLETRANSLATE(D:D,""auto"",""en"")"),"Academician Li Lanjuan led arrived in Wuhan")</f>
        <v>Academician Li Lanjuan led arrived in Wuhan</v>
      </c>
      <c r="D3290" s="5" t="s">
        <v>7534</v>
      </c>
      <c r="E3290" s="4">
        <v>555867</v>
      </c>
      <c r="F3290">
        <v>1</v>
      </c>
    </row>
    <row r="3291" spans="1:6" ht="13.5" customHeight="1">
      <c r="A3291" s="4" t="s">
        <v>7535</v>
      </c>
      <c r="B3291" s="4" t="s">
        <v>7533</v>
      </c>
      <c r="C3291" s="4" t="str">
        <f ca="1">IFERROR(__xludf.DUMMYFUNCTION("GOOGLETRANSLATE(D:D,""auto"",""en"")"),"Shanghai Institute of Materia Medica statement")</f>
        <v>Shanghai Institute of Materia Medica statement</v>
      </c>
      <c r="D3291" s="5" t="s">
        <v>7536</v>
      </c>
      <c r="E3291" s="4">
        <v>552940</v>
      </c>
      <c r="F3291">
        <v>1</v>
      </c>
    </row>
    <row r="3292" spans="1:6" ht="13.5" customHeight="1">
      <c r="A3292" s="4" t="s">
        <v>7266</v>
      </c>
      <c r="B3292" s="4" t="s">
        <v>7411</v>
      </c>
      <c r="C3292" s="4" t="str">
        <f ca="1">IFERROR(__xludf.DUMMYFUNCTION("GOOGLETRANSLATE(D:D,""auto"",""en"")"),"Pakistan")</f>
        <v>Pakistan</v>
      </c>
      <c r="D3292" s="5" t="s">
        <v>7412</v>
      </c>
      <c r="E3292" s="4">
        <v>525683</v>
      </c>
      <c r="F3292">
        <v>1</v>
      </c>
    </row>
    <row r="3293" spans="1:6" ht="13.5" hidden="1" customHeight="1">
      <c r="A3293" s="4" t="s">
        <v>7537</v>
      </c>
      <c r="B3293" s="4" t="s">
        <v>7538</v>
      </c>
      <c r="C3293" s="4" t="str">
        <f ca="1">IFERROR(__xludf.DUMMYFUNCTION("GOOGLETRANSLATE(D:D,""auto"",""en"")"),"Cai Zi host Championship")</f>
        <v>Cai Zi host Championship</v>
      </c>
      <c r="D3293" s="5" t="s">
        <v>7539</v>
      </c>
      <c r="E3293" s="4">
        <v>518776</v>
      </c>
    </row>
    <row r="3294" spans="1:6" ht="13.5" hidden="1" customHeight="1">
      <c r="A3294" s="4" t="s">
        <v>7540</v>
      </c>
      <c r="B3294" s="4" t="s">
        <v>7541</v>
      </c>
      <c r="C3294" s="4" t="str">
        <f ca="1">IFERROR(__xludf.DUMMYFUNCTION("GOOGLETRANSLATE(D:D,""auto"",""en"")"),"Just I want to live an ordinary 20,200,202")</f>
        <v>Just I want to live an ordinary 20,200,202</v>
      </c>
      <c r="D3294" s="5" t="s">
        <v>7542</v>
      </c>
      <c r="E3294" s="4">
        <v>470575</v>
      </c>
    </row>
    <row r="3295" spans="1:6" ht="13.5" hidden="1" customHeight="1">
      <c r="A3295" s="4" t="s">
        <v>7543</v>
      </c>
      <c r="B3295" s="4" t="s">
        <v>7544</v>
      </c>
      <c r="C3295" s="4" t="str">
        <f ca="1">IFERROR(__xludf.DUMMYFUNCTION("GOOGLETRANSLATE(D:D,""auto"",""en"")"),"Zhou Zhennan Ouyang Nana Cover")</f>
        <v>Zhou Zhennan Ouyang Nana Cover</v>
      </c>
      <c r="D3295" s="5" t="s">
        <v>7545</v>
      </c>
      <c r="E3295" s="4">
        <v>469554</v>
      </c>
    </row>
    <row r="3296" spans="1:6" ht="13.5" hidden="1" customHeight="1">
      <c r="A3296" s="4" t="s">
        <v>7339</v>
      </c>
      <c r="B3296" s="4" t="s">
        <v>7321</v>
      </c>
      <c r="C3296" s="4" t="str">
        <f ca="1">IFERROR(__xludf.DUMMYFUNCTION("GOOGLETRANSLATE(D:D,""auto"",""en"")"),"Britain officially off Europe")</f>
        <v>Britain officially off Europe</v>
      </c>
      <c r="D3296" s="5" t="s">
        <v>7340</v>
      </c>
      <c r="E3296" s="4">
        <v>469507</v>
      </c>
    </row>
    <row r="3297" spans="1:6" ht="13.5" hidden="1" customHeight="1">
      <c r="A3297" s="4" t="s">
        <v>7546</v>
      </c>
      <c r="B3297" s="4" t="s">
        <v>7547</v>
      </c>
      <c r="C3297" s="4" t="str">
        <f ca="1">IFERROR(__xludf.DUMMYFUNCTION("GOOGLETRANSLATE(D:D,""auto"",""en"")"),"Mike handsome")</f>
        <v>Mike handsome</v>
      </c>
      <c r="D3297" s="5" t="s">
        <v>7548</v>
      </c>
      <c r="E3297" s="4">
        <v>469480</v>
      </c>
    </row>
    <row r="3298" spans="1:6" ht="13.5" customHeight="1">
      <c r="A3298" s="4" t="s">
        <v>7546</v>
      </c>
      <c r="B3298" s="4" t="s">
        <v>7549</v>
      </c>
      <c r="C3298" s="4" t="str">
        <f ca="1">IFERROR(__xludf.DUMMYFUNCTION("GOOGLETRANSLATE(D:D,""auto"",""en"")"),"Jiangsu new 34 cases of confirmed cases")</f>
        <v>Jiangsu new 34 cases of confirmed cases</v>
      </c>
      <c r="D3298" s="5" t="s">
        <v>7550</v>
      </c>
      <c r="E3298" s="4">
        <v>415179</v>
      </c>
      <c r="F3298">
        <v>1</v>
      </c>
    </row>
    <row r="3299" spans="1:6" ht="13.5" customHeight="1">
      <c r="A3299" s="4" t="s">
        <v>7551</v>
      </c>
      <c r="B3299" s="4" t="s">
        <v>7552</v>
      </c>
      <c r="C3299" s="4" t="str">
        <f ca="1">IFERROR(__xludf.DUMMYFUNCTION("GOOGLETRANSLATE(D:D,""auto"",""en"")"),"Shandong total of 225 cases of confirmed cases")</f>
        <v>Shandong total of 225 cases of confirmed cases</v>
      </c>
      <c r="D3299" s="5" t="s">
        <v>7553</v>
      </c>
      <c r="E3299" s="4">
        <v>412141</v>
      </c>
      <c r="F3299">
        <v>1</v>
      </c>
    </row>
    <row r="3300" spans="1:6" ht="13.5" hidden="1" customHeight="1">
      <c r="A3300" s="4" t="s">
        <v>7554</v>
      </c>
      <c r="B3300" s="4" t="s">
        <v>7555</v>
      </c>
      <c r="C3300" s="4" t="str">
        <f ca="1">IFERROR(__xludf.DUMMYFUNCTION("GOOGLETRANSLATE(D:D,""auto"",""en"")"),"Elva real name envy")</f>
        <v>Elva real name envy</v>
      </c>
      <c r="D3300" s="5" t="s">
        <v>7556</v>
      </c>
      <c r="E3300" s="4">
        <v>407227</v>
      </c>
    </row>
    <row r="3301" spans="1:6" ht="13.5" customHeight="1">
      <c r="A3301" s="4" t="s">
        <v>7521</v>
      </c>
      <c r="B3301" s="4" t="s">
        <v>7557</v>
      </c>
      <c r="C3301" s="4" t="str">
        <f ca="1">IFERROR(__xludf.DUMMYFUNCTION("GOOGLETRANSLATE(D:D,""auto"",""en"")"),"Hunan four people were suspended epidemic prevention and control poor")</f>
        <v>Hunan four people were suspended epidemic prevention and control poor</v>
      </c>
      <c r="D3301" s="5" t="s">
        <v>7558</v>
      </c>
      <c r="E3301" s="4">
        <v>372543</v>
      </c>
      <c r="F3301">
        <v>1</v>
      </c>
    </row>
    <row r="3302" spans="1:6" ht="13.5" hidden="1" customHeight="1">
      <c r="A3302" s="4" t="s">
        <v>7374</v>
      </c>
      <c r="B3302" s="4" t="s">
        <v>7375</v>
      </c>
      <c r="C3302" s="4" t="str">
        <f ca="1">IFERROR(__xludf.DUMMYFUNCTION("GOOGLETRANSLATE(D:D,""auto"",""en"")"),"Hunan bird flu")</f>
        <v>Hunan bird flu</v>
      </c>
      <c r="D3302" s="5" t="s">
        <v>7376</v>
      </c>
      <c r="E3302" s="4">
        <v>357524</v>
      </c>
    </row>
    <row r="3303" spans="1:6" ht="13.5" customHeight="1">
      <c r="A3303" s="4" t="s">
        <v>7559</v>
      </c>
      <c r="B3303" s="4" t="s">
        <v>7560</v>
      </c>
      <c r="C3303" s="4" t="str">
        <f ca="1">IFERROR(__xludf.DUMMYFUNCTION("GOOGLETRANSLATE(D:D,""auto"",""en"")"),"24 new confirmed cases in Sichuan")</f>
        <v>24 new confirmed cases in Sichuan</v>
      </c>
      <c r="D3303" s="5" t="s">
        <v>7561</v>
      </c>
      <c r="E3303" s="4">
        <v>342859</v>
      </c>
      <c r="F3303">
        <v>1</v>
      </c>
    </row>
    <row r="3304" spans="1:6" ht="13.5" customHeight="1">
      <c r="A3304" s="4" t="s">
        <v>7562</v>
      </c>
      <c r="B3304" s="4" t="s">
        <v>7533</v>
      </c>
      <c r="C3304" s="4" t="str">
        <f ca="1">IFERROR(__xludf.DUMMYFUNCTION("GOOGLETRANSLATE(D:D,""auto"",""en"")"),"Zhejiang new 62 cases of confirmed cases")</f>
        <v>Zhejiang new 62 cases of confirmed cases</v>
      </c>
      <c r="D3304" s="5" t="s">
        <v>7563</v>
      </c>
      <c r="E3304" s="4">
        <v>326404</v>
      </c>
      <c r="F3304">
        <v>1</v>
      </c>
    </row>
    <row r="3305" spans="1:6" ht="13.5" hidden="1" customHeight="1">
      <c r="A3305" s="4" t="s">
        <v>7564</v>
      </c>
      <c r="B3305" s="4" t="s">
        <v>7565</v>
      </c>
      <c r="C3305" s="4" t="str">
        <f ca="1">IFERROR(__xludf.DUMMYFUNCTION("GOOGLETRANSLATE(D:D,""auto"",""en"")"),"Your recent days")</f>
        <v>Your recent days</v>
      </c>
      <c r="D3305" s="5" t="s">
        <v>7566</v>
      </c>
      <c r="E3305" s="4">
        <v>323428</v>
      </c>
    </row>
    <row r="3306" spans="1:6" ht="13.5" customHeight="1">
      <c r="A3306" s="4" t="s">
        <v>7567</v>
      </c>
      <c r="B3306" s="4" t="s">
        <v>7507</v>
      </c>
      <c r="C3306" s="4" t="str">
        <f ca="1">IFERROR(__xludf.DUMMYFUNCTION("GOOGLETRANSLATE(D:D,""auto"",""en"")"),"Hubei new 1921 cases of confirmed cases")</f>
        <v>Hubei new 1921 cases of confirmed cases</v>
      </c>
      <c r="D3306" s="5" t="s">
        <v>7568</v>
      </c>
      <c r="E3306" s="4">
        <v>322253</v>
      </c>
      <c r="F3306">
        <v>1</v>
      </c>
    </row>
    <row r="3307" spans="1:6" ht="13.5" customHeight="1">
      <c r="A3307" s="4" t="s">
        <v>7535</v>
      </c>
      <c r="B3307" s="4" t="s">
        <v>7507</v>
      </c>
      <c r="C3307" s="4" t="str">
        <f ca="1">IFERROR(__xludf.DUMMYFUNCTION("GOOGLETRANSLATE(D:D,""auto"",""en"")"),"Surgical masks can check online information")</f>
        <v>Surgical masks can check online information</v>
      </c>
      <c r="D3307" s="5" t="s">
        <v>7569</v>
      </c>
      <c r="E3307" s="4">
        <v>306444</v>
      </c>
      <c r="F3307">
        <v>1</v>
      </c>
    </row>
    <row r="3308" spans="1:6" ht="13.5" customHeight="1">
      <c r="A3308" s="4" t="s">
        <v>7570</v>
      </c>
      <c r="B3308" s="4" t="s">
        <v>7571</v>
      </c>
      <c r="C3308" s="4" t="str">
        <f ca="1">IFERROR(__xludf.DUMMYFUNCTION("GOOGLETRANSLATE(D:D,""auto"",""en"")"),"Wuhan hospital docking with direct donations")</f>
        <v>Wuhan hospital docking with direct donations</v>
      </c>
      <c r="D3308" s="5" t="s">
        <v>7572</v>
      </c>
      <c r="E3308" s="4">
        <v>285635</v>
      </c>
      <c r="F3308">
        <v>1</v>
      </c>
    </row>
    <row r="3309" spans="1:6" ht="13.5" hidden="1" customHeight="1">
      <c r="A3309" s="4" t="s">
        <v>6261</v>
      </c>
      <c r="B3309" s="4" t="s">
        <v>6262</v>
      </c>
      <c r="C3309" s="4" t="str">
        <f ca="1">IFERROR(__xludf.DUMMYFUNCTION("GOOGLETRANSLATE(D:D,""auto"",""en"")"),"Bai Yansong")</f>
        <v>Bai Yansong</v>
      </c>
      <c r="D3309" s="5" t="s">
        <v>6263</v>
      </c>
      <c r="E3309" s="4">
        <v>277245</v>
      </c>
    </row>
    <row r="3310" spans="1:6" ht="13.5" customHeight="1">
      <c r="A3310" s="4" t="s">
        <v>7573</v>
      </c>
      <c r="B3310" s="4" t="s">
        <v>7574</v>
      </c>
      <c r="C3310" s="4" t="str">
        <f ca="1">IFERROR(__xludf.DUMMYFUNCTION("GOOGLETRANSLATE(D:D,""auto"",""en"")"),"Anhui Changfeng sell donated masks to respond woman")</f>
        <v>Anhui Changfeng sell donated masks to respond woman</v>
      </c>
      <c r="D3310" s="5" t="s">
        <v>7575</v>
      </c>
      <c r="E3310" s="4">
        <v>276667</v>
      </c>
      <c r="F3310">
        <v>1</v>
      </c>
    </row>
    <row r="3311" spans="1:6" ht="13.5" customHeight="1">
      <c r="A3311" s="4" t="s">
        <v>7576</v>
      </c>
      <c r="B3311" s="4" t="s">
        <v>7530</v>
      </c>
      <c r="C3311" s="4" t="str">
        <f ca="1">IFERROR(__xludf.DUMMYFUNCTION("GOOGLETRANSLATE(D:D,""auto"",""en"")"),"United States found the first eight infected patients")</f>
        <v>United States found the first eight infected patients</v>
      </c>
      <c r="D3311" s="5" t="s">
        <v>7577</v>
      </c>
      <c r="E3311" s="4">
        <v>276129</v>
      </c>
      <c r="F3311">
        <v>1</v>
      </c>
    </row>
    <row r="3312" spans="1:6" ht="13.5" customHeight="1">
      <c r="A3312" s="4" t="s">
        <v>7578</v>
      </c>
      <c r="B3312" s="4" t="s">
        <v>7507</v>
      </c>
      <c r="C3312" s="4" t="str">
        <f ca="1">IFERROR(__xludf.DUMMYFUNCTION("GOOGLETRANSLATE(D:D,""auto"",""en"")"),"Diary ghost town")</f>
        <v>Diary ghost town</v>
      </c>
      <c r="D3312" s="5" t="s">
        <v>7579</v>
      </c>
      <c r="E3312" s="4">
        <v>264322</v>
      </c>
      <c r="F3312">
        <v>1</v>
      </c>
    </row>
    <row r="3313" spans="1:6" ht="13.5" hidden="1" customHeight="1">
      <c r="A3313" s="4" t="s">
        <v>7377</v>
      </c>
      <c r="B3313" s="4" t="s">
        <v>7378</v>
      </c>
      <c r="C3313" s="4" t="str">
        <f ca="1">IFERROR(__xludf.DUMMYFUNCTION("GOOGLETRANSLATE(D:D,""auto"",""en"")"),"Elva boyfriend")</f>
        <v>Elva boyfriend</v>
      </c>
      <c r="D3313" s="5" t="s">
        <v>7379</v>
      </c>
      <c r="E3313" s="4">
        <v>251550</v>
      </c>
    </row>
    <row r="3314" spans="1:6" ht="13.5" hidden="1" customHeight="1">
      <c r="C3314" s="4" t="str">
        <f ca="1">IFERROR(__xludf.DUMMYFUNCTION("GOOGLETRANSLATE(D:D,""auto"",""en"")"),"#VALUE!")</f>
        <v>#VALUE!</v>
      </c>
    </row>
    <row r="3315" spans="1:6" ht="13.5" customHeight="1">
      <c r="A3315" s="4" t="s">
        <v>7580</v>
      </c>
      <c r="B3315" s="4" t="s">
        <v>7581</v>
      </c>
      <c r="C3315" s="4" t="str">
        <f ca="1">IFERROR(__xludf.DUMMYFUNCTION("GOOGLETRANSLATE(D:D,""auto"",""en"")"),"Zhong Nanshan said the self-isolation of suspected cases is very dangerous")</f>
        <v>Zhong Nanshan said the self-isolation of suspected cases is very dangerous</v>
      </c>
      <c r="D3315" s="4" t="s">
        <v>7582</v>
      </c>
      <c r="E3315" s="4">
        <v>6483687</v>
      </c>
      <c r="F3315">
        <v>1</v>
      </c>
    </row>
    <row r="3316" spans="1:6" ht="13.5" customHeight="1">
      <c r="A3316" s="4" t="s">
        <v>7583</v>
      </c>
      <c r="B3316" s="4" t="s">
        <v>7584</v>
      </c>
      <c r="C3316" s="4" t="str">
        <f ca="1">IFERROR(__xludf.DUMMYFUNCTION("GOOGLETRANSLATE(D:D,""auto"",""en"")"),"It has initially selected three treatment drugs")</f>
        <v>It has initially selected three treatment drugs</v>
      </c>
      <c r="D3316" s="5" t="s">
        <v>7585</v>
      </c>
      <c r="E3316" s="4">
        <v>2387034</v>
      </c>
      <c r="F3316">
        <v>1</v>
      </c>
    </row>
    <row r="3317" spans="1:6" ht="13.5" customHeight="1">
      <c r="A3317" s="4" t="s">
        <v>7586</v>
      </c>
      <c r="B3317" s="4" t="s">
        <v>7587</v>
      </c>
      <c r="C3317" s="4" t="str">
        <f ca="1">IFERROR(__xludf.DUMMYFUNCTION("GOOGLETRANSLATE(D:D,""auto"",""en"")"),"Local calls may use any name interception of medical supplies")</f>
        <v>Local calls may use any name interception of medical supplies</v>
      </c>
      <c r="D3317" s="5" t="s">
        <v>7588</v>
      </c>
      <c r="E3317" s="4">
        <v>2036025</v>
      </c>
      <c r="F3317">
        <v>1</v>
      </c>
    </row>
    <row r="3318" spans="1:6" ht="13.5" hidden="1" customHeight="1">
      <c r="A3318" s="4" t="s">
        <v>7589</v>
      </c>
      <c r="B3318" s="4" t="s">
        <v>7590</v>
      </c>
      <c r="C3318" s="4" t="str">
        <f ca="1">IFERROR(__xludf.DUMMYFUNCTION("GOOGLETRANSLATE(D:D,""auto"",""en"")"),"Zouyunhaowen")</f>
        <v>Zouyunhaowen</v>
      </c>
      <c r="D3318" s="5" t="s">
        <v>7591</v>
      </c>
      <c r="E3318" s="4">
        <v>2016738</v>
      </c>
    </row>
    <row r="3319" spans="1:6" ht="13.5" customHeight="1">
      <c r="A3319" s="4" t="s">
        <v>7592</v>
      </c>
      <c r="B3319" s="4" t="s">
        <v>7593</v>
      </c>
      <c r="C3319" s="4" t="str">
        <f ca="1">IFERROR(__xludf.DUMMYFUNCTION("GOOGLETRANSLATE(D:D,""auto"",""en"")"),"One person dialogue mayor of Wenzhou City")</f>
        <v>One person dialogue mayor of Wenzhou City</v>
      </c>
      <c r="D3319" s="5" t="s">
        <v>7594</v>
      </c>
      <c r="E3319" s="4">
        <v>1924286</v>
      </c>
      <c r="F3319">
        <v>1</v>
      </c>
    </row>
    <row r="3320" spans="1:6" ht="13.5" hidden="1" customHeight="1">
      <c r="A3320" s="4" t="s">
        <v>7595</v>
      </c>
      <c r="B3320" s="4" t="s">
        <v>7596</v>
      </c>
      <c r="C3320" s="4" t="str">
        <f ca="1">IFERROR(__xludf.DUMMYFUNCTION("GOOGLETRANSLATE(D:D,""auto"",""en"")"),"See you live")</f>
        <v>See you live</v>
      </c>
      <c r="D3320" s="5" t="s">
        <v>7597</v>
      </c>
      <c r="E3320" s="4">
        <v>1792718</v>
      </c>
    </row>
    <row r="3321" spans="1:6" ht="13.5" customHeight="1">
      <c r="A3321" s="4" t="s">
        <v>7598</v>
      </c>
      <c r="B3321" s="4" t="s">
        <v>7599</v>
      </c>
      <c r="C3321" s="4" t="str">
        <f ca="1">IFERROR(__xludf.DUMMYFUNCTION("GOOGLETRANSLATE(D:D,""auto"",""en"")"),"Wuhan City, Hubei Province, in particular, is the most important supplies needed")</f>
        <v>Wuhan City, Hubei Province, in particular, is the most important supplies needed</v>
      </c>
      <c r="D3321" s="5" t="s">
        <v>7600</v>
      </c>
      <c r="E3321" s="4">
        <v>1587169</v>
      </c>
      <c r="F3321">
        <v>1</v>
      </c>
    </row>
    <row r="3322" spans="1:6" ht="13.5" customHeight="1">
      <c r="A3322" s="4" t="s">
        <v>7601</v>
      </c>
      <c r="B3322" s="4" t="s">
        <v>7602</v>
      </c>
      <c r="C3322" s="4" t="str">
        <f ca="1">IFERROR(__xludf.DUMMYFUNCTION("GOOGLETRANSLATE(D:D,""auto"",""en"")"),"New cases confirmed cases live in the upstairs")</f>
        <v>New cases confirmed cases live in the upstairs</v>
      </c>
      <c r="D3322" s="5" t="s">
        <v>7603</v>
      </c>
      <c r="E3322" s="4">
        <v>1218903</v>
      </c>
      <c r="F3322">
        <v>1</v>
      </c>
    </row>
    <row r="3323" spans="1:6" ht="13.5" hidden="1" customHeight="1">
      <c r="A3323" s="4" t="s">
        <v>7469</v>
      </c>
      <c r="B3323" s="4" t="s">
        <v>5526</v>
      </c>
      <c r="C3323" s="4" t="str">
        <f ca="1">IFERROR(__xludf.DUMMYFUNCTION("GOOGLETRANSLATE(D:D,""auto"",""en"")"),"Australian Open")</f>
        <v>Australian Open</v>
      </c>
      <c r="D3323" s="5" t="s">
        <v>7470</v>
      </c>
      <c r="E3323" s="4">
        <v>1146445</v>
      </c>
    </row>
    <row r="3324" spans="1:6" ht="13.5" customHeight="1">
      <c r="A3324" s="4" t="s">
        <v>5803</v>
      </c>
      <c r="B3324" s="4" t="s">
        <v>5804</v>
      </c>
      <c r="C3324" s="4" t="str">
        <f ca="1">IFERROR(__xludf.DUMMYFUNCTION("GOOGLETRANSLATE(D:D,""auto"",""en"")"),"The latest outbreak Map")</f>
        <v>The latest outbreak Map</v>
      </c>
      <c r="D3324" s="5" t="s">
        <v>5805</v>
      </c>
      <c r="E3324" s="4">
        <v>1075865</v>
      </c>
      <c r="F3324">
        <v>1</v>
      </c>
    </row>
    <row r="3325" spans="1:6" ht="13.5" customHeight="1">
      <c r="A3325" s="4" t="s">
        <v>7604</v>
      </c>
      <c r="B3325" s="4" t="s">
        <v>7605</v>
      </c>
      <c r="C3325" s="4" t="str">
        <f ca="1">IFERROR(__xludf.DUMMYFUNCTION("GOOGLETRANSLATE(D:D,""auto"",""en"")"),"Shandong found that clusters of disease from 60")</f>
        <v>Shandong found that clusters of disease from 60</v>
      </c>
      <c r="D3325" s="5" t="s">
        <v>7606</v>
      </c>
      <c r="E3325" s="4">
        <v>1073923</v>
      </c>
      <c r="F3325">
        <v>1</v>
      </c>
    </row>
    <row r="3326" spans="1:6" ht="13.5" customHeight="1">
      <c r="A3326" s="4" t="s">
        <v>7607</v>
      </c>
      <c r="B3326" s="4" t="s">
        <v>7608</v>
      </c>
      <c r="C3326" s="4" t="str">
        <f ca="1">IFERROR(__xludf.DUMMYFUNCTION("GOOGLETRANSLATE(D:D,""auto"",""en"")"),"Shenzhen, the first time in three cases of community transmission case")</f>
        <v>Shenzhen, the first time in three cases of community transmission case</v>
      </c>
      <c r="D3326" s="5" t="s">
        <v>7609</v>
      </c>
      <c r="E3326" s="4">
        <v>1065495</v>
      </c>
      <c r="F3326">
        <v>1</v>
      </c>
    </row>
    <row r="3327" spans="1:6" ht="13.5" customHeight="1">
      <c r="A3327" s="4" t="s">
        <v>7610</v>
      </c>
      <c r="B3327" s="4" t="s">
        <v>7611</v>
      </c>
      <c r="C3327" s="4" t="str">
        <f ca="1">IFERROR(__xludf.DUMMYFUNCTION("GOOGLETRANSLATE(D:D,""auto"",""en"")"),"Huanggang also received direct aid")</f>
        <v>Huanggang also received direct aid</v>
      </c>
      <c r="D3327" s="5" t="s">
        <v>7612</v>
      </c>
      <c r="E3327" s="4">
        <v>1055235</v>
      </c>
      <c r="F3327">
        <v>1</v>
      </c>
    </row>
    <row r="3328" spans="1:6" ht="13.5" customHeight="1">
      <c r="A3328" s="4" t="s">
        <v>7613</v>
      </c>
      <c r="B3328" s="4" t="s">
        <v>7614</v>
      </c>
      <c r="C3328" s="4" t="str">
        <f ca="1">IFERROR(__xludf.DUMMYFUNCTION("GOOGLETRANSLATE(D:D,""auto"",""en"")"),"Zhong Nanshan talk about the latest epidemic prevention and control situation")</f>
        <v>Zhong Nanshan talk about the latest epidemic prevention and control situation</v>
      </c>
      <c r="D3328" s="5" t="s">
        <v>7615</v>
      </c>
      <c r="E3328" s="4">
        <v>1044151</v>
      </c>
      <c r="F3328">
        <v>1</v>
      </c>
    </row>
    <row r="3329" spans="1:6" ht="13.5" hidden="1" customHeight="1">
      <c r="A3329" s="4" t="s">
        <v>1040</v>
      </c>
      <c r="B3329" s="4" t="s">
        <v>7616</v>
      </c>
      <c r="C3329" s="4" t="str">
        <f ca="1">IFERROR(__xludf.DUMMYFUNCTION("GOOGLETRANSLATE(D:D,""auto"",""en"")"),"Feng Shuo be eliminated")</f>
        <v>Feng Shuo be eliminated</v>
      </c>
      <c r="D3329" s="5" t="s">
        <v>7617</v>
      </c>
      <c r="E3329" s="4">
        <v>1031449</v>
      </c>
    </row>
    <row r="3330" spans="1:6" ht="13.5" customHeight="1">
      <c r="A3330" s="4" t="s">
        <v>7618</v>
      </c>
      <c r="B3330" s="4" t="s">
        <v>7619</v>
      </c>
      <c r="C3330" s="4" t="str">
        <f ca="1">IFERROR(__xludf.DUMMYFUNCTION("GOOGLETRANSLATE(D:D,""auto"",""en"")"),"Shenzhen landlady initiative to drop rent 800 000")</f>
        <v>Shenzhen landlady initiative to drop rent 800 000</v>
      </c>
      <c r="D3330" s="5" t="s">
        <v>7620</v>
      </c>
      <c r="E3330" s="4">
        <v>1017105</v>
      </c>
      <c r="F3330">
        <v>1</v>
      </c>
    </row>
    <row r="3331" spans="1:6" ht="13.5" hidden="1" customHeight="1">
      <c r="A3331" s="4" t="s">
        <v>7621</v>
      </c>
      <c r="B3331" s="4" t="s">
        <v>7622</v>
      </c>
      <c r="C3331" s="4" t="str">
        <f ca="1">IFERROR(__xludf.DUMMYFUNCTION("GOOGLETRANSLATE(D:D,""auto"",""en"")"),"User petition dismissed Yimei Bo Neptune 2")</f>
        <v>User petition dismissed Yimei Bo Neptune 2</v>
      </c>
      <c r="D3331" s="5" t="s">
        <v>7623</v>
      </c>
      <c r="E3331" s="4">
        <v>1012786</v>
      </c>
    </row>
    <row r="3332" spans="1:6" ht="13.5" customHeight="1">
      <c r="A3332" s="4" t="s">
        <v>7624</v>
      </c>
      <c r="B3332" s="4" t="s">
        <v>7625</v>
      </c>
      <c r="C3332" s="4" t="str">
        <f ca="1">IFERROR(__xludf.DUMMYFUNCTION("GOOGLETRANSLATE(D:D,""auto"",""en"")"),"Private enterprises in Wuhan to take over the work of the Red Cross supplies")</f>
        <v>Private enterprises in Wuhan to take over the work of the Red Cross supplies</v>
      </c>
      <c r="D3332" s="5" t="s">
        <v>7626</v>
      </c>
      <c r="E3332" s="4">
        <v>1000062</v>
      </c>
      <c r="F3332">
        <v>1</v>
      </c>
    </row>
    <row r="3333" spans="1:6" ht="13.5" hidden="1" customHeight="1">
      <c r="A3333" s="4" t="s">
        <v>7627</v>
      </c>
      <c r="B3333" s="4" t="s">
        <v>7628</v>
      </c>
      <c r="C3333" s="4" t="str">
        <f ca="1">IFERROR(__xludf.DUMMYFUNCTION("GOOGLETRANSLATE(D:D,""auto"",""en"")"),"Xu Xin, behind batting")</f>
        <v>Xu Xin, behind batting</v>
      </c>
      <c r="D3333" s="5" t="s">
        <v>7629</v>
      </c>
      <c r="E3333" s="4">
        <v>994300</v>
      </c>
    </row>
    <row r="3334" spans="1:6" ht="13.5" hidden="1" customHeight="1">
      <c r="A3334" s="4" t="s">
        <v>7604</v>
      </c>
      <c r="B3334" s="4" t="s">
        <v>7630</v>
      </c>
      <c r="C3334" s="4" t="str">
        <f ca="1">IFERROR(__xludf.DUMMYFUNCTION("GOOGLETRANSLATE(D:D,""auto"",""en"")"),"20,200,202 copy")</f>
        <v>20,200,202 copy</v>
      </c>
      <c r="D3334" s="5" t="s">
        <v>7631</v>
      </c>
      <c r="E3334" s="4">
        <v>977471</v>
      </c>
    </row>
    <row r="3335" spans="1:6" ht="13.5" customHeight="1">
      <c r="A3335" s="4" t="s">
        <v>7632</v>
      </c>
      <c r="B3335" s="4" t="s">
        <v>7573</v>
      </c>
      <c r="C3335" s="4" t="str">
        <f ca="1">IFERROR(__xludf.DUMMYFUNCTION("GOOGLETRANSLATE(D:D,""auto"",""en"")"),"The next period of time will not be a large passenger flow for Beijing")</f>
        <v>The next period of time will not be a large passenger flow for Beijing</v>
      </c>
      <c r="D3335" s="5" t="s">
        <v>7633</v>
      </c>
      <c r="E3335" s="4">
        <v>976919</v>
      </c>
      <c r="F3335">
        <v>1</v>
      </c>
    </row>
    <row r="3336" spans="1:6" ht="13.5" hidden="1" customHeight="1">
      <c r="A3336" s="4" t="s">
        <v>7583</v>
      </c>
      <c r="B3336" s="4" t="s">
        <v>7634</v>
      </c>
      <c r="C3336" s="4" t="str">
        <f ca="1">IFERROR(__xludf.DUMMYFUNCTION("GOOGLETRANSLATE(D:D,""auto"",""en"")"),"Play every day")</f>
        <v>Play every day</v>
      </c>
      <c r="D3336" s="5" t="s">
        <v>7635</v>
      </c>
      <c r="E3336" s="4">
        <v>943768</v>
      </c>
    </row>
    <row r="3337" spans="1:6" ht="13.5" hidden="1" customHeight="1">
      <c r="A3337" s="4" t="s">
        <v>7636</v>
      </c>
      <c r="B3337" s="4" t="s">
        <v>7637</v>
      </c>
      <c r="C3337" s="4" t="str">
        <f ca="1">IFERROR(__xludf.DUMMYFUNCTION("GOOGLETRANSLATE(D:D,""auto"",""en"")"),"You want to see Li Ziwei")</f>
        <v>You want to see Li Ziwei</v>
      </c>
      <c r="D3337" s="5" t="s">
        <v>7638</v>
      </c>
      <c r="E3337" s="4">
        <v>863096</v>
      </c>
    </row>
    <row r="3338" spans="1:6" ht="13.5" hidden="1" customHeight="1">
      <c r="A3338" s="4" t="s">
        <v>6108</v>
      </c>
      <c r="B3338" s="4" t="s">
        <v>6109</v>
      </c>
      <c r="C3338" s="4" t="str">
        <f ca="1">IFERROR(__xludf.DUMMYFUNCTION("GOOGLETRANSLATE(D:D,""auto"",""en"")"),"The next stop is happy")</f>
        <v>The next stop is happy</v>
      </c>
      <c r="D3338" s="5" t="s">
        <v>6110</v>
      </c>
      <c r="E3338" s="4">
        <v>782404</v>
      </c>
    </row>
    <row r="3339" spans="1:6" ht="13.5" hidden="1" customHeight="1">
      <c r="A3339" s="4" t="s">
        <v>7639</v>
      </c>
      <c r="B3339" s="4" t="s">
        <v>7625</v>
      </c>
      <c r="C3339" s="4" t="str">
        <f ca="1">IFERROR(__xludf.DUMMYFUNCTION("GOOGLETRANSLATE(D:D,""auto"",""en"")"),"Gao climbing lost")</f>
        <v>Gao climbing lost</v>
      </c>
      <c r="D3339" s="5" t="s">
        <v>7640</v>
      </c>
      <c r="E3339" s="4">
        <v>682572</v>
      </c>
    </row>
    <row r="3340" spans="1:6" ht="13.5" customHeight="1">
      <c r="A3340" s="4" t="s">
        <v>7641</v>
      </c>
      <c r="B3340" s="4" t="s">
        <v>7642</v>
      </c>
      <c r="C3340" s="4" t="str">
        <f ca="1">IFERROR(__xludf.DUMMYFUNCTION("GOOGLETRANSLATE(D:D,""auto"",""en"")"),"Hangzhou nine kinds of behavior shall be held criminally liable")</f>
        <v>Hangzhou nine kinds of behavior shall be held criminally liable</v>
      </c>
      <c r="D3340" s="5" t="s">
        <v>7643</v>
      </c>
      <c r="E3340" s="4">
        <v>639249</v>
      </c>
      <c r="F3340">
        <v>1</v>
      </c>
    </row>
    <row r="3341" spans="1:6" ht="13.5" hidden="1" customHeight="1">
      <c r="A3341" s="4" t="s">
        <v>2608</v>
      </c>
      <c r="B3341" s="4" t="s">
        <v>2609</v>
      </c>
      <c r="C3341" s="4" t="str">
        <f ca="1">IFERROR(__xludf.DUMMYFUNCTION("GOOGLETRANSLATE(D:D,""auto"",""en"")"),"Landing of love")</f>
        <v>Landing of love</v>
      </c>
      <c r="D3341" s="5" t="s">
        <v>2610</v>
      </c>
      <c r="E3341" s="4">
        <v>589128</v>
      </c>
    </row>
    <row r="3342" spans="1:6" ht="13.5" hidden="1" customHeight="1">
      <c r="A3342" s="4" t="s">
        <v>7592</v>
      </c>
      <c r="B3342" s="4" t="s">
        <v>7644</v>
      </c>
      <c r="C3342" s="4" t="str">
        <f ca="1">IFERROR(__xludf.DUMMYFUNCTION("GOOGLETRANSLATE(D:D,""auto"",""en"")"),"Our best time is now")</f>
        <v>Our best time is now</v>
      </c>
      <c r="D3342" s="5" t="s">
        <v>7645</v>
      </c>
      <c r="E3342" s="4">
        <v>530137</v>
      </c>
    </row>
    <row r="3343" spans="1:6" ht="13.5" customHeight="1">
      <c r="A3343" s="4" t="s">
        <v>7646</v>
      </c>
      <c r="B3343" s="4" t="s">
        <v>7647</v>
      </c>
      <c r="C3343" s="4" t="str">
        <f ca="1">IFERROR(__xludf.DUMMYFUNCTION("GOOGLETRANSLATE(D:D,""auto"",""en"")"),"House gourmet diary")</f>
        <v>House gourmet diary</v>
      </c>
      <c r="D3343" s="5" t="s">
        <v>7648</v>
      </c>
      <c r="E3343" s="4">
        <v>454628</v>
      </c>
      <c r="F3343">
        <v>1</v>
      </c>
    </row>
    <row r="3344" spans="1:6" ht="13.5" hidden="1" customHeight="1">
      <c r="A3344" s="4" t="s">
        <v>1040</v>
      </c>
      <c r="B3344" s="4" t="s">
        <v>1041</v>
      </c>
      <c r="C3344" s="4" t="str">
        <f ca="1">IFERROR(__xludf.DUMMYFUNCTION("GOOGLETRANSLATE(D:D,""auto"",""en"")"),"Host competition")</f>
        <v>Host competition</v>
      </c>
      <c r="D3344" s="5" t="s">
        <v>1042</v>
      </c>
      <c r="E3344" s="4">
        <v>404534</v>
      </c>
    </row>
    <row r="3345" spans="1:6" ht="13.5" hidden="1" customHeight="1">
      <c r="A3345" s="4" t="s">
        <v>6103</v>
      </c>
      <c r="B3345" s="4" t="s">
        <v>6067</v>
      </c>
      <c r="C3345" s="4" t="str">
        <f ca="1">IFERROR(__xludf.DUMMYFUNCTION("GOOGLETRANSLATE(D:D,""auto"",""en"")"),"New blind date the General Assembly")</f>
        <v>New blind date the General Assembly</v>
      </c>
      <c r="D3345" s="5" t="s">
        <v>6104</v>
      </c>
      <c r="E3345" s="4">
        <v>366994</v>
      </c>
    </row>
    <row r="3346" spans="1:6" ht="13.5" hidden="1" customHeight="1">
      <c r="A3346" s="4" t="s">
        <v>7649</v>
      </c>
      <c r="B3346" s="4" t="s">
        <v>7650</v>
      </c>
      <c r="C3346" s="4" t="str">
        <f ca="1">IFERROR(__xludf.DUMMYFUNCTION("GOOGLETRANSLATE(D:D,""auto"",""en"")"),"Wang Jianing")</f>
        <v>Wang Jianing</v>
      </c>
      <c r="D3346" s="5" t="s">
        <v>7651</v>
      </c>
      <c r="E3346" s="4">
        <v>365633</v>
      </c>
    </row>
    <row r="3347" spans="1:6" ht="13.5" customHeight="1">
      <c r="A3347" s="4" t="s">
        <v>7652</v>
      </c>
      <c r="B3347" s="4" t="s">
        <v>7524</v>
      </c>
      <c r="C3347" s="4" t="str">
        <f ca="1">IFERROR(__xludf.DUMMYFUNCTION("GOOGLETRANSLATE(D:D,""auto"",""en"")"),"After restoration work Beijing subway will control the load factor")</f>
        <v>After restoration work Beijing subway will control the load factor</v>
      </c>
      <c r="D3347" s="5" t="s">
        <v>7653</v>
      </c>
      <c r="E3347" s="4">
        <v>346763</v>
      </c>
      <c r="F3347">
        <v>1</v>
      </c>
    </row>
    <row r="3348" spans="1:6" ht="13.5" hidden="1" customHeight="1">
      <c r="A3348" s="4" t="s">
        <v>7652</v>
      </c>
      <c r="B3348" s="4" t="s">
        <v>7654</v>
      </c>
      <c r="C3348" s="4" t="str">
        <f ca="1">IFERROR(__xludf.DUMMYFUNCTION("GOOGLETRANSLATE(D:D,""auto"",""en"")"),"Chinese New Year these days to know the truth")</f>
        <v>Chinese New Year these days to know the truth</v>
      </c>
      <c r="D3348" s="5" t="s">
        <v>7655</v>
      </c>
      <c r="E3348" s="4">
        <v>304665</v>
      </c>
    </row>
    <row r="3349" spans="1:6" ht="13.5" hidden="1" customHeight="1">
      <c r="A3349" s="4" t="s">
        <v>7656</v>
      </c>
      <c r="B3349" s="4" t="s">
        <v>7657</v>
      </c>
      <c r="C3349" s="4" t="str">
        <f ca="1">IFERROR(__xludf.DUMMYFUNCTION("GOOGLETRANSLATE(D:D,""auto"",""en"")"),"Lv Changze")</f>
        <v>Lv Changze</v>
      </c>
      <c r="D3349" s="5" t="s">
        <v>7658</v>
      </c>
      <c r="E3349" s="4">
        <v>289276</v>
      </c>
    </row>
    <row r="3350" spans="1:6" ht="13.5" customHeight="1">
      <c r="A3350" s="4" t="s">
        <v>7659</v>
      </c>
      <c r="B3350" s="4" t="s">
        <v>7660</v>
      </c>
      <c r="C3350" s="4" t="str">
        <f ca="1">IFERROR(__xludf.DUMMYFUNCTION("GOOGLETRANSLATE(D:D,""auto"",""en"")"),"To avoid human body spray disinfectant")</f>
        <v>To avoid human body spray disinfectant</v>
      </c>
      <c r="D3350" s="5" t="s">
        <v>7661</v>
      </c>
      <c r="E3350" s="4">
        <v>281371</v>
      </c>
      <c r="F3350">
        <v>1</v>
      </c>
    </row>
    <row r="3351" spans="1:6" ht="13.5" hidden="1" customHeight="1">
      <c r="A3351" s="4" t="s">
        <v>7662</v>
      </c>
      <c r="B3351" s="4" t="s">
        <v>7663</v>
      </c>
      <c r="C3351" s="4" t="str">
        <f ca="1">IFERROR(__xludf.DUMMYFUNCTION("GOOGLETRANSLATE(D:D,""auto"",""en"")"),"Jung concert")</f>
        <v>Jung concert</v>
      </c>
      <c r="D3351" s="5" t="s">
        <v>7664</v>
      </c>
      <c r="E3351" s="4">
        <v>258054</v>
      </c>
    </row>
    <row r="3352" spans="1:6" ht="13.5" hidden="1" customHeight="1">
      <c r="A3352" s="4" t="s">
        <v>7665</v>
      </c>
      <c r="B3352" s="4" t="s">
        <v>7666</v>
      </c>
      <c r="C3352" s="4" t="str">
        <f ca="1">IFERROR(__xludf.DUMMYFUNCTION("GOOGLETRANSLATE(D:D,""auto"",""en"")"),"Watercress collapse")</f>
        <v>Watercress collapse</v>
      </c>
      <c r="D3352" s="5" t="s">
        <v>7667</v>
      </c>
      <c r="E3352" s="4">
        <v>255600</v>
      </c>
    </row>
    <row r="3353" spans="1:6" ht="13.5" hidden="1" customHeight="1">
      <c r="A3353" s="4" t="s">
        <v>7668</v>
      </c>
      <c r="B3353" s="4" t="s">
        <v>6134</v>
      </c>
      <c r="C3353" s="4" t="str">
        <f ca="1">IFERROR(__xludf.DUMMYFUNCTION("GOOGLETRANSLATE(D:D,""auto"",""en"")"),"Happy man comedy")</f>
        <v>Happy man comedy</v>
      </c>
      <c r="D3353" s="5" t="s">
        <v>7669</v>
      </c>
      <c r="E3353" s="4">
        <v>250826</v>
      </c>
    </row>
    <row r="3354" spans="1:6" ht="13.5" customHeight="1">
      <c r="A3354" s="4" t="s">
        <v>7649</v>
      </c>
      <c r="B3354" s="4" t="s">
        <v>7670</v>
      </c>
      <c r="C3354" s="4" t="str">
        <f ca="1">IFERROR(__xludf.DUMMYFUNCTION("GOOGLETRANSLATE(D:D,""auto"",""en"")"),"When you're bored go to learn")</f>
        <v>When you're bored go to learn</v>
      </c>
      <c r="D3354" s="5" t="s">
        <v>7671</v>
      </c>
      <c r="E3354" s="4">
        <v>250677</v>
      </c>
      <c r="F3354">
        <v>1</v>
      </c>
    </row>
    <row r="3355" spans="1:6" ht="13.5" hidden="1" customHeight="1">
      <c r="A3355" s="4" t="s">
        <v>7672</v>
      </c>
      <c r="B3355" s="4" t="s">
        <v>7673</v>
      </c>
      <c r="C3355" s="4" t="str">
        <f ca="1">IFERROR(__xludf.DUMMYFUNCTION("GOOGLETRANSLATE(D:D,""auto"",""en"")"),"Cai Yi")</f>
        <v>Cai Yi</v>
      </c>
      <c r="D3355" s="5" t="s">
        <v>7674</v>
      </c>
      <c r="E3355" s="4">
        <v>246205</v>
      </c>
    </row>
    <row r="3356" spans="1:6" ht="13.5" customHeight="1">
      <c r="A3356" s="4" t="s">
        <v>7675</v>
      </c>
      <c r="B3356" s="4" t="s">
        <v>7521</v>
      </c>
      <c r="C3356" s="4" t="str">
        <f ca="1">IFERROR(__xludf.DUMMYFUNCTION("GOOGLETRANSLATE(D:D,""auto"",""en"")"),"Jinyintan hospital one day 37 people were discharged from hospital")</f>
        <v>Jinyintan hospital one day 37 people were discharged from hospital</v>
      </c>
      <c r="D3356" s="5" t="s">
        <v>7676</v>
      </c>
      <c r="E3356" s="4">
        <v>226702</v>
      </c>
      <c r="F3356">
        <v>1</v>
      </c>
    </row>
    <row r="3357" spans="1:6" ht="13.5" hidden="1" customHeight="1">
      <c r="A3357" s="4" t="s">
        <v>7677</v>
      </c>
      <c r="B3357" s="4" t="s">
        <v>7678</v>
      </c>
      <c r="C3357" s="4" t="str">
        <f ca="1">IFERROR(__xludf.DUMMYFUNCTION("GOOGLETRANSLATE(D:D,""auto"",""en"")"),"Deng purple chess song")</f>
        <v>Deng purple chess song</v>
      </c>
      <c r="D3357" s="5" t="s">
        <v>7679</v>
      </c>
      <c r="E3357" s="4">
        <v>223550</v>
      </c>
    </row>
    <row r="3358" spans="1:6" ht="13.5" customHeight="1">
      <c r="A3358" s="4" t="s">
        <v>7680</v>
      </c>
      <c r="B3358" s="4" t="s">
        <v>7681</v>
      </c>
      <c r="C3358" s="4" t="str">
        <f ca="1">IFERROR(__xludf.DUMMYFUNCTION("GOOGLETRANSLATE(D:D,""auto"",""en"")"),"Germany confirmed cases increased to 10 cases")</f>
        <v>Germany confirmed cases increased to 10 cases</v>
      </c>
      <c r="D3358" s="5" t="s">
        <v>7682</v>
      </c>
      <c r="E3358" s="4">
        <v>201500</v>
      </c>
      <c r="F3358">
        <v>1</v>
      </c>
    </row>
    <row r="3359" spans="1:6" ht="13.5" customHeight="1">
      <c r="A3359" s="4" t="s">
        <v>7683</v>
      </c>
      <c r="B3359" s="4" t="s">
        <v>7660</v>
      </c>
      <c r="C3359" s="4" t="str">
        <f ca="1">IFERROR(__xludf.DUMMYFUNCTION("GOOGLETRANSLATE(D:D,""auto"",""en"")"),"Zhong Nanshan respond to the risk of virus spread fecal-oral")</f>
        <v>Zhong Nanshan respond to the risk of virus spread fecal-oral</v>
      </c>
      <c r="D3359" s="5" t="s">
        <v>7684</v>
      </c>
      <c r="E3359" s="4">
        <v>199766</v>
      </c>
      <c r="F3359">
        <v>1</v>
      </c>
    </row>
    <row r="3360" spans="1:6" ht="13.5" customHeight="1">
      <c r="A3360" s="4" t="s">
        <v>7685</v>
      </c>
      <c r="B3360" s="4" t="s">
        <v>7686</v>
      </c>
      <c r="C3360" s="4" t="str">
        <f ca="1">IFERROR(__xludf.DUMMYFUNCTION("GOOGLETRANSLATE(D:D,""auto"",""en"")"),"The central bank will put 1.2 trillion yuan liquidity")</f>
        <v>The central bank will put 1.2 trillion yuan liquidity</v>
      </c>
      <c r="D3360" s="5" t="s">
        <v>7687</v>
      </c>
      <c r="E3360" s="4">
        <v>196617</v>
      </c>
      <c r="F3360">
        <v>1</v>
      </c>
    </row>
    <row r="3361" spans="1:6" ht="13.5" customHeight="1">
      <c r="A3361" s="4" t="s">
        <v>7688</v>
      </c>
      <c r="B3361" s="4" t="s">
        <v>7689</v>
      </c>
      <c r="C3361" s="4" t="str">
        <f ca="1">IFERROR(__xludf.DUMMYFUNCTION("GOOGLETRANSLATE(D:D,""auto"",""en"")"),"Wuhan Middle school students online")</f>
        <v>Wuhan Middle school students online</v>
      </c>
      <c r="D3361" s="5" t="s">
        <v>7690</v>
      </c>
      <c r="E3361" s="4">
        <v>174890</v>
      </c>
      <c r="F3361">
        <v>1</v>
      </c>
    </row>
    <row r="3362" spans="1:6" ht="13.5" hidden="1" customHeight="1">
      <c r="A3362" s="4" t="s">
        <v>7649</v>
      </c>
      <c r="B3362" s="4" t="s">
        <v>7691</v>
      </c>
      <c r="C3362" s="4" t="str">
        <f ca="1">IFERROR(__xludf.DUMMYFUNCTION("GOOGLETRANSLATE(D:D,""auto"",""en"")"),"You Are the One Chen Jie")</f>
        <v>You Are the One Chen Jie</v>
      </c>
      <c r="D3362" s="5" t="s">
        <v>7692</v>
      </c>
      <c r="E3362" s="4">
        <v>171785</v>
      </c>
    </row>
    <row r="3363" spans="1:6" ht="13.5" hidden="1" customHeight="1">
      <c r="A3363" s="4" t="s">
        <v>7693</v>
      </c>
      <c r="B3363" s="4" t="s">
        <v>7642</v>
      </c>
      <c r="C3363" s="4" t="str">
        <f ca="1">IFERROR(__xludf.DUMMYFUNCTION("GOOGLETRANSLATE(D:D,""auto"",""en"")"),"Wen C Luoyou his first 50 balls")</f>
        <v>Wen C Luoyou his first 50 balls</v>
      </c>
      <c r="D3363" s="5" t="s">
        <v>7694</v>
      </c>
      <c r="E3363" s="4">
        <v>158941</v>
      </c>
    </row>
    <row r="3364" spans="1:6" ht="13.5" customHeight="1">
      <c r="A3364" s="4" t="s">
        <v>7649</v>
      </c>
      <c r="B3364" s="4" t="s">
        <v>7695</v>
      </c>
      <c r="C3364" s="4" t="str">
        <f ca="1">IFERROR(__xludf.DUMMYFUNCTION("GOOGLETRANSLATE(D:D,""auto"",""en"")"),"Jeju suspend visa")</f>
        <v>Jeju suspend visa</v>
      </c>
      <c r="D3364" s="5" t="s">
        <v>7696</v>
      </c>
      <c r="E3364" s="4">
        <v>152181</v>
      </c>
      <c r="F3364">
        <v>1</v>
      </c>
    </row>
    <row r="3365" spans="1:6" ht="13.5" hidden="1" customHeight="1">
      <c r="C3365" s="4" t="str">
        <f ca="1">IFERROR(__xludf.DUMMYFUNCTION("GOOGLETRANSLATE(D:D,""auto"",""en"")"),"#VALUE!")</f>
        <v>#VALUE!</v>
      </c>
    </row>
    <row r="3366" spans="1:6" ht="13.5" customHeight="1">
      <c r="A3366" s="4" t="s">
        <v>7697</v>
      </c>
      <c r="B3366" s="4" t="s">
        <v>7698</v>
      </c>
      <c r="C3366" s="4" t="str">
        <f ca="1">IFERROR(__xludf.DUMMYFUNCTION("GOOGLETRANSLATE(D:D,""auto"",""en"")"),"Doorknob confirmed cases detected virus nucleic acid")</f>
        <v>Doorknob confirmed cases detected virus nucleic acid</v>
      </c>
      <c r="D3366" s="4" t="s">
        <v>7699</v>
      </c>
      <c r="E3366" s="4">
        <v>4013672</v>
      </c>
      <c r="F3366">
        <v>1</v>
      </c>
    </row>
    <row r="3367" spans="1:6" ht="13.5" customHeight="1">
      <c r="A3367" s="4" t="s">
        <v>7700</v>
      </c>
      <c r="B3367" s="4" t="s">
        <v>7701</v>
      </c>
      <c r="C3367" s="4" t="str">
        <f ca="1">IFERROR(__xludf.DUMMYFUNCTION("GOOGLETRANSLATE(D:D,""auto"",""en"")"),"Nucleic acid detection reagents yield was 40-fold in patients with suspected")</f>
        <v>Nucleic acid detection reagents yield was 40-fold in patients with suspected</v>
      </c>
      <c r="D3367" s="5" t="s">
        <v>7702</v>
      </c>
      <c r="E3367" s="4">
        <v>3281548</v>
      </c>
      <c r="F3367">
        <v>1</v>
      </c>
    </row>
    <row r="3368" spans="1:6" ht="13.5" hidden="1" customHeight="1">
      <c r="A3368" s="4" t="s">
        <v>7703</v>
      </c>
      <c r="B3368" s="4" t="s">
        <v>7704</v>
      </c>
      <c r="C3368" s="4" t="str">
        <f ca="1">IFERROR(__xludf.DUMMYFUNCTION("GOOGLETRANSLATE(D:D,""auto"",""en"")"),"There is no winner after the Board of State gunshot")</f>
        <v>There is no winner after the Board of State gunshot</v>
      </c>
      <c r="D3368" s="5" t="s">
        <v>7705</v>
      </c>
      <c r="E3368" s="4">
        <v>3206807</v>
      </c>
    </row>
    <row r="3369" spans="1:6" ht="13.5" customHeight="1">
      <c r="A3369" s="4" t="s">
        <v>7706</v>
      </c>
      <c r="B3369" s="4" t="s">
        <v>7707</v>
      </c>
      <c r="C3369" s="4" t="str">
        <f ca="1">IFERROR(__xludf.DUMMYFUNCTION("GOOGLETRANSLATE(D:D,""auto"",""en"")"),"Wuhan home pet rescue stranded")</f>
        <v>Wuhan home pet rescue stranded</v>
      </c>
      <c r="D3369" s="5" t="s">
        <v>7708</v>
      </c>
      <c r="E3369" s="4">
        <v>2365696</v>
      </c>
      <c r="F3369">
        <v>1</v>
      </c>
    </row>
    <row r="3370" spans="1:6" ht="13.5" customHeight="1">
      <c r="A3370" s="4" t="s">
        <v>7709</v>
      </c>
      <c r="B3370" s="4" t="s">
        <v>7710</v>
      </c>
      <c r="C3370" s="4" t="str">
        <f ca="1">IFERROR(__xludf.DUMMYFUNCTION("GOOGLETRANSLATE(D:D,""auto"",""en"")"),"People escape Shihai not forget to wear a mask")</f>
        <v>People escape Shihai not forget to wear a mask</v>
      </c>
      <c r="D3370" s="5" t="s">
        <v>7711</v>
      </c>
      <c r="E3370" s="4">
        <v>2303069</v>
      </c>
      <c r="F3370">
        <v>1</v>
      </c>
    </row>
    <row r="3371" spans="1:6" ht="13.5" hidden="1" customHeight="1">
      <c r="A3371" s="4" t="s">
        <v>7712</v>
      </c>
      <c r="B3371" s="4" t="s">
        <v>7680</v>
      </c>
      <c r="C3371" s="4" t="str">
        <f ca="1">IFERROR(__xludf.DUMMYFUNCTION("GOOGLETRANSLATE(D:D,""auto"",""en"")"),"Super Bowl")</f>
        <v>Super Bowl</v>
      </c>
      <c r="D3371" s="5" t="s">
        <v>7713</v>
      </c>
      <c r="E3371" s="4">
        <v>2059421</v>
      </c>
    </row>
    <row r="3372" spans="1:6" ht="13.5" customHeight="1">
      <c r="A3372" s="4" t="s">
        <v>7714</v>
      </c>
      <c r="B3372" s="4" t="s">
        <v>7715</v>
      </c>
      <c r="C3372" s="4" t="str">
        <f ca="1">IFERROR(__xludf.DUMMYFUNCTION("GOOGLETRANSLATE(D:D,""auto"",""en"")"),"EOD suspicious package was found inside a mask")</f>
        <v>EOD suspicious package was found inside a mask</v>
      </c>
      <c r="D3372" s="5" t="s">
        <v>7716</v>
      </c>
      <c r="E3372" s="4">
        <v>1957931</v>
      </c>
      <c r="F3372">
        <v>1</v>
      </c>
    </row>
    <row r="3373" spans="1:6" ht="13.5" customHeight="1">
      <c r="A3373" s="4" t="s">
        <v>7717</v>
      </c>
      <c r="B3373" s="4" t="s">
        <v>7586</v>
      </c>
      <c r="C3373" s="4" t="str">
        <f ca="1">IFERROR(__xludf.DUMMYFUNCTION("GOOGLETRANSLATE(D:D,""auto"",""en"")"),"The national total of 17,205 cases diagnosed pneumonia new")</f>
        <v>The national total of 17,205 cases diagnosed pneumonia new</v>
      </c>
      <c r="D3373" s="5" t="s">
        <v>7718</v>
      </c>
      <c r="E3373" s="4">
        <v>1474289</v>
      </c>
      <c r="F3373">
        <v>1</v>
      </c>
    </row>
    <row r="3374" spans="1:6" ht="13.5" customHeight="1">
      <c r="A3374" s="4" t="s">
        <v>7719</v>
      </c>
      <c r="B3374" s="4" t="s">
        <v>7720</v>
      </c>
      <c r="C3374" s="4" t="str">
        <f ca="1">IFERROR(__xludf.DUMMYFUNCTION("GOOGLETRANSLATE(D:D,""auto"",""en"")"),"Development and Reform Commission to respond to shortages of masks")</f>
        <v>Development and Reform Commission to respond to shortages of masks</v>
      </c>
      <c r="D3374" s="5" t="s">
        <v>7721</v>
      </c>
      <c r="E3374" s="4">
        <v>1172860</v>
      </c>
      <c r="F3374">
        <v>1</v>
      </c>
    </row>
    <row r="3375" spans="1:6" ht="13.5" customHeight="1">
      <c r="A3375" s="4" t="s">
        <v>7722</v>
      </c>
      <c r="B3375" s="4" t="s">
        <v>7621</v>
      </c>
      <c r="C3375" s="4" t="str">
        <f ca="1">IFERROR(__xludf.DUMMYFUNCTION("GOOGLETRANSLATE(D:D,""auto"",""en"")"),"Shenzhen, a new patient takeaway rider")</f>
        <v>Shenzhen, a new patient takeaway rider</v>
      </c>
      <c r="D3375" s="5" t="s">
        <v>7723</v>
      </c>
      <c r="E3375" s="4">
        <v>1164249</v>
      </c>
      <c r="F3375">
        <v>1</v>
      </c>
    </row>
    <row r="3376" spans="1:6" ht="13.5" customHeight="1">
      <c r="A3376" s="4" t="s">
        <v>7724</v>
      </c>
      <c r="B3376" s="4" t="s">
        <v>7725</v>
      </c>
      <c r="C3376" s="4" t="str">
        <f ca="1">IFERROR(__xludf.DUMMYFUNCTION("GOOGLETRANSLATE(D:D,""auto"",""en"")"),"Wuhan People's Liberation Army to assume the public supply of material distribution")</f>
        <v>Wuhan People's Liberation Army to assume the public supply of material distribution</v>
      </c>
      <c r="D3376" s="5" t="s">
        <v>7726</v>
      </c>
      <c r="E3376" s="4">
        <v>1147171</v>
      </c>
      <c r="F3376">
        <v>1</v>
      </c>
    </row>
    <row r="3377" spans="1:6" ht="13.5" customHeight="1">
      <c r="A3377" s="4" t="s">
        <v>7727</v>
      </c>
      <c r="B3377" s="4" t="s">
        <v>7728</v>
      </c>
      <c r="C3377" s="4" t="str">
        <f ca="1">IFERROR(__xludf.DUMMYFUNCTION("GOOGLETRANSLATE(D:D,""auto"",""en"")"),"National masks Nissan more than 2000 million")</f>
        <v>National masks Nissan more than 2000 million</v>
      </c>
      <c r="D3377" s="5" t="s">
        <v>7729</v>
      </c>
      <c r="E3377" s="4">
        <v>1136657</v>
      </c>
      <c r="F3377">
        <v>1</v>
      </c>
    </row>
    <row r="3378" spans="1:6" ht="13.5" customHeight="1">
      <c r="A3378" s="4" t="s">
        <v>5803</v>
      </c>
      <c r="B3378" s="4" t="s">
        <v>5804</v>
      </c>
      <c r="C3378" s="4" t="str">
        <f ca="1">IFERROR(__xludf.DUMMYFUNCTION("GOOGLETRANSLATE(D:D,""auto"",""en"")"),"The latest outbreak Map")</f>
        <v>The latest outbreak Map</v>
      </c>
      <c r="D3378" s="5" t="s">
        <v>5805</v>
      </c>
      <c r="E3378" s="4">
        <v>948094</v>
      </c>
      <c r="F3378">
        <v>1</v>
      </c>
    </row>
    <row r="3379" spans="1:6" ht="13.5" hidden="1" customHeight="1">
      <c r="A3379" s="4" t="s">
        <v>7730</v>
      </c>
      <c r="B3379" s="4" t="s">
        <v>7731</v>
      </c>
      <c r="C3379" s="4" t="str">
        <f ca="1">IFERROR(__xludf.DUMMYFUNCTION("GOOGLETRANSLATE(D:D,""auto"",""en"")"),"Guoping season debut 4 gold wrap")</f>
        <v>Guoping season debut 4 gold wrap</v>
      </c>
      <c r="D3379" s="5" t="s">
        <v>7732</v>
      </c>
      <c r="E3379" s="4">
        <v>910889</v>
      </c>
    </row>
    <row r="3380" spans="1:6" ht="13.5" customHeight="1">
      <c r="A3380" s="4" t="s">
        <v>7733</v>
      </c>
      <c r="B3380" s="4" t="s">
        <v>7734</v>
      </c>
      <c r="C3380" s="4" t="str">
        <f ca="1">IFERROR(__xludf.DUMMYFUNCTION("GOOGLETRANSLATE(D:D,""auto"",""en"")"),"Dean said the hospital before Jinyintan wheelchairs want to do more")</f>
        <v>Dean said the hospital before Jinyintan wheelchairs want to do more</v>
      </c>
      <c r="D3380" s="5" t="s">
        <v>7735</v>
      </c>
      <c r="E3380" s="4">
        <v>895139</v>
      </c>
      <c r="F3380">
        <v>1</v>
      </c>
    </row>
    <row r="3381" spans="1:6" ht="13.5" hidden="1" customHeight="1">
      <c r="A3381" s="4" t="s">
        <v>7736</v>
      </c>
      <c r="B3381" s="4" t="s">
        <v>7737</v>
      </c>
      <c r="C3381" s="4" t="str">
        <f ca="1">IFERROR(__xludf.DUMMYFUNCTION("GOOGLETRANSLATE(D:D,""auto"",""en"")"),"Children's show is the highlight of mistakes")</f>
        <v>Children's show is the highlight of mistakes</v>
      </c>
      <c r="D3381" s="5" t="s">
        <v>7738</v>
      </c>
      <c r="E3381" s="4">
        <v>892621</v>
      </c>
    </row>
    <row r="3382" spans="1:6" ht="13.5" hidden="1" customHeight="1">
      <c r="A3382" s="4" t="s">
        <v>7739</v>
      </c>
      <c r="B3382" s="4" t="s">
        <v>7740</v>
      </c>
      <c r="C3382" s="4" t="str">
        <f ca="1">IFERROR(__xludf.DUMMYFUNCTION("GOOGLETRANSLATE(D:D,""auto"",""en"")"),"柯佳 嬿演 skills")</f>
        <v>柯佳 嬿演 skills</v>
      </c>
      <c r="D3382" s="5" t="s">
        <v>7741</v>
      </c>
      <c r="E3382" s="4">
        <v>889104</v>
      </c>
    </row>
    <row r="3383" spans="1:6" ht="13.5" customHeight="1">
      <c r="A3383" s="4" t="s">
        <v>7742</v>
      </c>
      <c r="B3383" s="4" t="s">
        <v>7743</v>
      </c>
      <c r="C3383" s="4" t="str">
        <f ca="1">IFERROR(__xludf.DUMMYFUNCTION("GOOGLETRANSLATE(D:D,""auto"",""en"")"),"Beijing subway")</f>
        <v>Beijing subway</v>
      </c>
      <c r="D3383" s="5" t="s">
        <v>7744</v>
      </c>
      <c r="E3383" s="4">
        <v>885386</v>
      </c>
      <c r="F3383">
        <v>1</v>
      </c>
    </row>
    <row r="3384" spans="1:6" ht="13.5" hidden="1" customHeight="1">
      <c r="A3384" s="4" t="s">
        <v>7745</v>
      </c>
      <c r="B3384" s="4" t="s">
        <v>7746</v>
      </c>
      <c r="C3384" s="4" t="str">
        <f ca="1">IFERROR(__xludf.DUMMYFUNCTION("GOOGLETRANSLATE(D:D,""auto"",""en"")"),"Kobe Bryant")</f>
        <v>Kobe Bryant</v>
      </c>
      <c r="D3384" s="5" t="s">
        <v>7747</v>
      </c>
      <c r="E3384" s="4">
        <v>880477</v>
      </c>
    </row>
    <row r="3385" spans="1:6" ht="13.5" customHeight="1">
      <c r="A3385" s="4" t="s">
        <v>7748</v>
      </c>
      <c r="B3385" s="4" t="s">
        <v>7652</v>
      </c>
      <c r="C3385" s="4" t="str">
        <f ca="1">IFERROR(__xludf.DUMMYFUNCTION("GOOGLETRANSLATE(D:D,""auto"",""en"")"),"Vulcan Hill Hospital Outpatient no")</f>
        <v>Vulcan Hill Hospital Outpatient no</v>
      </c>
      <c r="D3385" s="5" t="s">
        <v>7749</v>
      </c>
      <c r="E3385" s="4">
        <v>878029</v>
      </c>
      <c r="F3385">
        <v>1</v>
      </c>
    </row>
    <row r="3386" spans="1:6" ht="13.5" hidden="1" customHeight="1">
      <c r="A3386" s="4" t="s">
        <v>7750</v>
      </c>
      <c r="B3386" s="4" t="s">
        <v>7751</v>
      </c>
      <c r="C3386" s="4" t="str">
        <f ca="1">IFERROR(__xludf.DUMMYFUNCTION("GOOGLETRANSLATE(D:D,""auto"",""en"")"),"Liu Yifei sword")</f>
        <v>Liu Yifei sword</v>
      </c>
      <c r="D3386" s="5" t="s">
        <v>7752</v>
      </c>
      <c r="E3386" s="4">
        <v>796534</v>
      </c>
    </row>
    <row r="3387" spans="1:6" ht="13.5" hidden="1" customHeight="1">
      <c r="A3387" s="4" t="s">
        <v>7753</v>
      </c>
      <c r="B3387" s="4" t="s">
        <v>7652</v>
      </c>
      <c r="C3387" s="4" t="str">
        <f ca="1">IFERROR(__xludf.DUMMYFUNCTION("GOOGLETRANSLATE(D:D,""auto"",""en"")"),"Chengdu earthquake live video")</f>
        <v>Chengdu earthquake live video</v>
      </c>
      <c r="D3387" s="5" t="s">
        <v>7754</v>
      </c>
      <c r="E3387" s="4">
        <v>583845</v>
      </c>
    </row>
    <row r="3388" spans="1:6" ht="13.5" customHeight="1">
      <c r="A3388" s="4" t="s">
        <v>7755</v>
      </c>
      <c r="B3388" s="4" t="s">
        <v>7710</v>
      </c>
      <c r="C3388" s="4" t="str">
        <f ca="1">IFERROR(__xludf.DUMMYFUNCTION("GOOGLETRANSLATE(D:D,""auto"",""en"")"),"Jinan Big Brother 500 pounds down after disinfection liquid leaving")</f>
        <v>Jinan Big Brother 500 pounds down after disinfection liquid leaving</v>
      </c>
      <c r="D3388" s="5" t="s">
        <v>7756</v>
      </c>
      <c r="E3388" s="4">
        <v>576644</v>
      </c>
      <c r="F3388">
        <v>1</v>
      </c>
    </row>
    <row r="3389" spans="1:6" ht="13.5" hidden="1" customHeight="1">
      <c r="A3389" s="4" t="s">
        <v>7757</v>
      </c>
      <c r="B3389" s="4" t="s">
        <v>7693</v>
      </c>
      <c r="C3389" s="4" t="str">
        <f ca="1">IFERROR(__xludf.DUMMYFUNCTION("GOOGLETRANSLATE(D:D,""auto"",""en"")"),"Shakira halftime show")</f>
        <v>Shakira halftime show</v>
      </c>
      <c r="D3389" s="5" t="s">
        <v>7758</v>
      </c>
      <c r="E3389" s="4">
        <v>535005</v>
      </c>
    </row>
    <row r="3390" spans="1:6" ht="13.5" customHeight="1">
      <c r="A3390" s="4" t="s">
        <v>7733</v>
      </c>
      <c r="B3390" s="4" t="s">
        <v>7759</v>
      </c>
      <c r="C3390" s="4" t="str">
        <f ca="1">IFERROR(__xludf.DUMMYFUNCTION("GOOGLETRANSLATE(D:D,""auto"",""en"")"),"Hubei confirmed cases broken million")</f>
        <v>Hubei confirmed cases broken million</v>
      </c>
      <c r="D3390" s="5" t="s">
        <v>7760</v>
      </c>
      <c r="E3390" s="4">
        <v>534001</v>
      </c>
      <c r="F3390">
        <v>1</v>
      </c>
    </row>
    <row r="3391" spans="1:6" ht="13.5" customHeight="1">
      <c r="A3391" s="4" t="s">
        <v>7761</v>
      </c>
      <c r="B3391" s="4" t="s">
        <v>7604</v>
      </c>
      <c r="C3391" s="4" t="str">
        <f ca="1">IFERROR(__xludf.DUMMYFUNCTION("GOOGLETRANSLATE(D:D,""auto"",""en"")"),"Vulcan Mountain internal hospital")</f>
        <v>Vulcan Mountain internal hospital</v>
      </c>
      <c r="D3391" s="5" t="s">
        <v>7762</v>
      </c>
      <c r="E3391" s="4">
        <v>517959</v>
      </c>
      <c r="F3391">
        <v>1</v>
      </c>
    </row>
    <row r="3392" spans="1:6" ht="13.5" customHeight="1">
      <c r="A3392" s="4" t="s">
        <v>7763</v>
      </c>
      <c r="B3392" s="4" t="s">
        <v>7734</v>
      </c>
      <c r="C3392" s="4" t="str">
        <f ca="1">IFERROR(__xludf.DUMMYFUNCTION("GOOGLETRANSLATE(D:D,""auto"",""en"")"),"Dean Jinyintan hospital on a true story comic")</f>
        <v>Dean Jinyintan hospital on a true story comic</v>
      </c>
      <c r="D3392" s="5" t="s">
        <v>7764</v>
      </c>
      <c r="E3392" s="4">
        <v>466578</v>
      </c>
      <c r="F3392">
        <v>1</v>
      </c>
    </row>
    <row r="3393" spans="1:6" ht="13.5" customHeight="1">
      <c r="A3393" s="4" t="s">
        <v>7765</v>
      </c>
      <c r="B3393" s="4" t="s">
        <v>7766</v>
      </c>
      <c r="C3393" s="4" t="str">
        <f ca="1">IFERROR(__xludf.DUMMYFUNCTION("GOOGLETRANSLATE(D:D,""auto"",""en"")"),"Started down")</f>
        <v>Started down</v>
      </c>
      <c r="D3393" s="5" t="s">
        <v>7767</v>
      </c>
      <c r="E3393" s="4">
        <v>462764</v>
      </c>
      <c r="F3393">
        <v>1</v>
      </c>
    </row>
    <row r="3394" spans="1:6" ht="13.5" hidden="1" customHeight="1">
      <c r="A3394" s="4" t="s">
        <v>7768</v>
      </c>
      <c r="B3394" s="4" t="s">
        <v>7737</v>
      </c>
      <c r="C3394" s="4" t="str">
        <f ca="1">IFERROR(__xludf.DUMMYFUNCTION("GOOGLETRANSLATE(D:D,""auto"",""en"")"),"Super Bowl large trailer")</f>
        <v>Super Bowl large trailer</v>
      </c>
      <c r="D3394" s="5" t="s">
        <v>7769</v>
      </c>
      <c r="E3394" s="4">
        <v>432506</v>
      </c>
    </row>
    <row r="3395" spans="1:6" ht="13.5" customHeight="1">
      <c r="A3395" s="4" t="s">
        <v>7770</v>
      </c>
      <c r="B3395" s="4" t="s">
        <v>7621</v>
      </c>
      <c r="C3395" s="4" t="str">
        <f ca="1">IFERROR(__xludf.DUMMYFUNCTION("GOOGLETRANSLATE(D:D,""auto"",""en"")"),"How can people stay home bored")</f>
        <v>How can people stay home bored</v>
      </c>
      <c r="D3395" s="5" t="s">
        <v>7771</v>
      </c>
      <c r="E3395" s="4">
        <v>432338</v>
      </c>
      <c r="F3395">
        <v>1</v>
      </c>
    </row>
    <row r="3396" spans="1:6" ht="13.5" customHeight="1">
      <c r="A3396" s="4" t="s">
        <v>7772</v>
      </c>
      <c r="B3396" s="4" t="s">
        <v>7773</v>
      </c>
      <c r="C3396" s="4" t="str">
        <f ca="1">IFERROR(__xludf.DUMMYFUNCTION("GOOGLETRANSLATE(D:D,""auto"",""en"")"),"Guangdong added 79 cases of confirmed cases")</f>
        <v>Guangdong added 79 cases of confirmed cases</v>
      </c>
      <c r="D3396" s="5" t="s">
        <v>7774</v>
      </c>
      <c r="E3396" s="4">
        <v>412685</v>
      </c>
      <c r="F3396">
        <v>1</v>
      </c>
    </row>
    <row r="3397" spans="1:6" ht="13.5" hidden="1" customHeight="1">
      <c r="A3397" s="4" t="s">
        <v>7775</v>
      </c>
      <c r="B3397" s="4" t="s">
        <v>7776</v>
      </c>
      <c r="C3397" s="4" t="str">
        <f ca="1">IFERROR(__xludf.DUMMYFUNCTION("GOOGLETRANSLATE(D:D,""auto"",""en"")"),"Mulan ultimate trailer")</f>
        <v>Mulan ultimate trailer</v>
      </c>
      <c r="D3397" s="5" t="s">
        <v>7777</v>
      </c>
      <c r="E3397" s="4">
        <v>393585</v>
      </c>
    </row>
    <row r="3398" spans="1:6" ht="13.5" hidden="1" customHeight="1">
      <c r="A3398" s="4" t="s">
        <v>7753</v>
      </c>
      <c r="B3398" s="4" t="s">
        <v>7778</v>
      </c>
      <c r="C3398" s="4" t="str">
        <f ca="1">IFERROR(__xludf.DUMMYFUNCTION("GOOGLETRANSLATE(D:D,""auto"",""en"")"),"Putian pedestrian street fire basically extinguished")</f>
        <v>Putian pedestrian street fire basically extinguished</v>
      </c>
      <c r="D3398" s="5" t="s">
        <v>7779</v>
      </c>
      <c r="E3398" s="4">
        <v>384211</v>
      </c>
    </row>
    <row r="3399" spans="1:6" ht="13.5" hidden="1" customHeight="1">
      <c r="A3399" s="4" t="s">
        <v>7780</v>
      </c>
      <c r="B3399" s="4" t="s">
        <v>7781</v>
      </c>
      <c r="C3399" s="4" t="str">
        <f ca="1">IFERROR(__xludf.DUMMYFUNCTION("GOOGLETRANSLATE(D:D,""auto"",""en"")"),"London stabbing incident")</f>
        <v>London stabbing incident</v>
      </c>
      <c r="D3399" s="5" t="s">
        <v>7782</v>
      </c>
      <c r="E3399" s="4">
        <v>310165</v>
      </c>
    </row>
    <row r="3400" spans="1:6" ht="13.5" hidden="1" customHeight="1">
      <c r="A3400" s="4" t="s">
        <v>7783</v>
      </c>
      <c r="B3400" s="4" t="s">
        <v>7784</v>
      </c>
      <c r="C3400" s="4" t="str">
        <f ca="1">IFERROR(__xludf.DUMMYFUNCTION("GOOGLETRANSLATE(D:D,""auto"",""en"")"),"Chengdu 5.1 earthquake")</f>
        <v>Chengdu 5.1 earthquake</v>
      </c>
      <c r="D3400" s="5" t="s">
        <v>7785</v>
      </c>
      <c r="E3400" s="4">
        <v>305699</v>
      </c>
    </row>
    <row r="3401" spans="1:6" ht="13.5" customHeight="1">
      <c r="A3401" s="4" t="s">
        <v>7786</v>
      </c>
      <c r="B3401" s="4" t="s">
        <v>7652</v>
      </c>
      <c r="C3401" s="4" t="str">
        <f ca="1">IFERROR(__xludf.DUMMYFUNCTION("GOOGLETRANSLATE(D:D,""auto"",""en"")"),"During the epidemic interpersonal how difficult")</f>
        <v>During the epidemic interpersonal how difficult</v>
      </c>
      <c r="D3401" s="5" t="s">
        <v>7787</v>
      </c>
      <c r="E3401" s="4">
        <v>300932</v>
      </c>
      <c r="F3401">
        <v>1</v>
      </c>
    </row>
    <row r="3402" spans="1:6" ht="13.5" hidden="1" customHeight="1">
      <c r="A3402" s="4" t="s">
        <v>7753</v>
      </c>
      <c r="B3402" s="4" t="s">
        <v>7776</v>
      </c>
      <c r="C3402" s="4" t="str">
        <f ca="1">IFERROR(__xludf.DUMMYFUNCTION("GOOGLETRANSLATE(D:D,""auto"",""en"")"),"Bangtan Boys EGO")</f>
        <v>Bangtan Boys EGO</v>
      </c>
      <c r="D3402" s="5" t="s">
        <v>7788</v>
      </c>
      <c r="E3402" s="4">
        <v>266113</v>
      </c>
    </row>
    <row r="3403" spans="1:6" ht="13.5" customHeight="1">
      <c r="A3403" s="4" t="s">
        <v>7789</v>
      </c>
      <c r="B3403" s="4" t="s">
        <v>7627</v>
      </c>
      <c r="C3403" s="4" t="str">
        <f ca="1">IFERROR(__xludf.DUMMYFUNCTION("GOOGLETRANSLATE(D:D,""auto"",""en"")"),"Love takeaway thousand copies sent to Raytheon Hill Hospital in Wuhan")</f>
        <v>Love takeaway thousand copies sent to Raytheon Hill Hospital in Wuhan</v>
      </c>
      <c r="D3403" s="5" t="s">
        <v>7790</v>
      </c>
      <c r="E3403" s="4">
        <v>264887</v>
      </c>
      <c r="F3403">
        <v>1</v>
      </c>
    </row>
    <row r="3404" spans="1:6" ht="13.5" hidden="1" customHeight="1">
      <c r="A3404" s="4" t="s">
        <v>7791</v>
      </c>
      <c r="B3404" s="4" t="s">
        <v>7792</v>
      </c>
      <c r="C3404" s="4" t="str">
        <f ca="1">IFERROR(__xludf.DUMMYFUNCTION("GOOGLETRANSLATE(D:D,""auto"",""en"")"),"Chen Yun as posing Huang Yuxuan")</f>
        <v>Chen Yun as posing Huang Yuxuan</v>
      </c>
      <c r="D3404" s="5" t="s">
        <v>7793</v>
      </c>
      <c r="E3404" s="4">
        <v>263392</v>
      </c>
    </row>
    <row r="3405" spans="1:6" ht="13.5" hidden="1" customHeight="1">
      <c r="A3405" s="4" t="s">
        <v>7794</v>
      </c>
      <c r="B3405" s="4" t="s">
        <v>7469</v>
      </c>
      <c r="C3405" s="4" t="str">
        <f ca="1">IFERROR(__xludf.DUMMYFUNCTION("GOOGLETRANSLATE(D:D,""auto"",""en"")"),"Three types of mood switch back and forth every day")</f>
        <v>Three types of mood switch back and forth every day</v>
      </c>
      <c r="D3405" s="5" t="s">
        <v>7795</v>
      </c>
      <c r="E3405" s="4">
        <v>241660</v>
      </c>
    </row>
    <row r="3406" spans="1:6" ht="13.5" hidden="1" customHeight="1">
      <c r="A3406" s="4" t="s">
        <v>7796</v>
      </c>
      <c r="B3406" s="4" t="s">
        <v>7751</v>
      </c>
      <c r="C3406" s="4" t="str">
        <f ca="1">IFERROR(__xludf.DUMMYFUNCTION("GOOGLETRANSLATE(D:D,""auto"",""en"")"),"Mourinho Face")</f>
        <v>Mourinho Face</v>
      </c>
      <c r="D3406" s="5" t="s">
        <v>7797</v>
      </c>
      <c r="E3406" s="4">
        <v>232813</v>
      </c>
    </row>
    <row r="3407" spans="1:6" ht="13.5" customHeight="1">
      <c r="A3407" s="4" t="s">
        <v>7798</v>
      </c>
      <c r="B3407" s="4" t="s">
        <v>7627</v>
      </c>
      <c r="C3407" s="4" t="str">
        <f ca="1">IFERROR(__xludf.DUMMYFUNCTION("GOOGLETRANSLATE(D:D,""auto"",""en"")"),"Masks and other supplies demand gap is still very great")</f>
        <v>Masks and other supplies demand gap is still very great</v>
      </c>
      <c r="D3407" s="5" t="s">
        <v>7799</v>
      </c>
      <c r="E3407" s="4">
        <v>232759</v>
      </c>
      <c r="F3407">
        <v>1</v>
      </c>
    </row>
    <row r="3408" spans="1:6" ht="13.5" hidden="1" customHeight="1">
      <c r="A3408" s="4" t="s">
        <v>7800</v>
      </c>
      <c r="B3408" s="4" t="s">
        <v>7652</v>
      </c>
      <c r="C3408" s="4" t="str">
        <f ca="1">IFERROR(__xludf.DUMMYFUNCTION("GOOGLETRANSLATE(D:D,""auto"",""en"")"),"Like most of you in recent days")</f>
        <v>Like most of you in recent days</v>
      </c>
      <c r="D3408" s="5" t="s">
        <v>7801</v>
      </c>
      <c r="E3408" s="4">
        <v>232722</v>
      </c>
    </row>
    <row r="3409" spans="1:6" ht="13.5" customHeight="1">
      <c r="A3409" s="4" t="s">
        <v>7802</v>
      </c>
      <c r="B3409" s="4" t="s">
        <v>7641</v>
      </c>
      <c r="C3409" s="4" t="str">
        <f ca="1">IFERROR(__xludf.DUMMYFUNCTION("GOOGLETRANSLATE(D:D,""auto"",""en"")"),"Zhejiang new 63 cases of confirmed cases")</f>
        <v>Zhejiang new 63 cases of confirmed cases</v>
      </c>
      <c r="D3409" s="5" t="s">
        <v>7803</v>
      </c>
      <c r="E3409" s="4">
        <v>230589</v>
      </c>
      <c r="F3409">
        <v>1</v>
      </c>
    </row>
    <row r="3410" spans="1:6" ht="13.5" customHeight="1">
      <c r="A3410" s="4" t="s">
        <v>7804</v>
      </c>
      <c r="B3410" s="4" t="s">
        <v>7773</v>
      </c>
      <c r="C3410" s="4" t="str">
        <f ca="1">IFERROR(__xludf.DUMMYFUNCTION("GOOGLETRANSLATE(D:D,""auto"",""en"")"),"Anhui added 68 cases of confirmed cases")</f>
        <v>Anhui added 68 cases of confirmed cases</v>
      </c>
      <c r="D3410" s="5" t="s">
        <v>7805</v>
      </c>
      <c r="E3410" s="4">
        <v>223117</v>
      </c>
      <c r="F3410">
        <v>1</v>
      </c>
    </row>
    <row r="3411" spans="1:6" ht="13.5" customHeight="1">
      <c r="A3411" s="4" t="s">
        <v>7580</v>
      </c>
      <c r="B3411" s="4" t="s">
        <v>7581</v>
      </c>
      <c r="C3411" s="4" t="str">
        <f ca="1">IFERROR(__xludf.DUMMYFUNCTION("GOOGLETRANSLATE(D:D,""auto"",""en"")"),"Zhong Nanshan said the self-isolation of suspected cases is very dangerous")</f>
        <v>Zhong Nanshan said the self-isolation of suspected cases is very dangerous</v>
      </c>
      <c r="D3411" s="5" t="s">
        <v>7582</v>
      </c>
      <c r="E3411" s="4">
        <v>223091</v>
      </c>
      <c r="F3411">
        <v>1</v>
      </c>
    </row>
    <row r="3412" spans="1:6" ht="13.5" customHeight="1">
      <c r="A3412" s="4" t="s">
        <v>7806</v>
      </c>
      <c r="B3412" s="4" t="s">
        <v>7807</v>
      </c>
      <c r="C3412" s="4" t="str">
        <f ca="1">IFERROR(__xludf.DUMMYFUNCTION("GOOGLETRANSLATE(D:D,""auto"",""en"")"),"Wuhan hospital beds designated the remaining cases")</f>
        <v>Wuhan hospital beds designated the remaining cases</v>
      </c>
      <c r="D3412" s="5" t="s">
        <v>7808</v>
      </c>
      <c r="E3412" s="4">
        <v>118124</v>
      </c>
      <c r="F3412">
        <v>1</v>
      </c>
    </row>
    <row r="3413" spans="1:6" ht="13.5" customHeight="1">
      <c r="A3413" s="4" t="s">
        <v>7809</v>
      </c>
      <c r="B3413" s="4" t="s">
        <v>7810</v>
      </c>
      <c r="C3413" s="4" t="str">
        <f ca="1">IFERROR(__xludf.DUMMYFUNCTION("GOOGLETRANSLATE(D:D,""auto"",""en"")"),"Hubei troops stationed in 50 trucks carrying 200 tons of materials")</f>
        <v>Hubei troops stationed in 50 trucks carrying 200 tons of materials</v>
      </c>
      <c r="D3413" s="5" t="s">
        <v>7811</v>
      </c>
      <c r="E3413" s="4">
        <v>118034</v>
      </c>
      <c r="F3413">
        <v>1</v>
      </c>
    </row>
    <row r="3414" spans="1:6" ht="13.5" hidden="1" customHeight="1">
      <c r="A3414" s="4" t="s">
        <v>7812</v>
      </c>
      <c r="B3414" s="4" t="s">
        <v>7784</v>
      </c>
      <c r="C3414" s="4" t="str">
        <f ca="1">IFERROR(__xludf.DUMMYFUNCTION("GOOGLETRANSLATE(D:D,""auto"",""en"")"),"Meng champion")</f>
        <v>Meng champion</v>
      </c>
      <c r="D3414" s="5" t="s">
        <v>7813</v>
      </c>
      <c r="E3414" s="4">
        <v>116657</v>
      </c>
    </row>
    <row r="3415" spans="1:6" ht="13.5" customHeight="1">
      <c r="A3415" s="4" t="s">
        <v>7814</v>
      </c>
      <c r="B3415" s="4" t="s">
        <v>7815</v>
      </c>
      <c r="C3415" s="4" t="str">
        <f ca="1">IFERROR(__xludf.DUMMYFUNCTION("GOOGLETRANSLATE(D:D,""auto"",""en"")"),"Henan new 73 cases of confirmed cases")</f>
        <v>Henan new 73 cases of confirmed cases</v>
      </c>
      <c r="D3415" s="5" t="s">
        <v>7816</v>
      </c>
      <c r="E3415" s="4">
        <v>115744</v>
      </c>
      <c r="F3415">
        <v>1</v>
      </c>
    </row>
    <row r="3416" spans="1:6" ht="13.5" hidden="1" customHeight="1">
      <c r="C3416" s="4" t="str">
        <f ca="1">IFERROR(__xludf.DUMMYFUNCTION("GOOGLETRANSLATE(D:D,""auto"",""en"")"),"#VALUE!")</f>
        <v>#VALUE!</v>
      </c>
    </row>
    <row r="3417" spans="1:6" ht="13.5" customHeight="1">
      <c r="A3417" s="4" t="s">
        <v>7817</v>
      </c>
      <c r="B3417" s="4" t="s">
        <v>7757</v>
      </c>
      <c r="C3417" s="4" t="str">
        <f ca="1">IFERROR(__xludf.DUMMYFUNCTION("GOOGLETRANSLATE(D:D,""auto"",""en"")"),"Sherlock Holmes-style puzzle to crack virus infection")</f>
        <v>Sherlock Holmes-style puzzle to crack virus infection</v>
      </c>
      <c r="D3417" s="4" t="s">
        <v>7818</v>
      </c>
      <c r="E3417" s="4">
        <v>4122335</v>
      </c>
      <c r="F3417">
        <v>1</v>
      </c>
    </row>
    <row r="3418" spans="1:6" ht="13.5" customHeight="1">
      <c r="A3418" s="4" t="s">
        <v>7819</v>
      </c>
      <c r="B3418" s="4" t="s">
        <v>7820</v>
      </c>
      <c r="C3418" s="4" t="str">
        <f ca="1">IFERROR(__xludf.DUMMYFUNCTION("GOOGLETRANSLATE(D:D,""auto"",""en"")"),"Beijing clusters of cases found 41 cases")</f>
        <v>Beijing clusters of cases found 41 cases</v>
      </c>
      <c r="D3418" s="5" t="s">
        <v>7821</v>
      </c>
      <c r="E3418" s="4">
        <v>3339511</v>
      </c>
      <c r="F3418">
        <v>1</v>
      </c>
    </row>
    <row r="3419" spans="1:6" ht="13.5" customHeight="1">
      <c r="A3419" s="4" t="s">
        <v>7817</v>
      </c>
      <c r="B3419" s="4" t="s">
        <v>7822</v>
      </c>
      <c r="C3419" s="4" t="str">
        <f ca="1">IFERROR(__xludf.DUMMYFUNCTION("GOOGLETRANSLATE(D:D,""auto"",""en"")"),"Convalescence and outpatients is not contagious")</f>
        <v>Convalescence and outpatients is not contagious</v>
      </c>
      <c r="D3419" s="5" t="s">
        <v>7823</v>
      </c>
      <c r="E3419" s="4">
        <v>3278462</v>
      </c>
      <c r="F3419">
        <v>1</v>
      </c>
    </row>
    <row r="3420" spans="1:6" ht="13.5" hidden="1" customHeight="1">
      <c r="A3420" s="4" t="s">
        <v>7824</v>
      </c>
      <c r="B3420" s="4" t="s">
        <v>7825</v>
      </c>
      <c r="C3420" s="4" t="str">
        <f ca="1">IFERROR(__xludf.DUMMYFUNCTION("GOOGLETRANSLATE(D:D,""auto"",""en"")"),"Ginger son Gary")</f>
        <v>Ginger son Gary</v>
      </c>
      <c r="D3420" s="5" t="s">
        <v>7826</v>
      </c>
      <c r="E3420" s="4">
        <v>3237793</v>
      </c>
    </row>
    <row r="3421" spans="1:6" ht="13.5" hidden="1" customHeight="1">
      <c r="A3421" s="4" t="s">
        <v>7827</v>
      </c>
      <c r="B3421" s="4" t="s">
        <v>7828</v>
      </c>
      <c r="C3421" s="4" t="str">
        <f ca="1">IFERROR(__xludf.DUMMYFUNCTION("GOOGLETRANSLATE(D:D,""auto"",""en"")"),"Lu Yi summer break")</f>
        <v>Lu Yi summer break</v>
      </c>
      <c r="D3421" s="5" t="s">
        <v>7829</v>
      </c>
      <c r="E3421" s="4">
        <v>2366635</v>
      </c>
    </row>
    <row r="3422" spans="1:6" ht="13.5" hidden="1" customHeight="1">
      <c r="A3422" s="4" t="s">
        <v>7830</v>
      </c>
      <c r="B3422" s="4" t="s">
        <v>7796</v>
      </c>
      <c r="C3422" s="4" t="str">
        <f ca="1">IFERROR(__xludf.DUMMYFUNCTION("GOOGLETRANSLATE(D:D,""auto"",""en"")"),"Wolf responded disco gem gem-infringing")</f>
        <v>Wolf responded disco gem gem-infringing</v>
      </c>
      <c r="D3422" s="5" t="s">
        <v>7831</v>
      </c>
      <c r="E3422" s="4">
        <v>1778208</v>
      </c>
    </row>
    <row r="3423" spans="1:6" ht="13.5" customHeight="1">
      <c r="A3423" s="4" t="s">
        <v>5803</v>
      </c>
      <c r="B3423" s="4" t="s">
        <v>5804</v>
      </c>
      <c r="C3423" s="4" t="str">
        <f ca="1">IFERROR(__xludf.DUMMYFUNCTION("GOOGLETRANSLATE(D:D,""auto"",""en"")"),"The latest outbreak Map")</f>
        <v>The latest outbreak Map</v>
      </c>
      <c r="D3423" s="5" t="s">
        <v>5805</v>
      </c>
      <c r="E3423" s="4">
        <v>1081708</v>
      </c>
      <c r="F3423">
        <v>1</v>
      </c>
    </row>
    <row r="3424" spans="1:6" ht="13.5" hidden="1" customHeight="1">
      <c r="A3424" s="4" t="s">
        <v>7832</v>
      </c>
      <c r="B3424" s="4" t="s">
        <v>7833</v>
      </c>
      <c r="C3424" s="4" t="str">
        <f ca="1">IFERROR(__xludf.DUMMYFUNCTION("GOOGLETRANSLATE(D:D,""auto"",""en"")"),"Chun Sheng announced that it has married")</f>
        <v>Chun Sheng announced that it has married</v>
      </c>
      <c r="D3424" s="5" t="s">
        <v>7834</v>
      </c>
      <c r="E3424" s="4">
        <v>1001206</v>
      </c>
    </row>
    <row r="3425" spans="1:6" ht="13.5" customHeight="1">
      <c r="A3425" s="4" t="s">
        <v>7835</v>
      </c>
      <c r="B3425" s="4" t="s">
        <v>7836</v>
      </c>
      <c r="C3425" s="4" t="str">
        <f ca="1">IFERROR(__xludf.DUMMYFUNCTION("GOOGLETRANSLATE(D:D,""auto"",""en"")"),"English at four special eight exam time adjustment")</f>
        <v>English at four special eight exam time adjustment</v>
      </c>
      <c r="D3425" s="5" t="s">
        <v>7837</v>
      </c>
      <c r="E3425" s="4">
        <v>981659</v>
      </c>
      <c r="F3425">
        <v>1</v>
      </c>
    </row>
    <row r="3426" spans="1:6" ht="13.5" customHeight="1">
      <c r="A3426" s="4" t="s">
        <v>7838</v>
      </c>
      <c r="B3426" s="4" t="s">
        <v>7839</v>
      </c>
      <c r="C3426" s="4" t="str">
        <f ca="1">IFERROR(__xludf.DUMMYFUNCTION("GOOGLETRANSLATE(D:D,""auto"",""en"")"),"Ningbo, a dinner party of 25 people diagnosed with prayers")</f>
        <v>Ningbo, a dinner party of 25 people diagnosed with prayers</v>
      </c>
      <c r="D3426" s="5" t="s">
        <v>7840</v>
      </c>
      <c r="E3426" s="4">
        <v>964794</v>
      </c>
      <c r="F3426">
        <v>1</v>
      </c>
    </row>
    <row r="3427" spans="1:6" ht="13.5" hidden="1" customHeight="1">
      <c r="A3427" s="4" t="s">
        <v>7841</v>
      </c>
      <c r="B3427" s="4" t="s">
        <v>7750</v>
      </c>
      <c r="C3427" s="4" t="str">
        <f ca="1">IFERROR(__xludf.DUMMYFUNCTION("GOOGLETRANSLATE(D:D,""auto"",""en"")"),"We want to see these hot search")</f>
        <v>We want to see these hot search</v>
      </c>
      <c r="D3427" s="5" t="s">
        <v>7842</v>
      </c>
      <c r="E3427" s="4">
        <v>851780</v>
      </c>
    </row>
    <row r="3428" spans="1:6" ht="13.5" customHeight="1">
      <c r="A3428" s="4" t="s">
        <v>7843</v>
      </c>
      <c r="B3428" s="4" t="s">
        <v>7844</v>
      </c>
      <c r="C3428" s="4" t="str">
        <f ca="1">IFERROR(__xludf.DUMMYFUNCTION("GOOGLETRANSLATE(D:D,""auto"",""en"")"),"Tianjin and then prepare three xiaotangshan")</f>
        <v>Tianjin and then prepare three xiaotangshan</v>
      </c>
      <c r="D3428" s="5" t="s">
        <v>7845</v>
      </c>
      <c r="E3428" s="4">
        <v>689801</v>
      </c>
      <c r="F3428">
        <v>1</v>
      </c>
    </row>
    <row r="3429" spans="1:6" ht="13.5" customHeight="1">
      <c r="A3429" s="4" t="s">
        <v>7846</v>
      </c>
      <c r="B3429" s="4" t="s">
        <v>7844</v>
      </c>
      <c r="C3429" s="4" t="str">
        <f ca="1">IFERROR(__xludf.DUMMYFUNCTION("GOOGLETRANSLATE(D:D,""auto"",""en"")"),"Vulcan Hill Hospital admissions of patients first")</f>
        <v>Vulcan Hill Hospital admissions of patients first</v>
      </c>
      <c r="D3429" s="5" t="s">
        <v>7847</v>
      </c>
      <c r="E3429" s="4">
        <v>595545</v>
      </c>
      <c r="F3429">
        <v>1</v>
      </c>
    </row>
    <row r="3430" spans="1:6" ht="13.5" customHeight="1">
      <c r="A3430" s="4" t="s">
        <v>7848</v>
      </c>
      <c r="B3430" s="4" t="s">
        <v>7849</v>
      </c>
      <c r="C3430" s="4" t="str">
        <f ca="1">IFERROR(__xludf.DUMMYFUNCTION("GOOGLETRANSLATE(D:D,""auto"",""en"")"),"Vulcan Hill Hospital drug supply adequate")</f>
        <v>Vulcan Hill Hospital drug supply adequate</v>
      </c>
      <c r="D3430" s="5" t="s">
        <v>7850</v>
      </c>
      <c r="E3430" s="4">
        <v>501134</v>
      </c>
      <c r="F3430">
        <v>1</v>
      </c>
    </row>
    <row r="3431" spans="1:6" ht="13.5" customHeight="1">
      <c r="A3431" s="4" t="s">
        <v>7851</v>
      </c>
      <c r="B3431" s="4" t="s">
        <v>7852</v>
      </c>
      <c r="C3431" s="4" t="str">
        <f ca="1">IFERROR(__xludf.DUMMYFUNCTION("GOOGLETRANSLATE(D:D,""auto"",""en"")"),"Li Lanjuan response to the vaccine progress")</f>
        <v>Li Lanjuan response to the vaccine progress</v>
      </c>
      <c r="D3431" s="5" t="s">
        <v>7853</v>
      </c>
      <c r="E3431" s="4">
        <v>493669</v>
      </c>
      <c r="F3431">
        <v>1</v>
      </c>
    </row>
    <row r="3432" spans="1:6" ht="13.5" customHeight="1">
      <c r="A3432" s="4" t="s">
        <v>7854</v>
      </c>
      <c r="B3432" s="4" t="s">
        <v>7855</v>
      </c>
      <c r="C3432" s="4" t="str">
        <f ca="1">IFERROR(__xludf.DUMMYFUNCTION("GOOGLETRANSLATE(D:D,""auto"",""en"")"),"The new crown virus can survive for five days spread by droplets, etc.")</f>
        <v>The new crown virus can survive for five days spread by droplets, etc.</v>
      </c>
      <c r="D3432" s="5" t="s">
        <v>7856</v>
      </c>
      <c r="E3432" s="4">
        <v>493341</v>
      </c>
      <c r="F3432">
        <v>1</v>
      </c>
    </row>
    <row r="3433" spans="1:6" ht="13.5" hidden="1" customHeight="1">
      <c r="A3433" s="4" t="s">
        <v>7857</v>
      </c>
      <c r="B3433" s="4" t="s">
        <v>7858</v>
      </c>
      <c r="C3433" s="4" t="str">
        <f ca="1">IFERROR(__xludf.DUMMYFUNCTION("GOOGLETRANSLATE(D:D,""auto"",""en"")"),"Kardashian")</f>
        <v>Kardashian</v>
      </c>
      <c r="D3433" s="5" t="s">
        <v>7859</v>
      </c>
      <c r="E3433" s="4">
        <v>485864</v>
      </c>
    </row>
    <row r="3434" spans="1:6" ht="13.5" customHeight="1">
      <c r="A3434" s="4" t="s">
        <v>7860</v>
      </c>
      <c r="B3434" s="4" t="s">
        <v>7861</v>
      </c>
      <c r="C3434" s="4" t="str">
        <f ca="1">IFERROR(__xludf.DUMMYFUNCTION("GOOGLETRANSLATE(D:D,""auto"",""en"")"),"Residents disinfection channel through 5 m into the cell")</f>
        <v>Residents disinfection channel through 5 m into the cell</v>
      </c>
      <c r="D3434" s="5" t="s">
        <v>7862</v>
      </c>
      <c r="E3434" s="4">
        <v>478336</v>
      </c>
      <c r="F3434">
        <v>1</v>
      </c>
    </row>
    <row r="3435" spans="1:6" ht="13.5" customHeight="1">
      <c r="A3435" s="4" t="s">
        <v>7863</v>
      </c>
      <c r="B3435" s="4" t="s">
        <v>7864</v>
      </c>
      <c r="C3435" s="4" t="str">
        <f ca="1">IFERROR(__xludf.DUMMYFUNCTION("GOOGLETRANSLATE(D:D,""auto"",""en"")"),"Shanghai postpone adjust social security contribution base")</f>
        <v>Shanghai postpone adjust social security contribution base</v>
      </c>
      <c r="D3435" s="5" t="s">
        <v>7865</v>
      </c>
      <c r="E3435" s="4">
        <v>475141</v>
      </c>
      <c r="F3435">
        <v>1</v>
      </c>
    </row>
    <row r="3436" spans="1:6" ht="13.5" hidden="1" customHeight="1">
      <c r="A3436" s="4" t="s">
        <v>7866</v>
      </c>
      <c r="B3436" s="4" t="s">
        <v>7867</v>
      </c>
      <c r="C3436" s="4" t="str">
        <f ca="1">IFERROR(__xludf.DUMMYFUNCTION("GOOGLETRANSLATE(D:D,""auto"",""en"")"),"Cher hole")</f>
        <v>Cher hole</v>
      </c>
      <c r="D3436" s="5" t="s">
        <v>7868</v>
      </c>
      <c r="E3436" s="4">
        <v>468151</v>
      </c>
    </row>
    <row r="3437" spans="1:6" ht="13.5" hidden="1" customHeight="1">
      <c r="A3437" s="4" t="s">
        <v>6108</v>
      </c>
      <c r="B3437" s="4" t="s">
        <v>6109</v>
      </c>
      <c r="C3437" s="4" t="str">
        <f ca="1">IFERROR(__xludf.DUMMYFUNCTION("GOOGLETRANSLATE(D:D,""auto"",""en"")"),"The next stop is happy")</f>
        <v>The next stop is happy</v>
      </c>
      <c r="D3437" s="5" t="s">
        <v>6110</v>
      </c>
      <c r="E3437" s="4">
        <v>465304</v>
      </c>
    </row>
    <row r="3438" spans="1:6" ht="13.5" hidden="1" customHeight="1">
      <c r="A3438" s="4" t="s">
        <v>7848</v>
      </c>
      <c r="B3438" s="4" t="s">
        <v>7869</v>
      </c>
      <c r="C3438" s="4" t="str">
        <f ca="1">IFERROR(__xludf.DUMMYFUNCTION("GOOGLETRANSLATE(D:D,""auto"",""en"")"),"Gem gem agent responded")</f>
        <v>Gem gem agent responded</v>
      </c>
      <c r="D3438" s="5" t="s">
        <v>7870</v>
      </c>
      <c r="E3438" s="4">
        <v>459772</v>
      </c>
    </row>
    <row r="3439" spans="1:6" ht="13.5" hidden="1" customHeight="1">
      <c r="A3439" s="4" t="s">
        <v>7817</v>
      </c>
      <c r="B3439" s="4" t="s">
        <v>7871</v>
      </c>
      <c r="C3439" s="4" t="str">
        <f ca="1">IFERROR(__xludf.DUMMYFUNCTION("GOOGLETRANSLATE(D:D,""auto"",""en"")"),"Congxiao who set")</f>
        <v>Congxiao who set</v>
      </c>
      <c r="D3439" s="5" t="s">
        <v>7872</v>
      </c>
      <c r="E3439" s="4">
        <v>457239</v>
      </c>
    </row>
    <row r="3440" spans="1:6" ht="13.5" customHeight="1">
      <c r="A3440" s="4" t="s">
        <v>7873</v>
      </c>
      <c r="B3440" s="4" t="s">
        <v>7874</v>
      </c>
      <c r="C3440" s="4" t="str">
        <f ca="1">IFERROR(__xludf.DUMMYFUNCTION("GOOGLETRANSLATE(D:D,""auto"",""en"")"),"Wuhan City the latest videos")</f>
        <v>Wuhan City the latest videos</v>
      </c>
      <c r="D3440" s="5" t="s">
        <v>7875</v>
      </c>
      <c r="E3440" s="4">
        <v>452308</v>
      </c>
      <c r="F3440">
        <v>1</v>
      </c>
    </row>
    <row r="3441" spans="1:6" ht="13.5" hidden="1" customHeight="1">
      <c r="A3441" s="4" t="s">
        <v>3082</v>
      </c>
      <c r="B3441" s="4" t="s">
        <v>3083</v>
      </c>
      <c r="C3441" s="4" t="str">
        <f ca="1">IFERROR(__xludf.DUMMYFUNCTION("GOOGLETRANSLATE(D:D,""auto"",""en"")"),"The Night 2")</f>
        <v>The Night 2</v>
      </c>
      <c r="D3441" s="5" t="s">
        <v>3084</v>
      </c>
      <c r="E3441" s="4">
        <v>418885</v>
      </c>
    </row>
    <row r="3442" spans="1:6" ht="13.5" hidden="1" customHeight="1">
      <c r="A3442" s="4" t="s">
        <v>7876</v>
      </c>
      <c r="B3442" s="4" t="s">
        <v>7877</v>
      </c>
      <c r="C3442" s="4" t="str">
        <f ca="1">IFERROR(__xludf.DUMMYFUNCTION("GOOGLETRANSLATE(D:D,""auto"",""en"")"),"emoji guess names")</f>
        <v>emoji guess names</v>
      </c>
      <c r="D3442" s="5" t="s">
        <v>7878</v>
      </c>
      <c r="E3442" s="4">
        <v>377484</v>
      </c>
    </row>
    <row r="3443" spans="1:6" ht="13.5" customHeight="1">
      <c r="A3443" s="4" t="s">
        <v>7879</v>
      </c>
      <c r="B3443" s="4" t="s">
        <v>7880</v>
      </c>
      <c r="C3443" s="4" t="str">
        <f ca="1">IFERROR(__xludf.DUMMYFUNCTION("GOOGLETRANSLATE(D:D,""auto"",""en"")"),"What at home watching the drama and animation")</f>
        <v>What at home watching the drama and animation</v>
      </c>
      <c r="D3443" s="5" t="s">
        <v>7881</v>
      </c>
      <c r="E3443" s="4">
        <v>356563</v>
      </c>
      <c r="F3443">
        <v>1</v>
      </c>
    </row>
    <row r="3444" spans="1:6" ht="13.5" hidden="1" customHeight="1">
      <c r="A3444" s="4" t="s">
        <v>7882</v>
      </c>
      <c r="B3444" s="4" t="s">
        <v>7883</v>
      </c>
      <c r="C3444" s="4" t="str">
        <f ca="1">IFERROR(__xludf.DUMMYFUNCTION("GOOGLETRANSLATE(D:D,""auto"",""en"")"),"Li Lanjuan")</f>
        <v>Li Lanjuan</v>
      </c>
      <c r="D3444" s="5" t="s">
        <v>7884</v>
      </c>
      <c r="E3444" s="4">
        <v>334481</v>
      </c>
    </row>
    <row r="3445" spans="1:6" ht="13.5" customHeight="1">
      <c r="A3445" s="4" t="s">
        <v>7885</v>
      </c>
      <c r="B3445" s="4" t="s">
        <v>7886</v>
      </c>
      <c r="C3445" s="4" t="str">
        <f ca="1">IFERROR(__xludf.DUMMYFUNCTION("GOOGLETRANSLATE(D:D,""auto"",""en"")"),"Development and Reform Commission to respond to the epidemic impact on the Chinese economy")</f>
        <v>Development and Reform Commission to respond to the epidemic impact on the Chinese economy</v>
      </c>
      <c r="D3445" s="5" t="s">
        <v>7887</v>
      </c>
      <c r="E3445" s="4">
        <v>332625</v>
      </c>
      <c r="F3445">
        <v>1</v>
      </c>
    </row>
    <row r="3446" spans="1:6" ht="13.5" customHeight="1">
      <c r="A3446" s="4" t="s">
        <v>7888</v>
      </c>
      <c r="B3446" s="4" t="s">
        <v>7889</v>
      </c>
      <c r="C3446" s="4" t="str">
        <f ca="1">IFERROR(__xludf.DUMMYFUNCTION("GOOGLETRANSLATE(D:D,""auto"",""en"")"),"No history of exposure to Hubei back to Beijing 14 days without staff supervision and observation")</f>
        <v>No history of exposure to Hubei back to Beijing 14 days without staff supervision and observation</v>
      </c>
      <c r="D3446" s="5" t="s">
        <v>7890</v>
      </c>
      <c r="E3446" s="4">
        <v>332202</v>
      </c>
      <c r="F3446">
        <v>1</v>
      </c>
    </row>
    <row r="3447" spans="1:6" ht="13.5" hidden="1" customHeight="1">
      <c r="A3447" s="4" t="s">
        <v>1169</v>
      </c>
      <c r="B3447" s="4" t="s">
        <v>1170</v>
      </c>
      <c r="C3447" s="4" t="str">
        <f ca="1">IFERROR(__xludf.DUMMYFUNCTION("GOOGLETRANSLATE(D:D,""auto"",""en"")"),"want to see you")</f>
        <v>want to see you</v>
      </c>
      <c r="D3447" s="5" t="s">
        <v>1171</v>
      </c>
      <c r="E3447" s="4">
        <v>330022</v>
      </c>
    </row>
    <row r="3448" spans="1:6" ht="13.5" hidden="1" customHeight="1">
      <c r="A3448" s="4" t="s">
        <v>7891</v>
      </c>
      <c r="B3448" s="4" t="s">
        <v>7892</v>
      </c>
      <c r="C3448" s="4" t="str">
        <f ca="1">IFERROR(__xludf.DUMMYFUNCTION("GOOGLETRANSLATE(D:D,""auto"",""en"")"),"Bai Yansong Li Lanjuan dialogue")</f>
        <v>Bai Yansong Li Lanjuan dialogue</v>
      </c>
      <c r="D3448" s="5" t="s">
        <v>7893</v>
      </c>
      <c r="E3448" s="4">
        <v>267200</v>
      </c>
    </row>
    <row r="3449" spans="1:6" ht="13.5" customHeight="1">
      <c r="A3449" s="4" t="s">
        <v>7894</v>
      </c>
      <c r="B3449" s="4" t="s">
        <v>7839</v>
      </c>
      <c r="C3449" s="4" t="str">
        <f ca="1">IFERROR(__xludf.DUMMYFUNCTION("GOOGLETRANSLATE(D:D,""auto"",""en"")"),"Do not do large-scale epidemic of aggregation activity test")</f>
        <v>Do not do large-scale epidemic of aggregation activity test</v>
      </c>
      <c r="D3449" s="5" t="s">
        <v>7895</v>
      </c>
      <c r="E3449" s="4">
        <v>235678</v>
      </c>
      <c r="F3449">
        <v>1</v>
      </c>
    </row>
    <row r="3450" spans="1:6" ht="13.5" customHeight="1">
      <c r="A3450" s="4" t="s">
        <v>7719</v>
      </c>
      <c r="B3450" s="4" t="s">
        <v>7720</v>
      </c>
      <c r="C3450" s="4" t="str">
        <f ca="1">IFERROR(__xludf.DUMMYFUNCTION("GOOGLETRANSLATE(D:D,""auto"",""en"")"),"Development and Reform Commission to respond to shortages of masks")</f>
        <v>Development and Reform Commission to respond to shortages of masks</v>
      </c>
      <c r="D3450" s="5" t="s">
        <v>7721</v>
      </c>
      <c r="E3450" s="4">
        <v>224577</v>
      </c>
      <c r="F3450">
        <v>1</v>
      </c>
    </row>
    <row r="3451" spans="1:6" ht="13.5" customHeight="1">
      <c r="A3451" s="4" t="s">
        <v>7896</v>
      </c>
      <c r="B3451" s="4" t="s">
        <v>7897</v>
      </c>
      <c r="C3451" s="4" t="str">
        <f ca="1">IFERROR(__xludf.DUMMYFUNCTION("GOOGLETRANSLATE(D:D,""auto"",""en"")"),"Telecommuting")</f>
        <v>Telecommuting</v>
      </c>
      <c r="D3451" s="5" t="s">
        <v>7898</v>
      </c>
      <c r="E3451" s="4">
        <v>216007</v>
      </c>
      <c r="F3451">
        <v>1</v>
      </c>
    </row>
    <row r="3452" spans="1:6" ht="13.5" customHeight="1">
      <c r="A3452" s="4" t="s">
        <v>7899</v>
      </c>
      <c r="B3452" s="4" t="s">
        <v>7900</v>
      </c>
      <c r="C3452" s="4" t="str">
        <f ca="1">IFERROR(__xludf.DUMMYFUNCTION("GOOGLETRANSLATE(D:D,""auto"",""en"")"),"Beijing subway passengers will be advised not to wear masks off")</f>
        <v>Beijing subway passengers will be advised not to wear masks off</v>
      </c>
      <c r="D3452" s="5" t="s">
        <v>7901</v>
      </c>
      <c r="E3452" s="4">
        <v>192361</v>
      </c>
      <c r="F3452">
        <v>1</v>
      </c>
    </row>
    <row r="3453" spans="1:6" ht="13.5" customHeight="1">
      <c r="A3453" s="4" t="s">
        <v>7835</v>
      </c>
      <c r="B3453" s="4" t="s">
        <v>7902</v>
      </c>
      <c r="C3453" s="4" t="str">
        <f ca="1">IFERROR(__xludf.DUMMYFUNCTION("GOOGLETRANSLATE(D:D,""auto"",""en"")"),"Excessive sleep is not conducive to the current health-adjusted")</f>
        <v>Excessive sleep is not conducive to the current health-adjusted</v>
      </c>
      <c r="D3453" s="5" t="s">
        <v>7903</v>
      </c>
      <c r="E3453" s="4">
        <v>188860</v>
      </c>
      <c r="F3453">
        <v>1</v>
      </c>
    </row>
    <row r="3454" spans="1:6" ht="13.5" hidden="1" customHeight="1">
      <c r="A3454" s="4" t="s">
        <v>7904</v>
      </c>
      <c r="B3454" s="4" t="s">
        <v>7905</v>
      </c>
      <c r="C3454" s="4" t="str">
        <f ca="1">IFERROR(__xludf.DUMMYFUNCTION("GOOGLETRANSLATE(D:D,""auto"",""en"")"),"Before the target is too far away")</f>
        <v>Before the target is too far away</v>
      </c>
      <c r="D3454" s="5" t="s">
        <v>7906</v>
      </c>
      <c r="E3454" s="4">
        <v>176190</v>
      </c>
    </row>
    <row r="3455" spans="1:6" ht="13.5" customHeight="1">
      <c r="A3455" s="4" t="s">
        <v>7899</v>
      </c>
      <c r="B3455" s="4" t="s">
        <v>7761</v>
      </c>
      <c r="C3455" s="4" t="str">
        <f ca="1">IFERROR(__xludf.DUMMYFUNCTION("GOOGLETRANSLATE(D:D,""auto"",""en"")"),"Beijing Fuxing Hospital clusters of cases occur")</f>
        <v>Beijing Fuxing Hospital clusters of cases occur</v>
      </c>
      <c r="D3455" s="5" t="s">
        <v>7907</v>
      </c>
      <c r="E3455" s="4">
        <v>167200</v>
      </c>
      <c r="F3455">
        <v>1</v>
      </c>
    </row>
    <row r="3456" spans="1:6" ht="13.5" hidden="1" customHeight="1">
      <c r="A3456" s="4" t="s">
        <v>7896</v>
      </c>
      <c r="B3456" s="4" t="s">
        <v>7908</v>
      </c>
      <c r="C3456" s="4" t="str">
        <f ca="1">IFERROR(__xludf.DUMMYFUNCTION("GOOGLETRANSLATE(D:D,""auto"",""en"")"),"Shanghai Telecom IPTV")</f>
        <v>Shanghai Telecom IPTV</v>
      </c>
      <c r="D3456" s="5" t="s">
        <v>7909</v>
      </c>
      <c r="E3456" s="4">
        <v>155026</v>
      </c>
    </row>
    <row r="3457" spans="1:6" ht="13.5" customHeight="1">
      <c r="A3457" s="4" t="s">
        <v>7910</v>
      </c>
      <c r="B3457" s="4" t="s">
        <v>7880</v>
      </c>
      <c r="C3457" s="4" t="str">
        <f ca="1">IFERROR(__xludf.DUMMYFUNCTION("GOOGLETRANSLATE(D:D,""auto"",""en"")"),"Ministry of Foreign Affairs, said the United States rumor provide great help to the epidemic")</f>
        <v>Ministry of Foreign Affairs, said the United States rumor provide great help to the epidemic</v>
      </c>
      <c r="D3457" s="5" t="s">
        <v>7911</v>
      </c>
      <c r="E3457" s="4">
        <v>153774</v>
      </c>
      <c r="F3457">
        <v>1</v>
      </c>
    </row>
    <row r="3458" spans="1:6" ht="13.5" hidden="1" customHeight="1">
      <c r="A3458" s="4" t="s">
        <v>7912</v>
      </c>
      <c r="B3458" s="4" t="s">
        <v>7913</v>
      </c>
      <c r="C3458" s="4" t="str">
        <f ca="1">IFERROR(__xludf.DUMMYFUNCTION("GOOGLETRANSLATE(D:D,""auto"",""en"")"),"My Hero Academia")</f>
        <v>My Hero Academia</v>
      </c>
      <c r="D3458" s="5" t="s">
        <v>7914</v>
      </c>
      <c r="E3458" s="4">
        <v>151526</v>
      </c>
    </row>
    <row r="3459" spans="1:6" ht="13.5" customHeight="1">
      <c r="A3459" s="4" t="s">
        <v>7915</v>
      </c>
      <c r="B3459" s="4" t="s">
        <v>7833</v>
      </c>
      <c r="C3459" s="4" t="str">
        <f ca="1">IFERROR(__xludf.DUMMYFUNCTION("GOOGLETRANSLATE(D:D,""auto"",""en"")"),"Jinyintan first batch of Chinese medicine hospital involved in the treatment of patients discharged from hospital")</f>
        <v>Jinyintan first batch of Chinese medicine hospital involved in the treatment of patients discharged from hospital</v>
      </c>
      <c r="D3459" s="5" t="s">
        <v>7916</v>
      </c>
      <c r="E3459" s="4">
        <v>140931</v>
      </c>
      <c r="F3459">
        <v>1</v>
      </c>
    </row>
    <row r="3460" spans="1:6" ht="13.5" hidden="1" customHeight="1">
      <c r="A3460" s="4" t="s">
        <v>7896</v>
      </c>
      <c r="B3460" s="4" t="s">
        <v>7917</v>
      </c>
      <c r="C3460" s="4" t="str">
        <f ca="1">IFERROR(__xludf.DUMMYFUNCTION("GOOGLETRANSLATE(D:D,""auto"",""en"")"),"It is the pride of rice ring girls")</f>
        <v>It is the pride of rice ring girls</v>
      </c>
      <c r="D3460" s="5" t="s">
        <v>7918</v>
      </c>
      <c r="E3460" s="4">
        <v>138029</v>
      </c>
    </row>
    <row r="3461" spans="1:6" ht="13.5" hidden="1" customHeight="1">
      <c r="A3461" s="4" t="s">
        <v>7919</v>
      </c>
      <c r="B3461" s="4" t="s">
        <v>7920</v>
      </c>
      <c r="C3461" s="4" t="str">
        <f ca="1">IFERROR(__xludf.DUMMYFUNCTION("GOOGLETRANSLATE(D:D,""auto"",""en"")"),"GFRIEND return")</f>
        <v>GFRIEND return</v>
      </c>
      <c r="D3461" s="5" t="s">
        <v>7921</v>
      </c>
      <c r="E3461" s="4">
        <v>135956</v>
      </c>
    </row>
    <row r="3462" spans="1:6" ht="13.5" customHeight="1">
      <c r="A3462" s="4" t="s">
        <v>7896</v>
      </c>
      <c r="B3462" s="4" t="s">
        <v>7922</v>
      </c>
      <c r="C3462" s="4" t="str">
        <f ca="1">IFERROR(__xludf.DUMMYFUNCTION("GOOGLETRANSLATE(D:D,""auto"",""en"")"),"New cases were cured for four consecutive days over deaths")</f>
        <v>New cases were cured for four consecutive days over deaths</v>
      </c>
      <c r="D3462" s="5" t="s">
        <v>7923</v>
      </c>
      <c r="E3462" s="4">
        <v>102919</v>
      </c>
      <c r="F3462">
        <v>1</v>
      </c>
    </row>
    <row r="3463" spans="1:6" ht="13.5" customHeight="1">
      <c r="A3463" s="4" t="s">
        <v>7924</v>
      </c>
      <c r="B3463" s="4" t="s">
        <v>7925</v>
      </c>
      <c r="C3463" s="4" t="str">
        <f ca="1">IFERROR(__xludf.DUMMYFUNCTION("GOOGLETRANSLATE(D:D,""auto"",""en"")"),"I miss the days at home before traveling")</f>
        <v>I miss the days at home before traveling</v>
      </c>
      <c r="D3463" s="5" t="s">
        <v>7926</v>
      </c>
      <c r="E3463" s="4">
        <v>87041</v>
      </c>
      <c r="F3463">
        <v>1</v>
      </c>
    </row>
    <row r="3464" spans="1:6" ht="13.5" hidden="1" customHeight="1">
      <c r="A3464" s="4" t="s">
        <v>7927</v>
      </c>
      <c r="B3464" s="4" t="s">
        <v>7928</v>
      </c>
      <c r="C3464" s="4" t="str">
        <f ca="1">IFERROR(__xludf.DUMMYFUNCTION("GOOGLETRANSLATE(D:D,""auto"",""en"")"),"Cheng Feng Xiaoting has joined Shenhua")</f>
        <v>Cheng Feng Xiaoting has joined Shenhua</v>
      </c>
      <c r="D3464" s="5" t="s">
        <v>7929</v>
      </c>
      <c r="E3464" s="4">
        <v>70578</v>
      </c>
    </row>
    <row r="3465" spans="1:6" ht="13.5" hidden="1" customHeight="1">
      <c r="A3465" s="4" t="s">
        <v>7930</v>
      </c>
      <c r="B3465" s="4" t="s">
        <v>7794</v>
      </c>
      <c r="C3465" s="4" t="str">
        <f ca="1">IFERROR(__xludf.DUMMYFUNCTION("GOOGLETRANSLATE(D:D,""auto"",""en"")"),"Chiefs win the Super Bowl")</f>
        <v>Chiefs win the Super Bowl</v>
      </c>
      <c r="D3465" s="5" t="s">
        <v>7931</v>
      </c>
      <c r="E3465" s="4">
        <v>67454</v>
      </c>
    </row>
    <row r="3466" spans="1:6" ht="13.5" hidden="1" customHeight="1">
      <c r="C3466" s="4" t="str">
        <f ca="1">IFERROR(__xludf.DUMMYFUNCTION("GOOGLETRANSLATE(D:D,""auto"",""en"")"),"#VALUE!")</f>
        <v>#VALUE!</v>
      </c>
    </row>
    <row r="3467" spans="1:6" ht="13.5" customHeight="1">
      <c r="A3467" s="4" t="s">
        <v>7932</v>
      </c>
      <c r="B3467" s="4" t="s">
        <v>7933</v>
      </c>
      <c r="C3467" s="4" t="str">
        <f ca="1">IFERROR(__xludf.DUMMYFUNCTION("GOOGLETRANSLATE(D:D,""auto"",""en"")"),"Ministry of Education, National College of letter caused")</f>
        <v>Ministry of Education, National College of letter caused</v>
      </c>
      <c r="D3467" s="4" t="s">
        <v>7934</v>
      </c>
      <c r="E3467" s="4">
        <v>3983337</v>
      </c>
      <c r="F3467">
        <v>1</v>
      </c>
    </row>
    <row r="3468" spans="1:6" ht="13.5" customHeight="1">
      <c r="A3468" s="4" t="s">
        <v>7935</v>
      </c>
      <c r="B3468" s="4" t="s">
        <v>7936</v>
      </c>
      <c r="C3468" s="4" t="str">
        <f ca="1">IFERROR(__xludf.DUMMYFUNCTION("GOOGLETRANSLATE(D:D,""auto"",""en"")"),"Guizhou, a new month-old girl diagnosed with pneumonia")</f>
        <v>Guizhou, a new month-old girl diagnosed with pneumonia</v>
      </c>
      <c r="D3468" s="5" t="s">
        <v>7937</v>
      </c>
      <c r="E3468" s="4">
        <v>3361378</v>
      </c>
      <c r="F3468">
        <v>1</v>
      </c>
    </row>
    <row r="3469" spans="1:6" ht="13.5" customHeight="1">
      <c r="A3469" s="4" t="s">
        <v>7938</v>
      </c>
      <c r="B3469" s="4" t="s">
        <v>7939</v>
      </c>
      <c r="C3469" s="4" t="str">
        <f ca="1">IFERROR(__xludf.DUMMYFUNCTION("GOOGLETRANSLATE(D:D,""auto"",""en"")"),"Hong Kong's first case of deaths")</f>
        <v>Hong Kong's first case of deaths</v>
      </c>
      <c r="D3469" s="5" t="s">
        <v>7940</v>
      </c>
      <c r="E3469" s="4">
        <v>2825469</v>
      </c>
      <c r="F3469">
        <v>1</v>
      </c>
    </row>
    <row r="3470" spans="1:6" ht="13.5" customHeight="1">
      <c r="A3470" s="4" t="s">
        <v>7941</v>
      </c>
      <c r="B3470" s="4" t="s">
        <v>7942</v>
      </c>
      <c r="C3470" s="4" t="str">
        <f ca="1">IFERROR(__xludf.DUMMYFUNCTION("GOOGLETRANSLATE(D:D,""auto"",""en"")"),"Why now not the time to go out")</f>
        <v>Why now not the time to go out</v>
      </c>
      <c r="D3470" s="5" t="s">
        <v>7943</v>
      </c>
      <c r="E3470" s="4">
        <v>2751638</v>
      </c>
      <c r="F3470">
        <v>1</v>
      </c>
    </row>
    <row r="3471" spans="1:6" ht="13.5" hidden="1" customHeight="1">
      <c r="A3471" s="4" t="s">
        <v>7944</v>
      </c>
      <c r="B3471" s="4" t="s">
        <v>7945</v>
      </c>
      <c r="C3471" s="4" t="str">
        <f ca="1">IFERROR(__xludf.DUMMYFUNCTION("GOOGLETRANSLATE(D:D,""auto"",""en"")"),"Kangta Jeong Yu-mi love")</f>
        <v>Kangta Jeong Yu-mi love</v>
      </c>
      <c r="D3471" s="5" t="s">
        <v>7946</v>
      </c>
      <c r="E3471" s="4">
        <v>2203135</v>
      </c>
    </row>
    <row r="3472" spans="1:6" ht="13.5" customHeight="1">
      <c r="A3472" s="4" t="s">
        <v>7947</v>
      </c>
      <c r="B3472" s="4" t="s">
        <v>7948</v>
      </c>
      <c r="C3472" s="4" t="str">
        <f ca="1">IFERROR(__xludf.DUMMYFUNCTION("GOOGLETRANSLATE(D:D,""auto"",""en"")"),"Not in favor of people who did not get sick prevention Shuanghuanglian")</f>
        <v>Not in favor of people who did not get sick prevention Shuanghuanglian</v>
      </c>
      <c r="D3472" s="5" t="s">
        <v>7949</v>
      </c>
      <c r="E3472" s="4">
        <v>1404389</v>
      </c>
      <c r="F3472">
        <v>1</v>
      </c>
    </row>
    <row r="3473" spans="1:6" ht="13.5" customHeight="1">
      <c r="A3473" s="4" t="s">
        <v>7950</v>
      </c>
      <c r="B3473" s="4" t="s">
        <v>7951</v>
      </c>
      <c r="C3473" s="4" t="str">
        <f ca="1">IFERROR(__xludf.DUMMYFUNCTION("GOOGLETRANSLATE(D:D,""auto"",""en"")"),"Dufu Guo sister stick to fighting the epidemic frontline")</f>
        <v>Dufu Guo sister stick to fighting the epidemic frontline</v>
      </c>
      <c r="D3473" s="5" t="s">
        <v>7952</v>
      </c>
      <c r="E3473" s="4">
        <v>1298701</v>
      </c>
      <c r="F3473">
        <v>1</v>
      </c>
    </row>
    <row r="3474" spans="1:6" ht="13.5" customHeight="1">
      <c r="A3474" s="4" t="s">
        <v>7953</v>
      </c>
      <c r="B3474" s="4" t="s">
        <v>7873</v>
      </c>
      <c r="C3474" s="4" t="str">
        <f ca="1">IFERROR(__xludf.DUMMYFUNCTION("GOOGLETRANSLATE(D:D,""auto"",""en"")"),"The national total of 20,438 cases diagnosed pneumonia new")</f>
        <v>The national total of 20,438 cases diagnosed pneumonia new</v>
      </c>
      <c r="D3474" s="5" t="s">
        <v>7954</v>
      </c>
      <c r="E3474" s="4">
        <v>1273468</v>
      </c>
      <c r="F3474">
        <v>1</v>
      </c>
    </row>
    <row r="3475" spans="1:6" ht="13.5" customHeight="1">
      <c r="A3475" s="4" t="s">
        <v>7955</v>
      </c>
      <c r="B3475" s="4" t="s">
        <v>7956</v>
      </c>
      <c r="C3475" s="4" t="str">
        <f ca="1">IFERROR(__xludf.DUMMYFUNCTION("GOOGLETRANSLATE(D:D,""auto"",""en"")"),"Hebei Chengde travel path of confirmed cases announced")</f>
        <v>Hebei Chengde travel path of confirmed cases announced</v>
      </c>
      <c r="D3475" s="5" t="s">
        <v>7957</v>
      </c>
      <c r="E3475" s="4">
        <v>1159205</v>
      </c>
      <c r="F3475">
        <v>1</v>
      </c>
    </row>
    <row r="3476" spans="1:6" ht="13.5" customHeight="1">
      <c r="A3476" s="4" t="s">
        <v>7958</v>
      </c>
      <c r="B3476" s="4" t="s">
        <v>7956</v>
      </c>
      <c r="C3476" s="4" t="str">
        <f ca="1">IFERROR(__xludf.DUMMYFUNCTION("GOOGLETRANSLATE(D:D,""auto"",""en"")"),"Changsha four patients diagnosed collective discharge")</f>
        <v>Changsha four patients diagnosed collective discharge</v>
      </c>
      <c r="D3476" s="5" t="s">
        <v>7959</v>
      </c>
      <c r="E3476" s="4">
        <v>1132103</v>
      </c>
      <c r="F3476">
        <v>1</v>
      </c>
    </row>
    <row r="3477" spans="1:6" ht="13.5" hidden="1" customHeight="1">
      <c r="A3477" s="4" t="s">
        <v>7960</v>
      </c>
      <c r="B3477" s="4" t="s">
        <v>7899</v>
      </c>
      <c r="C3477" s="4" t="str">
        <f ca="1">IFERROR(__xludf.DUMMYFUNCTION("GOOGLETRANSLATE(D:D,""auto"",""en"")"),"Not a spring will not come")</f>
        <v>Not a spring will not come</v>
      </c>
      <c r="D3477" s="5" t="s">
        <v>7961</v>
      </c>
      <c r="E3477" s="4">
        <v>956933</v>
      </c>
    </row>
    <row r="3478" spans="1:6" ht="13.5" customHeight="1">
      <c r="A3478" s="4" t="s">
        <v>5803</v>
      </c>
      <c r="B3478" s="4" t="s">
        <v>5804</v>
      </c>
      <c r="C3478" s="4" t="str">
        <f ca="1">IFERROR(__xludf.DUMMYFUNCTION("GOOGLETRANSLATE(D:D,""auto"",""en"")"),"The latest outbreak Map")</f>
        <v>The latest outbreak Map</v>
      </c>
      <c r="D3478" s="5" t="s">
        <v>5805</v>
      </c>
      <c r="E3478" s="4">
        <v>936851</v>
      </c>
      <c r="F3478">
        <v>1</v>
      </c>
    </row>
    <row r="3479" spans="1:6" ht="13.5" customHeight="1">
      <c r="A3479" s="4" t="s">
        <v>7962</v>
      </c>
      <c r="B3479" s="4" t="s">
        <v>7963</v>
      </c>
      <c r="C3479" s="4" t="str">
        <f ca="1">IFERROR(__xludf.DUMMYFUNCTION("GOOGLETRANSLATE(D:D,""auto"",""en"")"),"Do not advance before the official opening of online teaching")</f>
        <v>Do not advance before the official opening of online teaching</v>
      </c>
      <c r="D3479" s="5" t="s">
        <v>7964</v>
      </c>
      <c r="E3479" s="4">
        <v>883593</v>
      </c>
      <c r="F3479">
        <v>1</v>
      </c>
    </row>
    <row r="3480" spans="1:6" ht="13.5" hidden="1" customHeight="1">
      <c r="A3480" s="4" t="s">
        <v>7965</v>
      </c>
      <c r="B3480" s="4" t="s">
        <v>7966</v>
      </c>
      <c r="C3480" s="4" t="str">
        <f ca="1">IFERROR(__xludf.DUMMYFUNCTION("GOOGLETRANSLATE(D:D,""auto"",""en"")"),"Chen Yun's character as")</f>
        <v>Chen Yun's character as</v>
      </c>
      <c r="D3480" s="5" t="s">
        <v>7967</v>
      </c>
      <c r="E3480" s="4">
        <v>868209</v>
      </c>
    </row>
    <row r="3481" spans="1:6" ht="13.5" customHeight="1">
      <c r="A3481" s="4" t="s">
        <v>7968</v>
      </c>
      <c r="B3481" s="4" t="s">
        <v>7969</v>
      </c>
      <c r="C3481" s="4" t="str">
        <f ca="1">IFERROR(__xludf.DUMMYFUNCTION("GOOGLETRANSLATE(D:D,""auto"",""en"")"),"Li Lanjuan say do not have to take the elevator to wear gloves")</f>
        <v>Li Lanjuan say do not have to take the elevator to wear gloves</v>
      </c>
      <c r="D3481" s="5" t="s">
        <v>7970</v>
      </c>
      <c r="E3481" s="4">
        <v>783018</v>
      </c>
      <c r="F3481">
        <v>1</v>
      </c>
    </row>
    <row r="3482" spans="1:6" ht="13.5" customHeight="1">
      <c r="A3482" s="4" t="s">
        <v>7971</v>
      </c>
      <c r="B3482" s="4" t="s">
        <v>7972</v>
      </c>
      <c r="C3482" s="4" t="str">
        <f ca="1">IFERROR(__xludf.DUMMYFUNCTION("GOOGLETRANSLATE(D:D,""auto"",""en"")"),"To save 9000 yuan donated lady refused to cry Wuhan")</f>
        <v>To save 9000 yuan donated lady refused to cry Wuhan</v>
      </c>
      <c r="D3482" s="5" t="s">
        <v>7973</v>
      </c>
      <c r="E3482" s="4">
        <v>776847</v>
      </c>
      <c r="F3482">
        <v>1</v>
      </c>
    </row>
    <row r="3483" spans="1:6" ht="13.5" customHeight="1">
      <c r="A3483" s="4" t="s">
        <v>7974</v>
      </c>
      <c r="B3483" s="4" t="s">
        <v>7975</v>
      </c>
      <c r="C3483" s="4" t="str">
        <f ca="1">IFERROR(__xludf.DUMMYFUNCTION("GOOGLETRANSLATE(D:D,""auto"",""en"")"),"Yiwu Railway Station")</f>
        <v>Yiwu Railway Station</v>
      </c>
      <c r="D3483" s="5" t="s">
        <v>7976</v>
      </c>
      <c r="E3483" s="4">
        <v>775930</v>
      </c>
      <c r="F3483">
        <v>1</v>
      </c>
    </row>
    <row r="3484" spans="1:6" ht="13.5" customHeight="1">
      <c r="A3484" s="4" t="s">
        <v>7977</v>
      </c>
      <c r="B3484" s="4" t="s">
        <v>7978</v>
      </c>
      <c r="C3484" s="4" t="str">
        <f ca="1">IFERROR(__xludf.DUMMYFUNCTION("GOOGLETRANSLATE(D:D,""auto"",""en"")"),"The last time gazing hand")</f>
        <v>The last time gazing hand</v>
      </c>
      <c r="D3484" s="5" t="s">
        <v>7979</v>
      </c>
      <c r="E3484" s="4">
        <v>775685</v>
      </c>
      <c r="F3484">
        <v>1</v>
      </c>
    </row>
    <row r="3485" spans="1:6" ht="13.5" hidden="1" customHeight="1">
      <c r="A3485" s="4" t="s">
        <v>7980</v>
      </c>
      <c r="B3485" s="4" t="s">
        <v>7981</v>
      </c>
      <c r="C3485" s="4" t="str">
        <f ca="1">IFERROR(__xludf.DUMMYFUNCTION("GOOGLETRANSLATE(D:D,""auto"",""en"")"),"Chen Man Bosio wardrobe")</f>
        <v>Chen Man Bosio wardrobe</v>
      </c>
      <c r="D3485" s="5" t="s">
        <v>7982</v>
      </c>
      <c r="E3485" s="4">
        <v>769064</v>
      </c>
    </row>
    <row r="3486" spans="1:6" ht="13.5" hidden="1" customHeight="1">
      <c r="A3486" s="4" t="s">
        <v>7983</v>
      </c>
      <c r="B3486" s="4" t="s">
        <v>7984</v>
      </c>
      <c r="C3486" s="4" t="str">
        <f ca="1">IFERROR(__xludf.DUMMYFUNCTION("GOOGLETRANSLATE(D:D,""auto"",""en"")"),"Hyun Bin in uniform")</f>
        <v>Hyun Bin in uniform</v>
      </c>
      <c r="D3486" s="5" t="s">
        <v>7985</v>
      </c>
      <c r="E3486" s="4">
        <v>752693</v>
      </c>
    </row>
    <row r="3487" spans="1:6" ht="13.5" hidden="1" customHeight="1">
      <c r="A3487" s="4" t="s">
        <v>7986</v>
      </c>
      <c r="B3487" s="4" t="s">
        <v>7978</v>
      </c>
      <c r="C3487" s="4" t="str">
        <f ca="1">IFERROR(__xludf.DUMMYFUNCTION("GOOGLETRANSLATE(D:D,""auto"",""en"")"),"Fajitas")</f>
        <v>Fajitas</v>
      </c>
      <c r="D3487" s="5" t="s">
        <v>7987</v>
      </c>
      <c r="E3487" s="4">
        <v>683660</v>
      </c>
    </row>
    <row r="3488" spans="1:6" ht="13.5" customHeight="1">
      <c r="A3488" s="4" t="s">
        <v>7988</v>
      </c>
      <c r="B3488" s="4" t="s">
        <v>7989</v>
      </c>
      <c r="C3488" s="4" t="str">
        <f ca="1">IFERROR(__xludf.DUMMYFUNCTION("GOOGLETRANSLATE(D:D,""auto"",""en"")"),"Hangzhou area")</f>
        <v>Hangzhou area</v>
      </c>
      <c r="D3488" s="5" t="s">
        <v>7990</v>
      </c>
      <c r="E3488" s="4">
        <v>676449</v>
      </c>
      <c r="F3488">
        <v>1</v>
      </c>
    </row>
    <row r="3489" spans="1:6" ht="13.5" customHeight="1">
      <c r="A3489" s="4" t="s">
        <v>7991</v>
      </c>
      <c r="B3489" s="4" t="s">
        <v>7992</v>
      </c>
      <c r="C3489" s="4" t="str">
        <f ca="1">IFERROR(__xludf.DUMMYFUNCTION("GOOGLETRANSLATE(D:D,""auto"",""en"")"),"Guangdong new confirmed cases 114 cases")</f>
        <v>Guangdong new confirmed cases 114 cases</v>
      </c>
      <c r="D3489" s="5" t="s">
        <v>7993</v>
      </c>
      <c r="E3489" s="4">
        <v>640952</v>
      </c>
      <c r="F3489">
        <v>1</v>
      </c>
    </row>
    <row r="3490" spans="1:6" ht="13.5" customHeight="1">
      <c r="A3490" s="4" t="s">
        <v>7994</v>
      </c>
      <c r="B3490" s="4" t="s">
        <v>7995</v>
      </c>
      <c r="C3490" s="4" t="str">
        <f ca="1">IFERROR(__xludf.DUMMYFUNCTION("GOOGLETRANSLATE(D:D,""auto"",""en"")"),"Outside Hubei gradually restore traffic order")</f>
        <v>Outside Hubei gradually restore traffic order</v>
      </c>
      <c r="D3490" s="5" t="s">
        <v>7996</v>
      </c>
      <c r="E3490" s="4">
        <v>598249</v>
      </c>
      <c r="F3490">
        <v>1</v>
      </c>
    </row>
    <row r="3491" spans="1:6" ht="13.5" hidden="1" customHeight="1">
      <c r="A3491" s="4" t="s">
        <v>7997</v>
      </c>
      <c r="B3491" s="4" t="s">
        <v>7998</v>
      </c>
      <c r="C3491" s="4" t="str">
        <f ca="1">IFERROR(__xludf.DUMMYFUNCTION("GOOGLETRANSLATE(D:D,""auto"",""en"")"),"Tong Gu Mei Ling pregnancy")</f>
        <v>Tong Gu Mei Ling pregnancy</v>
      </c>
      <c r="D3491" s="5" t="s">
        <v>7999</v>
      </c>
      <c r="E3491" s="4">
        <v>553359</v>
      </c>
    </row>
    <row r="3492" spans="1:6" ht="13.5" customHeight="1">
      <c r="A3492" s="4" t="s">
        <v>8000</v>
      </c>
      <c r="B3492" s="4" t="s">
        <v>7995</v>
      </c>
      <c r="C3492" s="4" t="str">
        <f ca="1">IFERROR(__xludf.DUMMYFUNCTION("GOOGLETRANSLATE(D:D,""auto"",""en"")"),"Wuhan city to carry out disinfection")</f>
        <v>Wuhan city to carry out disinfection</v>
      </c>
      <c r="D3492" s="5" t="s">
        <v>8001</v>
      </c>
      <c r="E3492" s="4">
        <v>519429</v>
      </c>
      <c r="F3492">
        <v>1</v>
      </c>
    </row>
    <row r="3493" spans="1:6" ht="13.5" hidden="1" customHeight="1">
      <c r="A3493" s="4" t="s">
        <v>8002</v>
      </c>
      <c r="B3493" s="4" t="s">
        <v>8003</v>
      </c>
      <c r="C3493" s="4" t="str">
        <f ca="1">IFERROR(__xludf.DUMMYFUNCTION("GOOGLETRANSLATE(D:D,""auto"",""en"")"),"beginning of spring")</f>
        <v>beginning of spring</v>
      </c>
      <c r="D3493" s="5" t="s">
        <v>8004</v>
      </c>
      <c r="E3493" s="4">
        <v>441747</v>
      </c>
    </row>
    <row r="3494" spans="1:6" ht="13.5" customHeight="1">
      <c r="A3494" s="4" t="s">
        <v>8005</v>
      </c>
      <c r="B3494" s="4" t="s">
        <v>8006</v>
      </c>
      <c r="C3494" s="4" t="str">
        <f ca="1">IFERROR(__xludf.DUMMYFUNCTION("GOOGLETRANSLATE(D:D,""auto"",""en"")"),"The first thing after the outbreak")</f>
        <v>The first thing after the outbreak</v>
      </c>
      <c r="D3494" s="5" t="s">
        <v>8007</v>
      </c>
      <c r="E3494" s="4">
        <v>434046</v>
      </c>
      <c r="F3494">
        <v>1</v>
      </c>
    </row>
    <row r="3495" spans="1:6" ht="13.5" customHeight="1">
      <c r="A3495" s="4" t="s">
        <v>8008</v>
      </c>
      <c r="B3495" s="4" t="s">
        <v>8009</v>
      </c>
      <c r="C3495" s="4" t="str">
        <f ca="1">IFERROR(__xludf.DUMMYFUNCTION("GOOGLETRANSLATE(D:D,""auto"",""en"")"),"Shelter hospital")</f>
        <v>Shelter hospital</v>
      </c>
      <c r="D3495" s="5" t="s">
        <v>8010</v>
      </c>
      <c r="E3495" s="4">
        <v>381554</v>
      </c>
      <c r="F3495">
        <v>1</v>
      </c>
    </row>
    <row r="3496" spans="1:6" ht="13.5" hidden="1" customHeight="1">
      <c r="A3496" s="4" t="s">
        <v>7994</v>
      </c>
      <c r="B3496" s="4" t="s">
        <v>7899</v>
      </c>
      <c r="C3496" s="4" t="str">
        <f ca="1">IFERROR(__xludf.DUMMYFUNCTION("GOOGLETRANSLATE(D:D,""auto"",""en"")"),"You want to see the details")</f>
        <v>You want to see the details</v>
      </c>
      <c r="D3496" s="5" t="s">
        <v>8011</v>
      </c>
      <c r="E3496" s="4">
        <v>334154</v>
      </c>
    </row>
    <row r="3497" spans="1:6" ht="13.5" customHeight="1">
      <c r="A3497" s="4" t="s">
        <v>8012</v>
      </c>
      <c r="B3497" s="4" t="s">
        <v>8013</v>
      </c>
      <c r="C3497" s="4" t="str">
        <f ca="1">IFERROR(__xludf.DUMMYFUNCTION("GOOGLETRANSLATE(D:D,""auto"",""en"")"),"Inner Mongolia response to confirmed cases of live upstairs infected")</f>
        <v>Inner Mongolia response to confirmed cases of live upstairs infected</v>
      </c>
      <c r="D3497" s="5" t="s">
        <v>8014</v>
      </c>
      <c r="E3497" s="4">
        <v>322381</v>
      </c>
      <c r="F3497">
        <v>1</v>
      </c>
    </row>
    <row r="3498" spans="1:6" ht="13.5" customHeight="1">
      <c r="A3498" s="4" t="s">
        <v>8015</v>
      </c>
      <c r="B3498" s="4" t="s">
        <v>7888</v>
      </c>
      <c r="C3498" s="4" t="str">
        <f ca="1">IFERROR(__xludf.DUMMYFUNCTION("GOOGLETRANSLATE(D:D,""auto"",""en"")"),"The doctor is suspected of being infected goods vehicles run lead the way")</f>
        <v>The doctor is suspected of being infected goods vehicles run lead the way</v>
      </c>
      <c r="D3498" s="5" t="s">
        <v>8016</v>
      </c>
      <c r="E3498" s="4">
        <v>319489</v>
      </c>
      <c r="F3498">
        <v>1</v>
      </c>
    </row>
    <row r="3499" spans="1:6" ht="13.5" customHeight="1">
      <c r="A3499" s="4" t="s">
        <v>8017</v>
      </c>
      <c r="B3499" s="4" t="s">
        <v>8018</v>
      </c>
      <c r="C3499" s="4" t="str">
        <f ca="1">IFERROR(__xludf.DUMMYFUNCTION("GOOGLETRANSLATE(D:D,""auto"",""en"")"),"Zhejiang new confirmed cases 105 cases")</f>
        <v>Zhejiang new confirmed cases 105 cases</v>
      </c>
      <c r="D3499" s="5" t="s">
        <v>8019</v>
      </c>
      <c r="E3499" s="4">
        <v>309898</v>
      </c>
      <c r="F3499">
        <v>1</v>
      </c>
    </row>
    <row r="3500" spans="1:6" ht="13.5" customHeight="1">
      <c r="A3500" s="4" t="s">
        <v>8012</v>
      </c>
      <c r="B3500" s="4" t="s">
        <v>8020</v>
      </c>
      <c r="C3500" s="4" t="str">
        <f ca="1">IFERROR(__xludf.DUMMYFUNCTION("GOOGLETRANSLATE(D:D,""auto"",""en"")"),"Old man diagnosed conceal caused hundreds of people in close contact")</f>
        <v>Old man diagnosed conceal caused hundreds of people in close contact</v>
      </c>
      <c r="D3500" s="5" t="s">
        <v>8021</v>
      </c>
      <c r="E3500" s="4">
        <v>309063</v>
      </c>
      <c r="F3500">
        <v>1</v>
      </c>
    </row>
    <row r="3501" spans="1:6" ht="13.5" customHeight="1">
      <c r="A3501" s="4" t="s">
        <v>8022</v>
      </c>
      <c r="B3501" s="4" t="s">
        <v>8023</v>
      </c>
      <c r="C3501" s="4" t="str">
        <f ca="1">IFERROR(__xludf.DUMMYFUNCTION("GOOGLETRANSLATE(D:D,""auto"",""en"")"),"Hangzhou units of closed-end management of all village district")</f>
        <v>Hangzhou units of closed-end management of all village district</v>
      </c>
      <c r="D3501" s="5" t="s">
        <v>8024</v>
      </c>
      <c r="E3501" s="4">
        <v>308159</v>
      </c>
      <c r="F3501">
        <v>1</v>
      </c>
    </row>
    <row r="3502" spans="1:6" ht="13.5" customHeight="1">
      <c r="A3502" s="4" t="s">
        <v>8025</v>
      </c>
      <c r="B3502" s="4" t="s">
        <v>7843</v>
      </c>
      <c r="C3502" s="4" t="str">
        <f ca="1">IFERROR(__xludf.DUMMYFUNCTION("GOOGLETRANSLATE(D:D,""auto"",""en"")"),"Henan additional 109 cases of confirmed cases")</f>
        <v>Henan additional 109 cases of confirmed cases</v>
      </c>
      <c r="D3502" s="5" t="s">
        <v>8026</v>
      </c>
      <c r="E3502" s="4">
        <v>305411</v>
      </c>
      <c r="F3502">
        <v>1</v>
      </c>
    </row>
    <row r="3503" spans="1:6" ht="13.5" hidden="1" customHeight="1">
      <c r="A3503" s="4" t="s">
        <v>7857</v>
      </c>
      <c r="B3503" s="4" t="s">
        <v>7858</v>
      </c>
      <c r="C3503" s="4" t="str">
        <f ca="1">IFERROR(__xludf.DUMMYFUNCTION("GOOGLETRANSLATE(D:D,""auto"",""en"")"),"Kardashian")</f>
        <v>Kardashian</v>
      </c>
      <c r="D3503" s="5" t="s">
        <v>7859</v>
      </c>
      <c r="E3503" s="4">
        <v>286438</v>
      </c>
    </row>
    <row r="3504" spans="1:6" ht="13.5" customHeight="1">
      <c r="A3504" s="4" t="s">
        <v>7977</v>
      </c>
      <c r="B3504" s="4" t="s">
        <v>8027</v>
      </c>
      <c r="C3504" s="4" t="str">
        <f ca="1">IFERROR(__xludf.DUMMYFUNCTION("GOOGLETRANSLATE(D:D,""auto"",""en"")"),"Anhui new confirmed cases in 72 cases")</f>
        <v>Anhui new confirmed cases in 72 cases</v>
      </c>
      <c r="D3504" s="5" t="s">
        <v>8028</v>
      </c>
      <c r="E3504" s="4">
        <v>281782</v>
      </c>
      <c r="F3504">
        <v>1</v>
      </c>
    </row>
    <row r="3505" spans="1:6" ht="13.5" hidden="1" customHeight="1">
      <c r="A3505" s="4" t="s">
        <v>8029</v>
      </c>
      <c r="B3505" s="4" t="s">
        <v>8030</v>
      </c>
      <c r="C3505" s="4" t="str">
        <f ca="1">IFERROR(__xludf.DUMMYFUNCTION("GOOGLETRANSLATE(D:D,""auto"",""en"")"),"Li Yinhe")</f>
        <v>Li Yinhe</v>
      </c>
      <c r="D3505" s="5" t="s">
        <v>8031</v>
      </c>
      <c r="E3505" s="4">
        <v>279189</v>
      </c>
    </row>
    <row r="3506" spans="1:6" ht="13.5" customHeight="1">
      <c r="A3506" s="4" t="s">
        <v>8032</v>
      </c>
      <c r="B3506" s="4" t="s">
        <v>8033</v>
      </c>
      <c r="C3506" s="4" t="str">
        <f ca="1">IFERROR(__xludf.DUMMYFUNCTION("GOOGLETRANSLATE(D:D,""auto"",""en"")"),"5 new confirmed cases in Shanghai")</f>
        <v>5 new confirmed cases in Shanghai</v>
      </c>
      <c r="D3506" s="5" t="s">
        <v>8034</v>
      </c>
      <c r="E3506" s="4">
        <v>243855</v>
      </c>
      <c r="F3506">
        <v>1</v>
      </c>
    </row>
    <row r="3507" spans="1:6" ht="13.5" customHeight="1">
      <c r="A3507" s="4" t="s">
        <v>7830</v>
      </c>
      <c r="B3507" s="4" t="s">
        <v>8035</v>
      </c>
      <c r="C3507" s="4" t="str">
        <f ca="1">IFERROR(__xludf.DUMMYFUNCTION("GOOGLETRANSLATE(D:D,""auto"",""en"")"),"Jiangsu new confirmed cases in 37 cases")</f>
        <v>Jiangsu new confirmed cases in 37 cases</v>
      </c>
      <c r="D3507" s="5" t="s">
        <v>8036</v>
      </c>
      <c r="E3507" s="4">
        <v>234432</v>
      </c>
      <c r="F3507">
        <v>1</v>
      </c>
    </row>
    <row r="3508" spans="1:6" ht="13.5" customHeight="1">
      <c r="A3508" s="4" t="s">
        <v>8037</v>
      </c>
      <c r="B3508" s="4" t="s">
        <v>7963</v>
      </c>
      <c r="C3508" s="4" t="str">
        <f ca="1">IFERROR(__xludf.DUMMYFUNCTION("GOOGLETRANSLATE(D:D,""auto"",""en"")"),"Wuhan Hongshan Stadium 800 beds in place")</f>
        <v>Wuhan Hongshan Stadium 800 beds in place</v>
      </c>
      <c r="D3508" s="5" t="s">
        <v>8038</v>
      </c>
      <c r="E3508" s="4">
        <v>233271</v>
      </c>
      <c r="F3508">
        <v>1</v>
      </c>
    </row>
    <row r="3509" spans="1:6" ht="13.5" customHeight="1">
      <c r="A3509" s="4" t="s">
        <v>7977</v>
      </c>
      <c r="B3509" s="4" t="s">
        <v>7989</v>
      </c>
      <c r="C3509" s="4" t="str">
        <f ca="1">IFERROR(__xludf.DUMMYFUNCTION("GOOGLETRANSLATE(D:D,""auto"",""en"")"),"Jiangxi new confirmed cases in 85 cases")</f>
        <v>Jiangxi new confirmed cases in 85 cases</v>
      </c>
      <c r="D3509" s="5" t="s">
        <v>8039</v>
      </c>
      <c r="E3509" s="4">
        <v>232842</v>
      </c>
      <c r="F3509">
        <v>1</v>
      </c>
    </row>
    <row r="3510" spans="1:6" ht="13.5" customHeight="1">
      <c r="A3510" s="4" t="s">
        <v>8040</v>
      </c>
      <c r="B3510" s="4" t="s">
        <v>7963</v>
      </c>
      <c r="C3510" s="4" t="str">
        <f ca="1">IFERROR(__xludf.DUMMYFUNCTION("GOOGLETRANSLATE(D:D,""auto"",""en"")"),"Zhongshan November cured old baby")</f>
        <v>Zhongshan November cured old baby</v>
      </c>
      <c r="D3510" s="5" t="s">
        <v>8041</v>
      </c>
      <c r="E3510" s="4">
        <v>220514</v>
      </c>
      <c r="F3510">
        <v>1</v>
      </c>
    </row>
    <row r="3511" spans="1:6" ht="13.5" customHeight="1">
      <c r="A3511" s="4" t="s">
        <v>8042</v>
      </c>
      <c r="B3511" s="4" t="s">
        <v>8043</v>
      </c>
      <c r="C3511" s="4" t="str">
        <f ca="1">IFERROR(__xludf.DUMMYFUNCTION("GOOGLETRANSLATE(D:D,""auto"",""en"")"),"We found no pet novel coronavirus infection")</f>
        <v>We found no pet novel coronavirus infection</v>
      </c>
      <c r="D3511" s="5" t="s">
        <v>8044</v>
      </c>
      <c r="E3511" s="4">
        <v>215589</v>
      </c>
      <c r="F3511">
        <v>1</v>
      </c>
    </row>
    <row r="3512" spans="1:6" ht="13.5" hidden="1" customHeight="1">
      <c r="A3512" s="4" t="s">
        <v>7830</v>
      </c>
      <c r="B3512" s="4" t="s">
        <v>7796</v>
      </c>
      <c r="C3512" s="4" t="str">
        <f ca="1">IFERROR(__xludf.DUMMYFUNCTION("GOOGLETRANSLATE(D:D,""auto"",""en"")"),"Wolf responded disco gem gem-infringing")</f>
        <v>Wolf responded disco gem gem-infringing</v>
      </c>
      <c r="D3512" s="5" t="s">
        <v>7831</v>
      </c>
      <c r="E3512" s="4">
        <v>210751</v>
      </c>
    </row>
    <row r="3513" spans="1:6" ht="13.5" customHeight="1">
      <c r="A3513" s="4" t="s">
        <v>8045</v>
      </c>
      <c r="B3513" s="4" t="s">
        <v>8046</v>
      </c>
      <c r="C3513" s="4" t="str">
        <f ca="1">IFERROR(__xludf.DUMMYFUNCTION("GOOGLETRANSLATE(D:D,""auto"",""en"")"),"Vulcan Hill Hospital site transfer of patients")</f>
        <v>Vulcan Hill Hospital site transfer of patients</v>
      </c>
      <c r="D3513" s="5" t="s">
        <v>8047</v>
      </c>
      <c r="E3513" s="4">
        <v>205801</v>
      </c>
      <c r="F3513">
        <v>1</v>
      </c>
    </row>
    <row r="3514" spans="1:6" ht="13.5" customHeight="1">
      <c r="A3514" s="4" t="s">
        <v>8045</v>
      </c>
      <c r="B3514" s="4" t="s">
        <v>7899</v>
      </c>
      <c r="C3514" s="4" t="str">
        <f ca="1">IFERROR(__xludf.DUMMYFUNCTION("GOOGLETRANSLATE(D:D,""auto"",""en"")"),"Hainan minimum infection only 3 months")</f>
        <v>Hainan minimum infection only 3 months</v>
      </c>
      <c r="D3514" s="5" t="s">
        <v>8048</v>
      </c>
      <c r="E3514" s="4">
        <v>202831</v>
      </c>
      <c r="F3514">
        <v>1</v>
      </c>
    </row>
    <row r="3515" spans="1:6" ht="13.5" customHeight="1">
      <c r="A3515" s="4" t="s">
        <v>8049</v>
      </c>
      <c r="B3515" s="4" t="s">
        <v>8050</v>
      </c>
      <c r="C3515" s="4" t="str">
        <f ca="1">IFERROR(__xludf.DUMMYFUNCTION("GOOGLETRANSLATE(D:D,""auto"",""en"")"),"Hangzhou non-necessities of life involving all closed public places")</f>
        <v>Hangzhou non-necessities of life involving all closed public places</v>
      </c>
      <c r="D3515" s="5" t="s">
        <v>8051</v>
      </c>
      <c r="E3515" s="4">
        <v>200934</v>
      </c>
      <c r="F3515">
        <v>1</v>
      </c>
    </row>
    <row r="3516" spans="1:6" ht="13.5" hidden="1" customHeight="1">
      <c r="A3516" s="4" t="s">
        <v>8045</v>
      </c>
      <c r="B3516" s="4" t="s">
        <v>8052</v>
      </c>
      <c r="C3516" s="4" t="str">
        <f ca="1">IFERROR(__xludf.DUMMYFUNCTION("GOOGLETRANSLATE(D:D,""auto"",""en"")"),"Sichuan Yibin 3.9 earthquake")</f>
        <v>Sichuan Yibin 3.9 earthquake</v>
      </c>
      <c r="D3516" s="5" t="s">
        <v>8053</v>
      </c>
      <c r="E3516" s="4">
        <v>190288</v>
      </c>
    </row>
    <row r="3517" spans="1:6" ht="13.5" hidden="1" customHeight="1">
      <c r="C3517" s="4" t="str">
        <f ca="1">IFERROR(__xludf.DUMMYFUNCTION("GOOGLETRANSLATE(D:D,""auto"",""en"")"),"#VALUE!")</f>
        <v>#VALUE!</v>
      </c>
    </row>
    <row r="3518" spans="1:6" ht="13.5" customHeight="1">
      <c r="A3518" s="4" t="s">
        <v>8054</v>
      </c>
      <c r="B3518" s="4" t="s">
        <v>8055</v>
      </c>
      <c r="C3518" s="4" t="str">
        <f ca="1">IFERROR(__xludf.DUMMYFUNCTION("GOOGLETRANSLATE(D:D,""auto"",""en"")"),"Harbin all cells closed management")</f>
        <v>Harbin all cells closed management</v>
      </c>
      <c r="D3518" s="4" t="s">
        <v>8056</v>
      </c>
      <c r="E3518" s="4">
        <v>2684776</v>
      </c>
      <c r="F3518">
        <v>1</v>
      </c>
    </row>
    <row r="3519" spans="1:6" ht="13.5" customHeight="1">
      <c r="A3519" s="4" t="s">
        <v>8057</v>
      </c>
      <c r="B3519" s="4" t="s">
        <v>8058</v>
      </c>
      <c r="C3519" s="4" t="str">
        <f ca="1">IFERROR(__xludf.DUMMYFUNCTION("GOOGLETRANSLATE(D:D,""auto"",""en"")"),"Wuhan confirmed deaths average age of 68 years")</f>
        <v>Wuhan confirmed deaths average age of 68 years</v>
      </c>
      <c r="D3519" s="5" t="s">
        <v>8059</v>
      </c>
      <c r="E3519" s="4">
        <v>2464679</v>
      </c>
      <c r="F3519">
        <v>1</v>
      </c>
    </row>
    <row r="3520" spans="1:6" ht="13.5" customHeight="1">
      <c r="A3520" s="4" t="s">
        <v>8060</v>
      </c>
      <c r="B3520" s="4" t="s">
        <v>8061</v>
      </c>
      <c r="C3520" s="4" t="str">
        <f ca="1">IFERROR(__xludf.DUMMYFUNCTION("GOOGLETRANSLATE(D:D,""auto"",""en"")"),"Kit shortened 1 day")</f>
        <v>Kit shortened 1 day</v>
      </c>
      <c r="D3520" s="5" t="s">
        <v>8062</v>
      </c>
      <c r="E3520" s="4">
        <v>1746969</v>
      </c>
      <c r="F3520">
        <v>1</v>
      </c>
    </row>
    <row r="3521" spans="1:6" ht="13.5" hidden="1" customHeight="1">
      <c r="A3521" s="4" t="s">
        <v>8063</v>
      </c>
      <c r="B3521" s="4" t="s">
        <v>8064</v>
      </c>
      <c r="C3521" s="4" t="str">
        <f ca="1">IFERROR(__xludf.DUMMYFUNCTION("GOOGLETRANSLATE(D:D,""auto"",""en"")"),"He stars with Ye Luming reunion")</f>
        <v>He stars with Ye Luming reunion</v>
      </c>
      <c r="D3521" s="5" t="s">
        <v>8065</v>
      </c>
      <c r="E3521" s="4">
        <v>1666210</v>
      </c>
    </row>
    <row r="3522" spans="1:6" ht="13.5" customHeight="1">
      <c r="A3522" s="4" t="s">
        <v>8066</v>
      </c>
      <c r="B3522" s="4" t="s">
        <v>8067</v>
      </c>
      <c r="C3522" s="4" t="str">
        <f ca="1">IFERROR(__xludf.DUMMYFUNCTION("GOOGLETRANSLATE(D:D,""auto"",""en"")"),"Hubei prohibited piling up breaking road traffic interruption")</f>
        <v>Hubei prohibited piling up breaking road traffic interruption</v>
      </c>
      <c r="D3522" s="5" t="s">
        <v>8068</v>
      </c>
      <c r="E3522" s="4">
        <v>1115986</v>
      </c>
      <c r="F3522">
        <v>1</v>
      </c>
    </row>
    <row r="3523" spans="1:6" ht="13.5" hidden="1" customHeight="1">
      <c r="A3523" s="4" t="s">
        <v>8069</v>
      </c>
      <c r="B3523" s="4" t="s">
        <v>8070</v>
      </c>
      <c r="C3523" s="4" t="str">
        <f ca="1">IFERROR(__xludf.DUMMYFUNCTION("GOOGLETRANSLATE(D:D,""auto"",""en"")"),"BewhY Zhouzhen Nan")</f>
        <v>BewhY Zhouzhen Nan</v>
      </c>
      <c r="D3523" s="5" t="s">
        <v>8071</v>
      </c>
      <c r="E3523" s="4">
        <v>1114040</v>
      </c>
    </row>
    <row r="3524" spans="1:6" ht="13.5" hidden="1" customHeight="1">
      <c r="A3524" s="4" t="s">
        <v>8072</v>
      </c>
      <c r="B3524" s="4" t="s">
        <v>8073</v>
      </c>
      <c r="C3524" s="4" t="str">
        <f ca="1">IFERROR(__xludf.DUMMYFUNCTION("GOOGLETRANSLATE(D:D,""auto"",""en"")"),"Academician Li Lanjuan team significant results")</f>
        <v>Academician Li Lanjuan team significant results</v>
      </c>
      <c r="D3524" s="5" t="s">
        <v>8074</v>
      </c>
      <c r="E3524" s="4">
        <v>1000862</v>
      </c>
    </row>
    <row r="3525" spans="1:6" ht="13.5" customHeight="1">
      <c r="A3525" s="4" t="s">
        <v>5803</v>
      </c>
      <c r="B3525" s="4" t="s">
        <v>5804</v>
      </c>
      <c r="C3525" s="4" t="str">
        <f ca="1">IFERROR(__xludf.DUMMYFUNCTION("GOOGLETRANSLATE(D:D,""auto"",""en"")"),"The latest outbreak Map")</f>
        <v>The latest outbreak Map</v>
      </c>
      <c r="D3525" s="5" t="s">
        <v>5805</v>
      </c>
      <c r="E3525" s="4">
        <v>834473</v>
      </c>
      <c r="F3525">
        <v>1</v>
      </c>
    </row>
    <row r="3526" spans="1:6" ht="13.5" customHeight="1">
      <c r="A3526" s="4" t="s">
        <v>8075</v>
      </c>
      <c r="B3526" s="4" t="s">
        <v>8076</v>
      </c>
      <c r="C3526" s="4" t="str">
        <f ca="1">IFERROR(__xludf.DUMMYFUNCTION("GOOGLETRANSLATE(D:D,""auto"",""en"")"),"Vulcan Mountain contactless supermarket cash register")</f>
        <v>Vulcan Mountain contactless supermarket cash register</v>
      </c>
      <c r="D3526" s="5" t="s">
        <v>8077</v>
      </c>
      <c r="E3526" s="4">
        <v>826285</v>
      </c>
      <c r="F3526">
        <v>1</v>
      </c>
    </row>
    <row r="3527" spans="1:6" ht="13.5" customHeight="1">
      <c r="A3527" s="4" t="s">
        <v>8078</v>
      </c>
      <c r="B3527" s="4" t="s">
        <v>7938</v>
      </c>
      <c r="C3527" s="4" t="str">
        <f ca="1">IFERROR(__xludf.DUMMYFUNCTION("GOOGLETRANSLATE(D:D,""auto"",""en"")"),"5 a waste of soap mask transducer")</f>
        <v>5 a waste of soap mask transducer</v>
      </c>
      <c r="D3527" s="5" t="s">
        <v>8079</v>
      </c>
      <c r="E3527" s="4">
        <v>822307</v>
      </c>
      <c r="F3527">
        <v>1</v>
      </c>
    </row>
    <row r="3528" spans="1:6" ht="13.5" customHeight="1">
      <c r="A3528" s="4" t="s">
        <v>8080</v>
      </c>
      <c r="B3528" s="4" t="s">
        <v>8081</v>
      </c>
      <c r="C3528" s="4" t="str">
        <f ca="1">IFERROR(__xludf.DUMMYFUNCTION("GOOGLETRANSLATE(D:D,""auto"",""en"")"),"To add 2,000 staff support Hubei")</f>
        <v>To add 2,000 staff support Hubei</v>
      </c>
      <c r="D3528" s="5" t="s">
        <v>8082</v>
      </c>
      <c r="E3528" s="4">
        <v>821825</v>
      </c>
      <c r="F3528">
        <v>1</v>
      </c>
    </row>
    <row r="3529" spans="1:6" ht="13.5" customHeight="1">
      <c r="A3529" s="4" t="s">
        <v>8083</v>
      </c>
      <c r="B3529" s="4" t="s">
        <v>8084</v>
      </c>
      <c r="C3529" s="4" t="str">
        <f ca="1">IFERROR(__xludf.DUMMYFUNCTION("GOOGLETRANSLATE(D:D,""auto"",""en"")"),"Wuhan fever outpatient attendances growth has slowed")</f>
        <v>Wuhan fever outpatient attendances growth has slowed</v>
      </c>
      <c r="D3529" s="5" t="s">
        <v>8085</v>
      </c>
      <c r="E3529" s="4">
        <v>820121</v>
      </c>
      <c r="F3529">
        <v>1</v>
      </c>
    </row>
    <row r="3530" spans="1:6" ht="13.5" customHeight="1">
      <c r="A3530" s="4" t="s">
        <v>8086</v>
      </c>
      <c r="B3530" s="4" t="s">
        <v>8087</v>
      </c>
      <c r="C3530" s="4" t="str">
        <f ca="1">IFERROR(__xludf.DUMMYFUNCTION("GOOGLETRANSLATE(D:D,""auto"",""en"")"),"Dean Jinyintan hospital merit award")</f>
        <v>Dean Jinyintan hospital merit award</v>
      </c>
      <c r="D3530" s="5" t="s">
        <v>8088</v>
      </c>
      <c r="E3530" s="4">
        <v>816739</v>
      </c>
      <c r="F3530">
        <v>1</v>
      </c>
    </row>
    <row r="3531" spans="1:6" ht="13.5" hidden="1" customHeight="1">
      <c r="A3531" s="4" t="s">
        <v>8089</v>
      </c>
      <c r="B3531" s="4" t="s">
        <v>8090</v>
      </c>
      <c r="C3531" s="4" t="str">
        <f ca="1">IFERROR(__xludf.DUMMYFUNCTION("GOOGLETRANSLATE(D:D,""auto"",""en"")"),"Arbidol")</f>
        <v>Arbidol</v>
      </c>
      <c r="D3531" s="5" t="s">
        <v>8091</v>
      </c>
      <c r="E3531" s="4">
        <v>815087</v>
      </c>
    </row>
    <row r="3532" spans="1:6" ht="13.5" customHeight="1">
      <c r="A3532" s="4" t="s">
        <v>8092</v>
      </c>
      <c r="B3532" s="4" t="s">
        <v>8093</v>
      </c>
      <c r="C3532" s="4" t="str">
        <f ca="1">IFERROR(__xludf.DUMMYFUNCTION("GOOGLETRANSLATE(D:D,""auto"",""en"")"),"One person dialogue Vulcan Mountain Hospital, vice president")</f>
        <v>One person dialogue Vulcan Mountain Hospital, vice president</v>
      </c>
      <c r="D3532" s="5" t="s">
        <v>8094</v>
      </c>
      <c r="E3532" s="4">
        <v>813225</v>
      </c>
      <c r="F3532">
        <v>1</v>
      </c>
    </row>
    <row r="3533" spans="1:6" ht="13.5" hidden="1" customHeight="1">
      <c r="A3533" s="4" t="s">
        <v>8095</v>
      </c>
      <c r="B3533" s="4" t="s">
        <v>8064</v>
      </c>
      <c r="C3533" s="4" t="str">
        <f ca="1">IFERROR(__xludf.DUMMYFUNCTION("GOOGLETRANSLATE(D:D,""auto"",""en"")"),"HyunA body")</f>
        <v>HyunA body</v>
      </c>
      <c r="D3533" s="5" t="s">
        <v>8096</v>
      </c>
      <c r="E3533" s="4">
        <v>810964</v>
      </c>
    </row>
    <row r="3534" spans="1:6" ht="13.5" customHeight="1">
      <c r="A3534" s="4" t="s">
        <v>8097</v>
      </c>
      <c r="B3534" s="4" t="s">
        <v>8098</v>
      </c>
      <c r="C3534" s="4" t="str">
        <f ca="1">IFERROR(__xludf.DUMMYFUNCTION("GOOGLETRANSLATE(D:D,""auto"",""en"")"),"Detained five days ahead of the resumption of work boss")</f>
        <v>Detained five days ahead of the resumption of work boss</v>
      </c>
      <c r="D3534" s="5" t="s">
        <v>8099</v>
      </c>
      <c r="E3534" s="4">
        <v>809189</v>
      </c>
      <c r="F3534">
        <v>1</v>
      </c>
    </row>
    <row r="3535" spans="1:6" ht="13.5" hidden="1" customHeight="1">
      <c r="A3535" s="4" t="s">
        <v>8097</v>
      </c>
      <c r="B3535" s="4" t="s">
        <v>7986</v>
      </c>
      <c r="C3535" s="4" t="str">
        <f ca="1">IFERROR(__xludf.DUMMYFUNCTION("GOOGLETRANSLATE(D:D,""auto"",""en"")"),"Song Yuan distressed")</f>
        <v>Song Yuan distressed</v>
      </c>
      <c r="D3535" s="5" t="s">
        <v>8100</v>
      </c>
      <c r="E3535" s="4">
        <v>808039</v>
      </c>
    </row>
    <row r="3536" spans="1:6" ht="13.5" customHeight="1">
      <c r="A3536" s="4" t="s">
        <v>8057</v>
      </c>
      <c r="B3536" s="4" t="s">
        <v>8101</v>
      </c>
      <c r="C3536" s="4" t="str">
        <f ca="1">IFERROR(__xludf.DUMMYFUNCTION("GOOGLETRANSLATE(D:D,""auto"",""en"")"),"Closed cell managed embodiment Nanjing")</f>
        <v>Closed cell managed embodiment Nanjing</v>
      </c>
      <c r="D3536" s="5" t="s">
        <v>8102</v>
      </c>
      <c r="E3536" s="4">
        <v>805668</v>
      </c>
      <c r="F3536">
        <v>1</v>
      </c>
    </row>
    <row r="3537" spans="1:6" ht="13.5" hidden="1" customHeight="1">
      <c r="A3537" s="4" t="s">
        <v>6108</v>
      </c>
      <c r="B3537" s="4" t="s">
        <v>6109</v>
      </c>
      <c r="C3537" s="4" t="str">
        <f ca="1">IFERROR(__xludf.DUMMYFUNCTION("GOOGLETRANSLATE(D:D,""auto"",""en"")"),"The next stop is happy")</f>
        <v>The next stop is happy</v>
      </c>
      <c r="D3537" s="5" t="s">
        <v>6110</v>
      </c>
      <c r="E3537" s="4">
        <v>804957</v>
      </c>
    </row>
    <row r="3538" spans="1:6" ht="13.5" hidden="1" customHeight="1">
      <c r="A3538" s="4" t="s">
        <v>8103</v>
      </c>
      <c r="B3538" s="4" t="s">
        <v>8058</v>
      </c>
      <c r="C3538" s="4" t="str">
        <f ca="1">IFERROR(__xludf.DUMMYFUNCTION("GOOGLETRANSLATE(D:D,""auto"",""en"")"),"Holidays and no one was looking to find the psychological")</f>
        <v>Holidays and no one was looking to find the psychological</v>
      </c>
      <c r="D3538" s="5" t="s">
        <v>8104</v>
      </c>
      <c r="E3538" s="4">
        <v>756839</v>
      </c>
    </row>
    <row r="3539" spans="1:6" ht="13.5" hidden="1" customHeight="1">
      <c r="A3539" s="4" t="s">
        <v>1425</v>
      </c>
      <c r="B3539" s="4" t="s">
        <v>1426</v>
      </c>
      <c r="C3539" s="4" t="str">
        <f ca="1">IFERROR(__xludf.DUMMYFUNCTION("GOOGLETRANSLATE(D:D,""auto"",""en"")"),"Penglai room")</f>
        <v>Penglai room</v>
      </c>
      <c r="D3539" s="5" t="s">
        <v>1427</v>
      </c>
      <c r="E3539" s="4">
        <v>634883</v>
      </c>
    </row>
    <row r="3540" spans="1:6" ht="13.5" customHeight="1">
      <c r="A3540" s="4" t="s">
        <v>8105</v>
      </c>
      <c r="B3540" s="4" t="s">
        <v>8106</v>
      </c>
      <c r="C3540" s="4" t="str">
        <f ca="1">IFERROR(__xludf.DUMMYFUNCTION("GOOGLETRANSLATE(D:D,""auto"",""en"")"),"Wuhan supermarket closed three days after the Department of rumors")</f>
        <v>Wuhan supermarket closed three days after the Department of rumors</v>
      </c>
      <c r="D3540" s="5" t="s">
        <v>8107</v>
      </c>
      <c r="E3540" s="4">
        <v>523382</v>
      </c>
      <c r="F3540">
        <v>1</v>
      </c>
    </row>
    <row r="3541" spans="1:6" ht="13.5" customHeight="1">
      <c r="A3541" s="4" t="s">
        <v>8108</v>
      </c>
      <c r="B3541" s="4" t="s">
        <v>8109</v>
      </c>
      <c r="C3541" s="4" t="str">
        <f ca="1">IFERROR(__xludf.DUMMYFUNCTION("GOOGLETRANSLATE(D:D,""auto"",""en"")"),"Jingdezhen implementation of closed-end management")</f>
        <v>Jingdezhen implementation of closed-end management</v>
      </c>
      <c r="D3541" s="5" t="s">
        <v>8110</v>
      </c>
      <c r="E3541" s="4">
        <v>482581</v>
      </c>
      <c r="F3541">
        <v>1</v>
      </c>
    </row>
    <row r="3542" spans="1:6" ht="13.5" hidden="1" customHeight="1">
      <c r="A3542" s="4" t="s">
        <v>8111</v>
      </c>
      <c r="B3542" s="4" t="s">
        <v>8112</v>
      </c>
      <c r="C3542" s="4" t="str">
        <f ca="1">IFERROR(__xludf.DUMMYFUNCTION("GOOGLETRANSLATE(D:D,""auto"",""en"")"),"Bear gentleman")</f>
        <v>Bear gentleman</v>
      </c>
      <c r="D3542" s="5" t="s">
        <v>8113</v>
      </c>
      <c r="E3542" s="4">
        <v>457123</v>
      </c>
    </row>
    <row r="3543" spans="1:6" ht="13.5" customHeight="1">
      <c r="A3543" s="4" t="s">
        <v>8114</v>
      </c>
      <c r="B3543" s="4" t="s">
        <v>8115</v>
      </c>
      <c r="C3543" s="4" t="str">
        <f ca="1">IFERROR(__xludf.DUMMYFUNCTION("GOOGLETRANSLATE(D:D,""auto"",""en"")"),"Inner Mongolia more than 40 people have been notified poor disease prevention")</f>
        <v>Inner Mongolia more than 40 people have been notified poor disease prevention</v>
      </c>
      <c r="D3543" s="5" t="s">
        <v>8116</v>
      </c>
      <c r="E3543" s="4">
        <v>446360</v>
      </c>
      <c r="F3543">
        <v>1</v>
      </c>
    </row>
    <row r="3544" spans="1:6" ht="13.5" hidden="1" customHeight="1">
      <c r="A3544" s="4" t="s">
        <v>3117</v>
      </c>
      <c r="B3544" s="4" t="s">
        <v>3118</v>
      </c>
      <c r="C3544" s="4" t="str">
        <f ca="1">IFERROR(__xludf.DUMMYFUNCTION("GOOGLETRANSLATE(D:D,""auto"",""en"")"),"New World")</f>
        <v>New World</v>
      </c>
      <c r="D3544" s="5" t="s">
        <v>3119</v>
      </c>
      <c r="E3544" s="4">
        <v>437856</v>
      </c>
    </row>
    <row r="3545" spans="1:6" ht="13.5" hidden="1" customHeight="1">
      <c r="A3545" s="4" t="s">
        <v>3778</v>
      </c>
      <c r="B3545" s="4" t="s">
        <v>3779</v>
      </c>
      <c r="C3545" s="4" t="str">
        <f ca="1">IFERROR(__xludf.DUMMYFUNCTION("GOOGLETRANSLATE(D:D,""auto"",""en"")"),"Twins")</f>
        <v>Twins</v>
      </c>
      <c r="D3545" s="5" t="s">
        <v>3780</v>
      </c>
      <c r="E3545" s="4">
        <v>399545</v>
      </c>
    </row>
    <row r="3546" spans="1:6" ht="13.5" hidden="1" customHeight="1">
      <c r="A3546" s="4" t="s">
        <v>8117</v>
      </c>
      <c r="B3546" s="4" t="s">
        <v>7932</v>
      </c>
      <c r="C3546" s="4" t="str">
        <f ca="1">IFERROR(__xludf.DUMMYFUNCTION("GOOGLETRANSLATE(D:D,""auto"",""en"")"),"BlackBerry will be discontinued")</f>
        <v>BlackBerry will be discontinued</v>
      </c>
      <c r="D3546" s="5" t="s">
        <v>8118</v>
      </c>
      <c r="E3546" s="4">
        <v>367990</v>
      </c>
    </row>
    <row r="3547" spans="1:6" ht="13.5" customHeight="1">
      <c r="A3547" s="4" t="s">
        <v>8054</v>
      </c>
      <c r="B3547" s="4" t="s">
        <v>8119</v>
      </c>
      <c r="C3547" s="4" t="str">
        <f ca="1">IFERROR(__xludf.DUMMYFUNCTION("GOOGLETRANSLATE(D:D,""auto"",""en"")"),"Remote monitoring call traffic police wearing masks aunt")</f>
        <v>Remote monitoring call traffic police wearing masks aunt</v>
      </c>
      <c r="D3547" s="5" t="s">
        <v>8120</v>
      </c>
      <c r="E3547" s="4">
        <v>358355</v>
      </c>
      <c r="F3547">
        <v>1</v>
      </c>
    </row>
    <row r="3548" spans="1:6" ht="13.5" customHeight="1">
      <c r="A3548" s="4" t="s">
        <v>8121</v>
      </c>
      <c r="B3548" s="4" t="s">
        <v>8070</v>
      </c>
      <c r="C3548" s="4" t="str">
        <f ca="1">IFERROR(__xludf.DUMMYFUNCTION("GOOGLETRANSLATE(D:D,""auto"",""en"")"),"Handwriting refueling Relay")</f>
        <v>Handwriting refueling Relay</v>
      </c>
      <c r="D3548" s="5" t="s">
        <v>8122</v>
      </c>
      <c r="E3548" s="4">
        <v>345597</v>
      </c>
      <c r="F3548">
        <v>1</v>
      </c>
    </row>
    <row r="3549" spans="1:6" ht="13.5" customHeight="1">
      <c r="A3549" s="4" t="s">
        <v>8108</v>
      </c>
      <c r="B3549" s="4" t="s">
        <v>8123</v>
      </c>
      <c r="C3549" s="4" t="str">
        <f ca="1">IFERROR(__xludf.DUMMYFUNCTION("GOOGLETRANSLATE(D:D,""auto"",""en"")"),"Epidemic which broke your plan")</f>
        <v>Epidemic which broke your plan</v>
      </c>
      <c r="D3549" s="5" t="s">
        <v>8124</v>
      </c>
      <c r="E3549" s="4">
        <v>325345</v>
      </c>
      <c r="F3549">
        <v>1</v>
      </c>
    </row>
    <row r="3550" spans="1:6" ht="13.5" customHeight="1">
      <c r="A3550" s="4" t="s">
        <v>8125</v>
      </c>
      <c r="B3550" s="4" t="s">
        <v>8081</v>
      </c>
      <c r="C3550" s="4" t="str">
        <f ca="1">IFERROR(__xludf.DUMMYFUNCTION("GOOGLETRANSLATE(D:D,""auto"",""en"")"),"Network Division")</f>
        <v>Network Division</v>
      </c>
      <c r="D3550" s="5" t="s">
        <v>8126</v>
      </c>
      <c r="E3550" s="4">
        <v>264541</v>
      </c>
      <c r="F3550">
        <v>1</v>
      </c>
    </row>
    <row r="3551" spans="1:6" ht="13.5" customHeight="1">
      <c r="A3551" s="4" t="s">
        <v>8127</v>
      </c>
      <c r="B3551" s="4" t="s">
        <v>8128</v>
      </c>
      <c r="C3551" s="4" t="str">
        <f ca="1">IFERROR(__xludf.DUMMYFUNCTION("GOOGLETRANSLATE(D:D,""auto"",""en"")"),"Shelter hospital beds 5th 1100 enabled")</f>
        <v>Shelter hospital beds 5th 1100 enabled</v>
      </c>
      <c r="D3551" s="5" t="s">
        <v>8129</v>
      </c>
      <c r="E3551" s="4">
        <v>246450</v>
      </c>
      <c r="F3551">
        <v>1</v>
      </c>
    </row>
    <row r="3552" spans="1:6" ht="13.5" customHeight="1">
      <c r="A3552" s="4" t="s">
        <v>8057</v>
      </c>
      <c r="B3552" s="4" t="s">
        <v>8130</v>
      </c>
      <c r="C3552" s="4" t="str">
        <f ca="1">IFERROR(__xludf.DUMMYFUNCTION("GOOGLETRANSLATE(D:D,""auto"",""en"")"),"People in contact with confirmed cases were on file for withholding information")</f>
        <v>People in contact with confirmed cases were on file for withholding information</v>
      </c>
      <c r="D3552" s="5" t="s">
        <v>8131</v>
      </c>
      <c r="E3552" s="4">
        <v>233582</v>
      </c>
      <c r="F3552">
        <v>1</v>
      </c>
    </row>
    <row r="3553" spans="1:6" ht="13.5" customHeight="1">
      <c r="A3553" s="4" t="s">
        <v>8132</v>
      </c>
      <c r="B3553" s="4" t="s">
        <v>8133</v>
      </c>
      <c r="C3553" s="4" t="str">
        <f ca="1">IFERROR(__xludf.DUMMYFUNCTION("GOOGLETRANSLATE(D:D,""auto"",""en"")"),"Oil prices down")</f>
        <v>Oil prices down</v>
      </c>
      <c r="D3553" s="5" t="s">
        <v>8134</v>
      </c>
      <c r="E3553" s="4">
        <v>228612</v>
      </c>
      <c r="F3553">
        <v>1</v>
      </c>
    </row>
    <row r="3554" spans="1:6" ht="13.5" hidden="1" customHeight="1">
      <c r="A3554" s="4" t="s">
        <v>959</v>
      </c>
      <c r="B3554" s="4" t="s">
        <v>960</v>
      </c>
      <c r="C3554" s="4" t="str">
        <f ca="1">IFERROR(__xludf.DUMMYFUNCTION("GOOGLETRANSLATE(D:D,""auto"",""en"")"),"Under Jinyi")</f>
        <v>Under Jinyi</v>
      </c>
      <c r="D3554" s="5" t="s">
        <v>961</v>
      </c>
      <c r="E3554" s="4">
        <v>221758</v>
      </c>
    </row>
    <row r="3555" spans="1:6" ht="13.5" hidden="1" customHeight="1">
      <c r="A3555" s="4" t="s">
        <v>8135</v>
      </c>
      <c r="B3555" s="4" t="s">
        <v>8136</v>
      </c>
      <c r="C3555" s="4" t="str">
        <f ca="1">IFERROR(__xludf.DUMMYFUNCTION("GOOGLETRANSLATE(D:D,""auto"",""en"")"),"The most hard-core subjects honey")</f>
        <v>The most hard-core subjects honey</v>
      </c>
      <c r="D3555" s="5" t="s">
        <v>8137</v>
      </c>
      <c r="E3555" s="4">
        <v>201818</v>
      </c>
    </row>
    <row r="3556" spans="1:6" ht="13.5" customHeight="1">
      <c r="A3556" s="4" t="s">
        <v>8138</v>
      </c>
      <c r="B3556" s="4" t="s">
        <v>8139</v>
      </c>
      <c r="C3556" s="4" t="str">
        <f ca="1">IFERROR(__xludf.DUMMYFUNCTION("GOOGLETRANSLATE(D:D,""auto"",""en"")"),"Japan's Ministry of Foreign Affairs to respond to Wuhan to refuel friends")</f>
        <v>Japan's Ministry of Foreign Affairs to respond to Wuhan to refuel friends</v>
      </c>
      <c r="D3556" s="5" t="s">
        <v>8140</v>
      </c>
      <c r="E3556" s="4">
        <v>194096</v>
      </c>
      <c r="F3556">
        <v>1</v>
      </c>
    </row>
    <row r="3557" spans="1:6" ht="13.5" hidden="1" customHeight="1">
      <c r="A3557" s="4" t="s">
        <v>8141</v>
      </c>
      <c r="B3557" s="4" t="s">
        <v>7968</v>
      </c>
      <c r="C3557" s="4" t="str">
        <f ca="1">IFERROR(__xludf.DUMMYFUNCTION("GOOGLETRANSLATE(D:D,""auto"",""en"")"),"Bryant and her body had been handed over family")</f>
        <v>Bryant and her body had been handed over family</v>
      </c>
      <c r="D3557" s="5" t="s">
        <v>8142</v>
      </c>
      <c r="E3557" s="4">
        <v>166641</v>
      </c>
    </row>
    <row r="3558" spans="1:6" ht="13.5" customHeight="1">
      <c r="A3558" s="4" t="s">
        <v>8143</v>
      </c>
      <c r="B3558" s="4" t="s">
        <v>8144</v>
      </c>
      <c r="C3558" s="4" t="str">
        <f ca="1">IFERROR(__xludf.DUMMYFUNCTION("GOOGLETRANSLATE(D:D,""auto"",""en"")"),"Tangshan travel path of confirmed cases announced")</f>
        <v>Tangshan travel path of confirmed cases announced</v>
      </c>
      <c r="D3558" s="5" t="s">
        <v>8145</v>
      </c>
      <c r="E3558" s="4">
        <v>157847</v>
      </c>
      <c r="F3558">
        <v>1</v>
      </c>
    </row>
    <row r="3559" spans="1:6" ht="13.5" customHeight="1">
      <c r="A3559" s="4" t="s">
        <v>8146</v>
      </c>
      <c r="B3559" s="4" t="s">
        <v>8147</v>
      </c>
      <c r="C3559" s="4" t="str">
        <f ca="1">IFERROR(__xludf.DUMMYFUNCTION("GOOGLETRANSLATE(D:D,""auto"",""en"")"),"Confirmed case fatality rate 2.1%")</f>
        <v>Confirmed case fatality rate 2.1%</v>
      </c>
      <c r="D3559" s="5" t="s">
        <v>8148</v>
      </c>
      <c r="E3559" s="4">
        <v>150745</v>
      </c>
      <c r="F3559">
        <v>1</v>
      </c>
    </row>
    <row r="3560" spans="1:6" ht="13.5" customHeight="1">
      <c r="A3560" s="4" t="s">
        <v>8149</v>
      </c>
      <c r="B3560" s="4" t="s">
        <v>8150</v>
      </c>
      <c r="C3560" s="4" t="str">
        <f ca="1">IFERROR(__xludf.DUMMYFUNCTION("GOOGLETRANSLATE(D:D,""auto"",""en"")"),"How to avoid online class is the teacher questions")</f>
        <v>How to avoid online class is the teacher questions</v>
      </c>
      <c r="D3560" s="5" t="s">
        <v>8151</v>
      </c>
      <c r="E3560" s="4">
        <v>147289</v>
      </c>
      <c r="F3560">
        <v>1</v>
      </c>
    </row>
    <row r="3561" spans="1:6" ht="13.5" hidden="1" customHeight="1">
      <c r="A3561" s="4" t="s">
        <v>8152</v>
      </c>
      <c r="B3561" s="4" t="s">
        <v>8153</v>
      </c>
      <c r="C3561" s="4" t="str">
        <f ca="1">IFERROR(__xludf.DUMMYFUNCTION("GOOGLETRANSLATE(D:D,""auto"",""en"")"),"Zhang Yu Jian interview")</f>
        <v>Zhang Yu Jian interview</v>
      </c>
      <c r="D3561" s="5" t="s">
        <v>8154</v>
      </c>
      <c r="E3561" s="4">
        <v>139165</v>
      </c>
    </row>
    <row r="3562" spans="1:6" ht="13.5" customHeight="1">
      <c r="A3562" s="4" t="s">
        <v>8155</v>
      </c>
      <c r="B3562" s="4" t="s">
        <v>8156</v>
      </c>
      <c r="C3562" s="4" t="str">
        <f ca="1">IFERROR(__xludf.DUMMYFUNCTION("GOOGLETRANSLATE(D:D,""auto"",""en"")"),"Heilongjiang seized more than 20,000 counterfeit masks")</f>
        <v>Heilongjiang seized more than 20,000 counterfeit masks</v>
      </c>
      <c r="D3562" s="5" t="s">
        <v>8157</v>
      </c>
      <c r="E3562" s="4">
        <v>137549</v>
      </c>
      <c r="F3562">
        <v>1</v>
      </c>
    </row>
    <row r="3563" spans="1:6" ht="13.5" hidden="1" customHeight="1">
      <c r="A3563" s="4" t="s">
        <v>8158</v>
      </c>
      <c r="B3563" s="4" t="s">
        <v>8159</v>
      </c>
      <c r="C3563" s="4" t="str">
        <f ca="1">IFERROR(__xludf.DUMMYFUNCTION("GOOGLETRANSLATE(D:D,""auto"",""en"")"),"Darunavir")</f>
        <v>Darunavir</v>
      </c>
      <c r="D3563" s="5" t="s">
        <v>8160</v>
      </c>
      <c r="E3563" s="4">
        <v>128248</v>
      </c>
    </row>
    <row r="3564" spans="1:6" ht="13.5" customHeight="1">
      <c r="A3564" s="4" t="s">
        <v>8161</v>
      </c>
      <c r="B3564" s="4" t="s">
        <v>8162</v>
      </c>
      <c r="C3564" s="4" t="str">
        <f ca="1">IFERROR(__xludf.DUMMYFUNCTION("GOOGLETRANSLATE(D:D,""auto"",""en"")"),"Vulcan Hill Hospital has been into medical insurance")</f>
        <v>Vulcan Hill Hospital has been into medical insurance</v>
      </c>
      <c r="D3564" s="5" t="s">
        <v>8163</v>
      </c>
      <c r="E3564" s="4">
        <v>126926</v>
      </c>
      <c r="F3564">
        <v>1</v>
      </c>
    </row>
    <row r="3565" spans="1:6" ht="13.5" customHeight="1">
      <c r="A3565" s="4" t="s">
        <v>8164</v>
      </c>
      <c r="B3565" s="4" t="s">
        <v>7953</v>
      </c>
      <c r="C3565" s="4" t="str">
        <f ca="1">IFERROR(__xludf.DUMMYFUNCTION("GOOGLETRANSLATE(D:D,""auto"",""en"")"),"Hunan after 90 township and village doctors overwork sudden death")</f>
        <v>Hunan after 90 township and village doctors overwork sudden death</v>
      </c>
      <c r="D3565" s="5" t="s">
        <v>8165</v>
      </c>
      <c r="E3565" s="4">
        <v>119813</v>
      </c>
      <c r="F3565">
        <v>1</v>
      </c>
    </row>
    <row r="3566" spans="1:6" ht="13.5" hidden="1" customHeight="1">
      <c r="A3566" s="4" t="s">
        <v>8166</v>
      </c>
      <c r="B3566" s="4" t="s">
        <v>8167</v>
      </c>
      <c r="C3566" s="4" t="str">
        <f ca="1">IFERROR(__xludf.DUMMYFUNCTION("GOOGLETRANSLATE(D:D,""auto"",""en"")"),"Dembele injured")</f>
        <v>Dembele injured</v>
      </c>
      <c r="D3566" s="5" t="s">
        <v>8168</v>
      </c>
      <c r="E3566" s="4">
        <v>117787</v>
      </c>
    </row>
    <row r="3567" spans="1:6" ht="13.5" customHeight="1">
      <c r="A3567" s="4" t="s">
        <v>8169</v>
      </c>
      <c r="B3567" s="4" t="s">
        <v>8170</v>
      </c>
      <c r="C3567" s="4" t="str">
        <f ca="1">IFERROR(__xludf.DUMMYFUNCTION("GOOGLETRANSLATE(D:D,""auto"",""en"")"),"Beijing seized more than 20,000 counterfeit 3M masks")</f>
        <v>Beijing seized more than 20,000 counterfeit 3M masks</v>
      </c>
      <c r="D3567" s="5" t="s">
        <v>8171</v>
      </c>
      <c r="E3567" s="4">
        <v>99376</v>
      </c>
      <c r="F3567">
        <v>1</v>
      </c>
    </row>
    <row r="3568" spans="1:6" ht="13.5" hidden="1" customHeight="1">
      <c r="C3568" s="4" t="str">
        <f ca="1">IFERROR(__xludf.DUMMYFUNCTION("GOOGLETRANSLATE(D:D,""auto"",""en"")"),"#VALUE!")</f>
        <v>#VALUE!</v>
      </c>
    </row>
    <row r="3569" spans="1:6" ht="13.5" customHeight="1">
      <c r="A3569" s="4" t="s">
        <v>8172</v>
      </c>
      <c r="B3569" s="4" t="s">
        <v>8173</v>
      </c>
      <c r="C3569" s="4" t="str">
        <f ca="1">IFERROR(__xludf.DUMMYFUNCTION("GOOGLETRANSLATE(D:D,""auto"",""en"")"),"The national total of 24,324 cases diagnosed pneumonia new")</f>
        <v>The national total of 24,324 cases diagnosed pneumonia new</v>
      </c>
      <c r="D3569" s="4" t="s">
        <v>8174</v>
      </c>
      <c r="E3569" s="4">
        <v>3562683</v>
      </c>
      <c r="F3569">
        <v>1</v>
      </c>
    </row>
    <row r="3570" spans="1:6" ht="13.5" customHeight="1">
      <c r="A3570" s="4" t="s">
        <v>8175</v>
      </c>
      <c r="B3570" s="4" t="s">
        <v>8176</v>
      </c>
      <c r="C3570" s="4" t="str">
        <f ca="1">IFERROR(__xludf.DUMMYFUNCTION("GOOGLETRANSLATE(D:D,""auto"",""en"")"),"Concealing patient medical personnel actuator 68 is isolated")</f>
        <v>Concealing patient medical personnel actuator 68 is isolated</v>
      </c>
      <c r="D3570" s="5" t="s">
        <v>8177</v>
      </c>
      <c r="E3570" s="4">
        <v>2611970</v>
      </c>
      <c r="F3570">
        <v>1</v>
      </c>
    </row>
    <row r="3571" spans="1:6" ht="13.5" customHeight="1">
      <c r="A3571" s="4" t="s">
        <v>8178</v>
      </c>
      <c r="B3571" s="4" t="s">
        <v>8075</v>
      </c>
      <c r="C3571" s="4" t="str">
        <f ca="1">IFERROR(__xludf.DUMMYFUNCTION("GOOGLETRANSLATE(D:D,""auto"",""en"")"),"2.4 million online courses free of charge")</f>
        <v>2.4 million online courses free of charge</v>
      </c>
      <c r="D3571" s="5" t="s">
        <v>8179</v>
      </c>
      <c r="E3571" s="4">
        <v>1845155</v>
      </c>
      <c r="F3571">
        <v>1</v>
      </c>
    </row>
    <row r="3572" spans="1:6" ht="13.5" customHeight="1">
      <c r="A3572" s="4" t="s">
        <v>8180</v>
      </c>
      <c r="B3572" s="4" t="s">
        <v>8181</v>
      </c>
      <c r="C3572" s="4" t="str">
        <f ca="1">IFERROR(__xludf.DUMMYFUNCTION("GOOGLETRANSLATE(D:D,""auto"",""en"")"),"Japan cruise ship carrying 3,700 people are isolated")</f>
        <v>Japan cruise ship carrying 3,700 people are isolated</v>
      </c>
      <c r="D3572" s="5" t="s">
        <v>8182</v>
      </c>
      <c r="E3572" s="4">
        <v>1748089</v>
      </c>
      <c r="F3572">
        <v>1</v>
      </c>
    </row>
    <row r="3573" spans="1:6" ht="13.5" customHeight="1">
      <c r="A3573" s="4" t="s">
        <v>8183</v>
      </c>
      <c r="B3573" s="4" t="s">
        <v>8114</v>
      </c>
      <c r="C3573" s="4" t="str">
        <f ca="1">IFERROR(__xludf.DUMMYFUNCTION("GOOGLETRANSLATE(D:D,""auto"",""en"")"),"Li Lanjuan slept only three hours a day")</f>
        <v>Li Lanjuan slept only three hours a day</v>
      </c>
      <c r="D3573" s="5" t="s">
        <v>8184</v>
      </c>
      <c r="E3573" s="4">
        <v>1490217</v>
      </c>
      <c r="F3573">
        <v>1</v>
      </c>
    </row>
    <row r="3574" spans="1:6" ht="13.5" customHeight="1">
      <c r="A3574" s="4" t="s">
        <v>8185</v>
      </c>
      <c r="B3574" s="4" t="s">
        <v>8127</v>
      </c>
      <c r="C3574" s="4" t="str">
        <f ca="1">IFERROR(__xludf.DUMMYFUNCTION("GOOGLETRANSLATE(D:D,""auto"",""en"")"),"Russian military aircraft flew the first aircraft in Wuhan")</f>
        <v>Russian military aircraft flew the first aircraft in Wuhan</v>
      </c>
      <c r="D3574" s="5" t="s">
        <v>8186</v>
      </c>
      <c r="E3574" s="4">
        <v>1366094</v>
      </c>
      <c r="F3574">
        <v>1</v>
      </c>
    </row>
    <row r="3575" spans="1:6" ht="13.5" customHeight="1">
      <c r="A3575" s="4" t="s">
        <v>8187</v>
      </c>
      <c r="B3575" s="4" t="s">
        <v>1425</v>
      </c>
      <c r="C3575" s="4" t="str">
        <f ca="1">IFERROR(__xludf.DUMMYFUNCTION("GOOGLETRANSLATE(D:D,""auto"",""en"")"),"Tianjin's first deaths")</f>
        <v>Tianjin's first deaths</v>
      </c>
      <c r="D3575" s="5" t="s">
        <v>8188</v>
      </c>
      <c r="E3575" s="4">
        <v>1225331</v>
      </c>
      <c r="F3575">
        <v>1</v>
      </c>
    </row>
    <row r="3576" spans="1:6" ht="13.5" customHeight="1">
      <c r="A3576" s="4" t="s">
        <v>5803</v>
      </c>
      <c r="B3576" s="4" t="s">
        <v>5804</v>
      </c>
      <c r="C3576" s="4" t="str">
        <f ca="1">IFERROR(__xludf.DUMMYFUNCTION("GOOGLETRANSLATE(D:D,""auto"",""en"")"),"The latest outbreak Map")</f>
        <v>The latest outbreak Map</v>
      </c>
      <c r="D3576" s="5" t="s">
        <v>5805</v>
      </c>
      <c r="E3576" s="4">
        <v>1077010</v>
      </c>
      <c r="F3576">
        <v>1</v>
      </c>
    </row>
    <row r="3577" spans="1:6" ht="13.5" customHeight="1">
      <c r="A3577" s="4" t="s">
        <v>8189</v>
      </c>
      <c r="B3577" s="4" t="s">
        <v>8190</v>
      </c>
      <c r="C3577" s="4" t="str">
        <f ca="1">IFERROR(__xludf.DUMMYFUNCTION("GOOGLETRANSLATE(D:D,""auto"",""en"")"),"Online Teaching teachers included teaching workload")</f>
        <v>Online Teaching teachers included teaching workload</v>
      </c>
      <c r="D3577" s="5" t="s">
        <v>8191</v>
      </c>
      <c r="E3577" s="4">
        <v>1049493</v>
      </c>
      <c r="F3577">
        <v>1</v>
      </c>
    </row>
    <row r="3578" spans="1:6" ht="13.5" customHeight="1">
      <c r="A3578" s="4" t="s">
        <v>8192</v>
      </c>
      <c r="B3578" s="4" t="s">
        <v>8193</v>
      </c>
      <c r="C3578" s="4" t="str">
        <f ca="1">IFERROR(__xludf.DUMMYFUNCTION("GOOGLETRANSLATE(D:D,""auto"",""en"")"),"Look for 504 trips fellow passenger flights")</f>
        <v>Look for 504 trips fellow passenger flights</v>
      </c>
      <c r="D3578" s="5" t="s">
        <v>8194</v>
      </c>
      <c r="E3578" s="4">
        <v>1046986</v>
      </c>
      <c r="F3578">
        <v>1</v>
      </c>
    </row>
    <row r="3579" spans="1:6" ht="13.5" customHeight="1">
      <c r="A3579" s="4" t="s">
        <v>8195</v>
      </c>
      <c r="B3579" s="4" t="s">
        <v>8196</v>
      </c>
      <c r="C3579" s="4" t="str">
        <f ca="1">IFERROR(__xludf.DUMMYFUNCTION("GOOGLETRANSLATE(D:D,""auto"",""en"")"),"Wuhan lied to men but to return home back to the Philippines")</f>
        <v>Wuhan lied to men but to return home back to the Philippines</v>
      </c>
      <c r="D3579" s="5" t="s">
        <v>8197</v>
      </c>
      <c r="E3579" s="4">
        <v>1045595</v>
      </c>
      <c r="F3579">
        <v>1</v>
      </c>
    </row>
    <row r="3580" spans="1:6" ht="13.5" customHeight="1">
      <c r="A3580" s="4" t="s">
        <v>8198</v>
      </c>
      <c r="B3580" s="4" t="s">
        <v>8199</v>
      </c>
      <c r="C3580" s="4" t="str">
        <f ca="1">IFERROR(__xludf.DUMMYFUNCTION("GOOGLETRANSLATE(D:D,""auto"",""en"")"),"Guangdong new new 73 cases of pneumonia")</f>
        <v>Guangdong new new 73 cases of pneumonia</v>
      </c>
      <c r="D3580" s="5" t="s">
        <v>8200</v>
      </c>
      <c r="E3580" s="4">
        <v>1042405</v>
      </c>
      <c r="F3580">
        <v>1</v>
      </c>
    </row>
    <row r="3581" spans="1:6" ht="13.5" customHeight="1">
      <c r="A3581" s="4" t="s">
        <v>8201</v>
      </c>
      <c r="B3581" s="4" t="s">
        <v>8202</v>
      </c>
      <c r="C3581" s="4" t="str">
        <f ca="1">IFERROR(__xludf.DUMMYFUNCTION("GOOGLETRANSLATE(D:D,""auto"",""en"")"),"Beijing Wei health committee to recommend appropriate delay non-emergency surgery")</f>
        <v>Beijing Wei health committee to recommend appropriate delay non-emergency surgery</v>
      </c>
      <c r="D3581" s="5" t="s">
        <v>8203</v>
      </c>
      <c r="E3581" s="4">
        <v>1038473</v>
      </c>
      <c r="F3581">
        <v>1</v>
      </c>
    </row>
    <row r="3582" spans="1:6" ht="13.5" customHeight="1">
      <c r="A3582" s="4" t="s">
        <v>8204</v>
      </c>
      <c r="B3582" s="4" t="s">
        <v>8205</v>
      </c>
      <c r="C3582" s="4" t="str">
        <f ca="1">IFERROR(__xludf.DUMMYFUNCTION("GOOGLETRANSLATE(D:D,""auto"",""en"")"),"ICU nurses nationwide deployment of 1000")</f>
        <v>ICU nurses nationwide deployment of 1000</v>
      </c>
      <c r="D3582" s="5" t="s">
        <v>8206</v>
      </c>
      <c r="E3582" s="4">
        <v>1037000</v>
      </c>
      <c r="F3582">
        <v>1</v>
      </c>
    </row>
    <row r="3583" spans="1:6" ht="13.5" customHeight="1">
      <c r="A3583" s="4" t="s">
        <v>8207</v>
      </c>
      <c r="B3583" s="4" t="s">
        <v>8208</v>
      </c>
      <c r="C3583" s="4" t="str">
        <f ca="1">IFERROR(__xludf.DUMMYFUNCTION("GOOGLETRANSLATE(D:D,""auto"",""en"")"),"Henan new new 89 cases of pneumonia")</f>
        <v>Henan new new 89 cases of pneumonia</v>
      </c>
      <c r="D3583" s="5" t="s">
        <v>8209</v>
      </c>
      <c r="E3583" s="4">
        <v>1034924</v>
      </c>
      <c r="F3583">
        <v>1</v>
      </c>
    </row>
    <row r="3584" spans="1:6" ht="13.5" customHeight="1">
      <c r="A3584" s="4" t="s">
        <v>8210</v>
      </c>
      <c r="B3584" s="4" t="s">
        <v>8211</v>
      </c>
      <c r="C3584" s="4" t="str">
        <f ca="1">IFERROR(__xludf.DUMMYFUNCTION("GOOGLETRANSLATE(D:D,""auto"",""en"")"),"Buy 50 000 masks a tear on the break")</f>
        <v>Buy 50 000 masks a tear on the break</v>
      </c>
      <c r="D3584" s="5" t="s">
        <v>8212</v>
      </c>
      <c r="E3584" s="4">
        <v>1031820</v>
      </c>
      <c r="F3584">
        <v>1</v>
      </c>
    </row>
    <row r="3585" spans="1:6" ht="13.5" customHeight="1">
      <c r="A3585" s="4" t="s">
        <v>8213</v>
      </c>
      <c r="B3585" s="4" t="s">
        <v>8214</v>
      </c>
      <c r="C3585" s="4" t="str">
        <f ca="1">IFERROR(__xludf.DUMMYFUNCTION("GOOGLETRANSLATE(D:D,""auto"",""en"")"),"Grandpa forgot to turn off duty tired horn")</f>
        <v>Grandpa forgot to turn off duty tired horn</v>
      </c>
      <c r="D3585" s="5" t="s">
        <v>8215</v>
      </c>
      <c r="E3585" s="4">
        <v>1027494</v>
      </c>
      <c r="F3585">
        <v>1</v>
      </c>
    </row>
    <row r="3586" spans="1:6" ht="13.5" hidden="1" customHeight="1">
      <c r="A3586" s="4" t="s">
        <v>8216</v>
      </c>
      <c r="B3586" s="4" t="s">
        <v>1425</v>
      </c>
      <c r="C3586" s="4" t="str">
        <f ca="1">IFERROR(__xludf.DUMMYFUNCTION("GOOGLETRANSLATE(D:D,""auto"",""en"")"),"You can do long-term cell phone mute man")</f>
        <v>You can do long-term cell phone mute man</v>
      </c>
      <c r="D3586" s="5" t="s">
        <v>8217</v>
      </c>
      <c r="E3586" s="4">
        <v>1026238</v>
      </c>
    </row>
    <row r="3587" spans="1:6" ht="13.5" customHeight="1">
      <c r="A3587" s="4" t="s">
        <v>8218</v>
      </c>
      <c r="B3587" s="4" t="s">
        <v>8135</v>
      </c>
      <c r="C3587" s="4" t="str">
        <f ca="1">IFERROR(__xludf.DUMMYFUNCTION("GOOGLETRANSLATE(D:D,""auto"",""en"")"),"Woman to travel several times to conceal the outbreak is on file")</f>
        <v>Woman to travel several times to conceal the outbreak is on file</v>
      </c>
      <c r="D3587" s="5" t="s">
        <v>8219</v>
      </c>
      <c r="E3587" s="4">
        <v>1024537</v>
      </c>
      <c r="F3587">
        <v>1</v>
      </c>
    </row>
    <row r="3588" spans="1:6" ht="13.5" hidden="1" customHeight="1">
      <c r="A3588" s="4" t="s">
        <v>8220</v>
      </c>
      <c r="B3588" s="4" t="s">
        <v>8221</v>
      </c>
      <c r="C3588" s="4" t="str">
        <f ca="1">IFERROR(__xludf.DUMMYFUNCTION("GOOGLETRANSLATE(D:D,""auto"",""en"")"),"Lying play phone can also exercise")</f>
        <v>Lying play phone can also exercise</v>
      </c>
      <c r="D3588" s="5" t="s">
        <v>8222</v>
      </c>
      <c r="E3588" s="4">
        <v>996943</v>
      </c>
    </row>
    <row r="3589" spans="1:6" ht="13.5" customHeight="1">
      <c r="A3589" s="4" t="s">
        <v>8223</v>
      </c>
      <c r="B3589" s="4" t="s">
        <v>8224</v>
      </c>
      <c r="C3589" s="4" t="str">
        <f ca="1">IFERROR(__xludf.DUMMYFUNCTION("GOOGLETRANSLATE(D:D,""auto"",""en"")"),"Wearing masks Naples ears method")</f>
        <v>Wearing masks Naples ears method</v>
      </c>
      <c r="D3589" s="5" t="s">
        <v>8225</v>
      </c>
      <c r="E3589" s="4">
        <v>979125</v>
      </c>
      <c r="F3589">
        <v>1</v>
      </c>
    </row>
    <row r="3590" spans="1:6" ht="13.5" hidden="1" customHeight="1">
      <c r="A3590" s="4" t="s">
        <v>8226</v>
      </c>
      <c r="B3590" s="4" t="s">
        <v>8227</v>
      </c>
      <c r="C3590" s="4" t="str">
        <f ca="1">IFERROR(__xludf.DUMMYFUNCTION("GOOGLETRANSLATE(D:D,""auto"",""en"")"),"It stars Ye Luming Dear John")</f>
        <v>It stars Ye Luming Dear John</v>
      </c>
      <c r="D3590" s="5" t="s">
        <v>8228</v>
      </c>
      <c r="E3590" s="4">
        <v>946207</v>
      </c>
    </row>
    <row r="3591" spans="1:6" ht="13.5" customHeight="1">
      <c r="A3591" s="4" t="s">
        <v>8229</v>
      </c>
      <c r="B3591" s="4" t="s">
        <v>8230</v>
      </c>
      <c r="C3591" s="4" t="str">
        <f ca="1">IFERROR(__xludf.DUMMYFUNCTION("GOOGLETRANSLATE(D:D,""auto"",""en"")"),"WHO Director-General speech when dry cough")</f>
        <v>WHO Director-General speech when dry cough</v>
      </c>
      <c r="D3591" s="5" t="s">
        <v>8231</v>
      </c>
      <c r="E3591" s="4">
        <v>697137</v>
      </c>
      <c r="F3591">
        <v>1</v>
      </c>
    </row>
    <row r="3592" spans="1:6" ht="13.5" hidden="1" customHeight="1">
      <c r="A3592" s="4" t="s">
        <v>8232</v>
      </c>
      <c r="B3592" s="4" t="s">
        <v>8233</v>
      </c>
      <c r="C3592" s="4" t="str">
        <f ca="1">IFERROR(__xludf.DUMMYFUNCTION("GOOGLETRANSLATE(D:D,""auto"",""en"")"),"Morant sun Durant FMVP photo")</f>
        <v>Morant sun Durant FMVP photo</v>
      </c>
      <c r="D3592" s="5" t="s">
        <v>8234</v>
      </c>
      <c r="E3592" s="4">
        <v>688521</v>
      </c>
    </row>
    <row r="3593" spans="1:6" ht="13.5" customHeight="1">
      <c r="A3593" s="4" t="s">
        <v>8235</v>
      </c>
      <c r="B3593" s="4" t="s">
        <v>8236</v>
      </c>
      <c r="C3593" s="4" t="str">
        <f ca="1">IFERROR(__xludf.DUMMYFUNCTION("GOOGLETRANSLATE(D:D,""auto"",""en"")"),"Ten men go out wearing a mask layer")</f>
        <v>Ten men go out wearing a mask layer</v>
      </c>
      <c r="D3593" s="5" t="s">
        <v>8237</v>
      </c>
      <c r="E3593" s="4">
        <v>684451</v>
      </c>
      <c r="F3593">
        <v>1</v>
      </c>
    </row>
    <row r="3594" spans="1:6" ht="13.5" customHeight="1">
      <c r="A3594" s="4" t="s">
        <v>8238</v>
      </c>
      <c r="B3594" s="4" t="s">
        <v>8054</v>
      </c>
      <c r="C3594" s="4" t="str">
        <f ca="1">IFERROR(__xludf.DUMMYFUNCTION("GOOGLETRANSLATE(D:D,""auto"",""en"")"),"Qiqihar pneumonia epidemic")</f>
        <v>Qiqihar pneumonia epidemic</v>
      </c>
      <c r="D3594" s="5" t="s">
        <v>8239</v>
      </c>
      <c r="E3594" s="4">
        <v>663273</v>
      </c>
      <c r="F3594">
        <v>1</v>
      </c>
    </row>
    <row r="3595" spans="1:6" ht="13.5" hidden="1" customHeight="1">
      <c r="A3595" s="4" t="s">
        <v>8240</v>
      </c>
      <c r="B3595" s="4" t="s">
        <v>8241</v>
      </c>
      <c r="C3595" s="4" t="str">
        <f ca="1">IFERROR(__xludf.DUMMYFUNCTION("GOOGLETRANSLATE(D:D,""auto"",""en"")"),"Lord boob jab")</f>
        <v>Lord boob jab</v>
      </c>
      <c r="D3595" s="5" t="s">
        <v>8242</v>
      </c>
      <c r="E3595" s="4">
        <v>587762</v>
      </c>
    </row>
    <row r="3596" spans="1:6" ht="13.5" hidden="1" customHeight="1">
      <c r="A3596" s="4" t="s">
        <v>8243</v>
      </c>
      <c r="B3596" s="4" t="s">
        <v>8244</v>
      </c>
      <c r="C3596" s="4" t="str">
        <f ca="1">IFERROR(__xludf.DUMMYFUNCTION("GOOGLETRANSLATE(D:D,""auto"",""en"")"),"Beijing and snow")</f>
        <v>Beijing and snow</v>
      </c>
      <c r="D3596" s="5" t="s">
        <v>8245</v>
      </c>
      <c r="E3596" s="4">
        <v>554700</v>
      </c>
    </row>
    <row r="3597" spans="1:6" ht="13.5" hidden="1" customHeight="1">
      <c r="A3597" s="4" t="s">
        <v>8246</v>
      </c>
      <c r="B3597" s="4" t="s">
        <v>8247</v>
      </c>
      <c r="C3597" s="4" t="str">
        <f ca="1">IFERROR(__xludf.DUMMYFUNCTION("GOOGLETRANSLATE(D:D,""auto"",""en"")"),"Letters Columbia cap Zion")</f>
        <v>Letters Columbia cap Zion</v>
      </c>
      <c r="D3597" s="5" t="s">
        <v>8248</v>
      </c>
      <c r="E3597" s="4">
        <v>533574</v>
      </c>
    </row>
    <row r="3598" spans="1:6" ht="13.5" hidden="1" customHeight="1">
      <c r="A3598" s="4" t="s">
        <v>8249</v>
      </c>
      <c r="B3598" s="4" t="s">
        <v>8250</v>
      </c>
      <c r="C3598" s="4" t="str">
        <f ca="1">IFERROR(__xludf.DUMMYFUNCTION("GOOGLETRANSLATE(D:D,""auto"",""en"")"),"94-year-old grandmother of special membership dues")</f>
        <v>94-year-old grandmother of special membership dues</v>
      </c>
      <c r="D3598" s="5" t="s">
        <v>8251</v>
      </c>
      <c r="E3598" s="4">
        <v>529050</v>
      </c>
    </row>
    <row r="3599" spans="1:6" ht="13.5" customHeight="1">
      <c r="A3599" s="4" t="s">
        <v>8252</v>
      </c>
      <c r="B3599" s="4" t="s">
        <v>8132</v>
      </c>
      <c r="C3599" s="4" t="str">
        <f ca="1">IFERROR(__xludf.DUMMYFUNCTION("GOOGLETRANSLATE(D:D,""auto"",""en"")"),"If you wake up the epidemic disappeared")</f>
        <v>If you wake up the epidemic disappeared</v>
      </c>
      <c r="D3599" s="5" t="s">
        <v>8253</v>
      </c>
      <c r="E3599" s="4">
        <v>526708</v>
      </c>
      <c r="F3599">
        <v>1</v>
      </c>
    </row>
    <row r="3600" spans="1:6" ht="13.5" customHeight="1">
      <c r="A3600" s="4" t="s">
        <v>8254</v>
      </c>
      <c r="B3600" s="4" t="s">
        <v>8138</v>
      </c>
      <c r="C3600" s="4" t="str">
        <f ca="1">IFERROR(__xludf.DUMMYFUNCTION("GOOGLETRANSLATE(D:D,""auto"",""en"")"),"New domestic youngest patients with pneumonia")</f>
        <v>New domestic youngest patients with pneumonia</v>
      </c>
      <c r="D3600" s="5" t="s">
        <v>8255</v>
      </c>
      <c r="E3600" s="4">
        <v>365270</v>
      </c>
      <c r="F3600">
        <v>1</v>
      </c>
    </row>
    <row r="3601" spans="1:6" ht="13.5" customHeight="1">
      <c r="A3601" s="4" t="s">
        <v>8256</v>
      </c>
      <c r="B3601" s="4" t="s">
        <v>8257</v>
      </c>
      <c r="C3601" s="4" t="str">
        <f ca="1">IFERROR(__xludf.DUMMYFUNCTION("GOOGLETRANSLATE(D:D,""auto"",""en"")"),"How to work from home feeling more tired")</f>
        <v>How to work from home feeling more tired</v>
      </c>
      <c r="D3601" s="5" t="s">
        <v>8258</v>
      </c>
      <c r="E3601" s="4">
        <v>345028</v>
      </c>
      <c r="F3601">
        <v>1</v>
      </c>
    </row>
    <row r="3602" spans="1:6" ht="13.5" hidden="1" customHeight="1">
      <c r="A3602" s="4" t="s">
        <v>8259</v>
      </c>
      <c r="B3602" s="4" t="s">
        <v>8260</v>
      </c>
      <c r="C3602" s="4" t="str">
        <f ca="1">IFERROR(__xludf.DUMMYFUNCTION("GOOGLETRANSLATE(D:D,""auto"",""en"")"),"Zhejiang Longgang a collapse of houses caused two dead 8 injured")</f>
        <v>Zhejiang Longgang a collapse of houses caused two dead 8 injured</v>
      </c>
      <c r="D3602" s="5" t="s">
        <v>8261</v>
      </c>
      <c r="E3602" s="4">
        <v>336334</v>
      </c>
    </row>
    <row r="3603" spans="1:6" ht="13.5" customHeight="1">
      <c r="A3603" s="4" t="s">
        <v>8262</v>
      </c>
      <c r="B3603" s="4" t="s">
        <v>8208</v>
      </c>
      <c r="C3603" s="4" t="str">
        <f ca="1">IFERROR(__xludf.DUMMYFUNCTION("GOOGLETRANSLATE(D:D,""auto"",""en"")"),"People's Liberation Army into the city to take full control of Internet users made up XingJu")</f>
        <v>People's Liberation Army into the city to take full control of Internet users made up XingJu</v>
      </c>
      <c r="D3603" s="5" t="s">
        <v>8263</v>
      </c>
      <c r="E3603" s="4">
        <v>297077</v>
      </c>
      <c r="F3603">
        <v>1</v>
      </c>
    </row>
    <row r="3604" spans="1:6" ht="13.5" customHeight="1">
      <c r="A3604" s="4" t="s">
        <v>8249</v>
      </c>
      <c r="B3604" s="4" t="s">
        <v>8264</v>
      </c>
      <c r="C3604" s="4" t="str">
        <f ca="1">IFERROR(__xludf.DUMMYFUNCTION("GOOGLETRANSLATE(D:D,""auto"",""en"")"),"How to pick the home disinfectant")</f>
        <v>How to pick the home disinfectant</v>
      </c>
      <c r="D3604" s="5" t="s">
        <v>8265</v>
      </c>
      <c r="E3604" s="4">
        <v>288139</v>
      </c>
      <c r="F3604">
        <v>1</v>
      </c>
    </row>
    <row r="3605" spans="1:6" ht="13.5" customHeight="1">
      <c r="A3605" s="4" t="s">
        <v>8266</v>
      </c>
      <c r="B3605" s="4" t="s">
        <v>8250</v>
      </c>
      <c r="C3605" s="4" t="str">
        <f ca="1">IFERROR(__xludf.DUMMYFUNCTION("GOOGLETRANSLATE(D:D,""auto"",""en"")"),"Shandong new new 23 cases of pneumonia")</f>
        <v>Shandong new new 23 cases of pneumonia</v>
      </c>
      <c r="D3605" s="5" t="s">
        <v>8267</v>
      </c>
      <c r="E3605" s="4">
        <v>274690</v>
      </c>
      <c r="F3605">
        <v>1</v>
      </c>
    </row>
    <row r="3606" spans="1:6" ht="13.5" hidden="1" customHeight="1">
      <c r="A3606" s="4" t="s">
        <v>8268</v>
      </c>
      <c r="B3606" s="4" t="s">
        <v>8269</v>
      </c>
      <c r="C3606" s="4" t="str">
        <f ca="1">IFERROR(__xludf.DUMMYFUNCTION("GOOGLETRANSLATE(D:D,""auto"",""en"")"),"Yu three countries ranked first in the world")</f>
        <v>Yu three countries ranked first in the world</v>
      </c>
      <c r="D3606" s="5" t="s">
        <v>8270</v>
      </c>
      <c r="E3606" s="4">
        <v>261636</v>
      </c>
    </row>
    <row r="3607" spans="1:6" ht="13.5" hidden="1" customHeight="1">
      <c r="A3607" s="4" t="s">
        <v>8271</v>
      </c>
      <c r="B3607" s="4" t="s">
        <v>8199</v>
      </c>
      <c r="C3607" s="4" t="str">
        <f ca="1">IFERROR(__xludf.DUMMYFUNCTION("GOOGLETRANSLATE(D:D,""auto"",""en"")"),"Reid Western Wei")</f>
        <v>Reid Western Wei</v>
      </c>
      <c r="D3607" s="5" t="s">
        <v>8272</v>
      </c>
      <c r="E3607" s="4">
        <v>261448</v>
      </c>
    </row>
    <row r="3608" spans="1:6" ht="13.5" customHeight="1">
      <c r="A3608" s="4" t="s">
        <v>8204</v>
      </c>
      <c r="B3608" s="4" t="s">
        <v>8273</v>
      </c>
      <c r="C3608" s="4" t="str">
        <f ca="1">IFERROR(__xludf.DUMMYFUNCTION("GOOGLETRANSLATE(D:D,""auto"",""en"")"),"9-year-old girl drawing comics fight against SARS")</f>
        <v>9-year-old girl drawing comics fight against SARS</v>
      </c>
      <c r="D3608" s="5" t="s">
        <v>8274</v>
      </c>
      <c r="E3608" s="4">
        <v>234275</v>
      </c>
      <c r="F3608">
        <v>1</v>
      </c>
    </row>
    <row r="3609" spans="1:6" ht="13.5" customHeight="1">
      <c r="A3609" s="4" t="s">
        <v>8275</v>
      </c>
      <c r="B3609" s="4" t="s">
        <v>8276</v>
      </c>
      <c r="C3609" s="4" t="str">
        <f ca="1">IFERROR(__xludf.DUMMYFUNCTION("GOOGLETRANSLATE(D:D,""auto"",""en"")"),"Wuhan hospital shelter increased to 11")</f>
        <v>Wuhan hospital shelter increased to 11</v>
      </c>
      <c r="D3609" s="5" t="s">
        <v>8277</v>
      </c>
      <c r="E3609" s="4">
        <v>223071</v>
      </c>
      <c r="F3609">
        <v>1</v>
      </c>
    </row>
    <row r="3610" spans="1:6" ht="13.5" hidden="1" customHeight="1">
      <c r="A3610" s="4" t="s">
        <v>8097</v>
      </c>
      <c r="B3610" s="4" t="s">
        <v>7986</v>
      </c>
      <c r="C3610" s="4" t="str">
        <f ca="1">IFERROR(__xludf.DUMMYFUNCTION("GOOGLETRANSLATE(D:D,""auto"",""en"")"),"Song Yuan distressed")</f>
        <v>Song Yuan distressed</v>
      </c>
      <c r="D3610" s="5" t="s">
        <v>8100</v>
      </c>
      <c r="E3610" s="4">
        <v>212279</v>
      </c>
    </row>
    <row r="3611" spans="1:6" ht="13.5" customHeight="1">
      <c r="A3611" s="4" t="s">
        <v>8278</v>
      </c>
      <c r="B3611" s="4" t="s">
        <v>8279</v>
      </c>
      <c r="C3611" s="4" t="str">
        <f ca="1">IFERROR(__xludf.DUMMYFUNCTION("GOOGLETRANSLATE(D:D,""auto"",""en"")"),"Looking infected air passenger travel")</f>
        <v>Looking infected air passenger travel</v>
      </c>
      <c r="D3611" s="5" t="s">
        <v>8280</v>
      </c>
      <c r="E3611" s="4">
        <v>208797</v>
      </c>
      <c r="F3611">
        <v>1</v>
      </c>
    </row>
    <row r="3612" spans="1:6" ht="13.5" customHeight="1">
      <c r="A3612" s="4" t="s">
        <v>8097</v>
      </c>
      <c r="B3612" s="4" t="s">
        <v>8098</v>
      </c>
      <c r="C3612" s="4" t="str">
        <f ca="1">IFERROR(__xludf.DUMMYFUNCTION("GOOGLETRANSLATE(D:D,""auto"",""en"")"),"Detained five days ahead of the resumption of work boss")</f>
        <v>Detained five days ahead of the resumption of work boss</v>
      </c>
      <c r="D3612" s="5" t="s">
        <v>8099</v>
      </c>
      <c r="E3612" s="4">
        <v>208620</v>
      </c>
      <c r="F3612">
        <v>1</v>
      </c>
    </row>
    <row r="3613" spans="1:6" ht="13.5" customHeight="1">
      <c r="A3613" s="4" t="s">
        <v>8281</v>
      </c>
      <c r="B3613" s="4" t="s">
        <v>8111</v>
      </c>
      <c r="C3613" s="4" t="str">
        <f ca="1">IFERROR(__xludf.DUMMYFUNCTION("GOOGLETRANSLATE(D:D,""auto"",""en"")"),"Shenzhen is a confirmed case on file for investigation")</f>
        <v>Shenzhen is a confirmed case on file for investigation</v>
      </c>
      <c r="D3613" s="5" t="s">
        <v>8282</v>
      </c>
      <c r="E3613" s="4">
        <v>200843</v>
      </c>
      <c r="F3613">
        <v>1</v>
      </c>
    </row>
    <row r="3614" spans="1:6" ht="13.5" customHeight="1">
      <c r="A3614" s="4" t="s">
        <v>8283</v>
      </c>
      <c r="B3614" s="4" t="s">
        <v>8066</v>
      </c>
      <c r="C3614" s="4" t="str">
        <f ca="1">IFERROR(__xludf.DUMMYFUNCTION("GOOGLETRANSLATE(D:D,""auto"",""en"")"),"Of the total 892 cases were cured")</f>
        <v>Of the total 892 cases were cured</v>
      </c>
      <c r="D3614" s="5" t="s">
        <v>8284</v>
      </c>
      <c r="E3614" s="4">
        <v>200598</v>
      </c>
      <c r="F3614">
        <v>1</v>
      </c>
    </row>
    <row r="3615" spans="1:6" ht="13.5" customHeight="1">
      <c r="A3615" s="4" t="s">
        <v>8285</v>
      </c>
      <c r="B3615" s="4" t="s">
        <v>8230</v>
      </c>
      <c r="C3615" s="4" t="str">
        <f ca="1">IFERROR(__xludf.DUMMYFUNCTION("GOOGLETRANSLATE(D:D,""auto"",""en"")"),"Zhejiang new new 66 cases of pneumonia")</f>
        <v>Zhejiang new new 66 cases of pneumonia</v>
      </c>
      <c r="D3615" s="5" t="s">
        <v>8286</v>
      </c>
      <c r="E3615" s="4">
        <v>193810</v>
      </c>
      <c r="F3615">
        <v>1</v>
      </c>
    </row>
    <row r="3616" spans="1:6" ht="13.5" hidden="1" customHeight="1">
      <c r="A3616" s="4" t="s">
        <v>8095</v>
      </c>
      <c r="B3616" s="4" t="s">
        <v>8064</v>
      </c>
      <c r="C3616" s="4" t="str">
        <f ca="1">IFERROR(__xludf.DUMMYFUNCTION("GOOGLETRANSLATE(D:D,""auto"",""en"")"),"HyunA body")</f>
        <v>HyunA body</v>
      </c>
      <c r="D3616" s="5" t="s">
        <v>8096</v>
      </c>
      <c r="E3616" s="4">
        <v>189763</v>
      </c>
    </row>
    <row r="3617" spans="1:6" ht="13.5" hidden="1" customHeight="1">
      <c r="A3617" s="4" t="s">
        <v>6108</v>
      </c>
      <c r="B3617" s="4" t="s">
        <v>6109</v>
      </c>
      <c r="C3617" s="4" t="str">
        <f ca="1">IFERROR(__xludf.DUMMYFUNCTION("GOOGLETRANSLATE(D:D,""auto"",""en"")"),"The next stop is happy")</f>
        <v>The next stop is happy</v>
      </c>
      <c r="D3617" s="5" t="s">
        <v>6110</v>
      </c>
      <c r="E3617" s="4">
        <v>177804</v>
      </c>
    </row>
    <row r="3618" spans="1:6" ht="13.5" hidden="1" customHeight="1">
      <c r="C3618" s="4" t="str">
        <f ca="1">IFERROR(__xludf.DUMMYFUNCTION("GOOGLETRANSLATE(D:D,""auto"",""en"")"),"#VALUE!")</f>
        <v>#VALUE!</v>
      </c>
    </row>
    <row r="3619" spans="1:6" ht="13.5" hidden="1" customHeight="1">
      <c r="A3619" s="4" t="s">
        <v>8287</v>
      </c>
      <c r="B3619" s="4" t="s">
        <v>8246</v>
      </c>
      <c r="C3619" s="4" t="str">
        <f ca="1">IFERROR(__xludf.DUMMYFUNCTION("GOOGLETRANSLATE(D:D,""auto"",""en"")"),"2020 Central Document No.")</f>
        <v>2020 Central Document No.</v>
      </c>
      <c r="D3619" s="4" t="s">
        <v>8288</v>
      </c>
      <c r="E3619" s="4">
        <v>2680204</v>
      </c>
    </row>
    <row r="3620" spans="1:6" ht="13.5" customHeight="1">
      <c r="A3620" s="4" t="s">
        <v>8289</v>
      </c>
      <c r="B3620" s="4" t="s">
        <v>8290</v>
      </c>
      <c r="C3620" s="4" t="str">
        <f ca="1">IFERROR(__xludf.DUMMYFUNCTION("GOOGLETRANSLATE(D:D,""auto"",""en"")"),"Hubei again issued a 200 million emergency grant for treatment places")</f>
        <v>Hubei again issued a 200 million emergency grant for treatment places</v>
      </c>
      <c r="D3620" s="5" t="s">
        <v>8291</v>
      </c>
      <c r="E3620" s="4">
        <v>2164408</v>
      </c>
      <c r="F3620">
        <v>1</v>
      </c>
    </row>
    <row r="3621" spans="1:6" ht="13.5" customHeight="1">
      <c r="A3621" s="4" t="s">
        <v>8292</v>
      </c>
      <c r="B3621" s="4" t="s">
        <v>8293</v>
      </c>
      <c r="C3621" s="4" t="str">
        <f ca="1">IFERROR(__xludf.DUMMYFUNCTION("GOOGLETRANSLATE(D:D,""auto"",""en"")"),"Ensure that the confirmed cases of suspected government should collect all the best cure")</f>
        <v>Ensure that the confirmed cases of suspected government should collect all the best cure</v>
      </c>
      <c r="D3621" s="5" t="s">
        <v>8294</v>
      </c>
      <c r="E3621" s="4">
        <v>1548766</v>
      </c>
      <c r="F3621">
        <v>1</v>
      </c>
    </row>
    <row r="3622" spans="1:6" ht="13.5" hidden="1" customHeight="1">
      <c r="A3622" s="4" t="s">
        <v>8295</v>
      </c>
      <c r="B3622" s="4" t="s">
        <v>8296</v>
      </c>
      <c r="C3622" s="4" t="str">
        <f ca="1">IFERROR(__xludf.DUMMYFUNCTION("GOOGLETRANSLATE(D:D,""auto"",""en"")"),"Zhoujie Qiong snapshots")</f>
        <v>Zhoujie Qiong snapshots</v>
      </c>
      <c r="D3622" s="5" t="s">
        <v>8297</v>
      </c>
      <c r="E3622" s="4">
        <v>1521990</v>
      </c>
    </row>
    <row r="3623" spans="1:6" ht="13.5" hidden="1" customHeight="1">
      <c r="A3623" s="4" t="s">
        <v>8298</v>
      </c>
      <c r="B3623" s="4" t="s">
        <v>8299</v>
      </c>
      <c r="C3623" s="4" t="str">
        <f ca="1">IFERROR(__xludf.DUMMYFUNCTION("GOOGLETRANSLATE(D:D,""auto"",""en"")"),"Who is Little Red Coat")</f>
        <v>Who is Little Red Coat</v>
      </c>
      <c r="D3623" s="5" t="s">
        <v>8300</v>
      </c>
      <c r="E3623" s="4">
        <v>1457303</v>
      </c>
    </row>
    <row r="3624" spans="1:6" ht="13.5" hidden="1" customHeight="1">
      <c r="A3624" s="4" t="s">
        <v>8301</v>
      </c>
      <c r="B3624" s="4" t="s">
        <v>8302</v>
      </c>
      <c r="C3624" s="4" t="str">
        <f ca="1">IFERROR(__xludf.DUMMYFUNCTION("GOOGLETRANSLATE(D:D,""auto"",""en"")"),"After ten days ago, I and ten days of my family")</f>
        <v>After ten days ago, I and ten days of my family</v>
      </c>
      <c r="D3624" s="5" t="s">
        <v>8303</v>
      </c>
      <c r="E3624" s="4">
        <v>1383764</v>
      </c>
    </row>
    <row r="3625" spans="1:6" ht="13.5" hidden="1" customHeight="1">
      <c r="A3625" s="4" t="s">
        <v>8304</v>
      </c>
      <c r="B3625" s="4" t="s">
        <v>8305</v>
      </c>
      <c r="C3625" s="4" t="str">
        <f ca="1">IFERROR(__xludf.DUMMYFUNCTION("GOOGLETRANSLATE(D:D,""auto"",""en"")"),"He broke up the stars Song Yuan")</f>
        <v>He broke up the stars Song Yuan</v>
      </c>
      <c r="D3625" s="5" t="s">
        <v>8306</v>
      </c>
      <c r="E3625" s="4">
        <v>1228529</v>
      </c>
    </row>
    <row r="3626" spans="1:6" ht="13.5" customHeight="1">
      <c r="A3626" s="4" t="s">
        <v>5803</v>
      </c>
      <c r="B3626" s="4" t="s">
        <v>5804</v>
      </c>
      <c r="C3626" s="4" t="str">
        <f ca="1">IFERROR(__xludf.DUMMYFUNCTION("GOOGLETRANSLATE(D:D,""auto"",""en"")"),"The latest outbreak Map")</f>
        <v>The latest outbreak Map</v>
      </c>
      <c r="D3626" s="5" t="s">
        <v>5805</v>
      </c>
      <c r="E3626" s="4">
        <v>998974</v>
      </c>
      <c r="F3626">
        <v>1</v>
      </c>
    </row>
    <row r="3627" spans="1:6" ht="13.5" customHeight="1">
      <c r="A3627" s="4" t="s">
        <v>8307</v>
      </c>
      <c r="B3627" s="4" t="s">
        <v>8175</v>
      </c>
      <c r="C3627" s="4" t="str">
        <f ca="1">IFERROR(__xludf.DUMMYFUNCTION("GOOGLETRANSLATE(D:D,""auto"",""en"")"),"Sun Yang to Hangzhou epidemic prevention station police point takeaway")</f>
        <v>Sun Yang to Hangzhou epidemic prevention station police point takeaway</v>
      </c>
      <c r="D3627" s="5" t="s">
        <v>8308</v>
      </c>
      <c r="E3627" s="4">
        <v>558738</v>
      </c>
      <c r="F3627">
        <v>1</v>
      </c>
    </row>
    <row r="3628" spans="1:6" ht="13.5" customHeight="1">
      <c r="A3628" s="4" t="s">
        <v>8309</v>
      </c>
      <c r="B3628" s="4" t="s">
        <v>8310</v>
      </c>
      <c r="C3628" s="4" t="str">
        <f ca="1">IFERROR(__xludf.DUMMYFUNCTION("GOOGLETRANSLATE(D:D,""auto"",""en"")"),"Wuhan only admitted to designated hospitals diagnosed with severe cases of severe psychosis")</f>
        <v>Wuhan only admitted to designated hospitals diagnosed with severe cases of severe psychosis</v>
      </c>
      <c r="D3628" s="5" t="s">
        <v>8311</v>
      </c>
      <c r="E3628" s="4">
        <v>550420</v>
      </c>
      <c r="F3628">
        <v>1</v>
      </c>
    </row>
    <row r="3629" spans="1:6" ht="13.5" customHeight="1">
      <c r="A3629" s="4" t="s">
        <v>8312</v>
      </c>
      <c r="B3629" s="4" t="s">
        <v>8313</v>
      </c>
      <c r="C3629" s="4" t="str">
        <f ca="1">IFERROR(__xludf.DUMMYFUNCTION("GOOGLETRANSLATE(D:D,""auto"",""en"")"),"Wuhan eyes of fire laboratory test run")</f>
        <v>Wuhan eyes of fire laboratory test run</v>
      </c>
      <c r="D3629" s="5" t="s">
        <v>8314</v>
      </c>
      <c r="E3629" s="4">
        <v>540237</v>
      </c>
      <c r="F3629">
        <v>1</v>
      </c>
    </row>
    <row r="3630" spans="1:6" ht="13.5" customHeight="1">
      <c r="A3630" s="4" t="s">
        <v>8315</v>
      </c>
      <c r="B3630" s="4" t="s">
        <v>8316</v>
      </c>
      <c r="C3630" s="4" t="str">
        <f ca="1">IFERROR(__xludf.DUMMYFUNCTION("GOOGLETRANSLATE(D:D,""auto"",""en"")"),"Jiangsu fever antitussives available pharmacy name registration required")</f>
        <v>Jiangsu fever antitussives available pharmacy name registration required</v>
      </c>
      <c r="D3630" s="5" t="s">
        <v>8317</v>
      </c>
      <c r="E3630" s="4">
        <v>515747</v>
      </c>
      <c r="F3630">
        <v>1</v>
      </c>
    </row>
    <row r="3631" spans="1:6" ht="13.5" customHeight="1">
      <c r="A3631" s="4" t="s">
        <v>8318</v>
      </c>
      <c r="B3631" s="4" t="s">
        <v>8305</v>
      </c>
      <c r="C3631" s="4" t="str">
        <f ca="1">IFERROR(__xludf.DUMMYFUNCTION("GOOGLETRANSLATE(D:D,""auto"",""en"")"),"Railway refund adjustment free again")</f>
        <v>Railway refund adjustment free again</v>
      </c>
      <c r="D3631" s="5" t="s">
        <v>8319</v>
      </c>
      <c r="E3631" s="4">
        <v>515294</v>
      </c>
      <c r="F3631">
        <v>1</v>
      </c>
    </row>
    <row r="3632" spans="1:6" ht="13.5" customHeight="1">
      <c r="A3632" s="4" t="s">
        <v>8320</v>
      </c>
      <c r="B3632" s="4" t="s">
        <v>8321</v>
      </c>
      <c r="C3632" s="4" t="str">
        <f ca="1">IFERROR(__xludf.DUMMYFUNCTION("GOOGLETRANSLATE(D:D,""auto"",""en"")"),"The alcohol is not used for large area spraying")</f>
        <v>The alcohol is not used for large area spraying</v>
      </c>
      <c r="D3632" s="5" t="s">
        <v>8322</v>
      </c>
      <c r="E3632" s="4">
        <v>449063</v>
      </c>
      <c r="F3632">
        <v>1</v>
      </c>
    </row>
    <row r="3633" spans="1:6" ht="13.5" hidden="1" customHeight="1">
      <c r="A3633" s="4" t="s">
        <v>8323</v>
      </c>
      <c r="B3633" s="4" t="s">
        <v>8290</v>
      </c>
      <c r="C3633" s="4" t="str">
        <f ca="1">IFERROR(__xludf.DUMMYFUNCTION("GOOGLETRANSLATE(D:D,""auto"",""en"")"),"Penglai outcome between")</f>
        <v>Penglai outcome between</v>
      </c>
      <c r="D3633" s="5" t="s">
        <v>8324</v>
      </c>
      <c r="E3633" s="4">
        <v>428968</v>
      </c>
    </row>
    <row r="3634" spans="1:6" ht="13.5" hidden="1" customHeight="1">
      <c r="A3634" s="4" t="s">
        <v>8325</v>
      </c>
      <c r="B3634" s="4" t="s">
        <v>8326</v>
      </c>
      <c r="C3634" s="4" t="str">
        <f ca="1">IFERROR(__xludf.DUMMYFUNCTION("GOOGLETRANSLATE(D:D,""auto"",""en"")"),"Mango TV collapse")</f>
        <v>Mango TV collapse</v>
      </c>
      <c r="D3634" s="5" t="s">
        <v>8327</v>
      </c>
      <c r="E3634" s="4">
        <v>428742</v>
      </c>
    </row>
    <row r="3635" spans="1:6" ht="13.5" hidden="1" customHeight="1">
      <c r="A3635" s="4" t="s">
        <v>8328</v>
      </c>
      <c r="B3635" s="4" t="s">
        <v>8329</v>
      </c>
      <c r="C3635" s="4" t="str">
        <f ca="1">IFERROR(__xludf.DUMMYFUNCTION("GOOGLETRANSLATE(D:D,""auto"",""en"")"),"Li Jiaqi Zhang Ziyi Comments")</f>
        <v>Li Jiaqi Zhang Ziyi Comments</v>
      </c>
      <c r="D3635" s="5" t="s">
        <v>8330</v>
      </c>
      <c r="E3635" s="4">
        <v>426488</v>
      </c>
    </row>
    <row r="3636" spans="1:6" ht="13.5" customHeight="1">
      <c r="A3636" s="4" t="s">
        <v>8331</v>
      </c>
      <c r="B3636" s="4" t="s">
        <v>8332</v>
      </c>
      <c r="C3636" s="4" t="str">
        <f ca="1">IFERROR(__xludf.DUMMYFUNCTION("GOOGLETRANSLATE(D:D,""auto"",""en"")"),"CT is recommended as one of the diagnostic tool")</f>
        <v>CT is recommended as one of the diagnostic tool</v>
      </c>
      <c r="D3636" s="5" t="s">
        <v>8333</v>
      </c>
      <c r="E3636" s="4">
        <v>423278</v>
      </c>
      <c r="F3636">
        <v>1</v>
      </c>
    </row>
    <row r="3637" spans="1:6" ht="13.5" hidden="1" customHeight="1">
      <c r="A3637" s="4" t="s">
        <v>8334</v>
      </c>
      <c r="B3637" s="4" t="s">
        <v>8335</v>
      </c>
      <c r="C3637" s="4" t="str">
        <f ca="1">IFERROR(__xludf.DUMMYFUNCTION("GOOGLETRANSLATE(D:D,""auto"",""en"")"),"Google dropped out of the trillion club")</f>
        <v>Google dropped out of the trillion club</v>
      </c>
      <c r="D3637" s="5" t="s">
        <v>8336</v>
      </c>
      <c r="E3637" s="4">
        <v>421121</v>
      </c>
    </row>
    <row r="3638" spans="1:6" ht="13.5" hidden="1" customHeight="1">
      <c r="A3638" s="4" t="s">
        <v>8337</v>
      </c>
      <c r="B3638" s="4" t="s">
        <v>8338</v>
      </c>
      <c r="C3638" s="4" t="str">
        <f ca="1">IFERROR(__xludf.DUMMYFUNCTION("GOOGLETRANSLATE(D:D,""auto"",""en"")"),"He Canyang house collapsed")</f>
        <v>He Canyang house collapsed</v>
      </c>
      <c r="D3638" s="5" t="s">
        <v>8339</v>
      </c>
      <c r="E3638" s="4">
        <v>419137</v>
      </c>
    </row>
    <row r="3639" spans="1:6" ht="13.5" customHeight="1">
      <c r="A3639" s="4" t="s">
        <v>8340</v>
      </c>
      <c r="B3639" s="4" t="s">
        <v>8341</v>
      </c>
      <c r="C3639" s="4" t="str">
        <f ca="1">IFERROR(__xludf.DUMMYFUNCTION("GOOGLETRANSLATE(D:D,""auto"",""en"")"),"Liaoning province district closed management")</f>
        <v>Liaoning province district closed management</v>
      </c>
      <c r="D3639" s="5" t="s">
        <v>8342</v>
      </c>
      <c r="E3639" s="4">
        <v>416512</v>
      </c>
      <c r="F3639">
        <v>1</v>
      </c>
    </row>
    <row r="3640" spans="1:6" ht="13.5" hidden="1" customHeight="1">
      <c r="A3640" s="4" t="s">
        <v>8343</v>
      </c>
      <c r="B3640" s="4" t="s">
        <v>8344</v>
      </c>
      <c r="C3640" s="4" t="str">
        <f ca="1">IFERROR(__xludf.DUMMYFUNCTION("GOOGLETRANSLATE(D:D,""auto"",""en"")"),"The next stop is happy trailer")</f>
        <v>The next stop is happy trailer</v>
      </c>
      <c r="D3640" s="5" t="s">
        <v>8345</v>
      </c>
      <c r="E3640" s="4">
        <v>412665</v>
      </c>
    </row>
    <row r="3641" spans="1:6" ht="13.5" customHeight="1">
      <c r="A3641" s="4" t="s">
        <v>8346</v>
      </c>
      <c r="B3641" s="4" t="s">
        <v>8347</v>
      </c>
      <c r="C3641" s="4" t="str">
        <f ca="1">IFERROR(__xludf.DUMMYFUNCTION("GOOGLETRANSLATE(D:D,""auto"",""en"")"),"What Vulcan Hill Hospital patients eat")</f>
        <v>What Vulcan Hill Hospital patients eat</v>
      </c>
      <c r="D3641" s="5" t="s">
        <v>8348</v>
      </c>
      <c r="E3641" s="4">
        <v>410533</v>
      </c>
      <c r="F3641">
        <v>1</v>
      </c>
    </row>
    <row r="3642" spans="1:6" ht="13.5" customHeight="1">
      <c r="A3642" s="4" t="s">
        <v>8349</v>
      </c>
      <c r="B3642" s="4" t="s">
        <v>8350</v>
      </c>
      <c r="C3642" s="4" t="str">
        <f ca="1">IFERROR(__xludf.DUMMYFUNCTION("GOOGLETRANSLATE(D:D,""auto"",""en"")"),"Baby nurse to temporarily isolate infected mothers")</f>
        <v>Baby nurse to temporarily isolate infected mothers</v>
      </c>
      <c r="D3642" s="5" t="s">
        <v>8351</v>
      </c>
      <c r="E3642" s="4">
        <v>409426</v>
      </c>
      <c r="F3642">
        <v>1</v>
      </c>
    </row>
    <row r="3643" spans="1:6" ht="13.5" hidden="1" customHeight="1">
      <c r="A3643" s="4" t="s">
        <v>8352</v>
      </c>
      <c r="B3643" s="4" t="s">
        <v>8353</v>
      </c>
      <c r="C3643" s="4" t="str">
        <f ca="1">IFERROR(__xludf.DUMMYFUNCTION("GOOGLETRANSLATE(D:D,""auto"",""en"")"),"Jinjiang caused more than 3,000 villagers concealed is monitored")</f>
        <v>Jinjiang caused more than 3,000 villagers concealed is monitored</v>
      </c>
      <c r="D3643" s="5" t="s">
        <v>8354</v>
      </c>
      <c r="E3643" s="4">
        <v>407001</v>
      </c>
    </row>
    <row r="3644" spans="1:6" ht="13.5" hidden="1" customHeight="1">
      <c r="A3644" s="4" t="s">
        <v>8355</v>
      </c>
      <c r="B3644" s="4" t="s">
        <v>8356</v>
      </c>
      <c r="C3644" s="4" t="str">
        <f ca="1">IFERROR(__xludf.DUMMYFUNCTION("GOOGLETRANSLATE(D:D,""auto"",""en"")"),"Ronghao")</f>
        <v>Ronghao</v>
      </c>
      <c r="D3644" s="5" t="s">
        <v>8357</v>
      </c>
      <c r="E3644" s="4">
        <v>403992</v>
      </c>
    </row>
    <row r="3645" spans="1:6" ht="13.5" hidden="1" customHeight="1">
      <c r="A3645" s="4" t="s">
        <v>8358</v>
      </c>
      <c r="B3645" s="4" t="s">
        <v>8246</v>
      </c>
      <c r="C3645" s="4" t="str">
        <f ca="1">IFERROR(__xludf.DUMMYFUNCTION("GOOGLETRANSLATE(D:D,""auto"",""en"")"),"A50 up")</f>
        <v>A50 up</v>
      </c>
      <c r="D3645" s="5" t="s">
        <v>8359</v>
      </c>
      <c r="E3645" s="4">
        <v>403293</v>
      </c>
    </row>
    <row r="3646" spans="1:6" ht="13.5" customHeight="1">
      <c r="A3646" s="4" t="s">
        <v>8360</v>
      </c>
      <c r="B3646" s="4" t="s">
        <v>8361</v>
      </c>
      <c r="C3646" s="4" t="str">
        <f ca="1">IFERROR(__xludf.DUMMYFUNCTION("GOOGLETRANSLATE(D:D,""auto"",""en"")"),"Ningbo Metro to suspend operations from tomorrow")</f>
        <v>Ningbo Metro to suspend operations from tomorrow</v>
      </c>
      <c r="D3646" s="5" t="s">
        <v>8362</v>
      </c>
      <c r="E3646" s="4">
        <v>396624</v>
      </c>
      <c r="F3646">
        <v>1</v>
      </c>
    </row>
    <row r="3647" spans="1:6" ht="13.5" hidden="1" customHeight="1">
      <c r="A3647" s="4" t="s">
        <v>8363</v>
      </c>
      <c r="B3647" s="4" t="s">
        <v>8364</v>
      </c>
      <c r="C3647" s="4" t="str">
        <f ca="1">IFERROR(__xludf.DUMMYFUNCTION("GOOGLETRANSLATE(D:D,""auto"",""en"")"),"Cambodian Prime Minister to visit China")</f>
        <v>Cambodian Prime Minister to visit China</v>
      </c>
      <c r="D3647" s="5" t="s">
        <v>8365</v>
      </c>
      <c r="E3647" s="4">
        <v>391772</v>
      </c>
    </row>
    <row r="3648" spans="1:6" ht="13.5" customHeight="1">
      <c r="A3648" s="4" t="s">
        <v>8366</v>
      </c>
      <c r="B3648" s="4" t="s">
        <v>8367</v>
      </c>
      <c r="C3648" s="4" t="str">
        <f ca="1">IFERROR(__xludf.DUMMYFUNCTION("GOOGLETRANSLATE(D:D,""auto"",""en"")"),"Lift with saliva smear row key is arrested")</f>
        <v>Lift with saliva smear row key is arrested</v>
      </c>
      <c r="D3648" s="5" t="s">
        <v>8368</v>
      </c>
      <c r="E3648" s="4">
        <v>389546</v>
      </c>
      <c r="F3648">
        <v>1</v>
      </c>
    </row>
    <row r="3649" spans="1:6" ht="13.5" customHeight="1">
      <c r="A3649" s="4" t="s">
        <v>8369</v>
      </c>
      <c r="B3649" s="4" t="s">
        <v>8370</v>
      </c>
      <c r="C3649" s="4" t="str">
        <f ca="1">IFERROR(__xludf.DUMMYFUNCTION("GOOGLETRANSLATE(D:D,""auto"",""en"")"),"132 5425 human isolate isolated points are concentrated")</f>
        <v>132 5425 human isolate isolated points are concentrated</v>
      </c>
      <c r="D3649" s="5" t="s">
        <v>8371</v>
      </c>
      <c r="E3649" s="4">
        <v>352882</v>
      </c>
      <c r="F3649">
        <v>1</v>
      </c>
    </row>
    <row r="3650" spans="1:6" ht="13.5" customHeight="1">
      <c r="A3650" s="4" t="s">
        <v>8372</v>
      </c>
      <c r="B3650" s="4" t="s">
        <v>8373</v>
      </c>
      <c r="C3650" s="4" t="str">
        <f ca="1">IFERROR(__xludf.DUMMYFUNCTION("GOOGLETRANSLATE(D:D,""auto"",""en"")"),"Xinyang in urgent need of N95 masks 13000")</f>
        <v>Xinyang in urgent need of N95 masks 13000</v>
      </c>
      <c r="D3650" s="5" t="s">
        <v>8374</v>
      </c>
      <c r="E3650" s="4">
        <v>262585</v>
      </c>
      <c r="F3650">
        <v>1</v>
      </c>
    </row>
    <row r="3651" spans="1:6" ht="13.5" hidden="1" customHeight="1">
      <c r="A3651" s="4" t="s">
        <v>8375</v>
      </c>
      <c r="B3651" s="4" t="s">
        <v>8376</v>
      </c>
      <c r="C3651" s="4" t="str">
        <f ca="1">IFERROR(__xludf.DUMMYFUNCTION("GOOGLETRANSLATE(D:D,""auto"",""en"")"),"Pan Yue Ming for his son birthday")</f>
        <v>Pan Yue Ming for his son birthday</v>
      </c>
      <c r="D3651" s="5" t="s">
        <v>8377</v>
      </c>
      <c r="E3651" s="4">
        <v>249773</v>
      </c>
    </row>
    <row r="3652" spans="1:6" ht="13.5" customHeight="1">
      <c r="A3652" s="4" t="s">
        <v>8178</v>
      </c>
      <c r="B3652" s="4" t="s">
        <v>8075</v>
      </c>
      <c r="C3652" s="4" t="str">
        <f ca="1">IFERROR(__xludf.DUMMYFUNCTION("GOOGLETRANSLATE(D:D,""auto"",""en"")"),"2.4 million online courses free of charge")</f>
        <v>2.4 million online courses free of charge</v>
      </c>
      <c r="D3652" s="5" t="s">
        <v>8179</v>
      </c>
      <c r="E3652" s="4">
        <v>243445</v>
      </c>
      <c r="F3652">
        <v>1</v>
      </c>
    </row>
    <row r="3653" spans="1:6" ht="13.5" customHeight="1">
      <c r="A3653" s="4" t="s">
        <v>8323</v>
      </c>
      <c r="B3653" s="4" t="s">
        <v>8378</v>
      </c>
      <c r="C3653" s="4" t="str">
        <f ca="1">IFERROR(__xludf.DUMMYFUNCTION("GOOGLETRANSLATE(D:D,""auto"",""en"")"),"UAV hardcore discouraging mob playing cards")</f>
        <v>UAV hardcore discouraging mob playing cards</v>
      </c>
      <c r="D3653" s="5" t="s">
        <v>8379</v>
      </c>
      <c r="E3653" s="4">
        <v>242554</v>
      </c>
      <c r="F3653">
        <v>1</v>
      </c>
    </row>
    <row r="3654" spans="1:6" ht="13.5" customHeight="1">
      <c r="A3654" s="4" t="s">
        <v>8320</v>
      </c>
      <c r="B3654" s="4" t="s">
        <v>8316</v>
      </c>
      <c r="C3654" s="4" t="str">
        <f ca="1">IFERROR(__xludf.DUMMYFUNCTION("GOOGLETRANSLATE(D:D,""auto"",""en"")"),"Guangzhou is on file for a patient to conceal the truth")</f>
        <v>Guangzhou is on file for a patient to conceal the truth</v>
      </c>
      <c r="D3654" s="5" t="s">
        <v>8380</v>
      </c>
      <c r="E3654" s="4">
        <v>237425</v>
      </c>
      <c r="F3654">
        <v>1</v>
      </c>
    </row>
    <row r="3655" spans="1:6" ht="13.5" hidden="1" customHeight="1">
      <c r="A3655" s="4" t="s">
        <v>3117</v>
      </c>
      <c r="B3655" s="4" t="s">
        <v>8344</v>
      </c>
      <c r="C3655" s="4" t="str">
        <f ca="1">IFERROR(__xludf.DUMMYFUNCTION("GOOGLETRANSLATE(D:D,""auto"",""en"")"),"One person dialogue Academician Wang Chen")</f>
        <v>One person dialogue Academician Wang Chen</v>
      </c>
      <c r="D3655" s="5" t="s">
        <v>8381</v>
      </c>
      <c r="E3655" s="4">
        <v>230843</v>
      </c>
    </row>
    <row r="3656" spans="1:6" ht="13.5" hidden="1" customHeight="1">
      <c r="A3656" s="4" t="s">
        <v>8382</v>
      </c>
      <c r="B3656" s="4" t="s">
        <v>8185</v>
      </c>
      <c r="C3656" s="4" t="str">
        <f ca="1">IFERROR(__xludf.DUMMYFUNCTION("GOOGLETRANSLATE(D:D,""auto"",""en"")"),"I and now years ago, I")</f>
        <v>I and now years ago, I</v>
      </c>
      <c r="D3656" s="5" t="s">
        <v>8383</v>
      </c>
      <c r="E3656" s="4">
        <v>229669</v>
      </c>
    </row>
    <row r="3657" spans="1:6" ht="13.5" hidden="1" customHeight="1">
      <c r="A3657" s="4" t="s">
        <v>8384</v>
      </c>
      <c r="B3657" s="4" t="s">
        <v>8385</v>
      </c>
      <c r="C3657" s="4" t="str">
        <f ca="1">IFERROR(__xludf.DUMMYFUNCTION("GOOGLETRANSLATE(D:D,""auto"",""en"")"),"Xiamen Huandao Road")</f>
        <v>Xiamen Huandao Road</v>
      </c>
      <c r="D3657" s="5" t="s">
        <v>8386</v>
      </c>
      <c r="E3657" s="4">
        <v>218052</v>
      </c>
    </row>
    <row r="3658" spans="1:6" ht="13.5" hidden="1" customHeight="1">
      <c r="A3658" s="4" t="s">
        <v>8320</v>
      </c>
      <c r="B3658" s="4" t="s">
        <v>8385</v>
      </c>
      <c r="C3658" s="4" t="str">
        <f ca="1">IFERROR(__xludf.DUMMYFUNCTION("GOOGLETRANSLATE(D:D,""auto"",""en"")"),"The new dating of the General Assembly Yang Ling")</f>
        <v>The new dating of the General Assembly Yang Ling</v>
      </c>
      <c r="D3658" s="5" t="s">
        <v>8387</v>
      </c>
      <c r="E3658" s="4">
        <v>191217</v>
      </c>
    </row>
    <row r="3659" spans="1:6" ht="13.5" customHeight="1">
      <c r="A3659" s="4" t="s">
        <v>8388</v>
      </c>
      <c r="B3659" s="4" t="s">
        <v>8389</v>
      </c>
      <c r="C3659" s="4" t="str">
        <f ca="1">IFERROR(__xludf.DUMMYFUNCTION("GOOGLETRANSLATE(D:D,""auto"",""en"")"),"Aerial drones to isolate residents vegetables")</f>
        <v>Aerial drones to isolate residents vegetables</v>
      </c>
      <c r="D3659" s="5" t="s">
        <v>8390</v>
      </c>
      <c r="E3659" s="4">
        <v>181828</v>
      </c>
      <c r="F3659">
        <v>1</v>
      </c>
    </row>
    <row r="3660" spans="1:6" ht="13.5" customHeight="1">
      <c r="A3660" s="4" t="s">
        <v>8220</v>
      </c>
      <c r="B3660" s="4" t="s">
        <v>8391</v>
      </c>
      <c r="C3660" s="4" t="str">
        <f ca="1">IFERROR(__xludf.DUMMYFUNCTION("GOOGLETRANSLATE(D:D,""auto"",""en"")"),"Mask production continues to rise")</f>
        <v>Mask production continues to rise</v>
      </c>
      <c r="D3660" s="5" t="s">
        <v>8392</v>
      </c>
      <c r="E3660" s="4">
        <v>158194</v>
      </c>
      <c r="F3660">
        <v>1</v>
      </c>
    </row>
    <row r="3661" spans="1:6" ht="13.5" customHeight="1">
      <c r="A3661" s="4" t="s">
        <v>8393</v>
      </c>
      <c r="B3661" s="4" t="s">
        <v>8394</v>
      </c>
      <c r="C3661" s="4" t="str">
        <f ca="1">IFERROR(__xludf.DUMMYFUNCTION("GOOGLETRANSLATE(D:D,""auto"",""en"")"),"And resolutely crack down on hoarding wealth fat epidemic")</f>
        <v>And resolutely crack down on hoarding wealth fat epidemic</v>
      </c>
      <c r="D3661" s="5" t="s">
        <v>8395</v>
      </c>
      <c r="E3661" s="4">
        <v>156819</v>
      </c>
      <c r="F3661">
        <v>1</v>
      </c>
    </row>
    <row r="3662" spans="1:6" ht="13.5" customHeight="1">
      <c r="A3662" s="4" t="s">
        <v>8396</v>
      </c>
      <c r="B3662" s="4" t="s">
        <v>8397</v>
      </c>
      <c r="C3662" s="4" t="str">
        <f ca="1">IFERROR(__xludf.DUMMYFUNCTION("GOOGLETRANSLATE(D:D,""auto"",""en"")"),"Shanghai schools at all levels are not opening before the end of February")</f>
        <v>Shanghai schools at all levels are not opening before the end of February</v>
      </c>
      <c r="D3662" s="5" t="s">
        <v>8398</v>
      </c>
      <c r="E3662" s="4">
        <v>150669</v>
      </c>
      <c r="F3662">
        <v>1</v>
      </c>
    </row>
    <row r="3663" spans="1:6" ht="13.5" customHeight="1">
      <c r="A3663" s="4" t="s">
        <v>8399</v>
      </c>
      <c r="B3663" s="4" t="s">
        <v>8316</v>
      </c>
      <c r="C3663" s="4" t="str">
        <f ca="1">IFERROR(__xludf.DUMMYFUNCTION("GOOGLETRANSLATE(D:D,""auto"",""en"")"),"Shanghai Metro does not stop wearing masks")</f>
        <v>Shanghai Metro does not stop wearing masks</v>
      </c>
      <c r="D3663" s="5" t="s">
        <v>8400</v>
      </c>
      <c r="E3663" s="4">
        <v>149592</v>
      </c>
      <c r="F3663">
        <v>1</v>
      </c>
    </row>
    <row r="3664" spans="1:6" ht="13.5" customHeight="1">
      <c r="A3664" s="4" t="s">
        <v>8401</v>
      </c>
      <c r="B3664" s="4" t="s">
        <v>8402</v>
      </c>
      <c r="C3664" s="4" t="str">
        <f ca="1">IFERROR(__xludf.DUMMYFUNCTION("GOOGLETRANSLATE(D:D,""auto"",""en"")"),"Coronavirus is sensitive to ultraviolet light and heat")</f>
        <v>Coronavirus is sensitive to ultraviolet light and heat</v>
      </c>
      <c r="D3664" s="5" t="s">
        <v>8403</v>
      </c>
      <c r="E3664" s="4">
        <v>144761</v>
      </c>
      <c r="F3664">
        <v>1</v>
      </c>
    </row>
    <row r="3665" spans="1:6" ht="13.5" hidden="1" customHeight="1">
      <c r="A3665" s="4" t="s">
        <v>6108</v>
      </c>
      <c r="B3665" s="4" t="s">
        <v>6109</v>
      </c>
      <c r="C3665" s="4" t="str">
        <f ca="1">IFERROR(__xludf.DUMMYFUNCTION("GOOGLETRANSLATE(D:D,""auto"",""en"")"),"The next stop is happy")</f>
        <v>The next stop is happy</v>
      </c>
      <c r="D3665" s="5" t="s">
        <v>6110</v>
      </c>
      <c r="E3665" s="4">
        <v>125906</v>
      </c>
    </row>
    <row r="3666" spans="1:6" ht="13.5" customHeight="1">
      <c r="A3666" s="4" t="s">
        <v>8404</v>
      </c>
      <c r="B3666" s="4" t="s">
        <v>8402</v>
      </c>
      <c r="C3666" s="4" t="str">
        <f ca="1">IFERROR(__xludf.DUMMYFUNCTION("GOOGLETRANSLATE(D:D,""auto"",""en"")"),"Temperature patrol the country's first robot")</f>
        <v>Temperature patrol the country's first robot</v>
      </c>
      <c r="D3666" s="5" t="s">
        <v>8405</v>
      </c>
      <c r="E3666" s="4">
        <v>111217</v>
      </c>
      <c r="F3666">
        <v>1</v>
      </c>
    </row>
    <row r="3667" spans="1:6" ht="13.5" customHeight="1">
      <c r="A3667" s="4" t="s">
        <v>8220</v>
      </c>
      <c r="B3667" s="4" t="s">
        <v>8221</v>
      </c>
      <c r="C3667" s="4" t="str">
        <f ca="1">IFERROR(__xludf.DUMMYFUNCTION("GOOGLETRANSLATE(D:D,""auto"",""en"")"),"Lying play phone can also exercise")</f>
        <v>Lying play phone can also exercise</v>
      </c>
      <c r="D3667" s="5" t="s">
        <v>8222</v>
      </c>
      <c r="E3667" s="4">
        <v>108056</v>
      </c>
      <c r="F3667">
        <v>1</v>
      </c>
    </row>
    <row r="3668" spans="1:6" ht="13.5" customHeight="1">
      <c r="A3668" s="4" t="s">
        <v>8406</v>
      </c>
      <c r="B3668" s="4" t="s">
        <v>8407</v>
      </c>
      <c r="C3668" s="4" t="str">
        <f ca="1">IFERROR(__xludf.DUMMYFUNCTION("GOOGLETRANSLATE(D:D,""auto"",""en"")"),"New new suspected cases of pneumonia significantly reduced")</f>
        <v>New new suspected cases of pneumonia significantly reduced</v>
      </c>
      <c r="D3668" s="5" t="s">
        <v>8408</v>
      </c>
      <c r="E3668" s="4">
        <v>90935</v>
      </c>
      <c r="F3668">
        <v>1</v>
      </c>
    </row>
    <row r="3669" spans="1:6" ht="13.5" hidden="1" customHeight="1">
      <c r="C3669" s="4" t="str">
        <f ca="1">IFERROR(__xludf.DUMMYFUNCTION("GOOGLETRANSLATE(D:D,""auto"",""en"")"),"#VALUE!")</f>
        <v>#VALUE!</v>
      </c>
    </row>
    <row r="3670" spans="1:6" ht="13.5" customHeight="1">
      <c r="A3670" s="4" t="s">
        <v>8409</v>
      </c>
      <c r="B3670" s="4" t="s">
        <v>8331</v>
      </c>
      <c r="C3670" s="4" t="str">
        <f ca="1">IFERROR(__xludf.DUMMYFUNCTION("GOOGLETRANSLATE(D:D,""auto"",""en"")"),"10-year cut-off mask production line to resume production")</f>
        <v>10-year cut-off mask production line to resume production</v>
      </c>
      <c r="D3670" s="4" t="s">
        <v>8410</v>
      </c>
      <c r="E3670" s="4">
        <v>5048856</v>
      </c>
      <c r="F3670">
        <v>1</v>
      </c>
    </row>
    <row r="3671" spans="1:6" ht="13.5" customHeight="1">
      <c r="A3671" s="4" t="s">
        <v>8411</v>
      </c>
      <c r="B3671" s="4" t="s">
        <v>8412</v>
      </c>
      <c r="C3671" s="4" t="str">
        <f ca="1">IFERROR(__xludf.DUMMYFUNCTION("GOOGLETRANSLATE(D:D,""auto"",""en"")"),"Go out shopping wearing a mask is not infected")</f>
        <v>Go out shopping wearing a mask is not infected</v>
      </c>
      <c r="D3671" s="5" t="s">
        <v>8413</v>
      </c>
      <c r="E3671" s="4">
        <v>2391066</v>
      </c>
      <c r="F3671">
        <v>1</v>
      </c>
    </row>
    <row r="3672" spans="1:6" ht="13.5" customHeight="1">
      <c r="A3672" s="4" t="s">
        <v>8414</v>
      </c>
      <c r="B3672" s="4" t="s">
        <v>8415</v>
      </c>
      <c r="C3672" s="4" t="str">
        <f ca="1">IFERROR(__xludf.DUMMYFUNCTION("GOOGLETRANSLATE(D:D,""auto"",""en"")"),"Non-confirmed cases nationwide in Hubei Province, a fall of two days")</f>
        <v>Non-confirmed cases nationwide in Hubei Province, a fall of two days</v>
      </c>
      <c r="D3672" s="5" t="s">
        <v>8416</v>
      </c>
      <c r="E3672" s="4">
        <v>1734482</v>
      </c>
      <c r="F3672">
        <v>1</v>
      </c>
    </row>
    <row r="3673" spans="1:6" ht="13.5" customHeight="1">
      <c r="A3673" s="4" t="s">
        <v>8417</v>
      </c>
      <c r="B3673" s="4" t="s">
        <v>8418</v>
      </c>
      <c r="C3673" s="4" t="str">
        <f ca="1">IFERROR(__xludf.DUMMYFUNCTION("GOOGLETRANSLATE(D:D,""auto"",""en"")"),"The national total of 28,018 cases diagnosed pneumonia new")</f>
        <v>The national total of 28,018 cases diagnosed pneumonia new</v>
      </c>
      <c r="D3673" s="5" t="s">
        <v>8419</v>
      </c>
      <c r="E3673" s="4">
        <v>1253111</v>
      </c>
      <c r="F3673">
        <v>1</v>
      </c>
    </row>
    <row r="3674" spans="1:6" ht="13.5" customHeight="1">
      <c r="A3674" s="4" t="s">
        <v>5803</v>
      </c>
      <c r="B3674" s="4" t="s">
        <v>5804</v>
      </c>
      <c r="C3674" s="4" t="str">
        <f ca="1">IFERROR(__xludf.DUMMYFUNCTION("GOOGLETRANSLATE(D:D,""auto"",""en"")"),"The latest outbreak Map")</f>
        <v>The latest outbreak Map</v>
      </c>
      <c r="D3674" s="5" t="s">
        <v>5805</v>
      </c>
      <c r="E3674" s="4">
        <v>1233603</v>
      </c>
      <c r="F3674">
        <v>1</v>
      </c>
    </row>
    <row r="3675" spans="1:6" ht="13.5" customHeight="1">
      <c r="A3675" s="4" t="s">
        <v>8420</v>
      </c>
      <c r="B3675" s="4" t="s">
        <v>8421</v>
      </c>
      <c r="C3675" s="4" t="str">
        <f ca="1">IFERROR(__xludf.DUMMYFUNCTION("GOOGLETRANSLATE(D:D,""auto"",""en"")"),"Japan cruise a total of 20 people infected with the new crown pneumonia")</f>
        <v>Japan cruise a total of 20 people infected with the new crown pneumonia</v>
      </c>
      <c r="D3675" s="5" t="s">
        <v>8422</v>
      </c>
      <c r="E3675" s="4">
        <v>1203150</v>
      </c>
      <c r="F3675">
        <v>1</v>
      </c>
    </row>
    <row r="3676" spans="1:6" ht="13.5" customHeight="1">
      <c r="A3676" s="4" t="s">
        <v>8423</v>
      </c>
      <c r="B3676" s="4" t="s">
        <v>8301</v>
      </c>
      <c r="C3676" s="4" t="str">
        <f ca="1">IFERROR(__xludf.DUMMYFUNCTION("GOOGLETRANSLATE(D:D,""auto"",""en"")"),"Masks daily output has reached 14.8 million")</f>
        <v>Masks daily output has reached 14.8 million</v>
      </c>
      <c r="D3676" s="5" t="s">
        <v>8424</v>
      </c>
      <c r="E3676" s="4">
        <v>1177395</v>
      </c>
      <c r="F3676">
        <v>1</v>
      </c>
    </row>
    <row r="3677" spans="1:6" ht="13.5" customHeight="1">
      <c r="A3677" s="4" t="s">
        <v>8425</v>
      </c>
      <c r="B3677" s="4" t="s">
        <v>8172</v>
      </c>
      <c r="C3677" s="4" t="str">
        <f ca="1">IFERROR(__xludf.DUMMYFUNCTION("GOOGLETRANSLATE(D:D,""auto"",""en"")"),"90-year-old mother to accompany his son diagnosed 4 days and 4 nights")</f>
        <v>90-year-old mother to accompany his son diagnosed 4 days and 4 nights</v>
      </c>
      <c r="D3677" s="5" t="s">
        <v>8426</v>
      </c>
      <c r="E3677" s="4">
        <v>1083729</v>
      </c>
      <c r="F3677">
        <v>1</v>
      </c>
    </row>
    <row r="3678" spans="1:6" ht="13.5" hidden="1" customHeight="1">
      <c r="A3678" s="4" t="s">
        <v>8427</v>
      </c>
      <c r="B3678" s="4" t="s">
        <v>8428</v>
      </c>
      <c r="C3678" s="4" t="str">
        <f ca="1">IFERROR(__xludf.DUMMYFUNCTION("GOOGLETRANSLATE(D:D,""auto"",""en"")"),"A new generation of manned spacecraft first flight test ship in April")</f>
        <v>A new generation of manned spacecraft first flight test ship in April</v>
      </c>
      <c r="D3678" s="5" t="s">
        <v>8429</v>
      </c>
      <c r="E3678" s="4">
        <v>899729</v>
      </c>
    </row>
    <row r="3679" spans="1:6" ht="13.5" customHeight="1">
      <c r="A3679" s="4" t="s">
        <v>8430</v>
      </c>
      <c r="B3679" s="4" t="s">
        <v>8431</v>
      </c>
      <c r="C3679" s="4" t="str">
        <f ca="1">IFERROR(__xludf.DUMMYFUNCTION("GOOGLETRANSLATE(D:D,""auto"",""en"")"),"Care couple eyes recognize each other by voice")</f>
        <v>Care couple eyes recognize each other by voice</v>
      </c>
      <c r="D3679" s="5" t="s">
        <v>8432</v>
      </c>
      <c r="E3679" s="4">
        <v>752747</v>
      </c>
      <c r="F3679">
        <v>1</v>
      </c>
    </row>
    <row r="3680" spans="1:6" ht="13.5" customHeight="1">
      <c r="A3680" s="4" t="s">
        <v>8433</v>
      </c>
      <c r="B3680" s="4" t="s">
        <v>8434</v>
      </c>
      <c r="C3680" s="4" t="str">
        <f ca="1">IFERROR(__xludf.DUMMYFUNCTION("GOOGLETRANSLATE(D:D,""auto"",""en"")"),"Shelter hospital beds and more will be contagious")</f>
        <v>Shelter hospital beds and more will be contagious</v>
      </c>
      <c r="D3680" s="5" t="s">
        <v>8435</v>
      </c>
      <c r="E3680" s="4">
        <v>749381</v>
      </c>
      <c r="F3680">
        <v>1</v>
      </c>
    </row>
    <row r="3681" spans="1:6" ht="13.5" customHeight="1">
      <c r="A3681" s="4" t="s">
        <v>8436</v>
      </c>
      <c r="B3681" s="4" t="s">
        <v>8437</v>
      </c>
      <c r="C3681" s="4" t="str">
        <f ca="1">IFERROR(__xludf.DUMMYFUNCTION("GOOGLETRANSLATE(D:D,""auto"",""en"")"),"CCTV Lantern Festival party to cancel the audience settings")</f>
        <v>CCTV Lantern Festival party to cancel the audience settings</v>
      </c>
      <c r="D3681" s="5" t="s">
        <v>8438</v>
      </c>
      <c r="E3681" s="4">
        <v>739193</v>
      </c>
      <c r="F3681">
        <v>1</v>
      </c>
    </row>
    <row r="3682" spans="1:6" ht="13.5" customHeight="1">
      <c r="A3682" s="4" t="s">
        <v>8439</v>
      </c>
      <c r="B3682" s="4" t="s">
        <v>8440</v>
      </c>
      <c r="C3682" s="4" t="str">
        <f ca="1">IFERROR(__xludf.DUMMYFUNCTION("GOOGLETRANSLATE(D:D,""auto"",""en"")"),"Why we can not predict the epidemic inflection point")</f>
        <v>Why we can not predict the epidemic inflection point</v>
      </c>
      <c r="D3682" s="5" t="s">
        <v>8441</v>
      </c>
      <c r="E3682" s="4">
        <v>731007</v>
      </c>
      <c r="F3682">
        <v>1</v>
      </c>
    </row>
    <row r="3683" spans="1:6" ht="13.5" customHeight="1">
      <c r="A3683" s="4" t="s">
        <v>8442</v>
      </c>
      <c r="B3683" s="4" t="s">
        <v>8443</v>
      </c>
      <c r="C3683" s="4" t="str">
        <f ca="1">IFERROR(__xludf.DUMMYFUNCTION("GOOGLETRANSLATE(D:D,""auto"",""en"")"),"Beijing reduction of small and medium micro enterprises rent")</f>
        <v>Beijing reduction of small and medium micro enterprises rent</v>
      </c>
      <c r="D3683" s="5" t="s">
        <v>8444</v>
      </c>
      <c r="E3683" s="4">
        <v>725653</v>
      </c>
      <c r="F3683">
        <v>1</v>
      </c>
    </row>
    <row r="3684" spans="1:6" ht="13.5" customHeight="1">
      <c r="A3684" s="4" t="s">
        <v>8295</v>
      </c>
      <c r="B3684" s="4" t="s">
        <v>8296</v>
      </c>
      <c r="C3684" s="4" t="str">
        <f ca="1">IFERROR(__xludf.DUMMYFUNCTION("GOOGLETRANSLATE(D:D,""auto"",""en"")"),"Zhoujie Qiong snapshots")</f>
        <v>Zhoujie Qiong snapshots</v>
      </c>
      <c r="D3684" s="5" t="s">
        <v>8297</v>
      </c>
      <c r="E3684" s="4">
        <v>714763</v>
      </c>
      <c r="F3684">
        <v>1</v>
      </c>
    </row>
    <row r="3685" spans="1:6" ht="13.5" customHeight="1">
      <c r="A3685" s="4" t="s">
        <v>8445</v>
      </c>
      <c r="B3685" s="4" t="s">
        <v>8446</v>
      </c>
      <c r="C3685" s="4" t="str">
        <f ca="1">IFERROR(__xludf.DUMMYFUNCTION("GOOGLETRANSLATE(D:D,""auto"",""en"")"),"Diapers underwear factory to work as masks")</f>
        <v>Diapers underwear factory to work as masks</v>
      </c>
      <c r="D3685" s="5" t="s">
        <v>8447</v>
      </c>
      <c r="E3685" s="4">
        <v>705141</v>
      </c>
      <c r="F3685">
        <v>1</v>
      </c>
    </row>
    <row r="3686" spans="1:6" ht="13.5" hidden="1" customHeight="1">
      <c r="A3686" s="4" t="s">
        <v>8448</v>
      </c>
      <c r="B3686" s="4" t="s">
        <v>8449</v>
      </c>
      <c r="C3686" s="4" t="str">
        <f ca="1">IFERROR(__xludf.DUMMYFUNCTION("GOOGLETRANSLATE(D:D,""auto"",""en"")"),"Park one day will resume activity")</f>
        <v>Park one day will resume activity</v>
      </c>
      <c r="D3686" s="5" t="s">
        <v>8450</v>
      </c>
      <c r="E3686" s="4">
        <v>697428</v>
      </c>
    </row>
    <row r="3687" spans="1:6" ht="13.5" hidden="1" customHeight="1">
      <c r="A3687" s="4" t="s">
        <v>8451</v>
      </c>
      <c r="B3687" s="4" t="s">
        <v>8452</v>
      </c>
      <c r="C3687" s="4" t="str">
        <f ca="1">IFERROR(__xludf.DUMMYFUNCTION("GOOGLETRANSLATE(D:D,""auto"",""en"")"),"This two-day girl nails")</f>
        <v>This two-day girl nails</v>
      </c>
      <c r="D3687" s="5" t="s">
        <v>8453</v>
      </c>
      <c r="E3687" s="4">
        <v>694471</v>
      </c>
    </row>
    <row r="3688" spans="1:6" ht="13.5" customHeight="1">
      <c r="A3688" s="4" t="s">
        <v>8454</v>
      </c>
      <c r="B3688" s="4" t="s">
        <v>8455</v>
      </c>
      <c r="C3688" s="4" t="str">
        <f ca="1">IFERROR(__xludf.DUMMYFUNCTION("GOOGLETRANSLATE(D:D,""auto"",""en"")"),"Life for the first time this New Year we")</f>
        <v>Life for the first time this New Year we</v>
      </c>
      <c r="D3688" s="5" t="s">
        <v>8456</v>
      </c>
      <c r="E3688" s="4">
        <v>679854</v>
      </c>
      <c r="F3688">
        <v>1</v>
      </c>
    </row>
    <row r="3689" spans="1:6" ht="13.5" customHeight="1">
      <c r="A3689" s="4" t="s">
        <v>8457</v>
      </c>
      <c r="B3689" s="4" t="s">
        <v>8458</v>
      </c>
      <c r="C3689" s="4" t="str">
        <f ca="1">IFERROR(__xludf.DUMMYFUNCTION("GOOGLETRANSLATE(D:D,""auto"",""en"")"),"Guangdong II issued orders masks")</f>
        <v>Guangdong II issued orders masks</v>
      </c>
      <c r="D3689" s="5" t="s">
        <v>8459</v>
      </c>
      <c r="E3689" s="4">
        <v>671565</v>
      </c>
      <c r="F3689">
        <v>1</v>
      </c>
    </row>
    <row r="3690" spans="1:6" ht="13.5" hidden="1" customHeight="1">
      <c r="A3690" s="4" t="s">
        <v>8460</v>
      </c>
      <c r="B3690" s="4" t="s">
        <v>8461</v>
      </c>
      <c r="C3690" s="4" t="str">
        <f ca="1">IFERROR(__xludf.DUMMYFUNCTION("GOOGLETRANSLATE(D:D,""auto"",""en"")"),"Beijing heavy snow")</f>
        <v>Beijing heavy snow</v>
      </c>
      <c r="D3690" s="5" t="s">
        <v>8462</v>
      </c>
      <c r="E3690" s="4">
        <v>670527</v>
      </c>
    </row>
    <row r="3691" spans="1:6" ht="13.5" customHeight="1">
      <c r="A3691" s="4" t="s">
        <v>8463</v>
      </c>
      <c r="B3691" s="4" t="s">
        <v>8440</v>
      </c>
      <c r="C3691" s="4" t="str">
        <f ca="1">IFERROR(__xludf.DUMMYFUNCTION("GOOGLETRANSLATE(D:D,""auto"",""en"")"),"One of pneumonia")</f>
        <v>One of pneumonia</v>
      </c>
      <c r="D3691" s="5" t="s">
        <v>8464</v>
      </c>
      <c r="E3691" s="4">
        <v>640087</v>
      </c>
      <c r="F3691">
        <v>1</v>
      </c>
    </row>
    <row r="3692" spans="1:6" ht="13.5" customHeight="1">
      <c r="A3692" s="4" t="s">
        <v>8465</v>
      </c>
      <c r="B3692" s="4" t="s">
        <v>8428</v>
      </c>
      <c r="C3692" s="4" t="str">
        <f ca="1">IFERROR(__xludf.DUMMYFUNCTION("GOOGLETRANSLATE(D:D,""auto"",""en"")"),"Neijiang seized more than 500,000 three without masks")</f>
        <v>Neijiang seized more than 500,000 three without masks</v>
      </c>
      <c r="D3692" s="5" t="s">
        <v>8466</v>
      </c>
      <c r="E3692" s="4">
        <v>613970</v>
      </c>
      <c r="F3692">
        <v>1</v>
      </c>
    </row>
    <row r="3693" spans="1:6" ht="13.5" hidden="1" customHeight="1">
      <c r="A3693" s="4" t="s">
        <v>8467</v>
      </c>
      <c r="B3693" s="4" t="s">
        <v>8309</v>
      </c>
      <c r="C3693" s="4" t="str">
        <f ca="1">IFERROR(__xludf.DUMMYFUNCTION("GOOGLETRANSLATE(D:D,""auto"",""en"")"),"Andre Iguodala Heat")</f>
        <v>Andre Iguodala Heat</v>
      </c>
      <c r="D3693" s="5" t="s">
        <v>8468</v>
      </c>
      <c r="E3693" s="4">
        <v>605229</v>
      </c>
    </row>
    <row r="3694" spans="1:6" ht="13.5" customHeight="1">
      <c r="A3694" s="4" t="s">
        <v>8008</v>
      </c>
      <c r="B3694" s="4" t="s">
        <v>8009</v>
      </c>
      <c r="C3694" s="4" t="str">
        <f ca="1">IFERROR(__xludf.DUMMYFUNCTION("GOOGLETRANSLATE(D:D,""auto"",""en"")"),"Shelter hospital")</f>
        <v>Shelter hospital</v>
      </c>
      <c r="D3694" s="5" t="s">
        <v>8010</v>
      </c>
      <c r="E3694" s="4">
        <v>602082</v>
      </c>
      <c r="F3694">
        <v>1</v>
      </c>
    </row>
    <row r="3695" spans="1:6" ht="13.5" hidden="1" customHeight="1">
      <c r="A3695" s="4" t="s">
        <v>8469</v>
      </c>
      <c r="B3695" s="4" t="s">
        <v>8470</v>
      </c>
      <c r="C3695" s="4" t="str">
        <f ca="1">IFERROR(__xludf.DUMMYFUNCTION("GOOGLETRANSLATE(D:D,""auto"",""en"")"),"Trump against impeachment")</f>
        <v>Trump against impeachment</v>
      </c>
      <c r="D3695" s="5" t="s">
        <v>8471</v>
      </c>
      <c r="E3695" s="4">
        <v>584019</v>
      </c>
    </row>
    <row r="3696" spans="1:6" ht="13.5" customHeight="1">
      <c r="A3696" s="4" t="s">
        <v>8472</v>
      </c>
      <c r="B3696" s="4" t="s">
        <v>8473</v>
      </c>
      <c r="C3696" s="4" t="str">
        <f ca="1">IFERROR(__xludf.DUMMYFUNCTION("GOOGLETRANSLATE(D:D,""auto"",""en"")"),"Shop owner assaulted medical personnel detained for 10 days")</f>
        <v>Shop owner assaulted medical personnel detained for 10 days</v>
      </c>
      <c r="D3696" s="5" t="s">
        <v>8474</v>
      </c>
      <c r="E3696" s="4">
        <v>484224</v>
      </c>
      <c r="F3696">
        <v>1</v>
      </c>
    </row>
    <row r="3697" spans="1:6" ht="13.5" customHeight="1">
      <c r="A3697" s="4" t="s">
        <v>8475</v>
      </c>
      <c r="B3697" s="4" t="s">
        <v>8476</v>
      </c>
      <c r="C3697" s="4" t="str">
        <f ca="1">IFERROR(__xludf.DUMMYFUNCTION("GOOGLETRANSLATE(D:D,""auto"",""en"")"),"Wenchuan villagers voluntarily support Wuhan 100 tons of vegetables")</f>
        <v>Wenchuan villagers voluntarily support Wuhan 100 tons of vegetables</v>
      </c>
      <c r="D3697" s="5" t="s">
        <v>8477</v>
      </c>
      <c r="E3697" s="4">
        <v>434594</v>
      </c>
      <c r="F3697">
        <v>1</v>
      </c>
    </row>
    <row r="3698" spans="1:6" ht="13.5" hidden="1" customHeight="1">
      <c r="A3698" s="4" t="s">
        <v>8328</v>
      </c>
      <c r="B3698" s="4" t="s">
        <v>8329</v>
      </c>
      <c r="C3698" s="4" t="str">
        <f ca="1">IFERROR(__xludf.DUMMYFUNCTION("GOOGLETRANSLATE(D:D,""auto"",""en"")"),"Li Jiaqi Zhang Ziyi Comments")</f>
        <v>Li Jiaqi Zhang Ziyi Comments</v>
      </c>
      <c r="D3698" s="5" t="s">
        <v>8330</v>
      </c>
      <c r="E3698" s="4">
        <v>426532</v>
      </c>
    </row>
    <row r="3699" spans="1:6" ht="13.5" hidden="1" customHeight="1">
      <c r="A3699" s="4" t="s">
        <v>8298</v>
      </c>
      <c r="B3699" s="4" t="s">
        <v>8299</v>
      </c>
      <c r="C3699" s="4" t="str">
        <f ca="1">IFERROR(__xludf.DUMMYFUNCTION("GOOGLETRANSLATE(D:D,""auto"",""en"")"),"Who is Little Red Coat")</f>
        <v>Who is Little Red Coat</v>
      </c>
      <c r="D3699" s="5" t="s">
        <v>8300</v>
      </c>
      <c r="E3699" s="4">
        <v>386629</v>
      </c>
    </row>
    <row r="3700" spans="1:6" ht="13.5" customHeight="1">
      <c r="A3700" s="4" t="s">
        <v>8478</v>
      </c>
      <c r="B3700" s="4" t="s">
        <v>8479</v>
      </c>
      <c r="C3700" s="4" t="str">
        <f ca="1">IFERROR(__xludf.DUMMYFUNCTION("GOOGLETRANSLATE(D:D,""auto"",""en"")"),"If there is no epidemic are you doing")</f>
        <v>If there is no epidemic are you doing</v>
      </c>
      <c r="D3700" s="5" t="s">
        <v>8480</v>
      </c>
      <c r="E3700" s="4">
        <v>367912</v>
      </c>
      <c r="F3700">
        <v>1</v>
      </c>
    </row>
    <row r="3701" spans="1:6" ht="13.5" customHeight="1">
      <c r="A3701" s="4" t="s">
        <v>8481</v>
      </c>
      <c r="B3701" s="4" t="s">
        <v>8446</v>
      </c>
      <c r="C3701" s="4" t="str">
        <f ca="1">IFERROR(__xludf.DUMMYFUNCTION("GOOGLETRANSLATE(D:D,""auto"",""en"")"),"Henan new new 87 cases of pneumonia")</f>
        <v>Henan new new 87 cases of pneumonia</v>
      </c>
      <c r="D3701" s="5" t="s">
        <v>8482</v>
      </c>
      <c r="E3701" s="4">
        <v>346583</v>
      </c>
      <c r="F3701">
        <v>1</v>
      </c>
    </row>
    <row r="3702" spans="1:6" ht="13.5" customHeight="1">
      <c r="A3702" s="4" t="s">
        <v>8483</v>
      </c>
      <c r="B3702" s="4" t="s">
        <v>8484</v>
      </c>
      <c r="C3702" s="4" t="str">
        <f ca="1">IFERROR(__xludf.DUMMYFUNCTION("GOOGLETRANSLATE(D:D,""auto"",""en"")"),"Wuhan two hard task")</f>
        <v>Wuhan two hard task</v>
      </c>
      <c r="D3702" s="5" t="s">
        <v>8485</v>
      </c>
      <c r="E3702" s="4">
        <v>343663</v>
      </c>
      <c r="F3702">
        <v>1</v>
      </c>
    </row>
    <row r="3703" spans="1:6" ht="13.5" customHeight="1">
      <c r="A3703" s="4" t="s">
        <v>8486</v>
      </c>
      <c r="B3703" s="4" t="s">
        <v>8461</v>
      </c>
      <c r="C3703" s="4" t="str">
        <f ca="1">IFERROR(__xludf.DUMMYFUNCTION("GOOGLETRANSLATE(D:D,""auto"",""en"")"),"Zhejiang new new 59 cases of pneumonia")</f>
        <v>Zhejiang new new 59 cases of pneumonia</v>
      </c>
      <c r="D3703" s="5" t="s">
        <v>8487</v>
      </c>
      <c r="E3703" s="4">
        <v>327640</v>
      </c>
      <c r="F3703">
        <v>1</v>
      </c>
    </row>
    <row r="3704" spans="1:6" ht="13.5" customHeight="1">
      <c r="A3704" s="4" t="s">
        <v>8488</v>
      </c>
      <c r="B3704" s="4" t="s">
        <v>8484</v>
      </c>
      <c r="C3704" s="4" t="str">
        <f ca="1">IFERROR(__xludf.DUMMYFUNCTION("GOOGLETRANSLATE(D:D,""auto"",""en"")"),"Guizhou anti-epidemic rumor concocted a woman arrested")</f>
        <v>Guizhou anti-epidemic rumor concocted a woman arrested</v>
      </c>
      <c r="D3704" s="5" t="s">
        <v>8489</v>
      </c>
      <c r="E3704" s="4">
        <v>321310</v>
      </c>
      <c r="F3704">
        <v>1</v>
      </c>
    </row>
    <row r="3705" spans="1:6" ht="13.5" customHeight="1">
      <c r="A3705" s="4" t="s">
        <v>8490</v>
      </c>
      <c r="B3705" s="4" t="s">
        <v>8491</v>
      </c>
      <c r="C3705" s="4" t="str">
        <f ca="1">IFERROR(__xludf.DUMMYFUNCTION("GOOGLETRANSLATE(D:D,""auto"",""en"")"),"British students in Chinese Chorus Come to China")</f>
        <v>British students in Chinese Chorus Come to China</v>
      </c>
      <c r="D3705" s="5" t="s">
        <v>8492</v>
      </c>
      <c r="E3705" s="4">
        <v>304288</v>
      </c>
      <c r="F3705">
        <v>1</v>
      </c>
    </row>
    <row r="3706" spans="1:6" ht="13.5" customHeight="1">
      <c r="A3706" s="4" t="s">
        <v>8493</v>
      </c>
      <c r="B3706" s="4" t="s">
        <v>8494</v>
      </c>
      <c r="C3706" s="4" t="str">
        <f ca="1">IFERROR(__xludf.DUMMYFUNCTION("GOOGLETRANSLATE(D:D,""auto"",""en"")"),"Wuhan's first shelter patients admitted to hospitals beginning")</f>
        <v>Wuhan's first shelter patients admitted to hospitals beginning</v>
      </c>
      <c r="D3706" s="5" t="s">
        <v>8495</v>
      </c>
      <c r="E3706" s="4">
        <v>267911</v>
      </c>
      <c r="F3706">
        <v>1</v>
      </c>
    </row>
    <row r="3707" spans="1:6" ht="13.5" hidden="1" customHeight="1">
      <c r="A3707" s="4" t="s">
        <v>8343</v>
      </c>
      <c r="B3707" s="4" t="s">
        <v>8344</v>
      </c>
      <c r="C3707" s="4" t="str">
        <f ca="1">IFERROR(__xludf.DUMMYFUNCTION("GOOGLETRANSLATE(D:D,""auto"",""en"")"),"The next stop is happy trailer")</f>
        <v>The next stop is happy trailer</v>
      </c>
      <c r="D3707" s="5" t="s">
        <v>8345</v>
      </c>
      <c r="E3707" s="4">
        <v>262532</v>
      </c>
    </row>
    <row r="3708" spans="1:6" ht="13.5" customHeight="1">
      <c r="A3708" s="4" t="s">
        <v>8486</v>
      </c>
      <c r="B3708" s="4" t="s">
        <v>8388</v>
      </c>
      <c r="C3708" s="4" t="str">
        <f ca="1">IFERROR(__xludf.DUMMYFUNCTION("GOOGLETRANSLATE(D:D,""auto"",""en"")"),"During the epidemic in Hebei arrested seven people gambling")</f>
        <v>During the epidemic in Hebei arrested seven people gambling</v>
      </c>
      <c r="D3708" s="5" t="s">
        <v>8496</v>
      </c>
      <c r="E3708" s="4">
        <v>262116</v>
      </c>
      <c r="F3708">
        <v>1</v>
      </c>
    </row>
    <row r="3709" spans="1:6" ht="13.5" hidden="1" customHeight="1">
      <c r="A3709" s="4" t="s">
        <v>8337</v>
      </c>
      <c r="B3709" s="4" t="s">
        <v>8338</v>
      </c>
      <c r="C3709" s="4" t="str">
        <f ca="1">IFERROR(__xludf.DUMMYFUNCTION("GOOGLETRANSLATE(D:D,""auto"",""en"")"),"He Canyang house collapsed")</f>
        <v>He Canyang house collapsed</v>
      </c>
      <c r="D3709" s="5" t="s">
        <v>8339</v>
      </c>
      <c r="E3709" s="4">
        <v>230559</v>
      </c>
    </row>
    <row r="3710" spans="1:6" ht="13.5" customHeight="1">
      <c r="A3710" s="4" t="s">
        <v>8497</v>
      </c>
      <c r="B3710" s="4" t="s">
        <v>8358</v>
      </c>
      <c r="C3710" s="4" t="str">
        <f ca="1">IFERROR(__xludf.DUMMYFUNCTION("GOOGLETRANSLATE(D:D,""auto"",""en"")"),"Jiangsu new new 32 cases of pneumonia")</f>
        <v>Jiangsu new new 32 cases of pneumonia</v>
      </c>
      <c r="D3710" s="5" t="s">
        <v>8498</v>
      </c>
      <c r="E3710" s="4">
        <v>221344</v>
      </c>
      <c r="F3710">
        <v>1</v>
      </c>
    </row>
    <row r="3711" spans="1:6" ht="13.5" hidden="1" customHeight="1">
      <c r="A3711" s="4" t="s">
        <v>8499</v>
      </c>
      <c r="B3711" s="4" t="s">
        <v>8500</v>
      </c>
      <c r="C3711" s="4" t="str">
        <f ca="1">IFERROR(__xludf.DUMMYFUNCTION("GOOGLETRANSLATE(D:D,""auto"",""en"")"),"Boeing passenger plane skidded off the runway in Turkey has caused 3 dead")</f>
        <v>Boeing passenger plane skidded off the runway in Turkey has caused 3 dead</v>
      </c>
      <c r="D3711" s="5" t="s">
        <v>8501</v>
      </c>
      <c r="E3711" s="4">
        <v>219871</v>
      </c>
    </row>
    <row r="3712" spans="1:6" ht="13.5" hidden="1" customHeight="1">
      <c r="A3712" s="4" t="s">
        <v>8502</v>
      </c>
      <c r="B3712" s="4" t="s">
        <v>8421</v>
      </c>
      <c r="C3712" s="4" t="str">
        <f ca="1">IFERROR(__xludf.DUMMYFUNCTION("GOOGLETRANSLATE(D:D,""auto"",""en"")"),"Police on duty to go home for dinner squatting corridor")</f>
        <v>Police on duty to go home for dinner squatting corridor</v>
      </c>
      <c r="D3712" s="5" t="s">
        <v>8503</v>
      </c>
      <c r="E3712" s="4">
        <v>214501</v>
      </c>
    </row>
    <row r="3713" spans="1:6" ht="13.5" customHeight="1">
      <c r="A3713" s="4" t="s">
        <v>8504</v>
      </c>
      <c r="B3713" s="4" t="s">
        <v>8366</v>
      </c>
      <c r="C3713" s="4" t="str">
        <f ca="1">IFERROR(__xludf.DUMMYFUNCTION("GOOGLETRANSLATE(D:D,""auto"",""en"")"),"Guangdong new new 74 cases of pneumonia")</f>
        <v>Guangdong new new 74 cases of pneumonia</v>
      </c>
      <c r="D3713" s="5" t="s">
        <v>8505</v>
      </c>
      <c r="E3713" s="4">
        <v>210154</v>
      </c>
      <c r="F3713">
        <v>1</v>
      </c>
    </row>
    <row r="3714" spans="1:6" ht="13.5" customHeight="1">
      <c r="A3714" s="4" t="s">
        <v>8506</v>
      </c>
      <c r="B3714" s="4" t="s">
        <v>8500</v>
      </c>
      <c r="C3714" s="4" t="str">
        <f ca="1">IFERROR(__xludf.DUMMYFUNCTION("GOOGLETRANSLATE(D:D,""auto"",""en"")"),"Anhui new new 61 cases of pneumonia")</f>
        <v>Anhui new new 61 cases of pneumonia</v>
      </c>
      <c r="D3714" s="5" t="s">
        <v>8507</v>
      </c>
      <c r="E3714" s="4">
        <v>183057</v>
      </c>
      <c r="F3714">
        <v>1</v>
      </c>
    </row>
    <row r="3715" spans="1:6" ht="13.5" customHeight="1">
      <c r="A3715" s="4" t="s">
        <v>8346</v>
      </c>
      <c r="B3715" s="4" t="s">
        <v>8347</v>
      </c>
      <c r="C3715" s="4" t="str">
        <f ca="1">IFERROR(__xludf.DUMMYFUNCTION("GOOGLETRANSLATE(D:D,""auto"",""en"")"),"What Vulcan Hill Hospital patients eat")</f>
        <v>What Vulcan Hill Hospital patients eat</v>
      </c>
      <c r="D3715" s="5" t="s">
        <v>8348</v>
      </c>
      <c r="E3715" s="4">
        <v>158377</v>
      </c>
      <c r="F3715">
        <v>1</v>
      </c>
    </row>
    <row r="3716" spans="1:6" ht="13.5" customHeight="1">
      <c r="A3716" s="4" t="s">
        <v>8508</v>
      </c>
      <c r="B3716" s="4" t="s">
        <v>8509</v>
      </c>
      <c r="C3716" s="4" t="str">
        <f ca="1">IFERROR(__xludf.DUMMYFUNCTION("GOOGLETRANSLATE(D:D,""auto"",""en"")"),"Jiangxi new new 52 cases of pneumonia")</f>
        <v>Jiangxi new new 52 cases of pneumonia</v>
      </c>
      <c r="D3716" s="5" t="s">
        <v>8510</v>
      </c>
      <c r="E3716" s="4">
        <v>157797</v>
      </c>
      <c r="F3716">
        <v>1</v>
      </c>
    </row>
    <row r="3717" spans="1:6" ht="13.5" customHeight="1">
      <c r="A3717" s="4" t="s">
        <v>8511</v>
      </c>
      <c r="B3717" s="4" t="s">
        <v>8512</v>
      </c>
      <c r="C3717" s="4" t="str">
        <f ca="1">IFERROR(__xludf.DUMMYFUNCTION("GOOGLETRANSLATE(D:D,""auto"",""en"")"),"Suizhou county hospital a number of protective material inventory 0")</f>
        <v>Suizhou county hospital a number of protective material inventory 0</v>
      </c>
      <c r="D3717" s="5" t="s">
        <v>8513</v>
      </c>
      <c r="E3717" s="4">
        <v>153297</v>
      </c>
      <c r="F3717">
        <v>1</v>
      </c>
    </row>
    <row r="3718" spans="1:6" ht="13.5" hidden="1" customHeight="1">
      <c r="A3718" s="4" t="s">
        <v>8514</v>
      </c>
      <c r="B3718" s="4" t="s">
        <v>8172</v>
      </c>
      <c r="C3718" s="4" t="str">
        <f ca="1">IFERROR(__xludf.DUMMYFUNCTION("GOOGLETRANSLATE(D:D,""auto"",""en"")"),"Your phone contacts in the wonderful Remarks")</f>
        <v>Your phone contacts in the wonderful Remarks</v>
      </c>
      <c r="D3718" s="5" t="s">
        <v>8515</v>
      </c>
      <c r="E3718" s="4">
        <v>144055</v>
      </c>
    </row>
    <row r="3719" spans="1:6" ht="13.5" hidden="1" customHeight="1">
      <c r="A3719" s="4" t="s">
        <v>8334</v>
      </c>
      <c r="B3719" s="4" t="s">
        <v>8335</v>
      </c>
      <c r="C3719" s="4" t="str">
        <f ca="1">IFERROR(__xludf.DUMMYFUNCTION("GOOGLETRANSLATE(D:D,""auto"",""en"")"),"Google dropped out of the trillion club")</f>
        <v>Google dropped out of the trillion club</v>
      </c>
      <c r="D3719" s="5" t="s">
        <v>8336</v>
      </c>
      <c r="E3719" s="4">
        <v>119866</v>
      </c>
    </row>
    <row r="3720" spans="1:6" ht="13.5" hidden="1" customHeight="1">
      <c r="C3720" s="4" t="str">
        <f ca="1">IFERROR(__xludf.DUMMYFUNCTION("GOOGLETRANSLATE(D:D,""auto"",""en"")"),"#VALUE!")</f>
        <v>#VALUE!</v>
      </c>
    </row>
    <row r="3721" spans="1:6" ht="13.5" customHeight="1">
      <c r="A3721" s="4" t="s">
        <v>8516</v>
      </c>
      <c r="B3721" s="4" t="s">
        <v>8517</v>
      </c>
      <c r="C3721" s="4" t="str">
        <f ca="1">IFERROR(__xludf.DUMMYFUNCTION("GOOGLETRANSLATE(D:D,""auto"",""en"")"),"Wuhan, Hubei Vice Governor respond to the public network for help")</f>
        <v>Wuhan, Hubei Vice Governor respond to the public network for help</v>
      </c>
      <c r="D3721" s="4" t="s">
        <v>8518</v>
      </c>
      <c r="E3721" s="4">
        <v>15248291</v>
      </c>
      <c r="F3721">
        <v>1</v>
      </c>
    </row>
    <row r="3722" spans="1:6" ht="13.5" customHeight="1">
      <c r="A3722" s="4" t="s">
        <v>8519</v>
      </c>
      <c r="B3722" s="4" t="s">
        <v>8520</v>
      </c>
      <c r="C3722" s="4" t="str">
        <f ca="1">IFERROR(__xludf.DUMMYFUNCTION("GOOGLETRANSLATE(D:D,""auto"",""en"")"),"Zhong Nanshan talk about anti-viral cure")</f>
        <v>Zhong Nanshan talk about anti-viral cure</v>
      </c>
      <c r="D3722" s="5" t="s">
        <v>8521</v>
      </c>
      <c r="E3722" s="4">
        <v>3352440</v>
      </c>
      <c r="F3722">
        <v>1</v>
      </c>
    </row>
    <row r="3723" spans="1:6" ht="13.5" hidden="1" customHeight="1">
      <c r="A3723" s="4" t="s">
        <v>8522</v>
      </c>
      <c r="B3723" s="4" t="s">
        <v>8523</v>
      </c>
      <c r="C3723" s="4" t="str">
        <f ca="1">IFERROR(__xludf.DUMMYFUNCTION("GOOGLETRANSLATE(D:D,""auto"",""en"")"),"Tao Yong hearts dream")</f>
        <v>Tao Yong hearts dream</v>
      </c>
      <c r="D3723" s="5" t="s">
        <v>8524</v>
      </c>
      <c r="E3723" s="4">
        <v>2942607</v>
      </c>
    </row>
    <row r="3724" spans="1:6" ht="13.5" customHeight="1">
      <c r="A3724" s="4" t="s">
        <v>8525</v>
      </c>
      <c r="B3724" s="4" t="s">
        <v>8526</v>
      </c>
      <c r="C3724" s="4" t="str">
        <f ca="1">IFERROR(__xludf.DUMMYFUNCTION("GOOGLETRANSLATE(D:D,""auto"",""en"")"),"Nanjing, a patient was infected while waiting in line to buy roast duck")</f>
        <v>Nanjing, a patient was infected while waiting in line to buy roast duck</v>
      </c>
      <c r="D3724" s="5" t="s">
        <v>8527</v>
      </c>
      <c r="E3724" s="4">
        <v>2817380</v>
      </c>
      <c r="F3724">
        <v>1</v>
      </c>
    </row>
    <row r="3725" spans="1:6" ht="13.5" customHeight="1">
      <c r="A3725" s="4" t="s">
        <v>8528</v>
      </c>
      <c r="B3725" s="4" t="s">
        <v>8529</v>
      </c>
      <c r="C3725" s="4" t="str">
        <f ca="1">IFERROR(__xludf.DUMMYFUNCTION("GOOGLETRANSLATE(D:D,""auto"",""en"")"),"With heroic life warning")</f>
        <v>With heroic life warning</v>
      </c>
      <c r="D3725" s="5" t="s">
        <v>8530</v>
      </c>
      <c r="E3725" s="4">
        <v>2514391</v>
      </c>
      <c r="F3725">
        <v>1</v>
      </c>
    </row>
    <row r="3726" spans="1:6" ht="13.5" customHeight="1">
      <c r="A3726" s="4" t="s">
        <v>8531</v>
      </c>
      <c r="B3726" s="4" t="s">
        <v>8532</v>
      </c>
      <c r="C3726" s="4" t="str">
        <f ca="1">IFERROR(__xludf.DUMMYFUNCTION("GOOGLETRANSLATE(D:D,""auto"",""en"")"),"About 30 new truth crown pneumonia")</f>
        <v>About 30 new truth crown pneumonia</v>
      </c>
      <c r="D3726" s="5" t="s">
        <v>8533</v>
      </c>
      <c r="E3726" s="4">
        <v>2391049</v>
      </c>
      <c r="F3726">
        <v>1</v>
      </c>
    </row>
    <row r="3727" spans="1:6" ht="13.5" hidden="1" customHeight="1">
      <c r="A3727" s="4" t="s">
        <v>6108</v>
      </c>
      <c r="B3727" s="4" t="s">
        <v>6109</v>
      </c>
      <c r="C3727" s="4" t="str">
        <f ca="1">IFERROR(__xludf.DUMMYFUNCTION("GOOGLETRANSLATE(D:D,""auto"",""en"")"),"The next stop is happy")</f>
        <v>The next stop is happy</v>
      </c>
      <c r="D3727" s="5" t="s">
        <v>6110</v>
      </c>
      <c r="E3727" s="4">
        <v>1964380</v>
      </c>
    </row>
    <row r="3728" spans="1:6" ht="13.5" customHeight="1">
      <c r="A3728" s="4" t="s">
        <v>8534</v>
      </c>
      <c r="B3728" s="4" t="s">
        <v>8535</v>
      </c>
      <c r="C3728" s="4" t="str">
        <f ca="1">IFERROR(__xludf.DUMMYFUNCTION("GOOGLETRANSLATE(D:D,""auto"",""en"")"),"How disinfection home")</f>
        <v>How disinfection home</v>
      </c>
      <c r="D3728" s="5" t="s">
        <v>8536</v>
      </c>
      <c r="E3728" s="4">
        <v>1791344</v>
      </c>
      <c r="F3728">
        <v>1</v>
      </c>
    </row>
    <row r="3729" spans="1:6" ht="13.5" customHeight="1">
      <c r="A3729" s="4" t="s">
        <v>8537</v>
      </c>
      <c r="B3729" s="4" t="s">
        <v>8538</v>
      </c>
      <c r="C3729" s="4" t="str">
        <f ca="1">IFERROR(__xludf.DUMMYFUNCTION("GOOGLETRANSLATE(D:D,""auto"",""en"")"),"Sino-Japanese Friendship Hospital rumor Ruidexiwei significant effect")</f>
        <v>Sino-Japanese Friendship Hospital rumor Ruidexiwei significant effect</v>
      </c>
      <c r="D3729" s="5" t="s">
        <v>8539</v>
      </c>
      <c r="E3729" s="4">
        <v>1707563</v>
      </c>
      <c r="F3729">
        <v>1</v>
      </c>
    </row>
    <row r="3730" spans="1:6" ht="13.5" customHeight="1">
      <c r="A3730" s="4" t="s">
        <v>8540</v>
      </c>
      <c r="B3730" s="4" t="s">
        <v>8532</v>
      </c>
      <c r="C3730" s="4" t="str">
        <f ca="1">IFERROR(__xludf.DUMMYFUNCTION("GOOGLETRANSLATE(D:D,""auto"",""en"")"),"How to distinguish between colds and flu pneumonia new crown")</f>
        <v>How to distinguish between colds and flu pneumonia new crown</v>
      </c>
      <c r="D3730" s="5" t="s">
        <v>8541</v>
      </c>
      <c r="E3730" s="4">
        <v>1595139</v>
      </c>
      <c r="F3730">
        <v>1</v>
      </c>
    </row>
    <row r="3731" spans="1:6" ht="13.5" customHeight="1">
      <c r="A3731" s="4" t="s">
        <v>8542</v>
      </c>
      <c r="B3731" s="4" t="s">
        <v>8543</v>
      </c>
      <c r="C3731" s="4" t="str">
        <f ca="1">IFERROR(__xludf.DUMMYFUNCTION("GOOGLETRANSLATE(D:D,""auto"",""en"")"),"Doctor Li Wenliang's death")</f>
        <v>Doctor Li Wenliang's death</v>
      </c>
      <c r="D3731" s="5" t="s">
        <v>8544</v>
      </c>
      <c r="E3731" s="4">
        <v>1471521</v>
      </c>
      <c r="F3731">
        <v>1</v>
      </c>
    </row>
    <row r="3732" spans="1:6" ht="13.5" customHeight="1">
      <c r="A3732" s="4" t="s">
        <v>8545</v>
      </c>
      <c r="B3732" s="4" t="s">
        <v>8546</v>
      </c>
      <c r="C3732" s="4" t="str">
        <f ca="1">IFERROR(__xludf.DUMMYFUNCTION("GOOGLETRANSLATE(D:D,""auto"",""en"")"),"If you do not open the door barber shop")</f>
        <v>If you do not open the door barber shop</v>
      </c>
      <c r="D3732" s="5" t="s">
        <v>8547</v>
      </c>
      <c r="E3732" s="4">
        <v>1342221</v>
      </c>
      <c r="F3732">
        <v>1</v>
      </c>
    </row>
    <row r="3733" spans="1:6" ht="13.5" customHeight="1">
      <c r="A3733" s="4" t="s">
        <v>8548</v>
      </c>
      <c r="B3733" s="4" t="s">
        <v>8549</v>
      </c>
      <c r="C3733" s="4" t="str">
        <f ca="1">IFERROR(__xludf.DUMMYFUNCTION("GOOGLETRANSLATE(D:D,""auto"",""en"")"),"Police took away mahjong in four to ten thousand")</f>
        <v>Police took away mahjong in four to ten thousand</v>
      </c>
      <c r="D3733" s="5" t="s">
        <v>8550</v>
      </c>
      <c r="E3733" s="4">
        <v>1328486</v>
      </c>
      <c r="F3733">
        <v>1</v>
      </c>
    </row>
    <row r="3734" spans="1:6" ht="13.5" customHeight="1">
      <c r="A3734" s="4" t="s">
        <v>8551</v>
      </c>
      <c r="B3734" s="4" t="s">
        <v>8414</v>
      </c>
      <c r="C3734" s="4" t="str">
        <f ca="1">IFERROR(__xludf.DUMMYFUNCTION("GOOGLETRANSLATE(D:D,""auto"",""en"")"),"For two weeks the virus suffocate")</f>
        <v>For two weeks the virus suffocate</v>
      </c>
      <c r="D3734" s="5" t="s">
        <v>8552</v>
      </c>
      <c r="E3734" s="4">
        <v>1301393</v>
      </c>
      <c r="F3734">
        <v>1</v>
      </c>
    </row>
    <row r="3735" spans="1:6" ht="13.5" customHeight="1">
      <c r="A3735" s="4" t="s">
        <v>8553</v>
      </c>
      <c r="B3735" s="4" t="s">
        <v>8554</v>
      </c>
      <c r="C3735" s="4" t="str">
        <f ca="1">IFERROR(__xludf.DUMMYFUNCTION("GOOGLETRANSLATE(D:D,""auto"",""en"")"),"Four lines near future maturity date will be automatically extended")</f>
        <v>Four lines near future maturity date will be automatically extended</v>
      </c>
      <c r="D3735" s="5" t="s">
        <v>8555</v>
      </c>
      <c r="E3735" s="4">
        <v>1289377</v>
      </c>
      <c r="F3735">
        <v>1</v>
      </c>
    </row>
    <row r="3736" spans="1:6" ht="13.5" hidden="1" customHeight="1">
      <c r="A3736" s="4" t="s">
        <v>8556</v>
      </c>
      <c r="B3736" s="4" t="s">
        <v>8557</v>
      </c>
      <c r="C3736" s="4" t="str">
        <f ca="1">IFERROR(__xludf.DUMMYFUNCTION("GOOGLETRANSLATE(D:D,""auto"",""en"")"),"act wildly")</f>
        <v>act wildly</v>
      </c>
      <c r="D3736" s="5" t="s">
        <v>8558</v>
      </c>
      <c r="E3736" s="4">
        <v>1254089</v>
      </c>
    </row>
    <row r="3737" spans="1:6" ht="13.5" customHeight="1">
      <c r="A3737" s="4" t="s">
        <v>8559</v>
      </c>
      <c r="B3737" s="4" t="s">
        <v>8560</v>
      </c>
      <c r="C3737" s="4" t="str">
        <f ca="1">IFERROR(__xludf.DUMMYFUNCTION("GOOGLETRANSLATE(D:D,""auto"",""en"")"),"The first person to report the epidemic great merit")</f>
        <v>The first person to report the epidemic great merit</v>
      </c>
      <c r="D3737" s="5" t="s">
        <v>8561</v>
      </c>
      <c r="E3737" s="4">
        <v>1232541</v>
      </c>
      <c r="F3737">
        <v>1</v>
      </c>
    </row>
    <row r="3738" spans="1:6" ht="13.5" hidden="1" customHeight="1">
      <c r="A3738" s="4" t="s">
        <v>8562</v>
      </c>
      <c r="B3738" s="4" t="s">
        <v>8563</v>
      </c>
      <c r="C3738" s="4" t="str">
        <f ca="1">IFERROR(__xludf.DUMMYFUNCTION("GOOGLETRANSLATE(D:D,""auto"",""en"")"),"The next stop is the happiness writer")</f>
        <v>The next stop is the happiness writer</v>
      </c>
      <c r="D3738" s="5" t="s">
        <v>8564</v>
      </c>
      <c r="E3738" s="4">
        <v>1188952</v>
      </c>
    </row>
    <row r="3739" spans="1:6" ht="13.5" hidden="1" customHeight="1">
      <c r="A3739" s="4" t="s">
        <v>8565</v>
      </c>
      <c r="B3739" s="4" t="s">
        <v>8563</v>
      </c>
      <c r="C3739" s="4" t="str">
        <f ca="1">IFERROR(__xludf.DUMMYFUNCTION("GOOGLETRANSLATE(D:D,""auto"",""en"")"),"Sun Yuchen dinner with Warren Buffett")</f>
        <v>Sun Yuchen dinner with Warren Buffett</v>
      </c>
      <c r="D3739" s="5" t="s">
        <v>8566</v>
      </c>
      <c r="E3739" s="4">
        <v>1172831</v>
      </c>
    </row>
    <row r="3740" spans="1:6" ht="13.5" hidden="1" customHeight="1">
      <c r="A3740" s="4" t="s">
        <v>8531</v>
      </c>
      <c r="B3740" s="4" t="s">
        <v>8567</v>
      </c>
      <c r="C3740" s="4" t="str">
        <f ca="1">IFERROR(__xludf.DUMMYFUNCTION("GOOGLETRANSLATE(D:D,""auto"",""en"")"),"More than Hohhot public officials to be treated")</f>
        <v>More than Hohhot public officials to be treated</v>
      </c>
      <c r="D3740" s="5" t="s">
        <v>8568</v>
      </c>
      <c r="E3740" s="4">
        <v>1161061</v>
      </c>
    </row>
    <row r="3741" spans="1:6" ht="13.5" hidden="1" customHeight="1">
      <c r="A3741" s="4" t="s">
        <v>8569</v>
      </c>
      <c r="B3741" s="4" t="s">
        <v>8570</v>
      </c>
      <c r="C3741" s="4" t="str">
        <f ca="1">IFERROR(__xludf.DUMMYFUNCTION("GOOGLETRANSLATE(D:D,""auto"",""en"")"),"Please kick me kick upstairs")</f>
        <v>Please kick me kick upstairs</v>
      </c>
      <c r="D3741" s="5" t="s">
        <v>8571</v>
      </c>
      <c r="E3741" s="4">
        <v>1121292</v>
      </c>
    </row>
    <row r="3742" spans="1:6" ht="13.5" customHeight="1">
      <c r="A3742" s="4" t="s">
        <v>8572</v>
      </c>
      <c r="B3742" s="4" t="s">
        <v>8573</v>
      </c>
      <c r="C3742" s="4" t="str">
        <f ca="1">IFERROR(__xludf.DUMMYFUNCTION("GOOGLETRANSLATE(D:D,""auto"",""en"")"),"Doctor Li Wenliang last microblogging")</f>
        <v>Doctor Li Wenliang last microblogging</v>
      </c>
      <c r="D3742" s="5" t="s">
        <v>8574</v>
      </c>
      <c r="E3742" s="4">
        <v>1119087</v>
      </c>
      <c r="F3742">
        <v>1</v>
      </c>
    </row>
    <row r="3743" spans="1:6" ht="13.5" hidden="1" customHeight="1">
      <c r="A3743" s="4" t="s">
        <v>1209</v>
      </c>
      <c r="B3743" s="4" t="s">
        <v>1210</v>
      </c>
      <c r="C3743" s="4" t="str">
        <f ca="1">IFERROR(__xludf.DUMMYFUNCTION("GOOGLETRANSLATE(D:D,""auto"",""en"")"),"Every day")</f>
        <v>Every day</v>
      </c>
      <c r="D3743" s="5" t="s">
        <v>1211</v>
      </c>
      <c r="E3743" s="4">
        <v>963293</v>
      </c>
    </row>
    <row r="3744" spans="1:6" ht="13.5" customHeight="1">
      <c r="A3744" s="4" t="s">
        <v>8575</v>
      </c>
      <c r="B3744" s="4" t="s">
        <v>8576</v>
      </c>
      <c r="C3744" s="4" t="str">
        <f ca="1">IFERROR(__xludf.DUMMYFUNCTION("GOOGLETRANSLATE(D:D,""auto"",""en"")"),"Li donated 3 million")</f>
        <v>Li donated 3 million</v>
      </c>
      <c r="D3744" s="5" t="s">
        <v>8577</v>
      </c>
      <c r="E3744" s="4">
        <v>849478</v>
      </c>
      <c r="F3744">
        <v>1</v>
      </c>
    </row>
    <row r="3745" spans="1:6" ht="13.5" customHeight="1">
      <c r="A3745" s="4" t="s">
        <v>8578</v>
      </c>
      <c r="B3745" s="4" t="s">
        <v>8579</v>
      </c>
      <c r="C3745" s="4" t="str">
        <f ca="1">IFERROR(__xludf.DUMMYFUNCTION("GOOGLETRANSLATE(D:D,""auto"",""en"")"),"Guizhou helicopters spraying disinfectant for medical observation area")</f>
        <v>Guizhou helicopters spraying disinfectant for medical observation area</v>
      </c>
      <c r="D3745" s="5" t="s">
        <v>8580</v>
      </c>
      <c r="E3745" s="4">
        <v>839227</v>
      </c>
      <c r="F3745">
        <v>1</v>
      </c>
    </row>
    <row r="3746" spans="1:6" ht="13.5" hidden="1" customHeight="1">
      <c r="A3746" s="4" t="s">
        <v>5453</v>
      </c>
      <c r="B3746" s="4" t="s">
        <v>5454</v>
      </c>
      <c r="C3746" s="4" t="str">
        <f ca="1">IFERROR(__xludf.DUMMYFUNCTION("GOOGLETRANSLATE(D:D,""auto"",""en"")"),"News 11")</f>
        <v>News 11</v>
      </c>
      <c r="D3746" s="5" t="s">
        <v>5455</v>
      </c>
      <c r="E3746" s="4">
        <v>650893</v>
      </c>
    </row>
    <row r="3747" spans="1:6" ht="13.5" customHeight="1">
      <c r="A3747" s="4" t="s">
        <v>8581</v>
      </c>
      <c r="B3747" s="4" t="s">
        <v>8582</v>
      </c>
      <c r="C3747" s="4" t="str">
        <f ca="1">IFERROR(__xludf.DUMMYFUNCTION("GOOGLETRANSLATE(D:D,""auto"",""en"")"),"Zhengzhou driver drops new crown diagnosed with pneumonia")</f>
        <v>Zhengzhou driver drops new crown diagnosed with pneumonia</v>
      </c>
      <c r="D3747" s="5" t="s">
        <v>8583</v>
      </c>
      <c r="E3747" s="4">
        <v>630625</v>
      </c>
      <c r="F3747">
        <v>1</v>
      </c>
    </row>
    <row r="3748" spans="1:6" ht="13.5" hidden="1" customHeight="1">
      <c r="A3748" s="4" t="s">
        <v>8584</v>
      </c>
      <c r="B3748" s="4" t="s">
        <v>8585</v>
      </c>
      <c r="C3748" s="4" t="str">
        <f ca="1">IFERROR(__xludf.DUMMYFUNCTION("GOOGLETRANSLATE(D:D,""auto"",""en"")"),"Kobe Bryant jersey retired daughter")</f>
        <v>Kobe Bryant jersey retired daughter</v>
      </c>
      <c r="D3748" s="5" t="s">
        <v>8586</v>
      </c>
      <c r="E3748" s="4">
        <v>541088</v>
      </c>
    </row>
    <row r="3749" spans="1:6" ht="13.5" customHeight="1">
      <c r="A3749" s="4" t="s">
        <v>8572</v>
      </c>
      <c r="B3749" s="4" t="s">
        <v>8587</v>
      </c>
      <c r="C3749" s="4" t="str">
        <f ca="1">IFERROR(__xludf.DUMMYFUNCTION("GOOGLETRANSLATE(D:D,""auto"",""en"")"),"xiaolwl")</f>
        <v>xiaolwl</v>
      </c>
      <c r="D3749" s="5" t="s">
        <v>8588</v>
      </c>
      <c r="E3749" s="4">
        <v>525333</v>
      </c>
      <c r="F3749">
        <v>1</v>
      </c>
    </row>
    <row r="3750" spans="1:6" ht="13.5" hidden="1" customHeight="1">
      <c r="A3750" s="4" t="s">
        <v>8589</v>
      </c>
      <c r="B3750" s="4" t="s">
        <v>8590</v>
      </c>
      <c r="C3750" s="4" t="str">
        <f ca="1">IFERROR(__xludf.DUMMYFUNCTION("GOOGLETRANSLATE(D:D,""auto"",""en"")"),"Ministry of Culture &amp; Tourism temporarily withdraw travel agency quality deposit of 80%")</f>
        <v>Ministry of Culture &amp; Tourism temporarily withdraw travel agency quality deposit of 80%</v>
      </c>
      <c r="D3750" s="5" t="s">
        <v>8591</v>
      </c>
      <c r="E3750" s="4">
        <v>505466</v>
      </c>
    </row>
    <row r="3751" spans="1:6" ht="13.5" hidden="1" customHeight="1">
      <c r="A3751" s="4" t="s">
        <v>8592</v>
      </c>
      <c r="B3751" s="4" t="s">
        <v>8593</v>
      </c>
      <c r="C3751" s="4" t="str">
        <f ca="1">IFERROR(__xludf.DUMMYFUNCTION("GOOGLETRANSLATE(D:D,""auto"",""en"")"),"State Post Bureau called for the courier into the community")</f>
        <v>State Post Bureau called for the courier into the community</v>
      </c>
      <c r="D3751" s="5" t="s">
        <v>8594</v>
      </c>
      <c r="E3751" s="4">
        <v>505022</v>
      </c>
    </row>
    <row r="3752" spans="1:6" ht="13.5" customHeight="1">
      <c r="A3752" s="4" t="s">
        <v>8595</v>
      </c>
      <c r="B3752" s="4" t="s">
        <v>8596</v>
      </c>
      <c r="C3752" s="4" t="str">
        <f ca="1">IFERROR(__xludf.DUMMYFUNCTION("GOOGLETRANSLATE(D:D,""auto"",""en"")"),"R1SE changing epidemic prevention Avatar")</f>
        <v>R1SE changing epidemic prevention Avatar</v>
      </c>
      <c r="D3752" s="5" t="s">
        <v>8597</v>
      </c>
      <c r="E3752" s="4">
        <v>480506</v>
      </c>
      <c r="F3752">
        <v>1</v>
      </c>
    </row>
    <row r="3753" spans="1:6" ht="13.5" customHeight="1">
      <c r="A3753" s="4" t="s">
        <v>8598</v>
      </c>
      <c r="B3753" s="4" t="s">
        <v>8532</v>
      </c>
      <c r="C3753" s="4" t="str">
        <f ca="1">IFERROR(__xludf.DUMMYFUNCTION("GOOGLETRANSLATE(D:D,""auto"",""en"")"),"Epidemic whistle")</f>
        <v>Epidemic whistle</v>
      </c>
      <c r="D3753" s="5" t="s">
        <v>8599</v>
      </c>
      <c r="E3753" s="4">
        <v>471431</v>
      </c>
      <c r="F3753">
        <v>1</v>
      </c>
    </row>
    <row r="3754" spans="1:6" ht="13.5" hidden="1" customHeight="1">
      <c r="A3754" s="4" t="s">
        <v>8522</v>
      </c>
      <c r="B3754" s="4" t="s">
        <v>8600</v>
      </c>
      <c r="C3754" s="4" t="str">
        <f ca="1">IFERROR(__xludf.DUMMYFUNCTION("GOOGLETRANSLATE(D:D,""auto"",""en"")"),"Assembly Hanya Xuan poetry")</f>
        <v>Assembly Hanya Xuan poetry</v>
      </c>
      <c r="D3754" s="5" t="s">
        <v>8601</v>
      </c>
      <c r="E3754" s="4">
        <v>462263</v>
      </c>
    </row>
    <row r="3755" spans="1:6" ht="13.5" customHeight="1">
      <c r="A3755" s="4" t="s">
        <v>8602</v>
      </c>
      <c r="B3755" s="4" t="s">
        <v>8603</v>
      </c>
      <c r="C3755" s="4" t="str">
        <f ca="1">IFERROR(__xludf.DUMMYFUNCTION("GOOGLETRANSLATE(D:D,""auto"",""en"")"),"Chinese sister refueling fruit Wuhan")</f>
        <v>Chinese sister refueling fruit Wuhan</v>
      </c>
      <c r="D3755" s="5" t="s">
        <v>8604</v>
      </c>
      <c r="E3755" s="4">
        <v>451610</v>
      </c>
      <c r="F3755">
        <v>1</v>
      </c>
    </row>
    <row r="3756" spans="1:6" ht="13.5" customHeight="1">
      <c r="A3756" s="4" t="s">
        <v>5803</v>
      </c>
      <c r="B3756" s="4" t="s">
        <v>5804</v>
      </c>
      <c r="C3756" s="4" t="str">
        <f ca="1">IFERROR(__xludf.DUMMYFUNCTION("GOOGLETRANSLATE(D:D,""auto"",""en"")"),"The latest outbreak Map")</f>
        <v>The latest outbreak Map</v>
      </c>
      <c r="D3756" s="5" t="s">
        <v>5805</v>
      </c>
      <c r="E3756" s="4">
        <v>450750</v>
      </c>
      <c r="F3756">
        <v>1</v>
      </c>
    </row>
    <row r="3757" spans="1:6" ht="13.5" hidden="1" customHeight="1">
      <c r="A3757" s="4" t="s">
        <v>8605</v>
      </c>
      <c r="B3757" s="4" t="s">
        <v>8606</v>
      </c>
      <c r="C3757" s="4" t="str">
        <f ca="1">IFERROR(__xludf.DUMMYFUNCTION("GOOGLETRANSLATE(D:D,""auto"",""en"")"),"Sandy Lam")</f>
        <v>Sandy Lam</v>
      </c>
      <c r="D3757" s="5" t="s">
        <v>8607</v>
      </c>
      <c r="E3757" s="4">
        <v>428487</v>
      </c>
    </row>
    <row r="3758" spans="1:6" ht="13.5" customHeight="1">
      <c r="A3758" s="4" t="s">
        <v>8608</v>
      </c>
      <c r="B3758" s="4" t="s">
        <v>8609</v>
      </c>
      <c r="C3758" s="4" t="str">
        <f ca="1">IFERROR(__xludf.DUMMYFUNCTION("GOOGLETRANSLATE(D:D,""auto"",""en"")"),"Dali will release all withheld masks refund")</f>
        <v>Dali will release all withheld masks refund</v>
      </c>
      <c r="D3758" s="5" t="s">
        <v>8610</v>
      </c>
      <c r="E3758" s="4">
        <v>415960</v>
      </c>
      <c r="F3758">
        <v>1</v>
      </c>
    </row>
    <row r="3759" spans="1:6" ht="13.5" customHeight="1">
      <c r="A3759" s="4" t="s">
        <v>8595</v>
      </c>
      <c r="B3759" s="4" t="s">
        <v>8611</v>
      </c>
      <c r="C3759" s="4" t="str">
        <f ca="1">IFERROR(__xludf.DUMMYFUNCTION("GOOGLETRANSLATE(D:D,""auto"",""en"")"),"Suizhou medical material inventory is only for three days use")</f>
        <v>Suizhou medical material inventory is only for three days use</v>
      </c>
      <c r="D3759" s="5" t="s">
        <v>8612</v>
      </c>
      <c r="E3759" s="4">
        <v>396264</v>
      </c>
      <c r="F3759">
        <v>1</v>
      </c>
    </row>
    <row r="3760" spans="1:6" ht="13.5" hidden="1" customHeight="1">
      <c r="A3760" s="4" t="s">
        <v>8613</v>
      </c>
      <c r="B3760" s="4" t="s">
        <v>8614</v>
      </c>
      <c r="C3760" s="4" t="str">
        <f ca="1">IFERROR(__xludf.DUMMYFUNCTION("GOOGLETRANSLATE(D:D,""auto"",""en"")"),"Hungary shame China athletes were banned for a year")</f>
        <v>Hungary shame China athletes were banned for a year</v>
      </c>
      <c r="D3760" s="5" t="s">
        <v>8615</v>
      </c>
      <c r="E3760" s="4">
        <v>383101</v>
      </c>
    </row>
    <row r="3761" spans="1:6" ht="13.5" customHeight="1">
      <c r="A3761" s="4" t="s">
        <v>8616</v>
      </c>
      <c r="B3761" s="4" t="s">
        <v>8603</v>
      </c>
      <c r="C3761" s="4" t="str">
        <f ca="1">IFERROR(__xludf.DUMMYFUNCTION("GOOGLETRANSLATE(D:D,""auto"",""en"")"),"Wuhan universal temperature monitoring")</f>
        <v>Wuhan universal temperature monitoring</v>
      </c>
      <c r="D3761" s="5" t="s">
        <v>8617</v>
      </c>
      <c r="E3761" s="4">
        <v>368779</v>
      </c>
      <c r="F3761">
        <v>1</v>
      </c>
    </row>
    <row r="3762" spans="1:6" ht="13.5" hidden="1" customHeight="1">
      <c r="A3762" s="4" t="s">
        <v>8618</v>
      </c>
      <c r="B3762" s="4" t="s">
        <v>8619</v>
      </c>
      <c r="C3762" s="4" t="str">
        <f ca="1">IFERROR(__xludf.DUMMYFUNCTION("GOOGLETRANSLATE(D:D,""auto"",""en"")"),"18 m long rope hanging cooler as police meal")</f>
        <v>18 m long rope hanging cooler as police meal</v>
      </c>
      <c r="D3762" s="5" t="s">
        <v>8620</v>
      </c>
      <c r="E3762" s="4">
        <v>349825</v>
      </c>
    </row>
    <row r="3763" spans="1:6" ht="13.5" hidden="1" customHeight="1">
      <c r="A3763" s="4" t="s">
        <v>8621</v>
      </c>
      <c r="B3763" s="4" t="s">
        <v>8622</v>
      </c>
      <c r="C3763" s="4" t="str">
        <f ca="1">IFERROR(__xludf.DUMMYFUNCTION("GOOGLETRANSLATE(D:D,""auto"",""en"")"),"After the fire in Australia")</f>
        <v>After the fire in Australia</v>
      </c>
      <c r="D3763" s="5" t="s">
        <v>8623</v>
      </c>
      <c r="E3763" s="4">
        <v>349080</v>
      </c>
    </row>
    <row r="3764" spans="1:6" ht="13.5" hidden="1" customHeight="1">
      <c r="A3764" s="4" t="s">
        <v>8624</v>
      </c>
      <c r="B3764" s="4" t="s">
        <v>8625</v>
      </c>
      <c r="C3764" s="4" t="str">
        <f ca="1">IFERROR(__xludf.DUMMYFUNCTION("GOOGLETRANSLATE(D:D,""auto"",""en"")"),"The Starchaser Starchaser chase drama of the chase drama")</f>
        <v>The Starchaser Starchaser chase drama of the chase drama</v>
      </c>
      <c r="D3764" s="5" t="s">
        <v>8626</v>
      </c>
      <c r="E3764" s="4">
        <v>346490</v>
      </c>
    </row>
    <row r="3765" spans="1:6" ht="13.5" hidden="1" customHeight="1">
      <c r="A3765" s="4" t="s">
        <v>8627</v>
      </c>
      <c r="B3765" s="4" t="s">
        <v>8628</v>
      </c>
      <c r="C3765" s="4" t="str">
        <f ca="1">IFERROR(__xludf.DUMMYFUNCTION("GOOGLETRANSLATE(D:D,""auto"",""en"")"),"Little Red Coat")</f>
        <v>Little Red Coat</v>
      </c>
      <c r="D3765" s="5" t="s">
        <v>8629</v>
      </c>
      <c r="E3765" s="4">
        <v>338875</v>
      </c>
    </row>
    <row r="3766" spans="1:6" ht="13.5" customHeight="1">
      <c r="A3766" s="4" t="s">
        <v>8630</v>
      </c>
      <c r="B3766" s="4" t="s">
        <v>8576</v>
      </c>
      <c r="C3766" s="4" t="str">
        <f ca="1">IFERROR(__xludf.DUMMYFUNCTION("GOOGLETRANSLATE(D:D,""auto"",""en"")"),"Shanghai there were two clusters of disease")</f>
        <v>Shanghai there were two clusters of disease</v>
      </c>
      <c r="D3766" s="5" t="s">
        <v>8631</v>
      </c>
      <c r="E3766" s="4">
        <v>323643</v>
      </c>
      <c r="F3766">
        <v>1</v>
      </c>
    </row>
    <row r="3767" spans="1:6" ht="13.5" customHeight="1">
      <c r="A3767" s="4" t="s">
        <v>8545</v>
      </c>
      <c r="B3767" s="4" t="s">
        <v>8632</v>
      </c>
      <c r="C3767" s="4" t="str">
        <f ca="1">IFERROR(__xludf.DUMMYFUNCTION("GOOGLETRANSLATE(D:D,""auto"",""en"")"),"Computer simulation epidemic trend")</f>
        <v>Computer simulation epidemic trend</v>
      </c>
      <c r="D3767" s="5" t="s">
        <v>8633</v>
      </c>
      <c r="E3767" s="4">
        <v>303583</v>
      </c>
      <c r="F3767">
        <v>1</v>
      </c>
    </row>
    <row r="3768" spans="1:6" ht="13.5" hidden="1" customHeight="1">
      <c r="A3768" s="4" t="s">
        <v>3778</v>
      </c>
      <c r="B3768" s="4" t="s">
        <v>3779</v>
      </c>
      <c r="C3768" s="4" t="str">
        <f ca="1">IFERROR(__xludf.DUMMYFUNCTION("GOOGLETRANSLATE(D:D,""auto"",""en"")"),"Twins")</f>
        <v>Twins</v>
      </c>
      <c r="D3768" s="5" t="s">
        <v>3780</v>
      </c>
      <c r="E3768" s="4">
        <v>296204</v>
      </c>
    </row>
    <row r="3769" spans="1:6" ht="13.5" customHeight="1">
      <c r="A3769" s="4" t="s">
        <v>8271</v>
      </c>
      <c r="B3769" s="4" t="s">
        <v>8199</v>
      </c>
      <c r="C3769" s="4" t="str">
        <f ca="1">IFERROR(__xludf.DUMMYFUNCTION("GOOGLETRANSLATE(D:D,""auto"",""en"")"),"Reid Western Wei")</f>
        <v>Reid Western Wei</v>
      </c>
      <c r="D3769" s="5" t="s">
        <v>8272</v>
      </c>
      <c r="E3769" s="4">
        <v>295035</v>
      </c>
      <c r="F3769">
        <v>1</v>
      </c>
    </row>
    <row r="3770" spans="1:6" ht="13.5" hidden="1" customHeight="1">
      <c r="A3770" s="4" t="s">
        <v>8634</v>
      </c>
      <c r="B3770" s="4" t="s">
        <v>8635</v>
      </c>
      <c r="C3770" s="4" t="str">
        <f ca="1">IFERROR(__xludf.DUMMYFUNCTION("GOOGLETRANSLATE(D:D,""auto"",""en"")"),"Beijing Kaoyan first test results released after February 20,")</f>
        <v>Beijing Kaoyan first test results released after February 20,</v>
      </c>
      <c r="D3770" s="5" t="s">
        <v>8636</v>
      </c>
      <c r="E3770" s="4">
        <v>294960</v>
      </c>
    </row>
    <row r="3771" spans="1:6" ht="13.5" hidden="1" customHeight="1">
      <c r="C3771" s="4" t="str">
        <f ca="1">IFERROR(__xludf.DUMMYFUNCTION("GOOGLETRANSLATE(D:D,""auto"",""en"")"),"#VALUE!")</f>
        <v>#VALUE!</v>
      </c>
    </row>
    <row r="3772" spans="1:6" ht="13.5" customHeight="1">
      <c r="A3772" s="4" t="s">
        <v>8637</v>
      </c>
      <c r="B3772" s="4" t="s">
        <v>8638</v>
      </c>
      <c r="C3772" s="4" t="str">
        <f ca="1">IFERROR(__xludf.DUMMYFUNCTION("GOOGLETRANSLATE(D:D,""auto"",""en"")"),"Tianjin, a patient 973 were isolated electroluminescent")</f>
        <v>Tianjin, a patient 973 were isolated electroluminescent</v>
      </c>
      <c r="D3772" s="4" t="s">
        <v>8639</v>
      </c>
      <c r="E3772" s="4">
        <v>4370293</v>
      </c>
      <c r="F3772">
        <v>1</v>
      </c>
    </row>
    <row r="3773" spans="1:6" ht="13.5" customHeight="1">
      <c r="A3773" s="4" t="s">
        <v>8640</v>
      </c>
      <c r="B3773" s="4" t="s">
        <v>8641</v>
      </c>
      <c r="C3773" s="4" t="str">
        <f ca="1">IFERROR(__xludf.DUMMYFUNCTION("GOOGLETRANSLATE(D:D,""auto"",""en"")"),"The new crown personal financial burden of the cost of patients with pneumonia reveal all the details")</f>
        <v>The new crown personal financial burden of the cost of patients with pneumonia reveal all the details</v>
      </c>
      <c r="D3773" s="5" t="s">
        <v>8642</v>
      </c>
      <c r="E3773" s="4">
        <v>3413418</v>
      </c>
      <c r="F3773">
        <v>1</v>
      </c>
    </row>
    <row r="3774" spans="1:6" ht="13.5" customHeight="1">
      <c r="A3774" s="4" t="s">
        <v>8643</v>
      </c>
      <c r="B3774" s="4" t="s">
        <v>8644</v>
      </c>
      <c r="C3774" s="4" t="str">
        <f ca="1">IFERROR(__xludf.DUMMYFUNCTION("GOOGLETRANSLATE(D:D,""auto"",""en"")"),"Shanghai individuals to conceal the epidemic will be included in the credit blacklist")</f>
        <v>Shanghai individuals to conceal the epidemic will be included in the credit blacklist</v>
      </c>
      <c r="D3774" s="5" t="s">
        <v>8645</v>
      </c>
      <c r="E3774" s="4">
        <v>2625209</v>
      </c>
      <c r="F3774">
        <v>1</v>
      </c>
    </row>
    <row r="3775" spans="1:6" ht="13.5" customHeight="1">
      <c r="A3775" s="4" t="s">
        <v>8646</v>
      </c>
      <c r="B3775" s="4" t="s">
        <v>8647</v>
      </c>
      <c r="C3775" s="4" t="str">
        <f ca="1">IFERROR(__xludf.DUMMYFUNCTION("GOOGLETRANSLATE(D:D,""auto"",""en"")"),"pangolin")</f>
        <v>pangolin</v>
      </c>
      <c r="D3775" s="5" t="s">
        <v>8648</v>
      </c>
      <c r="E3775" s="4">
        <v>2607858</v>
      </c>
      <c r="F3775">
        <v>1</v>
      </c>
    </row>
    <row r="3776" spans="1:6" ht="13.5" customHeight="1">
      <c r="A3776" s="4" t="s">
        <v>8649</v>
      </c>
      <c r="B3776" s="4" t="s">
        <v>8650</v>
      </c>
      <c r="C3776" s="4" t="str">
        <f ca="1">IFERROR(__xludf.DUMMYFUNCTION("GOOGLETRANSLATE(D:D,""auto"",""en"")"),"Beijing epidemic requires a high incidence of staff temporarily for Beijing")</f>
        <v>Beijing epidemic requires a high incidence of staff temporarily for Beijing</v>
      </c>
      <c r="D3776" s="5" t="s">
        <v>8651</v>
      </c>
      <c r="E3776" s="4">
        <v>2490830</v>
      </c>
      <c r="F3776">
        <v>1</v>
      </c>
    </row>
    <row r="3777" spans="1:6" ht="13.5" customHeight="1">
      <c r="A3777" s="4" t="s">
        <v>8652</v>
      </c>
      <c r="B3777" s="4" t="s">
        <v>8653</v>
      </c>
      <c r="C3777" s="4" t="str">
        <f ca="1">IFERROR(__xludf.DUMMYFUNCTION("GOOGLETRANSLATE(D:D,""auto"",""en"")"),"Tibet 8 days no new or suspected")</f>
        <v>Tibet 8 days no new or suspected</v>
      </c>
      <c r="D3777" s="5" t="s">
        <v>8654</v>
      </c>
      <c r="E3777" s="4">
        <v>1960984</v>
      </c>
      <c r="F3777">
        <v>1</v>
      </c>
    </row>
    <row r="3778" spans="1:6" ht="13.5" customHeight="1">
      <c r="A3778" s="4" t="s">
        <v>8643</v>
      </c>
      <c r="B3778" s="4" t="s">
        <v>5453</v>
      </c>
      <c r="C3778" s="4" t="str">
        <f ca="1">IFERROR(__xludf.DUMMYFUNCTION("GOOGLETRANSLATE(D:D,""auto"",""en"")"),"Diamond Princess Cruises added 41 cases of pneumonia new crown")</f>
        <v>Diamond Princess Cruises added 41 cases of pneumonia new crown</v>
      </c>
      <c r="D3778" s="5" t="s">
        <v>8655</v>
      </c>
      <c r="E3778" s="4">
        <v>1471030</v>
      </c>
      <c r="F3778">
        <v>1</v>
      </c>
    </row>
    <row r="3779" spans="1:6" ht="13.5" customHeight="1">
      <c r="A3779" s="4" t="s">
        <v>5803</v>
      </c>
      <c r="B3779" s="4" t="s">
        <v>5804</v>
      </c>
      <c r="C3779" s="4" t="str">
        <f ca="1">IFERROR(__xludf.DUMMYFUNCTION("GOOGLETRANSLATE(D:D,""auto"",""en"")"),"The latest outbreak Map")</f>
        <v>The latest outbreak Map</v>
      </c>
      <c r="D3779" s="5" t="s">
        <v>5805</v>
      </c>
      <c r="E3779" s="4">
        <v>1404031</v>
      </c>
      <c r="F3779">
        <v>1</v>
      </c>
    </row>
    <row r="3780" spans="1:6" ht="13.5" customHeight="1">
      <c r="A3780" s="4" t="s">
        <v>8656</v>
      </c>
      <c r="B3780" s="4" t="s">
        <v>8657</v>
      </c>
      <c r="C3780" s="4" t="str">
        <f ca="1">IFERROR(__xludf.DUMMYFUNCTION("GOOGLETRANSLATE(D:D,""auto"",""en"")"),"The central bank two days of base money 1.7 trillion yuan")</f>
        <v>The central bank two days of base money 1.7 trillion yuan</v>
      </c>
      <c r="D3780" s="5" t="s">
        <v>8658</v>
      </c>
      <c r="E3780" s="4">
        <v>1141276</v>
      </c>
      <c r="F3780">
        <v>1</v>
      </c>
    </row>
    <row r="3781" spans="1:6" ht="13.5" customHeight="1">
      <c r="A3781" s="4" t="s">
        <v>8659</v>
      </c>
      <c r="B3781" s="4" t="s">
        <v>8660</v>
      </c>
      <c r="C3781" s="4" t="str">
        <f ca="1">IFERROR(__xludf.DUMMYFUNCTION("GOOGLETRANSLATE(D:D,""auto"",""en"")"),"Qian Qihu 6.5 million donation to the Academy of Sciences in Wuhan")</f>
        <v>Qian Qihu 6.5 million donation to the Academy of Sciences in Wuhan</v>
      </c>
      <c r="D3781" s="5" t="s">
        <v>8661</v>
      </c>
      <c r="E3781" s="4">
        <v>1126041</v>
      </c>
      <c r="F3781">
        <v>1</v>
      </c>
    </row>
    <row r="3782" spans="1:6" ht="13.5" customHeight="1">
      <c r="A3782" s="4" t="s">
        <v>8562</v>
      </c>
      <c r="B3782" s="4" t="s">
        <v>8589</v>
      </c>
      <c r="C3782" s="4" t="str">
        <f ca="1">IFERROR(__xludf.DUMMYFUNCTION("GOOGLETRANSLATE(D:D,""auto"",""en"")"),"The national total of 31,161 cases diagnosed pneumonia new")</f>
        <v>The national total of 31,161 cases diagnosed pneumonia new</v>
      </c>
      <c r="D3782" s="5" t="s">
        <v>8662</v>
      </c>
      <c r="E3782" s="4">
        <v>1099186</v>
      </c>
      <c r="F3782">
        <v>1</v>
      </c>
    </row>
    <row r="3783" spans="1:6" ht="13.5" customHeight="1">
      <c r="A3783" s="4" t="s">
        <v>8663</v>
      </c>
      <c r="B3783" s="4" t="s">
        <v>8664</v>
      </c>
      <c r="C3783" s="4" t="str">
        <f ca="1">IFERROR(__xludf.DUMMYFUNCTION("GOOGLETRANSLATE(D:D,""auto"",""en"")"),"Hu Shao either Raytheon Hill Hospital Dean")</f>
        <v>Hu Shao either Raytheon Hill Hospital Dean</v>
      </c>
      <c r="D3783" s="5" t="s">
        <v>8665</v>
      </c>
      <c r="E3783" s="4">
        <v>1079194</v>
      </c>
      <c r="F3783">
        <v>1</v>
      </c>
    </row>
    <row r="3784" spans="1:6" ht="13.5" hidden="1" customHeight="1">
      <c r="A3784" s="4" t="s">
        <v>8666</v>
      </c>
      <c r="B3784" s="4" t="s">
        <v>8644</v>
      </c>
      <c r="C3784" s="4" t="str">
        <f ca="1">IFERROR(__xludf.DUMMYFUNCTION("GOOGLETRANSLATE(D:D,""auto"",""en"")"),"Turkish plane crash 2 Chinese people seriously injured")</f>
        <v>Turkish plane crash 2 Chinese people seriously injured</v>
      </c>
      <c r="D3784" s="5" t="s">
        <v>8667</v>
      </c>
      <c r="E3784" s="4">
        <v>845943</v>
      </c>
    </row>
    <row r="3785" spans="1:6" ht="13.5" hidden="1" customHeight="1">
      <c r="A3785" s="4" t="s">
        <v>8668</v>
      </c>
      <c r="B3785" s="4" t="s">
        <v>8669</v>
      </c>
      <c r="C3785" s="4" t="str">
        <f ca="1">IFERROR(__xludf.DUMMYFUNCTION("GOOGLETRANSLATE(D:D,""auto"",""en"")"),"NBA All-Star captain selection")</f>
        <v>NBA All-Star captain selection</v>
      </c>
      <c r="D3785" s="5" t="s">
        <v>8670</v>
      </c>
      <c r="E3785" s="4">
        <v>816448</v>
      </c>
    </row>
    <row r="3786" spans="1:6" ht="13.5" customHeight="1">
      <c r="A3786" s="4" t="s">
        <v>8652</v>
      </c>
      <c r="B3786" s="4" t="s">
        <v>8664</v>
      </c>
      <c r="C3786" s="4" t="str">
        <f ca="1">IFERROR(__xludf.DUMMYFUNCTION("GOOGLETRANSLATE(D:D,""auto"",""en"")"),"Zhejiang cumulative confirmed cases broken one thousand")</f>
        <v>Zhejiang cumulative confirmed cases broken one thousand</v>
      </c>
      <c r="D3786" s="5" t="s">
        <v>8671</v>
      </c>
      <c r="E3786" s="4">
        <v>794322</v>
      </c>
      <c r="F3786">
        <v>1</v>
      </c>
    </row>
    <row r="3787" spans="1:6" ht="13.5" customHeight="1">
      <c r="A3787" s="4" t="s">
        <v>8672</v>
      </c>
      <c r="B3787" s="4" t="s">
        <v>8641</v>
      </c>
      <c r="C3787" s="4" t="str">
        <f ca="1">IFERROR(__xludf.DUMMYFUNCTION("GOOGLETRANSLATE(D:D,""auto"",""en"")"),"Beijing confirmed and suspected pneumonia new crown without pay for personal")</f>
        <v>Beijing confirmed and suspected pneumonia new crown without pay for personal</v>
      </c>
      <c r="D3787" s="5" t="s">
        <v>8673</v>
      </c>
      <c r="E3787" s="4">
        <v>764504</v>
      </c>
      <c r="F3787">
        <v>1</v>
      </c>
    </row>
    <row r="3788" spans="1:6" ht="13.5" customHeight="1">
      <c r="A3788" s="4" t="s">
        <v>8674</v>
      </c>
      <c r="B3788" s="4" t="s">
        <v>8664</v>
      </c>
      <c r="C3788" s="4" t="str">
        <f ca="1">IFERROR(__xludf.DUMMYFUNCTION("GOOGLETRANSLATE(D:D,""auto"",""en"")"),"Guangdong has confirmed 1018 cases")</f>
        <v>Guangdong has confirmed 1018 cases</v>
      </c>
      <c r="D3788" s="5" t="s">
        <v>8675</v>
      </c>
      <c r="E3788" s="4">
        <v>725697</v>
      </c>
      <c r="F3788">
        <v>1</v>
      </c>
    </row>
    <row r="3789" spans="1:6" ht="13.5" hidden="1" customHeight="1">
      <c r="A3789" s="4" t="s">
        <v>8562</v>
      </c>
      <c r="B3789" s="4" t="s">
        <v>8563</v>
      </c>
      <c r="C3789" s="4" t="str">
        <f ca="1">IFERROR(__xludf.DUMMYFUNCTION("GOOGLETRANSLATE(D:D,""auto"",""en"")"),"The next stop is the happiness writer")</f>
        <v>The next stop is the happiness writer</v>
      </c>
      <c r="D3789" s="5" t="s">
        <v>8564</v>
      </c>
      <c r="E3789" s="4">
        <v>687749</v>
      </c>
    </row>
    <row r="3790" spans="1:6" ht="13.5" customHeight="1">
      <c r="A3790" s="4" t="s">
        <v>8676</v>
      </c>
      <c r="B3790" s="4" t="s">
        <v>8677</v>
      </c>
      <c r="C3790" s="4" t="str">
        <f ca="1">IFERROR(__xludf.DUMMYFUNCTION("GOOGLETRANSLATE(D:D,""auto"",""en"")"),"Passengers face to face police organization colonization")</f>
        <v>Passengers face to face police organization colonization</v>
      </c>
      <c r="D3790" s="5" t="s">
        <v>8678</v>
      </c>
      <c r="E3790" s="4">
        <v>653387</v>
      </c>
      <c r="F3790">
        <v>1</v>
      </c>
    </row>
    <row r="3791" spans="1:6" ht="13.5" hidden="1" customHeight="1">
      <c r="A3791" s="4" t="s">
        <v>8663</v>
      </c>
      <c r="B3791" s="4" t="s">
        <v>8608</v>
      </c>
      <c r="C3791" s="4" t="str">
        <f ca="1">IFERROR(__xludf.DUMMYFUNCTION("GOOGLETRANSLATE(D:D,""auto"",""en"")"),"My hair and cartoon characters, like the")</f>
        <v>My hair and cartoon characters, like the</v>
      </c>
      <c r="D3791" s="5" t="s">
        <v>8679</v>
      </c>
      <c r="E3791" s="4">
        <v>605261</v>
      </c>
    </row>
    <row r="3792" spans="1:6" ht="13.5" customHeight="1">
      <c r="A3792" s="4" t="s">
        <v>8680</v>
      </c>
      <c r="B3792" s="4" t="s">
        <v>8624</v>
      </c>
      <c r="C3792" s="4" t="str">
        <f ca="1">IFERROR(__xludf.DUMMYFUNCTION("GOOGLETRANSLATE(D:D,""auto"",""en"")"),"Li Wenliang's death")</f>
        <v>Li Wenliang's death</v>
      </c>
      <c r="D3792" s="5" t="s">
        <v>8681</v>
      </c>
      <c r="E3792" s="4">
        <v>603790</v>
      </c>
      <c r="F3792">
        <v>1</v>
      </c>
    </row>
    <row r="3793" spans="1:6" ht="13.5" customHeight="1">
      <c r="A3793" s="4" t="s">
        <v>8682</v>
      </c>
      <c r="B3793" s="4" t="s">
        <v>8683</v>
      </c>
      <c r="C3793" s="4" t="str">
        <f ca="1">IFERROR(__xludf.DUMMYFUNCTION("GOOGLETRANSLATE(D:D,""auto"",""en"")"),"Nanjing hospital dispensing robot")</f>
        <v>Nanjing hospital dispensing robot</v>
      </c>
      <c r="D3793" s="5" t="s">
        <v>8684</v>
      </c>
      <c r="E3793" s="4">
        <v>593022</v>
      </c>
      <c r="F3793">
        <v>1</v>
      </c>
    </row>
    <row r="3794" spans="1:6" ht="13.5" hidden="1" customHeight="1">
      <c r="A3794" s="4" t="s">
        <v>8685</v>
      </c>
      <c r="B3794" s="4" t="s">
        <v>8686</v>
      </c>
      <c r="C3794" s="4" t="str">
        <f ca="1">IFERROR(__xludf.DUMMYFUNCTION("GOOGLETRANSLATE(D:D,""auto"",""en"")"),"Russell Wiggins swap")</f>
        <v>Russell Wiggins swap</v>
      </c>
      <c r="D3794" s="5" t="s">
        <v>8687</v>
      </c>
      <c r="E3794" s="4">
        <v>550914</v>
      </c>
    </row>
    <row r="3795" spans="1:6" ht="13.5" hidden="1" customHeight="1">
      <c r="A3795" s="4" t="s">
        <v>8688</v>
      </c>
      <c r="B3795" s="4" t="s">
        <v>8677</v>
      </c>
      <c r="C3795" s="4" t="str">
        <f ca="1">IFERROR(__xludf.DUMMYFUNCTION("GOOGLETRANSLATE(D:D,""auto"",""en"")"),"Morris joined the Clippers")</f>
        <v>Morris joined the Clippers</v>
      </c>
      <c r="D3795" s="5" t="s">
        <v>8689</v>
      </c>
      <c r="E3795" s="4">
        <v>543649</v>
      </c>
    </row>
    <row r="3796" spans="1:6" ht="13.5" hidden="1" customHeight="1">
      <c r="A3796" s="4" t="s">
        <v>8556</v>
      </c>
      <c r="B3796" s="4" t="s">
        <v>8557</v>
      </c>
      <c r="C3796" s="4" t="str">
        <f ca="1">IFERROR(__xludf.DUMMYFUNCTION("GOOGLETRANSLATE(D:D,""auto"",""en"")"),"act wildly")</f>
        <v>act wildly</v>
      </c>
      <c r="D3796" s="5" t="s">
        <v>8558</v>
      </c>
      <c r="E3796" s="4">
        <v>539884</v>
      </c>
    </row>
    <row r="3797" spans="1:6" ht="13.5" customHeight="1">
      <c r="A3797" s="4" t="s">
        <v>8690</v>
      </c>
      <c r="B3797" s="4" t="s">
        <v>8691</v>
      </c>
      <c r="C3797" s="4" t="str">
        <f ca="1">IFERROR(__xludf.DUMMYFUNCTION("GOOGLETRANSLATE(D:D,""auto"",""en"")"),"Epidemic prevention and control of financial funds at various levels reached 66.74 billion yuan")</f>
        <v>Epidemic prevention and control of financial funds at various levels reached 66.74 billion yuan</v>
      </c>
      <c r="D3797" s="5" t="s">
        <v>8692</v>
      </c>
      <c r="E3797" s="4">
        <v>503284</v>
      </c>
      <c r="F3797">
        <v>1</v>
      </c>
    </row>
    <row r="3798" spans="1:6" ht="13.5" customHeight="1">
      <c r="A3798" s="4" t="s">
        <v>8528</v>
      </c>
      <c r="B3798" s="4" t="s">
        <v>8529</v>
      </c>
      <c r="C3798" s="4" t="str">
        <f ca="1">IFERROR(__xludf.DUMMYFUNCTION("GOOGLETRANSLATE(D:D,""auto"",""en"")"),"With heroic life warning")</f>
        <v>With heroic life warning</v>
      </c>
      <c r="D3798" s="5" t="s">
        <v>8530</v>
      </c>
      <c r="E3798" s="4">
        <v>466931</v>
      </c>
      <c r="F3798">
        <v>1</v>
      </c>
    </row>
    <row r="3799" spans="1:6" ht="13.5" hidden="1" customHeight="1">
      <c r="A3799" s="4" t="s">
        <v>8693</v>
      </c>
      <c r="B3799" s="4" t="s">
        <v>8694</v>
      </c>
      <c r="C3799" s="4" t="str">
        <f ca="1">IFERROR(__xludf.DUMMYFUNCTION("GOOGLETRANSLATE(D:D,""auto"",""en"")"),"Heilongjiang Nehe 4.1 earthquake")</f>
        <v>Heilongjiang Nehe 4.1 earthquake</v>
      </c>
      <c r="D3799" s="5" t="s">
        <v>8695</v>
      </c>
      <c r="E3799" s="4">
        <v>362108</v>
      </c>
    </row>
    <row r="3800" spans="1:6" ht="13.5" hidden="1" customHeight="1">
      <c r="A3800" s="4" t="s">
        <v>8696</v>
      </c>
      <c r="B3800" s="4" t="s">
        <v>8697</v>
      </c>
      <c r="C3800" s="4" t="str">
        <f ca="1">IFERROR(__xludf.DUMMYFUNCTION("GOOGLETRANSLATE(D:D,""auto"",""en"")"),"Barcelona Real Madrid Copa del Rey exit")</f>
        <v>Barcelona Real Madrid Copa del Rey exit</v>
      </c>
      <c r="D3800" s="5" t="s">
        <v>8698</v>
      </c>
      <c r="E3800" s="4">
        <v>350667</v>
      </c>
    </row>
    <row r="3801" spans="1:6" ht="13.5" customHeight="1">
      <c r="A3801" s="4" t="s">
        <v>8516</v>
      </c>
      <c r="B3801" s="4" t="s">
        <v>8517</v>
      </c>
      <c r="C3801" s="4" t="str">
        <f ca="1">IFERROR(__xludf.DUMMYFUNCTION("GOOGLETRANSLATE(D:D,""auto"",""en"")"),"Wuhan, Hubei Vice Governor respond to the public network for help")</f>
        <v>Wuhan, Hubei Vice Governor respond to the public network for help</v>
      </c>
      <c r="D3801" s="5" t="s">
        <v>8518</v>
      </c>
      <c r="E3801" s="4">
        <v>342251</v>
      </c>
      <c r="F3801">
        <v>1</v>
      </c>
    </row>
    <row r="3802" spans="1:6" ht="13.5" customHeight="1">
      <c r="A3802" s="4" t="s">
        <v>8699</v>
      </c>
      <c r="B3802" s="4" t="s">
        <v>8700</v>
      </c>
      <c r="C3802" s="4" t="str">
        <f ca="1">IFERROR(__xludf.DUMMYFUNCTION("GOOGLETRANSLATE(D:D,""auto"",""en"")"),"Hubei new new 2447 cases of pneumonia")</f>
        <v>Hubei new new 2447 cases of pneumonia</v>
      </c>
      <c r="D3802" s="5" t="s">
        <v>8701</v>
      </c>
      <c r="E3802" s="4">
        <v>332451</v>
      </c>
      <c r="F3802">
        <v>1</v>
      </c>
    </row>
    <row r="3803" spans="1:6" ht="13.5" hidden="1" customHeight="1">
      <c r="A3803" s="4" t="s">
        <v>8569</v>
      </c>
      <c r="B3803" s="4" t="s">
        <v>8570</v>
      </c>
      <c r="C3803" s="4" t="str">
        <f ca="1">IFERROR(__xludf.DUMMYFUNCTION("GOOGLETRANSLATE(D:D,""auto"",""en"")"),"Please kick me kick upstairs")</f>
        <v>Please kick me kick upstairs</v>
      </c>
      <c r="D3803" s="5" t="s">
        <v>8571</v>
      </c>
      <c r="E3803" s="4">
        <v>287847</v>
      </c>
    </row>
    <row r="3804" spans="1:6" ht="13.5" customHeight="1">
      <c r="A3804" s="4" t="s">
        <v>8702</v>
      </c>
      <c r="B3804" s="4" t="s">
        <v>8703</v>
      </c>
      <c r="C3804" s="4" t="str">
        <f ca="1">IFERROR(__xludf.DUMMYFUNCTION("GOOGLETRANSLATE(D:D,""auto"",""en"")"),"Qinhuangdao announced two new confirmed cases trajectory")</f>
        <v>Qinhuangdao announced two new confirmed cases trajectory</v>
      </c>
      <c r="D3804" s="5" t="s">
        <v>8704</v>
      </c>
      <c r="E3804" s="4">
        <v>228463</v>
      </c>
      <c r="F3804">
        <v>1</v>
      </c>
    </row>
    <row r="3805" spans="1:6" ht="13.5" customHeight="1">
      <c r="A3805" s="4" t="s">
        <v>8525</v>
      </c>
      <c r="B3805" s="4" t="s">
        <v>8526</v>
      </c>
      <c r="C3805" s="4" t="str">
        <f ca="1">IFERROR(__xludf.DUMMYFUNCTION("GOOGLETRANSLATE(D:D,""auto"",""en"")"),"Nanjing, a patient was infected while waiting in line to buy roast duck")</f>
        <v>Nanjing, a patient was infected while waiting in line to buy roast duck</v>
      </c>
      <c r="D3805" s="5" t="s">
        <v>8527</v>
      </c>
      <c r="E3805" s="4">
        <v>225365</v>
      </c>
      <c r="F3805">
        <v>1</v>
      </c>
    </row>
    <row r="3806" spans="1:6" ht="13.5" hidden="1" customHeight="1">
      <c r="A3806" s="4" t="s">
        <v>6108</v>
      </c>
      <c r="B3806" s="4" t="s">
        <v>6109</v>
      </c>
      <c r="C3806" s="4" t="str">
        <f ca="1">IFERROR(__xludf.DUMMYFUNCTION("GOOGLETRANSLATE(D:D,""auto"",""en"")"),"The next stop is happy")</f>
        <v>The next stop is happy</v>
      </c>
      <c r="D3806" s="5" t="s">
        <v>6110</v>
      </c>
      <c r="E3806" s="4">
        <v>224867</v>
      </c>
    </row>
    <row r="3807" spans="1:6" ht="13.5" customHeight="1">
      <c r="A3807" s="4" t="s">
        <v>8519</v>
      </c>
      <c r="B3807" s="4" t="s">
        <v>8520</v>
      </c>
      <c r="C3807" s="4" t="str">
        <f ca="1">IFERROR(__xludf.DUMMYFUNCTION("GOOGLETRANSLATE(D:D,""auto"",""en"")"),"Zhong Nanshan talk about anti-viral cure")</f>
        <v>Zhong Nanshan talk about anti-viral cure</v>
      </c>
      <c r="D3807" s="5" t="s">
        <v>8521</v>
      </c>
      <c r="E3807" s="4">
        <v>198210</v>
      </c>
      <c r="F3807">
        <v>1</v>
      </c>
    </row>
    <row r="3808" spans="1:6" ht="13.5" hidden="1" customHeight="1">
      <c r="A3808" s="4" t="s">
        <v>8705</v>
      </c>
      <c r="B3808" s="4" t="s">
        <v>8706</v>
      </c>
      <c r="C3808" s="4" t="str">
        <f ca="1">IFERROR(__xludf.DUMMYFUNCTION("GOOGLETRANSLATE(D:D,""auto"",""en"")"),"Heihe 3.8 earthquake")</f>
        <v>Heihe 3.8 earthquake</v>
      </c>
      <c r="D3808" s="5" t="s">
        <v>8707</v>
      </c>
      <c r="E3808" s="4">
        <v>184536</v>
      </c>
    </row>
    <row r="3809" spans="1:6" ht="13.5" customHeight="1">
      <c r="A3809" s="4" t="s">
        <v>8708</v>
      </c>
      <c r="B3809" s="4" t="s">
        <v>8709</v>
      </c>
      <c r="C3809" s="4" t="str">
        <f ca="1">IFERROR(__xludf.DUMMYFUNCTION("GOOGLETRANSLATE(D:D,""auto"",""en"")"),"Chongqing, a total of 411 cases diagnosed")</f>
        <v>Chongqing, a total of 411 cases diagnosed</v>
      </c>
      <c r="D3809" s="5" t="s">
        <v>8710</v>
      </c>
      <c r="E3809" s="4">
        <v>180723</v>
      </c>
      <c r="F3809">
        <v>1</v>
      </c>
    </row>
    <row r="3810" spans="1:6" ht="13.5" customHeight="1">
      <c r="A3810" s="4" t="s">
        <v>8531</v>
      </c>
      <c r="B3810" s="4" t="s">
        <v>8532</v>
      </c>
      <c r="C3810" s="4" t="str">
        <f ca="1">IFERROR(__xludf.DUMMYFUNCTION("GOOGLETRANSLATE(D:D,""auto"",""en"")"),"About 30 new truth crown pneumonia")</f>
        <v>About 30 new truth crown pneumonia</v>
      </c>
      <c r="D3810" s="5" t="s">
        <v>8533</v>
      </c>
      <c r="E3810" s="4">
        <v>178501</v>
      </c>
      <c r="F3810">
        <v>1</v>
      </c>
    </row>
    <row r="3811" spans="1:6" ht="13.5" customHeight="1">
      <c r="A3811" s="4" t="s">
        <v>8525</v>
      </c>
      <c r="B3811" s="4" t="s">
        <v>8711</v>
      </c>
      <c r="C3811" s="4" t="str">
        <f ca="1">IFERROR(__xludf.DUMMYFUNCTION("GOOGLETRANSLATE(D:D,""auto"",""en"")"),"Beijing new 23 cases of new pneumonia")</f>
        <v>Beijing new 23 cases of new pneumonia</v>
      </c>
      <c r="D3811" s="5" t="s">
        <v>8712</v>
      </c>
      <c r="E3811" s="4">
        <v>177686</v>
      </c>
      <c r="F3811">
        <v>1</v>
      </c>
    </row>
    <row r="3812" spans="1:6" ht="13.5" customHeight="1">
      <c r="A3812" s="4" t="s">
        <v>8534</v>
      </c>
      <c r="B3812" s="4" t="s">
        <v>8535</v>
      </c>
      <c r="C3812" s="4" t="str">
        <f ca="1">IFERROR(__xludf.DUMMYFUNCTION("GOOGLETRANSLATE(D:D,""auto"",""en"")"),"How disinfection home")</f>
        <v>How disinfection home</v>
      </c>
      <c r="D3812" s="5" t="s">
        <v>8536</v>
      </c>
      <c r="E3812" s="4">
        <v>146622</v>
      </c>
      <c r="F3812">
        <v>1</v>
      </c>
    </row>
    <row r="3813" spans="1:6" ht="13.5" hidden="1" customHeight="1">
      <c r="A3813" s="4" t="s">
        <v>3778</v>
      </c>
      <c r="B3813" s="4" t="s">
        <v>3779</v>
      </c>
      <c r="C3813" s="4" t="str">
        <f ca="1">IFERROR(__xludf.DUMMYFUNCTION("GOOGLETRANSLATE(D:D,""auto"",""en"")"),"Twins")</f>
        <v>Twins</v>
      </c>
      <c r="D3813" s="5" t="s">
        <v>3780</v>
      </c>
      <c r="E3813" s="4">
        <v>135246</v>
      </c>
    </row>
    <row r="3814" spans="1:6" ht="13.5" customHeight="1">
      <c r="A3814" s="4" t="s">
        <v>8559</v>
      </c>
      <c r="B3814" s="4" t="s">
        <v>8560</v>
      </c>
      <c r="C3814" s="4" t="str">
        <f ca="1">IFERROR(__xludf.DUMMYFUNCTION("GOOGLETRANSLATE(D:D,""auto"",""en"")"),"The first person to report the epidemic great merit")</f>
        <v>The first person to report the epidemic great merit</v>
      </c>
      <c r="D3814" s="5" t="s">
        <v>8561</v>
      </c>
      <c r="E3814" s="4">
        <v>129087</v>
      </c>
      <c r="F3814">
        <v>1</v>
      </c>
    </row>
    <row r="3815" spans="1:6" ht="13.5" hidden="1" customHeight="1">
      <c r="A3815" s="4" t="s">
        <v>8531</v>
      </c>
      <c r="B3815" s="4" t="s">
        <v>8567</v>
      </c>
      <c r="C3815" s="4" t="str">
        <f ca="1">IFERROR(__xludf.DUMMYFUNCTION("GOOGLETRANSLATE(D:D,""auto"",""en"")"),"More than Hohhot public officials to be treated")</f>
        <v>More than Hohhot public officials to be treated</v>
      </c>
      <c r="D3815" s="5" t="s">
        <v>8568</v>
      </c>
      <c r="E3815" s="4">
        <v>126320</v>
      </c>
    </row>
    <row r="3816" spans="1:6" ht="13.5" hidden="1" customHeight="1">
      <c r="A3816" s="4" t="s">
        <v>1209</v>
      </c>
      <c r="B3816" s="4" t="s">
        <v>1210</v>
      </c>
      <c r="C3816" s="4" t="str">
        <f ca="1">IFERROR(__xludf.DUMMYFUNCTION("GOOGLETRANSLATE(D:D,""auto"",""en"")"),"Every day")</f>
        <v>Every day</v>
      </c>
      <c r="D3816" s="5" t="s">
        <v>1211</v>
      </c>
      <c r="E3816" s="4">
        <v>118161</v>
      </c>
    </row>
    <row r="3817" spans="1:6" ht="13.5" hidden="1" customHeight="1">
      <c r="A3817" s="4" t="s">
        <v>8522</v>
      </c>
      <c r="B3817" s="4" t="s">
        <v>8523</v>
      </c>
      <c r="C3817" s="4" t="str">
        <f ca="1">IFERROR(__xludf.DUMMYFUNCTION("GOOGLETRANSLATE(D:D,""auto"",""en"")"),"Tao Yong hearts dream")</f>
        <v>Tao Yong hearts dream</v>
      </c>
      <c r="D3817" s="5" t="s">
        <v>8524</v>
      </c>
      <c r="E3817" s="4">
        <v>114148</v>
      </c>
    </row>
    <row r="3818" spans="1:6" ht="13.5" customHeight="1">
      <c r="A3818" s="4" t="s">
        <v>8522</v>
      </c>
      <c r="B3818" s="4" t="s">
        <v>8713</v>
      </c>
      <c r="C3818" s="4" t="str">
        <f ca="1">IFERROR(__xludf.DUMMYFUNCTION("GOOGLETRANSLATE(D:D,""auto"",""en"")"),"Raytheon Hill Hospital with a transfer window to send medicine")</f>
        <v>Raytheon Hill Hospital with a transfer window to send medicine</v>
      </c>
      <c r="D3818" s="5" t="s">
        <v>8714</v>
      </c>
      <c r="E3818" s="4">
        <v>113512</v>
      </c>
      <c r="F3818">
        <v>1</v>
      </c>
    </row>
    <row r="3819" spans="1:6" ht="13.5" hidden="1" customHeight="1">
      <c r="A3819" s="4" t="s">
        <v>8522</v>
      </c>
      <c r="B3819" s="4" t="s">
        <v>8600</v>
      </c>
      <c r="C3819" s="4" t="str">
        <f ca="1">IFERROR(__xludf.DUMMYFUNCTION("GOOGLETRANSLATE(D:D,""auto"",""en"")"),"Assembly Hanya Xuan poetry")</f>
        <v>Assembly Hanya Xuan poetry</v>
      </c>
      <c r="D3819" s="5" t="s">
        <v>8601</v>
      </c>
      <c r="E3819" s="4">
        <v>106419</v>
      </c>
    </row>
    <row r="3820" spans="1:6" ht="13.5" customHeight="1">
      <c r="A3820" s="4" t="s">
        <v>8715</v>
      </c>
      <c r="B3820" s="4" t="s">
        <v>8716</v>
      </c>
      <c r="C3820" s="4" t="str">
        <f ca="1">IFERROR(__xludf.DUMMYFUNCTION("GOOGLETRANSLATE(D:D,""auto"",""en"")"),"Reid Western Wei start clinical trials in hospital Jinyintan")</f>
        <v>Reid Western Wei start clinical trials in hospital Jinyintan</v>
      </c>
      <c r="D3820" s="5" t="s">
        <v>8717</v>
      </c>
      <c r="E3820" s="4">
        <v>96626</v>
      </c>
      <c r="F3820">
        <v>1</v>
      </c>
    </row>
    <row r="3821" spans="1:6" ht="13.5" customHeight="1">
      <c r="A3821" s="4" t="s">
        <v>8540</v>
      </c>
      <c r="B3821" s="4" t="s">
        <v>8532</v>
      </c>
      <c r="C3821" s="4" t="str">
        <f ca="1">IFERROR(__xludf.DUMMYFUNCTION("GOOGLETRANSLATE(D:D,""auto"",""en"")"),"How to distinguish between colds and flu pneumonia new crown")</f>
        <v>How to distinguish between colds and flu pneumonia new crown</v>
      </c>
      <c r="D3821" s="5" t="s">
        <v>8541</v>
      </c>
      <c r="E3821" s="4">
        <v>90868</v>
      </c>
      <c r="F3821">
        <v>1</v>
      </c>
    </row>
    <row r="3822" spans="1:6" ht="13.5" hidden="1" customHeight="1">
      <c r="C3822" s="4" t="str">
        <f ca="1">IFERROR(__xludf.DUMMYFUNCTION("GOOGLETRANSLATE(D:D,""auto"",""en"")"),"#VALUE!")</f>
        <v>#VALUE!</v>
      </c>
    </row>
    <row r="3823" spans="1:6" ht="13.5" customHeight="1">
      <c r="A3823" s="4" t="s">
        <v>286</v>
      </c>
      <c r="B3823" s="4" t="s">
        <v>8718</v>
      </c>
      <c r="C3823" s="4" t="str">
        <f ca="1">IFERROR(__xludf.DUMMYFUNCTION("GOOGLETRANSLATE(D:D,""auto"",""en"")"),"Doctor Li Wenliang was identified as work-related injuries")</f>
        <v>Doctor Li Wenliang was identified as work-related injuries</v>
      </c>
      <c r="D3823" s="4" t="s">
        <v>8719</v>
      </c>
      <c r="E3823" s="4">
        <v>5047149</v>
      </c>
      <c r="F3823">
        <v>1</v>
      </c>
    </row>
    <row r="3824" spans="1:6" ht="13.5" customHeight="1">
      <c r="A3824" s="4" t="s">
        <v>8720</v>
      </c>
      <c r="B3824" s="4" t="s">
        <v>8721</v>
      </c>
      <c r="C3824" s="4" t="str">
        <f ca="1">IFERROR(__xludf.DUMMYFUNCTION("GOOGLETRANSLATE(D:D,""auto"",""en"")"),"To arrange time off work during the Spring Festival to extend the fake")</f>
        <v>To arrange time off work during the Spring Festival to extend the fake</v>
      </c>
      <c r="D3824" s="5" t="s">
        <v>8722</v>
      </c>
      <c r="E3824" s="4">
        <v>4491933</v>
      </c>
      <c r="F3824">
        <v>1</v>
      </c>
    </row>
    <row r="3825" spans="1:6" ht="13.5" customHeight="1">
      <c r="A3825" s="4" t="s">
        <v>8723</v>
      </c>
      <c r="B3825" s="4" t="s">
        <v>8724</v>
      </c>
      <c r="C3825" s="4" t="str">
        <f ca="1">IFERROR(__xludf.DUMMYFUNCTION("GOOGLETRANSLATE(D:D,""auto"",""en"")"),"Beijing first announced the number of suspected cases")</f>
        <v>Beijing first announced the number of suspected cases</v>
      </c>
      <c r="D3825" s="5" t="s">
        <v>8725</v>
      </c>
      <c r="E3825" s="4">
        <v>2457330</v>
      </c>
      <c r="F3825">
        <v>1</v>
      </c>
    </row>
    <row r="3826" spans="1:6" ht="13.5" hidden="1" customHeight="1">
      <c r="A3826" s="4" t="s">
        <v>8726</v>
      </c>
      <c r="B3826" s="4" t="s">
        <v>8727</v>
      </c>
      <c r="C3826" s="4" t="str">
        <f ca="1">IFERROR(__xludf.DUMMYFUNCTION("GOOGLETRANSLATE(D:D,""auto"",""en"")"),"Week deep fish")</f>
        <v>Week deep fish</v>
      </c>
      <c r="D3826" s="5" t="s">
        <v>8728</v>
      </c>
      <c r="E3826" s="4">
        <v>2350371</v>
      </c>
    </row>
    <row r="3827" spans="1:6" ht="13.5" customHeight="1">
      <c r="A3827" s="4" t="s">
        <v>8729</v>
      </c>
      <c r="B3827" s="4" t="s">
        <v>8730</v>
      </c>
      <c r="C3827" s="4" t="str">
        <f ca="1">IFERROR(__xludf.DUMMYFUNCTION("GOOGLETRANSLATE(D:D,""auto"",""en"")"),"Zhong Nanshan said the epidemic inflection point even a few days")</f>
        <v>Zhong Nanshan said the epidemic inflection point even a few days</v>
      </c>
      <c r="D3827" s="5" t="s">
        <v>8731</v>
      </c>
      <c r="E3827" s="4">
        <v>2097294</v>
      </c>
      <c r="F3827">
        <v>1</v>
      </c>
    </row>
    <row r="3828" spans="1:6" ht="13.5" customHeight="1">
      <c r="A3828" s="4" t="s">
        <v>8732</v>
      </c>
      <c r="B3828" s="4" t="s">
        <v>8733</v>
      </c>
      <c r="C3828" s="4" t="str">
        <f ca="1">IFERROR(__xludf.DUMMYFUNCTION("GOOGLETRANSLATE(D:D,""auto"",""en"")"),"Over 20 people nationwide were deliberately conceal the cause of human infection filing")</f>
        <v>Over 20 people nationwide were deliberately conceal the cause of human infection filing</v>
      </c>
      <c r="D3828" s="5" t="s">
        <v>8734</v>
      </c>
      <c r="E3828" s="4">
        <v>1628918</v>
      </c>
      <c r="F3828">
        <v>1</v>
      </c>
    </row>
    <row r="3829" spans="1:6" ht="13.5" customHeight="1">
      <c r="A3829" s="4" t="s">
        <v>8735</v>
      </c>
      <c r="B3829" s="4" t="s">
        <v>8736</v>
      </c>
      <c r="C3829" s="4" t="str">
        <f ca="1">IFERROR(__xludf.DUMMYFUNCTION("GOOGLETRANSLATE(D:D,""auto"",""en"")"),"Li Wenliang comprehensive survey of events")</f>
        <v>Li Wenliang comprehensive survey of events</v>
      </c>
      <c r="D3829" s="5" t="s">
        <v>8737</v>
      </c>
      <c r="E3829" s="4">
        <v>1594593</v>
      </c>
      <c r="F3829">
        <v>1</v>
      </c>
    </row>
    <row r="3830" spans="1:6" ht="13.5" customHeight="1">
      <c r="A3830" s="4" t="s">
        <v>8738</v>
      </c>
      <c r="B3830" s="4" t="s">
        <v>8739</v>
      </c>
      <c r="C3830" s="4" t="str">
        <f ca="1">IFERROR(__xludf.DUMMYFUNCTION("GOOGLETRANSLATE(D:D,""auto"",""en"")"),"Xinhua commentary deep deep mourning to pay tribute")</f>
        <v>Xinhua commentary deep deep mourning to pay tribute</v>
      </c>
      <c r="D3830" s="5" t="s">
        <v>8740</v>
      </c>
      <c r="E3830" s="4">
        <v>1589453</v>
      </c>
      <c r="F3830">
        <v>1</v>
      </c>
    </row>
    <row r="3831" spans="1:6" ht="13.5" customHeight="1">
      <c r="A3831" s="4" t="s">
        <v>8741</v>
      </c>
      <c r="B3831" s="4" t="s">
        <v>8742</v>
      </c>
      <c r="C3831" s="4" t="str">
        <f ca="1">IFERROR(__xludf.DUMMYFUNCTION("GOOGLETRANSLATE(D:D,""auto"",""en"")"),"Without the approval of the Ministry of Education schools are not allowed to return to school")</f>
        <v>Without the approval of the Ministry of Education schools are not allowed to return to school</v>
      </c>
      <c r="D3831" s="5" t="s">
        <v>8743</v>
      </c>
      <c r="E3831" s="4">
        <v>1501781</v>
      </c>
      <c r="F3831">
        <v>1</v>
      </c>
    </row>
    <row r="3832" spans="1:6" ht="13.5" customHeight="1">
      <c r="A3832" s="4" t="s">
        <v>8744</v>
      </c>
      <c r="B3832" s="4" t="s">
        <v>8745</v>
      </c>
      <c r="C3832" s="4" t="str">
        <f ca="1">IFERROR(__xludf.DUMMYFUNCTION("GOOGLETRANSLATE(D:D,""auto"",""en"")"),"Zhong Nanshan said that there are signs of some drugs but need to observe")</f>
        <v>Zhong Nanshan said that there are signs of some drugs but need to observe</v>
      </c>
      <c r="D3832" s="5" t="s">
        <v>8746</v>
      </c>
      <c r="E3832" s="4">
        <v>1485690</v>
      </c>
      <c r="F3832">
        <v>1</v>
      </c>
    </row>
    <row r="3833" spans="1:6" ht="13.5" hidden="1" customHeight="1">
      <c r="A3833" s="4" t="s">
        <v>6108</v>
      </c>
      <c r="B3833" s="4" t="s">
        <v>6109</v>
      </c>
      <c r="C3833" s="4" t="str">
        <f ca="1">IFERROR(__xludf.DUMMYFUNCTION("GOOGLETRANSLATE(D:D,""auto"",""en"")"),"The next stop is happy")</f>
        <v>The next stop is happy</v>
      </c>
      <c r="D3833" s="5" t="s">
        <v>6110</v>
      </c>
      <c r="E3833" s="4">
        <v>1428564</v>
      </c>
    </row>
    <row r="3834" spans="1:6" ht="13.5" customHeight="1">
      <c r="A3834" s="4" t="s">
        <v>8747</v>
      </c>
      <c r="B3834" s="4" t="s">
        <v>8739</v>
      </c>
      <c r="C3834" s="4" t="str">
        <f ca="1">IFERROR(__xludf.DUMMYFUNCTION("GOOGLETRANSLATE(D:D,""auto"",""en"")"),"Visible light of day would like to bid farewell to Li Wenliang")</f>
        <v>Visible light of day would like to bid farewell to Li Wenliang</v>
      </c>
      <c r="D3834" s="5" t="s">
        <v>8748</v>
      </c>
      <c r="E3834" s="4">
        <v>1195483</v>
      </c>
      <c r="F3834">
        <v>1</v>
      </c>
    </row>
    <row r="3835" spans="1:6" ht="13.5" customHeight="1">
      <c r="A3835" s="4" t="s">
        <v>8726</v>
      </c>
      <c r="B3835" s="4" t="s">
        <v>8749</v>
      </c>
      <c r="C3835" s="4" t="str">
        <f ca="1">IFERROR(__xludf.DUMMYFUNCTION("GOOGLETRANSLATE(D:D,""auto"",""en"")"),"Wuhan supply of oxygen tension")</f>
        <v>Wuhan supply of oxygen tension</v>
      </c>
      <c r="D3835" s="5" t="s">
        <v>8750</v>
      </c>
      <c r="E3835" s="4">
        <v>1193113</v>
      </c>
      <c r="F3835">
        <v>1</v>
      </c>
    </row>
    <row r="3836" spans="1:6" ht="13.5" customHeight="1">
      <c r="A3836" s="4" t="s">
        <v>8751</v>
      </c>
      <c r="B3836" s="4" t="s">
        <v>8752</v>
      </c>
      <c r="C3836" s="4" t="str">
        <f ca="1">IFERROR(__xludf.DUMMYFUNCTION("GOOGLETRANSLATE(D:D,""auto"",""en"")"),"Shenzhen closed all district management")</f>
        <v>Shenzhen closed all district management</v>
      </c>
      <c r="D3836" s="5" t="s">
        <v>8753</v>
      </c>
      <c r="E3836" s="4">
        <v>1185063</v>
      </c>
      <c r="F3836">
        <v>1</v>
      </c>
    </row>
    <row r="3837" spans="1:6" ht="13.5" customHeight="1">
      <c r="A3837" s="4" t="s">
        <v>8754</v>
      </c>
      <c r="B3837" s="4" t="s">
        <v>8755</v>
      </c>
      <c r="C3837" s="4" t="str">
        <f ca="1">IFERROR(__xludf.DUMMYFUNCTION("GOOGLETRANSLATE(D:D,""auto"",""en"")"),"16 provinces and one city support a province of Hubei package")</f>
        <v>16 provinces and one city support a province of Hubei package</v>
      </c>
      <c r="D3837" s="5" t="s">
        <v>8756</v>
      </c>
      <c r="E3837" s="4">
        <v>1181699</v>
      </c>
      <c r="F3837">
        <v>1</v>
      </c>
    </row>
    <row r="3838" spans="1:6" ht="13.5" hidden="1" customHeight="1">
      <c r="A3838" s="4" t="s">
        <v>8757</v>
      </c>
      <c r="B3838" s="4" t="s">
        <v>8758</v>
      </c>
      <c r="C3838" s="4" t="str">
        <f ca="1">IFERROR(__xludf.DUMMYFUNCTION("GOOGLETRANSLATE(D:D,""auto"",""en"")"),"Vega mother")</f>
        <v>Vega mother</v>
      </c>
      <c r="D3838" s="5" t="s">
        <v>8759</v>
      </c>
      <c r="E3838" s="4">
        <v>1173873</v>
      </c>
    </row>
    <row r="3839" spans="1:6" ht="13.5" hidden="1" customHeight="1">
      <c r="A3839" s="4" t="s">
        <v>8760</v>
      </c>
      <c r="B3839" s="4" t="s">
        <v>8761</v>
      </c>
      <c r="C3839" s="4" t="str">
        <f ca="1">IFERROR(__xludf.DUMMYFUNCTION("GOOGLETRANSLATE(D:D,""auto"",""en"")"),"Halo")</f>
        <v>Halo</v>
      </c>
      <c r="D3839" s="5" t="s">
        <v>8762</v>
      </c>
      <c r="E3839" s="4">
        <v>1167505</v>
      </c>
    </row>
    <row r="3840" spans="1:6" ht="13.5" hidden="1" customHeight="1">
      <c r="A3840" s="4" t="s">
        <v>8732</v>
      </c>
      <c r="B3840" s="4" t="s">
        <v>8763</v>
      </c>
      <c r="C3840" s="4" t="str">
        <f ca="1">IFERROR(__xludf.DUMMYFUNCTION("GOOGLETRANSLATE(D:D,""auto"",""en"")"),"Yang Mi shallow white wedding style")</f>
        <v>Yang Mi shallow white wedding style</v>
      </c>
      <c r="D3840" s="5" t="s">
        <v>8764</v>
      </c>
      <c r="E3840" s="4">
        <v>1165629</v>
      </c>
    </row>
    <row r="3841" spans="1:6" ht="13.5" hidden="1" customHeight="1">
      <c r="A3841" s="4" t="s">
        <v>8765</v>
      </c>
      <c r="B3841" s="4" t="s">
        <v>8766</v>
      </c>
      <c r="C3841" s="4" t="str">
        <f ca="1">IFERROR(__xludf.DUMMYFUNCTION("GOOGLETRANSLATE(D:D,""auto"",""en"")"),"Australian fire aftermath")</f>
        <v>Australian fire aftermath</v>
      </c>
      <c r="D3841" s="5" t="s">
        <v>8767</v>
      </c>
      <c r="E3841" s="4">
        <v>1041509</v>
      </c>
    </row>
    <row r="3842" spans="1:6" ht="13.5" customHeight="1">
      <c r="A3842" s="4" t="s">
        <v>8768</v>
      </c>
      <c r="B3842" s="4" t="s">
        <v>8769</v>
      </c>
      <c r="C3842" s="4" t="str">
        <f ca="1">IFERROR(__xludf.DUMMYFUNCTION("GOOGLETRANSLATE(D:D,""auto"",""en"")"),"Jinan three generations of six people infected")</f>
        <v>Jinan three generations of six people infected</v>
      </c>
      <c r="D3842" s="5" t="s">
        <v>8770</v>
      </c>
      <c r="E3842" s="4">
        <v>899231</v>
      </c>
      <c r="F3842">
        <v>1</v>
      </c>
    </row>
    <row r="3843" spans="1:6" ht="13.5" hidden="1" customHeight="1">
      <c r="A3843" s="4" t="s">
        <v>286</v>
      </c>
      <c r="B3843" s="4" t="s">
        <v>287</v>
      </c>
      <c r="C3843" s="4" t="str">
        <f ca="1">IFERROR(__xludf.DUMMYFUNCTION("GOOGLETRANSLATE(D:D,""auto"",""en"")"),"Singer when the play")</f>
        <v>Singer when the play</v>
      </c>
      <c r="D3843" s="5" t="s">
        <v>288</v>
      </c>
      <c r="E3843" s="4">
        <v>890113</v>
      </c>
    </row>
    <row r="3844" spans="1:6" ht="13.5" hidden="1" customHeight="1">
      <c r="A3844" s="4" t="s">
        <v>8771</v>
      </c>
      <c r="B3844" s="4" t="s">
        <v>8772</v>
      </c>
      <c r="C3844" s="4" t="str">
        <f ca="1">IFERROR(__xludf.DUMMYFUNCTION("GOOGLETRANSLATE(D:D,""auto"",""en"")"),"Ye Ti offline")</f>
        <v>Ye Ti offline</v>
      </c>
      <c r="D3844" s="5" t="s">
        <v>8773</v>
      </c>
      <c r="E3844" s="4">
        <v>846736</v>
      </c>
    </row>
    <row r="3845" spans="1:6" ht="13.5" hidden="1" customHeight="1">
      <c r="A3845" s="4" t="s">
        <v>8774</v>
      </c>
      <c r="B3845" s="4" t="s">
        <v>8775</v>
      </c>
      <c r="C3845" s="4" t="str">
        <f ca="1">IFERROR(__xludf.DUMMYFUNCTION("GOOGLETRANSLATE(D:D,""auto"",""en"")"),"Zhou Jie donate two kilograms of rice")</f>
        <v>Zhou Jie donate two kilograms of rice</v>
      </c>
      <c r="D3845" s="5" t="s">
        <v>8776</v>
      </c>
      <c r="E3845" s="4">
        <v>728607</v>
      </c>
    </row>
    <row r="3846" spans="1:6" ht="13.5" hidden="1" customHeight="1">
      <c r="A3846" s="4" t="s">
        <v>8777</v>
      </c>
      <c r="B3846" s="4" t="s">
        <v>8721</v>
      </c>
      <c r="C3846" s="4" t="str">
        <f ca="1">IFERROR(__xludf.DUMMYFUNCTION("GOOGLETRANSLATE(D:D,""auto"",""en"")"),"Middle School Teacher homemade fancy broadcast equipment")</f>
        <v>Middle School Teacher homemade fancy broadcast equipment</v>
      </c>
      <c r="D3846" s="5" t="s">
        <v>8778</v>
      </c>
      <c r="E3846" s="4">
        <v>612994</v>
      </c>
    </row>
    <row r="3847" spans="1:6" ht="13.5" customHeight="1">
      <c r="A3847" s="4" t="s">
        <v>8779</v>
      </c>
      <c r="B3847" s="4" t="s">
        <v>8780</v>
      </c>
      <c r="C3847" s="4" t="str">
        <f ca="1">IFERROR(__xludf.DUMMYFUNCTION("GOOGLETRANSLATE(D:D,""auto"",""en"")"),"106 military trucks to transport living materials Wuhan")</f>
        <v>106 military trucks to transport living materials Wuhan</v>
      </c>
      <c r="D3847" s="5" t="s">
        <v>8781</v>
      </c>
      <c r="E3847" s="4">
        <v>607339</v>
      </c>
      <c r="F3847">
        <v>1</v>
      </c>
    </row>
    <row r="3848" spans="1:6" ht="13.5" hidden="1" customHeight="1">
      <c r="A3848" s="4" t="s">
        <v>1209</v>
      </c>
      <c r="B3848" s="4" t="s">
        <v>1210</v>
      </c>
      <c r="C3848" s="4" t="str">
        <f ca="1">IFERROR(__xludf.DUMMYFUNCTION("GOOGLETRANSLATE(D:D,""auto"",""en"")"),"Every day")</f>
        <v>Every day</v>
      </c>
      <c r="D3848" s="5" t="s">
        <v>1211</v>
      </c>
      <c r="E3848" s="4">
        <v>601103</v>
      </c>
    </row>
    <row r="3849" spans="1:6" ht="13.5" hidden="1" customHeight="1">
      <c r="A3849" s="4" t="s">
        <v>8782</v>
      </c>
      <c r="B3849" s="4" t="s">
        <v>8783</v>
      </c>
      <c r="C3849" s="4" t="str">
        <f ca="1">IFERROR(__xludf.DUMMYFUNCTION("GOOGLETRANSLATE(D:D,""auto"",""en"")"),"Misia good to see you now")</f>
        <v>Misia good to see you now</v>
      </c>
      <c r="D3849" s="5" t="s">
        <v>8784</v>
      </c>
      <c r="E3849" s="4">
        <v>593315</v>
      </c>
    </row>
    <row r="3850" spans="1:6" ht="13.5" hidden="1" customHeight="1">
      <c r="A3850" s="4" t="s">
        <v>8785</v>
      </c>
      <c r="B3850" s="4" t="s">
        <v>8786</v>
      </c>
      <c r="C3850" s="4" t="str">
        <f ca="1">IFERROR(__xludf.DUMMYFUNCTION("GOOGLETRANSLATE(D:D,""auto"",""en"")"),"Discussion on the white line")</f>
        <v>Discussion on the white line</v>
      </c>
      <c r="D3850" s="5" t="s">
        <v>8787</v>
      </c>
      <c r="E3850" s="4">
        <v>556655</v>
      </c>
    </row>
    <row r="3851" spans="1:6" ht="13.5" customHeight="1">
      <c r="A3851" s="4" t="s">
        <v>8788</v>
      </c>
      <c r="B3851" s="4" t="s">
        <v>8758</v>
      </c>
      <c r="C3851" s="4" t="str">
        <f ca="1">IFERROR(__xludf.DUMMYFUNCTION("GOOGLETRANSLATE(D:D,""auto"",""en"")"),"Photo understand the new crown pneumonia")</f>
        <v>Photo understand the new crown pneumonia</v>
      </c>
      <c r="D3851" s="5" t="s">
        <v>8789</v>
      </c>
      <c r="E3851" s="4">
        <v>524032</v>
      </c>
      <c r="F3851">
        <v>1</v>
      </c>
    </row>
    <row r="3852" spans="1:6" ht="13.5" hidden="1" customHeight="1">
      <c r="A3852" s="4" t="s">
        <v>8790</v>
      </c>
      <c r="B3852" s="4" t="s">
        <v>8646</v>
      </c>
      <c r="C3852" s="4" t="str">
        <f ca="1">IFERROR(__xludf.DUMMYFUNCTION("GOOGLETRANSLATE(D:D,""auto"",""en"")"),"Hanyu 结弦")</f>
        <v>Hanyu 结弦</v>
      </c>
      <c r="D3852" s="5" t="s">
        <v>8791</v>
      </c>
      <c r="E3852" s="4">
        <v>516279</v>
      </c>
    </row>
    <row r="3853" spans="1:6" ht="13.5" hidden="1" customHeight="1">
      <c r="A3853" s="4" t="s">
        <v>8792</v>
      </c>
      <c r="B3853" s="4" t="s">
        <v>8793</v>
      </c>
      <c r="C3853" s="4" t="str">
        <f ca="1">IFERROR(__xludf.DUMMYFUNCTION("GOOGLETRANSLATE(D:D,""auto"",""en"")"),"Huachen Yu juvenile Jackdaws")</f>
        <v>Huachen Yu juvenile Jackdaws</v>
      </c>
      <c r="D3853" s="5" t="s">
        <v>8794</v>
      </c>
      <c r="E3853" s="4">
        <v>499892</v>
      </c>
    </row>
    <row r="3854" spans="1:6" ht="13.5" customHeight="1">
      <c r="A3854" s="4" t="s">
        <v>8795</v>
      </c>
      <c r="B3854" s="4" t="s">
        <v>8796</v>
      </c>
      <c r="C3854" s="4" t="str">
        <f ca="1">IFERROR(__xludf.DUMMYFUNCTION("GOOGLETRANSLATE(D:D,""auto"",""en"")"),"The supermarket to buy food are gay")</f>
        <v>The supermarket to buy food are gay</v>
      </c>
      <c r="D3854" s="5" t="s">
        <v>8797</v>
      </c>
      <c r="E3854" s="4">
        <v>493080</v>
      </c>
      <c r="F3854">
        <v>1</v>
      </c>
    </row>
    <row r="3855" spans="1:6" ht="13.5" customHeight="1">
      <c r="A3855" s="4" t="s">
        <v>8798</v>
      </c>
      <c r="B3855" s="4" t="s">
        <v>8799</v>
      </c>
      <c r="C3855" s="4" t="str">
        <f ca="1">IFERROR(__xludf.DUMMYFUNCTION("GOOGLETRANSLATE(D:D,""auto"",""en"")"),"1600 protective masks homemade bread box to donate hospital")</f>
        <v>1600 protective masks homemade bread box to donate hospital</v>
      </c>
      <c r="D3855" s="5" t="s">
        <v>8800</v>
      </c>
      <c r="E3855" s="4">
        <v>460184</v>
      </c>
      <c r="F3855">
        <v>1</v>
      </c>
    </row>
    <row r="3856" spans="1:6" ht="13.5" hidden="1" customHeight="1">
      <c r="A3856" s="4" t="s">
        <v>8801</v>
      </c>
      <c r="B3856" s="4" t="s">
        <v>7783</v>
      </c>
      <c r="C3856" s="4" t="str">
        <f ca="1">IFERROR(__xludf.DUMMYFUNCTION("GOOGLETRANSLATE(D:D,""auto"",""en"")"),"Chen Wei")</f>
        <v>Chen Wei</v>
      </c>
      <c r="D3856" s="5" t="s">
        <v>8802</v>
      </c>
      <c r="E3856" s="4">
        <v>444252</v>
      </c>
    </row>
    <row r="3857" spans="1:6" ht="13.5" customHeight="1">
      <c r="A3857" s="4" t="s">
        <v>8803</v>
      </c>
      <c r="B3857" s="4" t="s">
        <v>8804</v>
      </c>
      <c r="C3857" s="4" t="str">
        <f ca="1">IFERROR(__xludf.DUMMYFUNCTION("GOOGLETRANSLATE(D:D,""auto"",""en"")"),"Chengdu closed community management")</f>
        <v>Chengdu closed community management</v>
      </c>
      <c r="D3857" s="5" t="s">
        <v>8805</v>
      </c>
      <c r="E3857" s="4">
        <v>435028</v>
      </c>
      <c r="F3857">
        <v>1</v>
      </c>
    </row>
    <row r="3858" spans="1:6" ht="13.5" customHeight="1">
      <c r="A3858" s="4" t="s">
        <v>8806</v>
      </c>
      <c r="B3858" s="4" t="s">
        <v>8807</v>
      </c>
      <c r="C3858" s="4" t="str">
        <f ca="1">IFERROR(__xludf.DUMMYFUNCTION("GOOGLETRANSLATE(D:D,""auto"",""en"")"),"Person, one retired and sit head is full of talent")</f>
        <v>Person, one retired and sit head is full of talent</v>
      </c>
      <c r="D3858" s="5" t="s">
        <v>8808</v>
      </c>
      <c r="E3858" s="4">
        <v>411787</v>
      </c>
      <c r="F3858">
        <v>1</v>
      </c>
    </row>
    <row r="3859" spans="1:6" ht="13.5" customHeight="1">
      <c r="A3859" s="4" t="s">
        <v>8809</v>
      </c>
      <c r="B3859" s="4" t="s">
        <v>8810</v>
      </c>
      <c r="C3859" s="4" t="str">
        <f ca="1">IFERROR(__xludf.DUMMYFUNCTION("GOOGLETRANSLATE(D:D,""auto"",""en"")"),"Guangdong school is not school before the end of February")</f>
        <v>Guangdong school is not school before the end of February</v>
      </c>
      <c r="D3859" s="5" t="s">
        <v>8811</v>
      </c>
      <c r="E3859" s="4">
        <v>384734</v>
      </c>
      <c r="F3859">
        <v>1</v>
      </c>
    </row>
    <row r="3860" spans="1:6" ht="13.5" hidden="1" customHeight="1">
      <c r="A3860" s="4" t="s">
        <v>8812</v>
      </c>
      <c r="B3860" s="4" t="s">
        <v>8813</v>
      </c>
      <c r="C3860" s="4" t="str">
        <f ca="1">IFERROR(__xludf.DUMMYFUNCTION("GOOGLETRANSLATE(D:D,""auto"",""en"")"),"The most wonderful eating dumplings")</f>
        <v>The most wonderful eating dumplings</v>
      </c>
      <c r="D3860" s="5" t="s">
        <v>8814</v>
      </c>
      <c r="E3860" s="4">
        <v>369143</v>
      </c>
    </row>
    <row r="3861" spans="1:6" ht="13.5" customHeight="1">
      <c r="A3861" s="4" t="s">
        <v>8815</v>
      </c>
      <c r="B3861" s="4" t="s">
        <v>8816</v>
      </c>
      <c r="C3861" s="4" t="str">
        <f ca="1">IFERROR(__xludf.DUMMYFUNCTION("GOOGLETRANSLATE(D:D,""auto"",""en"")"),"Vulcan Hill Hospital eat three meals a day")</f>
        <v>Vulcan Hill Hospital eat three meals a day</v>
      </c>
      <c r="D3861" s="5" t="s">
        <v>8817</v>
      </c>
      <c r="E3861" s="4">
        <v>350258</v>
      </c>
      <c r="F3861">
        <v>1</v>
      </c>
    </row>
    <row r="3862" spans="1:6" ht="13.5" hidden="1" customHeight="1">
      <c r="A3862" s="4" t="s">
        <v>8818</v>
      </c>
      <c r="B3862" s="4" t="s">
        <v>8819</v>
      </c>
      <c r="C3862" s="4" t="str">
        <f ca="1">IFERROR(__xludf.DUMMYFUNCTION("GOOGLETRANSLATE(D:D,""auto"",""en"")"),"Yuzuru Hanyu 19th world record")</f>
        <v>Yuzuru Hanyu 19th world record</v>
      </c>
      <c r="D3862" s="5" t="s">
        <v>8820</v>
      </c>
      <c r="E3862" s="4">
        <v>348291</v>
      </c>
    </row>
    <row r="3863" spans="1:6" ht="13.5" customHeight="1">
      <c r="A3863" s="4" t="s">
        <v>8821</v>
      </c>
      <c r="B3863" s="4" t="s">
        <v>8822</v>
      </c>
      <c r="C3863" s="4" t="str">
        <f ca="1">IFERROR(__xludf.DUMMYFUNCTION("GOOGLETRANSLATE(D:D,""auto"",""en"")"),"Anhui school not opening before the end of February")</f>
        <v>Anhui school not opening before the end of February</v>
      </c>
      <c r="D3863" s="5" t="s">
        <v>8823</v>
      </c>
      <c r="E3863" s="4">
        <v>346906</v>
      </c>
      <c r="F3863">
        <v>1</v>
      </c>
    </row>
    <row r="3864" spans="1:6" ht="13.5" customHeight="1">
      <c r="A3864" s="4" t="s">
        <v>8824</v>
      </c>
      <c r="B3864" s="4" t="s">
        <v>8825</v>
      </c>
      <c r="C3864" s="4" t="str">
        <f ca="1">IFERROR(__xludf.DUMMYFUNCTION("GOOGLETRANSLATE(D:D,""auto"",""en"")"),"Tokyo Olympic Games will not be canceled due to the outbreak")</f>
        <v>Tokyo Olympic Games will not be canceled due to the outbreak</v>
      </c>
      <c r="D3864" s="5" t="s">
        <v>8826</v>
      </c>
      <c r="E3864" s="4">
        <v>343622</v>
      </c>
      <c r="F3864">
        <v>1</v>
      </c>
    </row>
    <row r="3865" spans="1:6" ht="13.5" customHeight="1">
      <c r="A3865" s="4" t="s">
        <v>8827</v>
      </c>
      <c r="B3865" s="4" t="s">
        <v>8822</v>
      </c>
      <c r="C3865" s="4" t="str">
        <f ca="1">IFERROR(__xludf.DUMMYFUNCTION("GOOGLETRANSLATE(D:D,""auto"",""en"")"),"How do protection rework tide")</f>
        <v>How do protection rework tide</v>
      </c>
      <c r="D3865" s="5" t="s">
        <v>8828</v>
      </c>
      <c r="E3865" s="4">
        <v>338845</v>
      </c>
      <c r="F3865">
        <v>1</v>
      </c>
    </row>
    <row r="3866" spans="1:6" ht="13.5" customHeight="1">
      <c r="A3866" s="4" t="s">
        <v>8829</v>
      </c>
      <c r="B3866" s="4" t="s">
        <v>8830</v>
      </c>
      <c r="C3866" s="4" t="str">
        <f ca="1">IFERROR(__xludf.DUMMYFUNCTION("GOOGLETRANSLATE(D:D,""auto"",""en"")"),"Wuhan will cooperate with the investigation team investigated Li Wenliang event")</f>
        <v>Wuhan will cooperate with the investigation team investigated Li Wenliang event</v>
      </c>
      <c r="D3866" s="5" t="s">
        <v>8831</v>
      </c>
      <c r="E3866" s="4">
        <v>332307</v>
      </c>
      <c r="F3866">
        <v>1</v>
      </c>
    </row>
    <row r="3867" spans="1:6" ht="13.5" customHeight="1">
      <c r="A3867" s="4" t="s">
        <v>8832</v>
      </c>
      <c r="B3867" s="4" t="s">
        <v>8830</v>
      </c>
      <c r="C3867" s="4" t="str">
        <f ca="1">IFERROR(__xludf.DUMMYFUNCTION("GOOGLETRANSLATE(D:D,""auto"",""en"")"),"The Ministry of Education requires strict control school gates")</f>
        <v>The Ministry of Education requires strict control school gates</v>
      </c>
      <c r="D3867" s="5" t="s">
        <v>8833</v>
      </c>
      <c r="E3867" s="4">
        <v>328479</v>
      </c>
      <c r="F3867">
        <v>1</v>
      </c>
    </row>
    <row r="3868" spans="1:6" ht="13.5" customHeight="1">
      <c r="A3868" s="4" t="s">
        <v>8834</v>
      </c>
      <c r="B3868" s="4" t="s">
        <v>8835</v>
      </c>
      <c r="C3868" s="4" t="str">
        <f ca="1">IFERROR(__xludf.DUMMYFUNCTION("GOOGLETRANSLATE(D:D,""auto"",""en"")"),"Raytheon building Quanji Lu Shan 12 days")</f>
        <v>Raytheon building Quanji Lu Shan 12 days</v>
      </c>
      <c r="D3868" s="5" t="s">
        <v>8836</v>
      </c>
      <c r="E3868" s="4">
        <v>317355</v>
      </c>
      <c r="F3868">
        <v>1</v>
      </c>
    </row>
    <row r="3869" spans="1:6" ht="13.5" customHeight="1">
      <c r="A3869" s="4" t="s">
        <v>8837</v>
      </c>
      <c r="B3869" s="4" t="s">
        <v>8838</v>
      </c>
      <c r="C3869" s="4" t="str">
        <f ca="1">IFERROR(__xludf.DUMMYFUNCTION("GOOGLETRANSLATE(D:D,""auto"",""en"")"),"Doctor Hu Ming crying laughing")</f>
        <v>Doctor Hu Ming crying laughing</v>
      </c>
      <c r="D3869" s="5" t="s">
        <v>8839</v>
      </c>
      <c r="E3869" s="4">
        <v>316671</v>
      </c>
      <c r="F3869">
        <v>1</v>
      </c>
    </row>
    <row r="3870" spans="1:6" ht="13.5" customHeight="1">
      <c r="A3870" s="4" t="s">
        <v>8840</v>
      </c>
      <c r="B3870" s="4" t="s">
        <v>8841</v>
      </c>
      <c r="C3870" s="4" t="str">
        <f ca="1">IFERROR(__xludf.DUMMYFUNCTION("GOOGLETRANSLATE(D:D,""auto"",""en"")"),"Downstairs boss implementation of closed-door sales")</f>
        <v>Downstairs boss implementation of closed-door sales</v>
      </c>
      <c r="D3870" s="5" t="s">
        <v>8842</v>
      </c>
      <c r="E3870" s="4">
        <v>305404</v>
      </c>
      <c r="F3870">
        <v>1</v>
      </c>
    </row>
    <row r="3871" spans="1:6" ht="13.5" customHeight="1">
      <c r="A3871" s="4" t="s">
        <v>8837</v>
      </c>
      <c r="B3871" s="4" t="s">
        <v>8843</v>
      </c>
      <c r="C3871" s="4" t="str">
        <f ca="1">IFERROR(__xludf.DUMMYFUNCTION("GOOGLETRANSLATE(D:D,""auto"",""en"")"),"Doctor Xu Hui Nanjing fight against SARS death")</f>
        <v>Doctor Xu Hui Nanjing fight against SARS death</v>
      </c>
      <c r="D3871" s="5" t="s">
        <v>8844</v>
      </c>
      <c r="E3871" s="4">
        <v>295212</v>
      </c>
      <c r="F3871">
        <v>1</v>
      </c>
    </row>
    <row r="3872" spans="1:6" ht="13.5" customHeight="1">
      <c r="A3872" s="4" t="s">
        <v>8845</v>
      </c>
      <c r="B3872" s="4" t="s">
        <v>8724</v>
      </c>
      <c r="C3872" s="4" t="str">
        <f ca="1">IFERROR(__xludf.DUMMYFUNCTION("GOOGLETRANSLATE(D:D,""auto"",""en"")"),"Wuhan citizens flowers in memory of Li Wenliang")</f>
        <v>Wuhan citizens flowers in memory of Li Wenliang</v>
      </c>
      <c r="D3872" s="5" t="s">
        <v>8846</v>
      </c>
      <c r="E3872" s="4">
        <v>290057</v>
      </c>
      <c r="F3872">
        <v>1</v>
      </c>
    </row>
    <row r="3873" spans="1:6" ht="13.5" hidden="1" customHeight="1">
      <c r="C3873" s="4" t="str">
        <f ca="1">IFERROR(__xludf.DUMMYFUNCTION("GOOGLETRANSLATE(D:D,""auto"",""en"")"),"#VALUE!")</f>
        <v>#VALUE!</v>
      </c>
    </row>
    <row r="3874" spans="1:6" ht="13.5" customHeight="1">
      <c r="A3874" s="4" t="s">
        <v>8847</v>
      </c>
      <c r="B3874" s="4" t="s">
        <v>8848</v>
      </c>
      <c r="C3874" s="4" t="str">
        <f ca="1">IFERROR(__xludf.DUMMYFUNCTION("GOOGLETRANSLATE(D:D,""auto"",""en"")"),"Throat infection occurs nucleic acid detection yin")</f>
        <v>Throat infection occurs nucleic acid detection yin</v>
      </c>
      <c r="D3874" s="4" t="s">
        <v>8849</v>
      </c>
      <c r="E3874" s="4">
        <v>5098374</v>
      </c>
      <c r="F3874">
        <v>1</v>
      </c>
    </row>
    <row r="3875" spans="1:6" ht="13.5" customHeight="1">
      <c r="A3875" s="4" t="s">
        <v>8850</v>
      </c>
      <c r="B3875" s="4" t="s">
        <v>8851</v>
      </c>
      <c r="C3875" s="4" t="str">
        <f ca="1">IFERROR(__xludf.DUMMYFUNCTION("GOOGLETRANSLATE(D:D,""auto"",""en"")"),"Wang Hesheng any of the Hubei Provincial Committee")</f>
        <v>Wang Hesheng any of the Hubei Provincial Committee</v>
      </c>
      <c r="D3875" s="5" t="s">
        <v>8852</v>
      </c>
      <c r="E3875" s="4">
        <v>4172124</v>
      </c>
      <c r="F3875">
        <v>1</v>
      </c>
    </row>
    <row r="3876" spans="1:6" ht="13.5" customHeight="1">
      <c r="A3876" s="4" t="s">
        <v>8853</v>
      </c>
      <c r="B3876" s="4" t="s">
        <v>8854</v>
      </c>
      <c r="C3876" s="4" t="str">
        <f ca="1">IFERROR(__xludf.DUMMYFUNCTION("GOOGLETRANSLATE(D:D,""auto"",""en"")"),"Masks and respirators global reserve shortage")</f>
        <v>Masks and respirators global reserve shortage</v>
      </c>
      <c r="D3876" s="5" t="s">
        <v>8855</v>
      </c>
      <c r="E3876" s="4">
        <v>2309772</v>
      </c>
      <c r="F3876">
        <v>1</v>
      </c>
    </row>
    <row r="3877" spans="1:6" ht="13.5" customHeight="1">
      <c r="A3877" s="4" t="s">
        <v>8856</v>
      </c>
      <c r="B3877" s="4" t="s">
        <v>8857</v>
      </c>
      <c r="C3877" s="4" t="str">
        <f ca="1">IFERROR(__xludf.DUMMYFUNCTION("GOOGLETRANSLATE(D:D,""auto"",""en"")"),"Heilongjiang an N95 disposable medical masks change 5")</f>
        <v>Heilongjiang an N95 disposable medical masks change 5</v>
      </c>
      <c r="D3877" s="5" t="s">
        <v>8858</v>
      </c>
      <c r="E3877" s="4">
        <v>1291747</v>
      </c>
      <c r="F3877">
        <v>1</v>
      </c>
    </row>
    <row r="3878" spans="1:6" ht="13.5" customHeight="1">
      <c r="A3878" s="4" t="s">
        <v>8859</v>
      </c>
      <c r="B3878" s="4" t="s">
        <v>8860</v>
      </c>
      <c r="C3878" s="4" t="str">
        <f ca="1">IFERROR(__xludf.DUMMYFUNCTION("GOOGLETRANSLATE(D:D,""auto"",""en"")"),"Wuhan citizens to stay outside the province started back to the Han arrangements")</f>
        <v>Wuhan citizens to stay outside the province started back to the Han arrangements</v>
      </c>
      <c r="D3878" s="5" t="s">
        <v>8861</v>
      </c>
      <c r="E3878" s="4">
        <v>1254810</v>
      </c>
      <c r="F3878">
        <v>1</v>
      </c>
    </row>
    <row r="3879" spans="1:6" ht="13.5" hidden="1" customHeight="1">
      <c r="A3879" s="4" t="s">
        <v>8859</v>
      </c>
      <c r="B3879" s="4" t="s">
        <v>8862</v>
      </c>
      <c r="C3879" s="4" t="str">
        <f ca="1">IFERROR(__xludf.DUMMYFUNCTION("GOOGLETRANSLATE(D:D,""auto"",""en"")"),"Bryant preliminary report on the crash")</f>
        <v>Bryant preliminary report on the crash</v>
      </c>
      <c r="D3879" s="5" t="s">
        <v>8863</v>
      </c>
      <c r="E3879" s="4">
        <v>1055168</v>
      </c>
    </row>
    <row r="3880" spans="1:6" ht="13.5" customHeight="1">
      <c r="A3880" s="4" t="s">
        <v>8864</v>
      </c>
      <c r="B3880" s="4" t="s">
        <v>8865</v>
      </c>
      <c r="C3880" s="4" t="str">
        <f ca="1">IFERROR(__xludf.DUMMYFUNCTION("GOOGLETRANSLATE(D:D,""auto"",""en"")"),"The national total of 34,546 cases diagnosed pneumonia new")</f>
        <v>The national total of 34,546 cases diagnosed pneumonia new</v>
      </c>
      <c r="D3880" s="5" t="s">
        <v>8866</v>
      </c>
      <c r="E3880" s="4">
        <v>1030611</v>
      </c>
      <c r="F3880">
        <v>1</v>
      </c>
    </row>
    <row r="3881" spans="1:6" ht="13.5" customHeight="1">
      <c r="A3881" s="4" t="s">
        <v>8867</v>
      </c>
      <c r="B3881" s="4" t="s">
        <v>8868</v>
      </c>
      <c r="C3881" s="4" t="str">
        <f ca="1">IFERROR(__xludf.DUMMYFUNCTION("GOOGLETRANSLATE(D:D,""auto"",""en"")"),"Ministry of Public Security Traffic Management Bureau as soon as possible to restore normal traffic")</f>
        <v>Ministry of Public Security Traffic Management Bureau as soon as possible to restore normal traffic</v>
      </c>
      <c r="D3881" s="5" t="s">
        <v>8869</v>
      </c>
      <c r="E3881" s="4">
        <v>956129</v>
      </c>
      <c r="F3881">
        <v>1</v>
      </c>
    </row>
    <row r="3882" spans="1:6" ht="13.5" hidden="1" customHeight="1">
      <c r="A3882" s="4" t="s">
        <v>8870</v>
      </c>
      <c r="B3882" s="4" t="s">
        <v>8871</v>
      </c>
      <c r="C3882" s="4" t="str">
        <f ca="1">IFERROR(__xludf.DUMMYFUNCTION("GOOGLETRANSLATE(D:D,""auto"",""en"")"),"Lantern festival")</f>
        <v>Lantern festival</v>
      </c>
      <c r="D3882" s="5" t="s">
        <v>8872</v>
      </c>
      <c r="E3882" s="4">
        <v>916359</v>
      </c>
    </row>
    <row r="3883" spans="1:6" ht="13.5" customHeight="1">
      <c r="A3883" s="4" t="s">
        <v>5803</v>
      </c>
      <c r="B3883" s="4" t="s">
        <v>5804</v>
      </c>
      <c r="C3883" s="4" t="str">
        <f ca="1">IFERROR(__xludf.DUMMYFUNCTION("GOOGLETRANSLATE(D:D,""auto"",""en"")"),"The latest outbreak Map")</f>
        <v>The latest outbreak Map</v>
      </c>
      <c r="D3883" s="5" t="s">
        <v>5805</v>
      </c>
      <c r="E3883" s="4">
        <v>849289</v>
      </c>
      <c r="F3883">
        <v>1</v>
      </c>
    </row>
    <row r="3884" spans="1:6" ht="13.5" hidden="1" customHeight="1">
      <c r="A3884" s="4" t="s">
        <v>8873</v>
      </c>
      <c r="B3884" s="4" t="s">
        <v>8874</v>
      </c>
      <c r="C3884" s="4" t="str">
        <f ca="1">IFERROR(__xludf.DUMMYFUNCTION("GOOGLETRANSLATE(D:D,""auto"",""en"")"),"Dumpling")</f>
        <v>Dumpling</v>
      </c>
      <c r="D3884" s="5" t="s">
        <v>8875</v>
      </c>
      <c r="E3884" s="4">
        <v>816678</v>
      </c>
    </row>
    <row r="3885" spans="1:6" ht="13.5" customHeight="1">
      <c r="A3885" s="4" t="s">
        <v>8876</v>
      </c>
      <c r="B3885" s="4" t="s">
        <v>8827</v>
      </c>
      <c r="C3885" s="4" t="str">
        <f ca="1">IFERROR(__xludf.DUMMYFUNCTION("GOOGLETRANSLATE(D:D,""auto"",""en"")"),"Hubei new cases outside a fall of four days")</f>
        <v>Hubei new cases outside a fall of four days</v>
      </c>
      <c r="D3885" s="5" t="s">
        <v>8877</v>
      </c>
      <c r="E3885" s="4">
        <v>814785</v>
      </c>
      <c r="F3885">
        <v>1</v>
      </c>
    </row>
    <row r="3886" spans="1:6" ht="13.5" customHeight="1">
      <c r="A3886" s="4" t="s">
        <v>8720</v>
      </c>
      <c r="B3886" s="4" t="s">
        <v>8721</v>
      </c>
      <c r="C3886" s="4" t="str">
        <f ca="1">IFERROR(__xludf.DUMMYFUNCTION("GOOGLETRANSLATE(D:D,""auto"",""en"")"),"To arrange time off work during the Spring Festival to extend the fake")</f>
        <v>To arrange time off work during the Spring Festival to extend the fake</v>
      </c>
      <c r="D3886" s="5" t="s">
        <v>8722</v>
      </c>
      <c r="E3886" s="4">
        <v>807479</v>
      </c>
      <c r="F3886">
        <v>1</v>
      </c>
    </row>
    <row r="3887" spans="1:6" ht="13.5" customHeight="1">
      <c r="A3887" s="4" t="s">
        <v>8878</v>
      </c>
      <c r="B3887" s="4" t="s">
        <v>8879</v>
      </c>
      <c r="C3887" s="4" t="str">
        <f ca="1">IFERROR(__xludf.DUMMYFUNCTION("GOOGLETRANSLATE(D:D,""auto"",""en"")"),"Hubei presents current epidemic situation spread to rural cities")</f>
        <v>Hubei presents current epidemic situation spread to rural cities</v>
      </c>
      <c r="D3887" s="5" t="s">
        <v>8880</v>
      </c>
      <c r="E3887" s="4">
        <v>804837</v>
      </c>
      <c r="F3887">
        <v>1</v>
      </c>
    </row>
    <row r="3888" spans="1:6" ht="13.5" customHeight="1">
      <c r="A3888" s="4" t="s">
        <v>8881</v>
      </c>
      <c r="B3888" s="4" t="s">
        <v>8882</v>
      </c>
      <c r="C3888" s="4" t="str">
        <f ca="1">IFERROR(__xludf.DUMMYFUNCTION("GOOGLETRANSLATE(D:D,""auto"",""en"")"),"Surgical masks daily output of over 14 million")</f>
        <v>Surgical masks daily output of over 14 million</v>
      </c>
      <c r="D3888" s="5" t="s">
        <v>8883</v>
      </c>
      <c r="E3888" s="4">
        <v>801348</v>
      </c>
      <c r="F3888">
        <v>1</v>
      </c>
    </row>
    <row r="3889" spans="1:6" ht="13.5" hidden="1" customHeight="1">
      <c r="A3889" s="4" t="s">
        <v>8884</v>
      </c>
      <c r="B3889" s="4" t="s">
        <v>8885</v>
      </c>
      <c r="C3889" s="4" t="str">
        <f ca="1">IFERROR(__xludf.DUMMYFUNCTION("GOOGLETRANSLATE(D:D,""auto"",""en"")"),"Tang Yan")</f>
        <v>Tang Yan</v>
      </c>
      <c r="D3889" s="5" t="s">
        <v>8886</v>
      </c>
      <c r="E3889" s="4">
        <v>793400</v>
      </c>
    </row>
    <row r="3890" spans="1:6" ht="13.5" hidden="1" customHeight="1">
      <c r="A3890" s="4" t="s">
        <v>8887</v>
      </c>
      <c r="B3890" s="4" t="s">
        <v>8829</v>
      </c>
      <c r="C3890" s="4" t="str">
        <f ca="1">IFERROR(__xludf.DUMMYFUNCTION("GOOGLETRANSLATE(D:D,""auto"",""en"")"),"Apple was fined 25 million euros")</f>
        <v>Apple was fined 25 million euros</v>
      </c>
      <c r="D3890" s="5" t="s">
        <v>8888</v>
      </c>
      <c r="E3890" s="4">
        <v>788411</v>
      </c>
    </row>
    <row r="3891" spans="1:6" ht="13.5" customHeight="1">
      <c r="A3891" s="4" t="s">
        <v>8889</v>
      </c>
      <c r="B3891" s="4" t="s">
        <v>8788</v>
      </c>
      <c r="C3891" s="4" t="str">
        <f ca="1">IFERROR(__xludf.DUMMYFUNCTION("GOOGLETRANSLATE(D:D,""auto"",""en"")"),"When the teacher to adapt to live")</f>
        <v>When the teacher to adapt to live</v>
      </c>
      <c r="D3891" s="5" t="s">
        <v>8890</v>
      </c>
      <c r="E3891" s="4">
        <v>783243</v>
      </c>
      <c r="F3891">
        <v>1</v>
      </c>
    </row>
    <row r="3892" spans="1:6" ht="13.5" customHeight="1">
      <c r="A3892" s="4" t="s">
        <v>8891</v>
      </c>
      <c r="B3892" s="4" t="s">
        <v>8892</v>
      </c>
      <c r="C3892" s="4" t="str">
        <f ca="1">IFERROR(__xludf.DUMMYFUNCTION("GOOGLETRANSLATE(D:D,""auto"",""en"")"),"Beijing now 2 deaths")</f>
        <v>Beijing now 2 deaths</v>
      </c>
      <c r="D3892" s="5" t="s">
        <v>8893</v>
      </c>
      <c r="E3892" s="4">
        <v>778602</v>
      </c>
      <c r="F3892">
        <v>1</v>
      </c>
    </row>
    <row r="3893" spans="1:6" ht="13.5" customHeight="1">
      <c r="A3893" s="4" t="s">
        <v>8894</v>
      </c>
      <c r="B3893" s="4" t="s">
        <v>8892</v>
      </c>
      <c r="C3893" s="4" t="str">
        <f ca="1">IFERROR(__xludf.DUMMYFUNCTION("GOOGLETRANSLATE(D:D,""auto"",""en"")"),"Pull tight critically ill patients the doctor's hand after extubation")</f>
        <v>Pull tight critically ill patients the doctor's hand after extubation</v>
      </c>
      <c r="D3893" s="5" t="s">
        <v>8895</v>
      </c>
      <c r="E3893" s="4">
        <v>773999</v>
      </c>
      <c r="F3893">
        <v>1</v>
      </c>
    </row>
    <row r="3894" spans="1:6" ht="13.5" hidden="1" customHeight="1">
      <c r="A3894" s="4" t="s">
        <v>8896</v>
      </c>
      <c r="B3894" s="4" t="s">
        <v>8897</v>
      </c>
      <c r="C3894" s="4" t="str">
        <f ca="1">IFERROR(__xludf.DUMMYFUNCTION("GOOGLETRANSLATE(D:D,""auto"",""en"")"),"Wang Yuan fried steak")</f>
        <v>Wang Yuan fried steak</v>
      </c>
      <c r="D3894" s="5" t="s">
        <v>8898</v>
      </c>
      <c r="E3894" s="4">
        <v>769577</v>
      </c>
    </row>
    <row r="3895" spans="1:6" ht="13.5" hidden="1" customHeight="1">
      <c r="A3895" s="4" t="s">
        <v>7111</v>
      </c>
      <c r="B3895" s="4" t="s">
        <v>7112</v>
      </c>
      <c r="C3895" s="4" t="str">
        <f ca="1">IFERROR(__xludf.DUMMYFUNCTION("GOOGLETRANSLATE(D:D,""auto"",""en"")"),"NetEase carefully selected collapse")</f>
        <v>NetEase carefully selected collapse</v>
      </c>
      <c r="D3895" s="5" t="s">
        <v>7113</v>
      </c>
      <c r="E3895" s="4">
        <v>764774</v>
      </c>
    </row>
    <row r="3896" spans="1:6" ht="13.5" hidden="1" customHeight="1">
      <c r="A3896" s="4" t="s">
        <v>8899</v>
      </c>
      <c r="B3896" s="4" t="s">
        <v>8771</v>
      </c>
      <c r="C3896" s="4" t="str">
        <f ca="1">IFERROR(__xludf.DUMMYFUNCTION("GOOGLETRANSLATE(D:D,""auto"",""en"")"),"Huang Xiaoyun hair is not easy to surprise")</f>
        <v>Huang Xiaoyun hair is not easy to surprise</v>
      </c>
      <c r="D3896" s="5" t="s">
        <v>8900</v>
      </c>
      <c r="E3896" s="4">
        <v>761453</v>
      </c>
    </row>
    <row r="3897" spans="1:6" ht="13.5" hidden="1" customHeight="1">
      <c r="A3897" s="4" t="s">
        <v>8901</v>
      </c>
      <c r="B3897" s="4" t="s">
        <v>8902</v>
      </c>
      <c r="C3897" s="4" t="str">
        <f ca="1">IFERROR(__xludf.DUMMYFUNCTION("GOOGLETRANSLATE(D:D,""auto"",""en"")"),"Chen Yi-hsin")</f>
        <v>Chen Yi-hsin</v>
      </c>
      <c r="D3897" s="5" t="s">
        <v>8903</v>
      </c>
      <c r="E3897" s="4">
        <v>757737</v>
      </c>
    </row>
    <row r="3898" spans="1:6" ht="13.5" customHeight="1">
      <c r="A3898" s="4" t="s">
        <v>8904</v>
      </c>
      <c r="B3898" s="4" t="s">
        <v>8848</v>
      </c>
      <c r="C3898" s="4" t="str">
        <f ca="1">IFERROR(__xludf.DUMMYFUNCTION("GOOGLETRANSLATE(D:D,""auto"",""en"")"),"Parents recalled Li Wenliang")</f>
        <v>Parents recalled Li Wenliang</v>
      </c>
      <c r="D3898" s="5" t="s">
        <v>8905</v>
      </c>
      <c r="E3898" s="4">
        <v>753247</v>
      </c>
      <c r="F3898">
        <v>1</v>
      </c>
    </row>
    <row r="3899" spans="1:6" ht="13.5" customHeight="1">
      <c r="A3899" s="4" t="s">
        <v>8906</v>
      </c>
      <c r="B3899" s="4" t="s">
        <v>8777</v>
      </c>
      <c r="C3899" s="4" t="str">
        <f ca="1">IFERROR(__xludf.DUMMYFUNCTION("GOOGLETRANSLATE(D:D,""auto"",""en"")"),"After the 90 girls colonization doctors take Inn")</f>
        <v>After the 90 girls colonization doctors take Inn</v>
      </c>
      <c r="D3899" s="5" t="s">
        <v>8907</v>
      </c>
      <c r="E3899" s="4">
        <v>708871</v>
      </c>
      <c r="F3899">
        <v>1</v>
      </c>
    </row>
    <row r="3900" spans="1:6" ht="13.5" hidden="1" customHeight="1">
      <c r="A3900" s="4" t="s">
        <v>8908</v>
      </c>
      <c r="B3900" s="4" t="s">
        <v>8909</v>
      </c>
      <c r="C3900" s="4" t="str">
        <f ca="1">IFERROR(__xludf.DUMMYFUNCTION("GOOGLETRANSLATE(D:D,""auto"",""en"")"),"Li Xiao Zhan Sui Ping")</f>
        <v>Li Xiao Zhan Sui Ping</v>
      </c>
      <c r="D3900" s="5" t="s">
        <v>8910</v>
      </c>
      <c r="E3900" s="4">
        <v>675488</v>
      </c>
    </row>
    <row r="3901" spans="1:6" ht="13.5" hidden="1" customHeight="1">
      <c r="A3901" s="4" t="s">
        <v>8911</v>
      </c>
      <c r="B3901" s="4" t="s">
        <v>8912</v>
      </c>
      <c r="C3901" s="4" t="str">
        <f ca="1">IFERROR(__xludf.DUMMYFUNCTION("GOOGLETRANSLATE(D:D,""auto"",""en"")"),"Takeshi Kitano remarry")</f>
        <v>Takeshi Kitano remarry</v>
      </c>
      <c r="D3901" s="5" t="s">
        <v>8913</v>
      </c>
      <c r="E3901" s="4">
        <v>560013</v>
      </c>
    </row>
    <row r="3902" spans="1:6" ht="13.5" hidden="1" customHeight="1">
      <c r="A3902" s="4" t="s">
        <v>8914</v>
      </c>
      <c r="B3902" s="4" t="s">
        <v>8915</v>
      </c>
      <c r="C3902" s="4" t="str">
        <f ca="1">IFERROR(__xludf.DUMMYFUNCTION("GOOGLETRANSLATE(D:D,""auto"",""en"")"),"Zhen Ji new skin")</f>
        <v>Zhen Ji new skin</v>
      </c>
      <c r="D3902" s="5" t="s">
        <v>8916</v>
      </c>
      <c r="E3902" s="4">
        <v>489638</v>
      </c>
    </row>
    <row r="3903" spans="1:6" ht="13.5" customHeight="1">
      <c r="A3903" s="4" t="s">
        <v>8917</v>
      </c>
      <c r="B3903" s="4" t="s">
        <v>8918</v>
      </c>
      <c r="C3903" s="4" t="str">
        <f ca="1">IFERROR(__xludf.DUMMYFUNCTION("GOOGLETRANSLATE(D:D,""auto"",""en"")"),"Now see the side of love making life difficult")</f>
        <v>Now see the side of love making life difficult</v>
      </c>
      <c r="D3903" s="5" t="s">
        <v>8919</v>
      </c>
      <c r="E3903" s="4">
        <v>489196</v>
      </c>
      <c r="F3903">
        <v>1</v>
      </c>
    </row>
    <row r="3904" spans="1:6" ht="13.5" customHeight="1">
      <c r="A3904" s="4" t="s">
        <v>8920</v>
      </c>
      <c r="B3904" s="4" t="s">
        <v>8921</v>
      </c>
      <c r="C3904" s="4" t="str">
        <f ca="1">IFERROR(__xludf.DUMMYFUNCTION("GOOGLETRANSLATE(D:D,""auto"",""en"")"),"The doctor infected with the new virus selfie about the crown Struggle")</f>
        <v>The doctor infected with the new virus selfie about the crown Struggle</v>
      </c>
      <c r="D3904" s="5" t="s">
        <v>8922</v>
      </c>
      <c r="E3904" s="4">
        <v>484110</v>
      </c>
      <c r="F3904">
        <v>1</v>
      </c>
    </row>
    <row r="3905" spans="1:6" ht="13.5" customHeight="1">
      <c r="A3905" s="4" t="s">
        <v>8923</v>
      </c>
      <c r="B3905" s="4" t="s">
        <v>8924</v>
      </c>
      <c r="C3905" s="4" t="str">
        <f ca="1">IFERROR(__xludf.DUMMYFUNCTION("GOOGLETRANSLATE(D:D,""auto"",""en"")"),"Shandong and Sichuan teams encounter each other a refueling airport")</f>
        <v>Shandong and Sichuan teams encounter each other a refueling airport</v>
      </c>
      <c r="D3905" s="5" t="s">
        <v>8925</v>
      </c>
      <c r="E3905" s="4">
        <v>377184</v>
      </c>
      <c r="F3905">
        <v>1</v>
      </c>
    </row>
    <row r="3906" spans="1:6" ht="13.5" hidden="1" customHeight="1">
      <c r="A3906" s="4" t="s">
        <v>6108</v>
      </c>
      <c r="B3906" s="4" t="s">
        <v>6109</v>
      </c>
      <c r="C3906" s="4" t="str">
        <f ca="1">IFERROR(__xludf.DUMMYFUNCTION("GOOGLETRANSLATE(D:D,""auto"",""en"")"),"The next stop is happy")</f>
        <v>The next stop is happy</v>
      </c>
      <c r="D3906" s="5" t="s">
        <v>6110</v>
      </c>
      <c r="E3906" s="4">
        <v>347771</v>
      </c>
    </row>
    <row r="3907" spans="1:6" ht="13.5" hidden="1" customHeight="1">
      <c r="A3907" s="4" t="s">
        <v>8926</v>
      </c>
      <c r="B3907" s="4" t="s">
        <v>8927</v>
      </c>
      <c r="C3907" s="4" t="str">
        <f ca="1">IFERROR(__xludf.DUMMYFUNCTION("GOOGLETRANSLATE(D:D,""auto"",""en"")"),"Yu Kam delay of the hand piece")</f>
        <v>Yu Kam delay of the hand piece</v>
      </c>
      <c r="D3907" s="5" t="s">
        <v>8928</v>
      </c>
      <c r="E3907" s="4">
        <v>334842</v>
      </c>
    </row>
    <row r="3908" spans="1:6" ht="13.5" customHeight="1">
      <c r="A3908" s="4" t="s">
        <v>8929</v>
      </c>
      <c r="B3908" s="4" t="s">
        <v>8930</v>
      </c>
      <c r="C3908" s="4" t="str">
        <f ca="1">IFERROR(__xludf.DUMMYFUNCTION("GOOGLETRANSLATE(D:D,""auto"",""en"")"),"Chinese crew about the day cruise in isolation")</f>
        <v>Chinese crew about the day cruise in isolation</v>
      </c>
      <c r="D3908" s="5" t="s">
        <v>8931</v>
      </c>
      <c r="E3908" s="4">
        <v>297031</v>
      </c>
      <c r="F3908">
        <v>1</v>
      </c>
    </row>
    <row r="3909" spans="1:6" ht="13.5" customHeight="1">
      <c r="A3909" s="4" t="s">
        <v>8932</v>
      </c>
      <c r="B3909" s="4" t="s">
        <v>8927</v>
      </c>
      <c r="C3909" s="4" t="str">
        <f ca="1">IFERROR(__xludf.DUMMYFUNCTION("GOOGLETRANSLATE(D:D,""auto"",""en"")"),"How hard lessons online")</f>
        <v>How hard lessons online</v>
      </c>
      <c r="D3909" s="5" t="s">
        <v>8933</v>
      </c>
      <c r="E3909" s="4">
        <v>289579</v>
      </c>
      <c r="F3909">
        <v>1</v>
      </c>
    </row>
    <row r="3910" spans="1:6" ht="13.5" hidden="1" customHeight="1">
      <c r="A3910" s="4" t="s">
        <v>8757</v>
      </c>
      <c r="B3910" s="4" t="s">
        <v>8758</v>
      </c>
      <c r="C3910" s="4" t="str">
        <f ca="1">IFERROR(__xludf.DUMMYFUNCTION("GOOGLETRANSLATE(D:D,""auto"",""en"")"),"Vega mother")</f>
        <v>Vega mother</v>
      </c>
      <c r="D3910" s="5" t="s">
        <v>8759</v>
      </c>
      <c r="E3910" s="4">
        <v>276487</v>
      </c>
    </row>
    <row r="3911" spans="1:6" ht="13.5" customHeight="1">
      <c r="A3911" s="4" t="s">
        <v>8934</v>
      </c>
      <c r="B3911" s="4" t="s">
        <v>8935</v>
      </c>
      <c r="C3911" s="4" t="str">
        <f ca="1">IFERROR(__xludf.DUMMYFUNCTION("GOOGLETRANSLATE(D:D,""auto"",""en"")"),"Jiangsu new new 31 cases of pneumonia")</f>
        <v>Jiangsu new new 31 cases of pneumonia</v>
      </c>
      <c r="D3911" s="5" t="s">
        <v>8936</v>
      </c>
      <c r="E3911" s="4">
        <v>268104</v>
      </c>
      <c r="F3911">
        <v>1</v>
      </c>
    </row>
    <row r="3912" spans="1:6" ht="13.5" hidden="1" customHeight="1">
      <c r="A3912" s="4" t="s">
        <v>8937</v>
      </c>
      <c r="B3912" s="4" t="s">
        <v>8848</v>
      </c>
      <c r="C3912" s="4" t="str">
        <f ca="1">IFERROR(__xludf.DUMMYFUNCTION("GOOGLETRANSLATE(D:D,""auto"",""en"")"),"Gan service through")</f>
        <v>Gan service through</v>
      </c>
      <c r="D3912" s="5" t="s">
        <v>8938</v>
      </c>
      <c r="E3912" s="4">
        <v>247543</v>
      </c>
    </row>
    <row r="3913" spans="1:6" ht="13.5" hidden="1" customHeight="1">
      <c r="A3913" s="4" t="s">
        <v>8929</v>
      </c>
      <c r="B3913" s="4" t="s">
        <v>8837</v>
      </c>
      <c r="C3913" s="4" t="str">
        <f ca="1">IFERROR(__xludf.DUMMYFUNCTION("GOOGLETRANSLATE(D:D,""auto"",""en"")"),"Lantern circle of friends for hair sentence")</f>
        <v>Lantern circle of friends for hair sentence</v>
      </c>
      <c r="D3913" s="5" t="s">
        <v>8939</v>
      </c>
      <c r="E3913" s="4">
        <v>221064</v>
      </c>
    </row>
    <row r="3914" spans="1:6" ht="13.5" customHeight="1">
      <c r="A3914" s="4" t="s">
        <v>8940</v>
      </c>
      <c r="B3914" s="4" t="s">
        <v>8935</v>
      </c>
      <c r="C3914" s="4" t="str">
        <f ca="1">IFERROR(__xludf.DUMMYFUNCTION("GOOGLETRANSLATE(D:D,""auto"",""en"")"),"People's Liberation Army successfully transported 285 tons and living materials")</f>
        <v>People's Liberation Army successfully transported 285 tons and living materials</v>
      </c>
      <c r="D3914" s="5" t="s">
        <v>8941</v>
      </c>
      <c r="E3914" s="4">
        <v>219267</v>
      </c>
      <c r="F3914">
        <v>1</v>
      </c>
    </row>
    <row r="3915" spans="1:6" ht="13.5" customHeight="1">
      <c r="A3915" s="4" t="s">
        <v>8942</v>
      </c>
      <c r="B3915" s="4" t="s">
        <v>8943</v>
      </c>
      <c r="C3915" s="4" t="str">
        <f ca="1">IFERROR(__xludf.DUMMYFUNCTION("GOOGLETRANSLATE(D:D,""auto"",""en"")"),"Zhong Nanshan, led the students rush to the rescue Wuhan")</f>
        <v>Zhong Nanshan, led the students rush to the rescue Wuhan</v>
      </c>
      <c r="D3915" s="5" t="s">
        <v>8944</v>
      </c>
      <c r="E3915" s="4">
        <v>211354</v>
      </c>
      <c r="F3915">
        <v>1</v>
      </c>
    </row>
    <row r="3916" spans="1:6" ht="13.5" customHeight="1">
      <c r="A3916" s="4" t="s">
        <v>8824</v>
      </c>
      <c r="B3916" s="4" t="s">
        <v>8825</v>
      </c>
      <c r="C3916" s="4" t="str">
        <f ca="1">IFERROR(__xludf.DUMMYFUNCTION("GOOGLETRANSLATE(D:D,""auto"",""en"")"),"Tokyo Olympic Games will not be canceled due to the outbreak")</f>
        <v>Tokyo Olympic Games will not be canceled due to the outbreak</v>
      </c>
      <c r="D3916" s="5" t="s">
        <v>8826</v>
      </c>
      <c r="E3916" s="4">
        <v>203107</v>
      </c>
      <c r="F3916">
        <v>1</v>
      </c>
    </row>
    <row r="3917" spans="1:6" ht="13.5" hidden="1" customHeight="1">
      <c r="A3917" s="4" t="s">
        <v>8824</v>
      </c>
      <c r="B3917" s="4" t="s">
        <v>8945</v>
      </c>
      <c r="C3917" s="4" t="str">
        <f ca="1">IFERROR(__xludf.DUMMYFUNCTION("GOOGLETRANSLATE(D:D,""auto"",""en"")"),"Lantern Festival Pictures")</f>
        <v>Lantern Festival Pictures</v>
      </c>
      <c r="D3917" s="5" t="s">
        <v>8946</v>
      </c>
      <c r="E3917" s="4">
        <v>202218</v>
      </c>
    </row>
    <row r="3918" spans="1:6" ht="13.5" customHeight="1">
      <c r="A3918" s="4" t="s">
        <v>8832</v>
      </c>
      <c r="B3918" s="4" t="s">
        <v>8830</v>
      </c>
      <c r="C3918" s="4" t="str">
        <f ca="1">IFERROR(__xludf.DUMMYFUNCTION("GOOGLETRANSLATE(D:D,""auto"",""en"")"),"The Ministry of Education requires strict control school gates")</f>
        <v>The Ministry of Education requires strict control school gates</v>
      </c>
      <c r="D3918" s="5" t="s">
        <v>8833</v>
      </c>
      <c r="E3918" s="4">
        <v>200789</v>
      </c>
      <c r="F3918">
        <v>1</v>
      </c>
    </row>
    <row r="3919" spans="1:6" ht="13.5" customHeight="1">
      <c r="A3919" s="4" t="s">
        <v>8947</v>
      </c>
      <c r="B3919" s="4" t="s">
        <v>8948</v>
      </c>
      <c r="C3919" s="4" t="str">
        <f ca="1">IFERROR(__xludf.DUMMYFUNCTION("GOOGLETRANSLATE(D:D,""auto"",""en"")"),"Zhejiang new new 42 cases of pneumonia")</f>
        <v>Zhejiang new new 42 cases of pneumonia</v>
      </c>
      <c r="D3919" s="5" t="s">
        <v>8949</v>
      </c>
      <c r="E3919" s="4">
        <v>197136</v>
      </c>
      <c r="F3919">
        <v>1</v>
      </c>
    </row>
    <row r="3920" spans="1:6" ht="13.5" hidden="1" customHeight="1">
      <c r="A3920" s="4" t="s">
        <v>8950</v>
      </c>
      <c r="B3920" s="4" t="s">
        <v>8892</v>
      </c>
      <c r="C3920" s="4" t="str">
        <f ca="1">IFERROR(__xludf.DUMMYFUNCTION("GOOGLETRANSLATE(D:D,""auto"",""en"")"),"Poverty Alleviation Office listed supervise all poverty-stricken counties Uncap")</f>
        <v>Poverty Alleviation Office listed supervise all poverty-stricken counties Uncap</v>
      </c>
      <c r="D3920" s="5" t="s">
        <v>8951</v>
      </c>
      <c r="E3920" s="4">
        <v>188098</v>
      </c>
    </row>
    <row r="3921" spans="1:6" ht="13.5" customHeight="1">
      <c r="A3921" s="4" t="s">
        <v>8768</v>
      </c>
      <c r="B3921" s="4" t="s">
        <v>8769</v>
      </c>
      <c r="C3921" s="4" t="str">
        <f ca="1">IFERROR(__xludf.DUMMYFUNCTION("GOOGLETRANSLATE(D:D,""auto"",""en"")"),"Jinan three generations of six people infected")</f>
        <v>Jinan three generations of six people infected</v>
      </c>
      <c r="D3921" s="5" t="s">
        <v>8770</v>
      </c>
      <c r="E3921" s="4">
        <v>167917</v>
      </c>
      <c r="F3921">
        <v>1</v>
      </c>
    </row>
    <row r="3922" spans="1:6" ht="13.5" customHeight="1">
      <c r="A3922" s="4" t="s">
        <v>8768</v>
      </c>
      <c r="B3922" s="4" t="s">
        <v>8952</v>
      </c>
      <c r="C3922" s="4" t="str">
        <f ca="1">IFERROR(__xludf.DUMMYFUNCTION("GOOGLETRANSLATE(D:D,""auto"",""en"")"),"Hubei Provincial Party School new campus for the transformation of designated medical point")</f>
        <v>Hubei Provincial Party School new campus for the transformation of designated medical point</v>
      </c>
      <c r="D3922" s="5" t="s">
        <v>8953</v>
      </c>
      <c r="E3922" s="4">
        <v>143272</v>
      </c>
      <c r="F3922">
        <v>1</v>
      </c>
    </row>
    <row r="3923" spans="1:6" ht="13.5" customHeight="1">
      <c r="A3923" s="4" t="s">
        <v>8821</v>
      </c>
      <c r="B3923" s="4" t="s">
        <v>8822</v>
      </c>
      <c r="C3923" s="4" t="str">
        <f ca="1">IFERROR(__xludf.DUMMYFUNCTION("GOOGLETRANSLATE(D:D,""auto"",""en"")"),"Anhui school not opening before the end of February")</f>
        <v>Anhui school not opening before the end of February</v>
      </c>
      <c r="D3923" s="5" t="s">
        <v>8823</v>
      </c>
      <c r="E3923" s="4">
        <v>122927</v>
      </c>
      <c r="F3923">
        <v>1</v>
      </c>
    </row>
    <row r="3924" spans="1:6" ht="13.5" hidden="1" customHeight="1">
      <c r="C3924" s="4" t="str">
        <f ca="1">IFERROR(__xludf.DUMMYFUNCTION("GOOGLETRANSLATE(D:D,""auto"",""en"")"),"#VALUE!")</f>
        <v>#VALUE!</v>
      </c>
    </row>
    <row r="3925" spans="1:6" ht="13.5" customHeight="1">
      <c r="A3925" s="4" t="s">
        <v>8954</v>
      </c>
      <c r="B3925" s="4" t="s">
        <v>8955</v>
      </c>
      <c r="C3925" s="4" t="str">
        <f ca="1">IFERROR(__xludf.DUMMYFUNCTION("GOOGLETRANSLATE(D:D,""auto"",""en"")"),"Delayed payment of wages return to work the new policy")</f>
        <v>Delayed payment of wages return to work the new policy</v>
      </c>
      <c r="D3925" s="4" t="s">
        <v>8956</v>
      </c>
      <c r="E3925" s="4">
        <v>2083450</v>
      </c>
      <c r="F3925">
        <v>1</v>
      </c>
    </row>
    <row r="3926" spans="1:6" ht="13.5" customHeight="1">
      <c r="A3926" s="4" t="s">
        <v>8957</v>
      </c>
      <c r="B3926" s="4" t="s">
        <v>8958</v>
      </c>
      <c r="C3926" s="4" t="str">
        <f ca="1">IFERROR(__xludf.DUMMYFUNCTION("GOOGLETRANSLATE(D:D,""auto"",""en"")"),"Central Steering Group went to Hubei requirements due are collected")</f>
        <v>Central Steering Group went to Hubei requirements due are collected</v>
      </c>
      <c r="D3926" s="5" t="s">
        <v>8959</v>
      </c>
      <c r="E3926" s="4">
        <v>1913864</v>
      </c>
      <c r="F3926">
        <v>1</v>
      </c>
    </row>
    <row r="3927" spans="1:6" ht="13.5" hidden="1" customHeight="1">
      <c r="A3927" s="4" t="s">
        <v>8960</v>
      </c>
      <c r="B3927" s="4" t="s">
        <v>8961</v>
      </c>
      <c r="C3927" s="4" t="str">
        <f ca="1">IFERROR(__xludf.DUMMYFUNCTION("GOOGLETRANSLATE(D:D,""auto"",""en"")"),"CCTV really touching poetry recitation")</f>
        <v>CCTV really touching poetry recitation</v>
      </c>
      <c r="D3927" s="5" t="s">
        <v>8962</v>
      </c>
      <c r="E3927" s="4">
        <v>1895389</v>
      </c>
    </row>
    <row r="3928" spans="1:6" ht="13.5" hidden="1" customHeight="1">
      <c r="A3928" s="4" t="s">
        <v>8963</v>
      </c>
      <c r="B3928" s="4" t="s">
        <v>8964</v>
      </c>
      <c r="C3928" s="4" t="str">
        <f ca="1">IFERROR(__xludf.DUMMYFUNCTION("GOOGLETRANSLATE(D:D,""auto"",""en"")"),"Only the legendary Phoenix Ling flower")</f>
        <v>Only the legendary Phoenix Ling flower</v>
      </c>
      <c r="D3928" s="5" t="s">
        <v>8965</v>
      </c>
      <c r="E3928" s="4">
        <v>1895354</v>
      </c>
    </row>
    <row r="3929" spans="1:6" ht="13.5" hidden="1" customHeight="1">
      <c r="A3929" s="4" t="s">
        <v>8966</v>
      </c>
      <c r="B3929" s="4" t="s">
        <v>8967</v>
      </c>
      <c r="C3929" s="4" t="str">
        <f ca="1">IFERROR(__xludf.DUMMYFUNCTION("GOOGLETRANSLATE(D:D,""auto"",""en"")"),"Thailand shootings")</f>
        <v>Thailand shootings</v>
      </c>
      <c r="D3929" s="5" t="s">
        <v>8968</v>
      </c>
      <c r="E3929" s="4">
        <v>1893430</v>
      </c>
    </row>
    <row r="3930" spans="1:6" ht="13.5" hidden="1" customHeight="1">
      <c r="A3930" s="4" t="s">
        <v>8969</v>
      </c>
      <c r="B3930" s="4" t="s">
        <v>8970</v>
      </c>
      <c r="C3930" s="4" t="str">
        <f ca="1">IFERROR(__xludf.DUMMYFUNCTION("GOOGLETRANSLATE(D:D,""auto"",""en"")"),"Wang Yaoqing dubbing")</f>
        <v>Wang Yaoqing dubbing</v>
      </c>
      <c r="D3930" s="5" t="s">
        <v>8971</v>
      </c>
      <c r="E3930" s="4">
        <v>1592196</v>
      </c>
    </row>
    <row r="3931" spans="1:6" ht="13.5" hidden="1" customHeight="1">
      <c r="A3931" s="4" t="s">
        <v>8972</v>
      </c>
      <c r="B3931" s="4" t="s">
        <v>8973</v>
      </c>
      <c r="C3931" s="4" t="str">
        <f ca="1">IFERROR(__xludf.DUMMYFUNCTION("GOOGLETRANSLATE(D:D,""auto"",""en"")"),"Kelly tearful recitation")</f>
        <v>Kelly tearful recitation</v>
      </c>
      <c r="D3931" s="5" t="s">
        <v>8974</v>
      </c>
      <c r="E3931" s="4">
        <v>1544442</v>
      </c>
    </row>
    <row r="3932" spans="1:6" ht="13.5" hidden="1" customHeight="1">
      <c r="A3932" s="4" t="s">
        <v>8975</v>
      </c>
      <c r="B3932" s="4" t="s">
        <v>8976</v>
      </c>
      <c r="C3932" s="4" t="str">
        <f ca="1">IFERROR(__xludf.DUMMYFUNCTION("GOOGLETRANSLATE(D:D,""auto"",""en"")"),"CCTV Lantern Festival show host")</f>
        <v>CCTV Lantern Festival show host</v>
      </c>
      <c r="D3932" s="5" t="s">
        <v>8977</v>
      </c>
      <c r="E3932" s="4">
        <v>1175586</v>
      </c>
    </row>
    <row r="3933" spans="1:6" ht="13.5" customHeight="1">
      <c r="A3933" s="4" t="s">
        <v>8978</v>
      </c>
      <c r="B3933" s="4" t="s">
        <v>8932</v>
      </c>
      <c r="C3933" s="4" t="str">
        <f ca="1">IFERROR(__xludf.DUMMYFUNCTION("GOOGLETRANSLATE(D:D,""auto"",""en"")"),"12315 is the recent 45% price hikes masks")</f>
        <v>12315 is the recent 45% price hikes masks</v>
      </c>
      <c r="D3933" s="5" t="s">
        <v>8979</v>
      </c>
      <c r="E3933" s="4">
        <v>1150962</v>
      </c>
      <c r="F3933">
        <v>1</v>
      </c>
    </row>
    <row r="3934" spans="1:6" ht="13.5" hidden="1" customHeight="1">
      <c r="A3934" s="4" t="s">
        <v>8980</v>
      </c>
      <c r="B3934" s="4" t="s">
        <v>8981</v>
      </c>
      <c r="C3934" s="4" t="str">
        <f ca="1">IFERROR(__xludf.DUMMYFUNCTION("GOOGLETRANSLATE(D:D,""auto"",""en"")"),"Why did you move and why sleep at night")</f>
        <v>Why did you move and why sleep at night</v>
      </c>
      <c r="D3934" s="5" t="s">
        <v>8982</v>
      </c>
      <c r="E3934" s="4">
        <v>1139239</v>
      </c>
    </row>
    <row r="3935" spans="1:6" ht="13.5" hidden="1" customHeight="1">
      <c r="A3935" s="4" t="s">
        <v>8983</v>
      </c>
      <c r="B3935" s="4" t="s">
        <v>8984</v>
      </c>
      <c r="C3935" s="4" t="str">
        <f ca="1">IFERROR(__xludf.DUMMYFUNCTION("GOOGLETRANSLATE(D:D,""auto"",""en"")"),"Choi Ji-woo guest landing of love")</f>
        <v>Choi Ji-woo guest landing of love</v>
      </c>
      <c r="D3935" s="5" t="s">
        <v>8985</v>
      </c>
      <c r="E3935" s="4">
        <v>983973</v>
      </c>
    </row>
    <row r="3936" spans="1:6" ht="13.5" customHeight="1">
      <c r="A3936" s="4" t="s">
        <v>8986</v>
      </c>
      <c r="B3936" s="4" t="s">
        <v>8987</v>
      </c>
      <c r="C3936" s="4" t="str">
        <f ca="1">IFERROR(__xludf.DUMMYFUNCTION("GOOGLETRANSLATE(D:D,""auto"",""en"")"),"Hubei regulation 6 class formalism and bureaucratism")</f>
        <v>Hubei regulation 6 class formalism and bureaucratism</v>
      </c>
      <c r="D3936" s="5" t="s">
        <v>8988</v>
      </c>
      <c r="E3936" s="4">
        <v>744813</v>
      </c>
      <c r="F3936">
        <v>1</v>
      </c>
    </row>
    <row r="3937" spans="1:6" ht="13.5" hidden="1" customHeight="1">
      <c r="A3937" s="4" t="s">
        <v>8989</v>
      </c>
      <c r="B3937" s="4" t="s">
        <v>8990</v>
      </c>
      <c r="C3937" s="4" t="str">
        <f ca="1">IFERROR(__xludf.DUMMYFUNCTION("GOOGLETRANSLATE(D:D,""auto"",""en"")"),"CCTV Lantern Festival special program")</f>
        <v>CCTV Lantern Festival special program</v>
      </c>
      <c r="D3937" s="5" t="s">
        <v>8991</v>
      </c>
      <c r="E3937" s="4">
        <v>638333</v>
      </c>
    </row>
    <row r="3938" spans="1:6" ht="13.5" customHeight="1">
      <c r="A3938" s="4" t="s">
        <v>8992</v>
      </c>
      <c r="B3938" s="4" t="s">
        <v>8993</v>
      </c>
      <c r="C3938" s="4" t="str">
        <f ca="1">IFERROR(__xludf.DUMMYFUNCTION("GOOGLETRANSLATE(D:D,""auto"",""en"")"),"Li Wenliang declaration wife")</f>
        <v>Li Wenliang declaration wife</v>
      </c>
      <c r="D3938" s="5" t="s">
        <v>8994</v>
      </c>
      <c r="E3938" s="4">
        <v>637261</v>
      </c>
      <c r="F3938">
        <v>1</v>
      </c>
    </row>
    <row r="3939" spans="1:6" ht="13.5" customHeight="1">
      <c r="A3939" s="4" t="s">
        <v>8995</v>
      </c>
      <c r="B3939" s="4" t="s">
        <v>8996</v>
      </c>
      <c r="C3939" s="4" t="str">
        <f ca="1">IFERROR(__xludf.DUMMYFUNCTION("GOOGLETRANSLATE(D:D,""auto"",""en"")"),"Medical resources off point for scheduling risk areas")</f>
        <v>Medical resources off point for scheduling risk areas</v>
      </c>
      <c r="D3939" s="5" t="s">
        <v>8997</v>
      </c>
      <c r="E3939" s="4">
        <v>635320</v>
      </c>
      <c r="F3939">
        <v>1</v>
      </c>
    </row>
    <row r="3940" spans="1:6" ht="13.5" hidden="1" customHeight="1">
      <c r="A3940" s="4" t="s">
        <v>8998</v>
      </c>
      <c r="B3940" s="4" t="s">
        <v>8999</v>
      </c>
      <c r="C3940" s="4" t="str">
        <f ca="1">IFERROR(__xludf.DUMMYFUNCTION("GOOGLETRANSLATE(D:D,""auto"",""en"")"),"Hunan TV host prop up a party")</f>
        <v>Hunan TV host prop up a party</v>
      </c>
      <c r="D3940" s="5" t="s">
        <v>9000</v>
      </c>
      <c r="E3940" s="4">
        <v>633673</v>
      </c>
    </row>
    <row r="3941" spans="1:6" ht="13.5" hidden="1" customHeight="1">
      <c r="A3941" s="4" t="s">
        <v>9001</v>
      </c>
      <c r="B3941" s="4" t="s">
        <v>9002</v>
      </c>
      <c r="C3941" s="4" t="str">
        <f ca="1">IFERROR(__xludf.DUMMYFUNCTION("GOOGLETRANSLATE(D:D,""auto"",""en"")"),"Huang Jingyu weight")</f>
        <v>Huang Jingyu weight</v>
      </c>
      <c r="D3941" s="5" t="s">
        <v>9003</v>
      </c>
      <c r="E3941" s="4">
        <v>632702</v>
      </c>
    </row>
    <row r="3942" spans="1:6" ht="13.5" hidden="1" customHeight="1">
      <c r="A3942" s="4" t="s">
        <v>9004</v>
      </c>
      <c r="B3942" s="4" t="s">
        <v>9005</v>
      </c>
      <c r="C3942" s="4" t="str">
        <f ca="1">IFERROR(__xludf.DUMMYFUNCTION("GOOGLETRANSLATE(D:D,""auto"",""en"")"),"Little Red Book collapse")</f>
        <v>Little Red Book collapse</v>
      </c>
      <c r="D3942" s="5" t="s">
        <v>9006</v>
      </c>
      <c r="E3942" s="4">
        <v>630600</v>
      </c>
    </row>
    <row r="3943" spans="1:6" ht="13.5" hidden="1" customHeight="1">
      <c r="A3943" s="4" t="s">
        <v>9007</v>
      </c>
      <c r="B3943" s="4" t="s">
        <v>9008</v>
      </c>
      <c r="C3943" s="4" t="str">
        <f ca="1">IFERROR(__xludf.DUMMYFUNCTION("GOOGLETRANSLATE(D:D,""auto"",""en"")"),"Yao Ming laugh")</f>
        <v>Yao Ming laugh</v>
      </c>
      <c r="D3943" s="5" t="s">
        <v>9009</v>
      </c>
      <c r="E3943" s="4">
        <v>628872</v>
      </c>
    </row>
    <row r="3944" spans="1:6" ht="13.5" hidden="1" customHeight="1">
      <c r="A3944" s="4" t="s">
        <v>9010</v>
      </c>
      <c r="B3944" s="4" t="s">
        <v>9011</v>
      </c>
      <c r="C3944" s="4" t="str">
        <f ca="1">IFERROR(__xludf.DUMMYFUNCTION("GOOGLETRANSLATE(D:D,""auto"",""en"")"),"White light wedding")</f>
        <v>White light wedding</v>
      </c>
      <c r="D3944" s="5" t="s">
        <v>9012</v>
      </c>
      <c r="E3944" s="4">
        <v>628028</v>
      </c>
    </row>
    <row r="3945" spans="1:6" ht="13.5" hidden="1" customHeight="1">
      <c r="A3945" s="4" t="s">
        <v>9013</v>
      </c>
      <c r="B3945" s="4" t="s">
        <v>9014</v>
      </c>
      <c r="C3945" s="4" t="str">
        <f ca="1">IFERROR(__xludf.DUMMYFUNCTION("GOOGLETRANSLATE(D:D,""auto"",""en"")"),"Tao Hong")</f>
        <v>Tao Hong</v>
      </c>
      <c r="D3945" s="5" t="s">
        <v>9015</v>
      </c>
      <c r="E3945" s="4">
        <v>625813</v>
      </c>
    </row>
    <row r="3946" spans="1:6" ht="13.5" hidden="1" customHeight="1">
      <c r="A3946" s="4" t="s">
        <v>9016</v>
      </c>
      <c r="B3946" s="4" t="s">
        <v>9017</v>
      </c>
      <c r="C3946" s="4" t="str">
        <f ca="1">IFERROR(__xludf.DUMMYFUNCTION("GOOGLETRANSLATE(D:D,""auto"",""en"")"),"moon")</f>
        <v>moon</v>
      </c>
      <c r="D3946" s="5" t="s">
        <v>9018</v>
      </c>
      <c r="E3946" s="4">
        <v>625142</v>
      </c>
    </row>
    <row r="3947" spans="1:6" ht="13.5" hidden="1" customHeight="1">
      <c r="A3947" s="4" t="s">
        <v>2608</v>
      </c>
      <c r="B3947" s="4" t="s">
        <v>2609</v>
      </c>
      <c r="C3947" s="4" t="str">
        <f ca="1">IFERROR(__xludf.DUMMYFUNCTION("GOOGLETRANSLATE(D:D,""auto"",""en"")"),"Landing of love")</f>
        <v>Landing of love</v>
      </c>
      <c r="D3947" s="5" t="s">
        <v>2610</v>
      </c>
      <c r="E3947" s="4">
        <v>621986</v>
      </c>
    </row>
    <row r="3948" spans="1:6" ht="13.5" hidden="1" customHeight="1">
      <c r="A3948" s="4" t="s">
        <v>9019</v>
      </c>
      <c r="B3948" s="4" t="s">
        <v>8889</v>
      </c>
      <c r="C3948" s="4" t="str">
        <f ca="1">IFERROR(__xludf.DUMMYFUNCTION("GOOGLETRANSLATE(D:D,""auto"",""en"")"),"Hunan Satellite TV audience barrage")</f>
        <v>Hunan Satellite TV audience barrage</v>
      </c>
      <c r="D3948" s="5" t="s">
        <v>9020</v>
      </c>
      <c r="E3948" s="4">
        <v>620771</v>
      </c>
    </row>
    <row r="3949" spans="1:6" ht="13.5" hidden="1" customHeight="1">
      <c r="A3949" s="4" t="s">
        <v>974</v>
      </c>
      <c r="B3949" s="4" t="s">
        <v>975</v>
      </c>
      <c r="C3949" s="4" t="str">
        <f ca="1">IFERROR(__xludf.DUMMYFUNCTION("GOOGLETRANSLATE(D:D,""auto"",""en"")"),"Sound clinical environment")</f>
        <v>Sound clinical environment</v>
      </c>
      <c r="D3949" s="5" t="s">
        <v>976</v>
      </c>
      <c r="E3949" s="4">
        <v>525799</v>
      </c>
    </row>
    <row r="3950" spans="1:6" ht="13.5" hidden="1" customHeight="1">
      <c r="A3950" s="4" t="s">
        <v>9021</v>
      </c>
      <c r="B3950" s="4" t="s">
        <v>9022</v>
      </c>
      <c r="C3950" s="4" t="str">
        <f ca="1">IFERROR(__xludf.DUMMYFUNCTION("GOOGLETRANSLATE(D:D,""auto"",""en"")"),"Li Jiaqi live")</f>
        <v>Li Jiaqi live</v>
      </c>
      <c r="D3950" s="5" t="s">
        <v>9023</v>
      </c>
      <c r="E3950" s="4">
        <v>514463</v>
      </c>
    </row>
    <row r="3951" spans="1:6" ht="13.5" hidden="1" customHeight="1">
      <c r="A3951" s="4" t="s">
        <v>9024</v>
      </c>
      <c r="B3951" s="4" t="s">
        <v>9025</v>
      </c>
      <c r="C3951" s="4" t="str">
        <f ca="1">IFERROR(__xludf.DUMMYFUNCTION("GOOGLETRANSLATE(D:D,""auto"",""en"")"),"Chen Tao-ming sound")</f>
        <v>Chen Tao-ming sound</v>
      </c>
      <c r="D3951" s="5" t="s">
        <v>9026</v>
      </c>
      <c r="E3951" s="4">
        <v>506302</v>
      </c>
    </row>
    <row r="3952" spans="1:6" ht="13.5" customHeight="1">
      <c r="A3952" s="4" t="s">
        <v>9027</v>
      </c>
      <c r="B3952" s="4" t="s">
        <v>9028</v>
      </c>
      <c r="C3952" s="4" t="str">
        <f ca="1">IFERROR(__xludf.DUMMYFUNCTION("GOOGLETRANSLATE(D:D,""auto"",""en"")"),"The new crown pneumonia birth to a baby boy named small glutinous rice balls")</f>
        <v>The new crown pneumonia birth to a baby boy named small glutinous rice balls</v>
      </c>
      <c r="D3952" s="5" t="s">
        <v>9029</v>
      </c>
      <c r="E3952" s="4">
        <v>472665</v>
      </c>
      <c r="F3952">
        <v>1</v>
      </c>
    </row>
    <row r="3953" spans="1:6" ht="13.5" customHeight="1">
      <c r="A3953" s="4" t="s">
        <v>9030</v>
      </c>
      <c r="B3953" s="4" t="s">
        <v>8955</v>
      </c>
      <c r="C3953" s="4" t="str">
        <f ca="1">IFERROR(__xludf.DUMMYFUNCTION("GOOGLETRANSLATE(D:D,""auto"",""en"")"),"Everyone is susceptible to pneumonia new crown")</f>
        <v>Everyone is susceptible to pneumonia new crown</v>
      </c>
      <c r="D3953" s="5" t="s">
        <v>9031</v>
      </c>
      <c r="E3953" s="4">
        <v>440603</v>
      </c>
      <c r="F3953">
        <v>1</v>
      </c>
    </row>
    <row r="3954" spans="1:6" ht="13.5" customHeight="1">
      <c r="A3954" s="4" t="s">
        <v>9032</v>
      </c>
      <c r="B3954" s="4" t="s">
        <v>8932</v>
      </c>
      <c r="C3954" s="4" t="str">
        <f ca="1">IFERROR(__xludf.DUMMYFUNCTION("GOOGLETRANSLATE(D:D,""auto"",""en"")"),"A US citizen died of pneumonia new crown")</f>
        <v>A US citizen died of pneumonia new crown</v>
      </c>
      <c r="D3954" s="5" t="s">
        <v>9033</v>
      </c>
      <c r="E3954" s="4">
        <v>345972</v>
      </c>
      <c r="F3954">
        <v>1</v>
      </c>
    </row>
    <row r="3955" spans="1:6" ht="13.5" hidden="1" customHeight="1">
      <c r="A3955" s="4" t="s">
        <v>9034</v>
      </c>
      <c r="B3955" s="4" t="s">
        <v>9035</v>
      </c>
      <c r="C3955" s="4" t="str">
        <f ca="1">IFERROR(__xludf.DUMMYFUNCTION("GOOGLETRANSLATE(D:D,""auto"",""en"")"),"Lantern Festival party in Hunan have Dasha")</f>
        <v>Lantern Festival party in Hunan have Dasha</v>
      </c>
      <c r="D3955" s="5" t="s">
        <v>9036</v>
      </c>
      <c r="E3955" s="4">
        <v>343054</v>
      </c>
    </row>
    <row r="3956" spans="1:6" ht="13.5" hidden="1" customHeight="1">
      <c r="A3956" s="4" t="s">
        <v>9037</v>
      </c>
      <c r="B3956" s="4" t="s">
        <v>8887</v>
      </c>
      <c r="C3956" s="4" t="str">
        <f ca="1">IFERROR(__xludf.DUMMYFUNCTION("GOOGLETRANSLATE(D:D,""auto"",""en"")"),"Sui Wenjing Han Cong won")</f>
        <v>Sui Wenjing Han Cong won</v>
      </c>
      <c r="D3956" s="5" t="s">
        <v>9038</v>
      </c>
      <c r="E3956" s="4">
        <v>338106</v>
      </c>
    </row>
    <row r="3957" spans="1:6" ht="13.5" hidden="1" customHeight="1">
      <c r="A3957" s="4" t="s">
        <v>8908</v>
      </c>
      <c r="B3957" s="4" t="s">
        <v>8909</v>
      </c>
      <c r="C3957" s="4" t="str">
        <f ca="1">IFERROR(__xludf.DUMMYFUNCTION("GOOGLETRANSLATE(D:D,""auto"",""en"")"),"Li Xiao Zhan Sui Ping")</f>
        <v>Li Xiao Zhan Sui Ping</v>
      </c>
      <c r="D3957" s="5" t="s">
        <v>8910</v>
      </c>
      <c r="E3957" s="4">
        <v>335743</v>
      </c>
    </row>
    <row r="3958" spans="1:6" ht="13.5" customHeight="1">
      <c r="A3958" s="4" t="s">
        <v>9039</v>
      </c>
      <c r="B3958" s="4" t="s">
        <v>9040</v>
      </c>
      <c r="C3958" s="4" t="str">
        <f ca="1">IFERROR(__xludf.DUMMYFUNCTION("GOOGLETRANSLATE(D:D,""auto"",""en"")"),"Protective clothing production has increased but there are still gaps")</f>
        <v>Protective clothing production has increased but there are still gaps</v>
      </c>
      <c r="D3958" s="5" t="s">
        <v>9041</v>
      </c>
      <c r="E3958" s="4">
        <v>335694</v>
      </c>
      <c r="F3958">
        <v>1</v>
      </c>
    </row>
    <row r="3959" spans="1:6" ht="13.5" hidden="1" customHeight="1">
      <c r="A3959" s="4" t="s">
        <v>9042</v>
      </c>
      <c r="B3959" s="4" t="s">
        <v>9043</v>
      </c>
      <c r="C3959" s="4" t="str">
        <f ca="1">IFERROR(__xludf.DUMMYFUNCTION("GOOGLETRANSLATE(D:D,""auto"",""en"")"),"Renzi Wei to win")</f>
        <v>Renzi Wei to win</v>
      </c>
      <c r="D3959" s="5" t="s">
        <v>9044</v>
      </c>
      <c r="E3959" s="4">
        <v>335297</v>
      </c>
    </row>
    <row r="3960" spans="1:6" ht="13.5" hidden="1" customHeight="1">
      <c r="A3960" s="4" t="s">
        <v>9045</v>
      </c>
      <c r="B3960" s="4" t="s">
        <v>9046</v>
      </c>
      <c r="C3960" s="4" t="str">
        <f ca="1">IFERROR(__xludf.DUMMYFUNCTION("GOOGLETRANSLATE(D:D,""auto"",""en"")"),"Zhang Xincheng Hanyang garden gate tear")</f>
        <v>Zhang Xincheng Hanyang garden gate tear</v>
      </c>
      <c r="D3960" s="5" t="s">
        <v>9047</v>
      </c>
      <c r="E3960" s="4">
        <v>332975</v>
      </c>
    </row>
    <row r="3961" spans="1:6" ht="13.5" hidden="1" customHeight="1">
      <c r="A3961" s="4" t="s">
        <v>9048</v>
      </c>
      <c r="B3961" s="4" t="s">
        <v>9028</v>
      </c>
      <c r="C3961" s="4" t="str">
        <f ca="1">IFERROR(__xludf.DUMMYFUNCTION("GOOGLETRANSLATE(D:D,""auto"",""en"")"),"Shanghai Hongqiao Hub")</f>
        <v>Shanghai Hongqiao Hub</v>
      </c>
      <c r="D3961" s="5" t="s">
        <v>9049</v>
      </c>
      <c r="E3961" s="4">
        <v>326433</v>
      </c>
    </row>
    <row r="3962" spans="1:6" ht="13.5" hidden="1" customHeight="1">
      <c r="A3962" s="4" t="s">
        <v>9050</v>
      </c>
      <c r="B3962" s="4" t="s">
        <v>9051</v>
      </c>
      <c r="C3962" s="4" t="str">
        <f ca="1">IFERROR(__xludf.DUMMYFUNCTION("GOOGLETRANSLATE(D:D,""auto"",""en"")"),"Tin Yiu Chinese")</f>
        <v>Tin Yiu Chinese</v>
      </c>
      <c r="D3962" s="5" t="s">
        <v>9052</v>
      </c>
      <c r="E3962" s="4">
        <v>310060</v>
      </c>
    </row>
    <row r="3963" spans="1:6" ht="13.5" customHeight="1">
      <c r="A3963" s="4" t="s">
        <v>9053</v>
      </c>
      <c r="B3963" s="4" t="s">
        <v>9054</v>
      </c>
      <c r="C3963" s="4" t="str">
        <f ca="1">IFERROR(__xludf.DUMMYFUNCTION("GOOGLETRANSLATE(D:D,""auto"",""en"")"),"Wuhan Children's Hospital &amp; P closing the office attending all")</f>
        <v>Wuhan Children's Hospital &amp; P closing the office attending all</v>
      </c>
      <c r="D3963" s="5" t="s">
        <v>9055</v>
      </c>
      <c r="E3963" s="4">
        <v>302128</v>
      </c>
      <c r="F3963">
        <v>1</v>
      </c>
    </row>
    <row r="3964" spans="1:6" ht="13.5" hidden="1" customHeight="1">
      <c r="A3964" s="4" t="s">
        <v>9056</v>
      </c>
      <c r="B3964" s="4" t="s">
        <v>9057</v>
      </c>
      <c r="C3964" s="4" t="str">
        <f ca="1">IFERROR(__xludf.DUMMYFUNCTION("GOOGLETRANSLATE(D:D,""auto"",""en"")"),"Lantern Festival party")</f>
        <v>Lantern Festival party</v>
      </c>
      <c r="D3964" s="5" t="s">
        <v>9058</v>
      </c>
      <c r="E3964" s="4">
        <v>282717</v>
      </c>
    </row>
    <row r="3965" spans="1:6" ht="13.5" customHeight="1">
      <c r="A3965" s="4" t="s">
        <v>9059</v>
      </c>
      <c r="B3965" s="4" t="s">
        <v>9060</v>
      </c>
      <c r="C3965" s="4" t="str">
        <f ca="1">IFERROR(__xludf.DUMMYFUNCTION("GOOGLETRANSLATE(D:D,""auto"",""en"")"),"Disposable masks can be reused")</f>
        <v>Disposable masks can be reused</v>
      </c>
      <c r="D3965" s="5" t="s">
        <v>9061</v>
      </c>
      <c r="E3965" s="4">
        <v>282444</v>
      </c>
      <c r="F3965">
        <v>1</v>
      </c>
    </row>
    <row r="3966" spans="1:6" ht="13.5" hidden="1" customHeight="1">
      <c r="A3966" s="4" t="s">
        <v>9062</v>
      </c>
      <c r="B3966" s="4" t="s">
        <v>9063</v>
      </c>
      <c r="C3966" s="4" t="str">
        <f ca="1">IFERROR(__xludf.DUMMYFUNCTION("GOOGLETRANSLATE(D:D,""auto"",""en"")"),"Hunan Satellite TV Lantern Festival party")</f>
        <v>Hunan Satellite TV Lantern Festival party</v>
      </c>
      <c r="D3966" s="5" t="s">
        <v>9064</v>
      </c>
      <c r="E3966" s="4">
        <v>270318</v>
      </c>
    </row>
    <row r="3967" spans="1:6" ht="13.5" customHeight="1">
      <c r="A3967" s="4" t="s">
        <v>9065</v>
      </c>
      <c r="B3967" s="4" t="s">
        <v>9054</v>
      </c>
      <c r="C3967" s="4" t="str">
        <f ca="1">IFERROR(__xludf.DUMMYFUNCTION("GOOGLETRANSLATE(D:D,""auto"",""en"")"),"Solutions remove particles through pestivirus approved for clinical use")</f>
        <v>Solutions remove particles through pestivirus approved for clinical use</v>
      </c>
      <c r="D3967" s="5" t="s">
        <v>9066</v>
      </c>
      <c r="E3967" s="4">
        <v>262069</v>
      </c>
      <c r="F3967">
        <v>1</v>
      </c>
    </row>
    <row r="3968" spans="1:6" ht="13.5" hidden="1" customHeight="1">
      <c r="A3968" s="4" t="s">
        <v>9067</v>
      </c>
      <c r="B3968" s="4" t="s">
        <v>9068</v>
      </c>
      <c r="C3968" s="4" t="str">
        <f ca="1">IFERROR(__xludf.DUMMYFUNCTION("GOOGLETRANSLATE(D:D,""auto"",""en"")"),"Love trailer landing")</f>
        <v>Love trailer landing</v>
      </c>
      <c r="D3968" s="5" t="s">
        <v>9069</v>
      </c>
      <c r="E3968" s="4">
        <v>253425</v>
      </c>
    </row>
    <row r="3969" spans="1:6" ht="13.5" customHeight="1">
      <c r="A3969" s="4" t="s">
        <v>9070</v>
      </c>
      <c r="B3969" s="4" t="s">
        <v>8942</v>
      </c>
      <c r="C3969" s="4" t="str">
        <f ca="1">IFERROR(__xludf.DUMMYFUNCTION("GOOGLETRANSLATE(D:D,""auto"",""en"")"),"Inner Mongolia, a patient diagnosed with stroke to initiate hide")</f>
        <v>Inner Mongolia, a patient diagnosed with stroke to initiate hide</v>
      </c>
      <c r="D3969" s="5" t="s">
        <v>9071</v>
      </c>
      <c r="E3969" s="4">
        <v>247672</v>
      </c>
      <c r="F3969">
        <v>1</v>
      </c>
    </row>
    <row r="3970" spans="1:6" ht="13.5" hidden="1" customHeight="1">
      <c r="A3970" s="4" t="s">
        <v>9072</v>
      </c>
      <c r="B3970" s="4" t="s">
        <v>9073</v>
      </c>
      <c r="C3970" s="4" t="str">
        <f ca="1">IFERROR(__xludf.DUMMYFUNCTION("GOOGLETRANSLATE(D:D,""auto"",""en"")"),"Ma Jiaqi Li Fei Song Yaxuan office to the lion dance")</f>
        <v>Ma Jiaqi Li Fei Song Yaxuan office to the lion dance</v>
      </c>
      <c r="D3970" s="5" t="s">
        <v>9074</v>
      </c>
      <c r="E3970" s="4">
        <v>230938</v>
      </c>
    </row>
    <row r="3971" spans="1:6" ht="13.5" customHeight="1">
      <c r="A3971" s="4" t="s">
        <v>9075</v>
      </c>
      <c r="B3971" s="4" t="s">
        <v>9076</v>
      </c>
      <c r="C3971" s="4" t="str">
        <f ca="1">IFERROR(__xludf.DUMMYFUNCTION("GOOGLETRANSLATE(D:D,""auto"",""en"")"),"The new routes include aerosol crown spread of pneumonia spread")</f>
        <v>The new routes include aerosol crown spread of pneumonia spread</v>
      </c>
      <c r="D3971" s="5" t="s">
        <v>9077</v>
      </c>
      <c r="E3971" s="4">
        <v>228431</v>
      </c>
      <c r="F3971">
        <v>1</v>
      </c>
    </row>
    <row r="3972" spans="1:6" ht="13.5" hidden="1" customHeight="1">
      <c r="A3972" s="4" t="s">
        <v>9078</v>
      </c>
      <c r="B3972" s="4" t="s">
        <v>9035</v>
      </c>
      <c r="C3972" s="4" t="str">
        <f ca="1">IFERROR(__xludf.DUMMYFUNCTION("GOOGLETRANSLATE(D:D,""auto"",""en"")"),"Expedition")</f>
        <v>Expedition</v>
      </c>
      <c r="D3972" s="5" t="s">
        <v>9079</v>
      </c>
      <c r="E3972" s="4">
        <v>201430</v>
      </c>
    </row>
    <row r="3973" spans="1:6" ht="13.5" hidden="1" customHeight="1">
      <c r="A3973" s="4" t="s">
        <v>9080</v>
      </c>
      <c r="B3973" s="4" t="s">
        <v>9081</v>
      </c>
      <c r="C3973" s="4" t="str">
        <f ca="1">IFERROR(__xludf.DUMMYFUNCTION("GOOGLETRANSLATE(D:D,""auto"",""en"")"),"Chinese women's basketball team into the Olympic Games in Tokyo")</f>
        <v>Chinese women's basketball team into the Olympic Games in Tokyo</v>
      </c>
      <c r="D3973" s="5" t="s">
        <v>9082</v>
      </c>
      <c r="E3973" s="4">
        <v>187330</v>
      </c>
    </row>
    <row r="3974" spans="1:6" ht="13.5" hidden="1" customHeight="1">
      <c r="A3974" s="4" t="s">
        <v>8873</v>
      </c>
      <c r="B3974" s="4" t="s">
        <v>8874</v>
      </c>
      <c r="C3974" s="4" t="str">
        <f ca="1">IFERROR(__xludf.DUMMYFUNCTION("GOOGLETRANSLATE(D:D,""auto"",""en"")"),"Dumpling")</f>
        <v>Dumpling</v>
      </c>
      <c r="D3974" s="5" t="s">
        <v>8875</v>
      </c>
      <c r="E3974" s="4">
        <v>156055</v>
      </c>
    </row>
    <row r="3975" spans="1:6" ht="13.5" hidden="1" customHeight="1">
      <c r="C3975" s="4" t="str">
        <f ca="1">IFERROR(__xludf.DUMMYFUNCTION("GOOGLETRANSLATE(D:D,""auto"",""en"")"),"#VALUE!")</f>
        <v>#VALUE!</v>
      </c>
    </row>
    <row r="3976" spans="1:6" ht="13.5" customHeight="1">
      <c r="A3976" s="4" t="s">
        <v>9083</v>
      </c>
      <c r="B3976" s="4" t="s">
        <v>9084</v>
      </c>
      <c r="C3976" s="4" t="str">
        <f ca="1">IFERROR(__xludf.DUMMYFUNCTION("GOOGLETRANSLATE(D:D,""auto"",""en"")"),"Beijing Public officials shall not wearing N95 surgical masks")</f>
        <v>Beijing Public officials shall not wearing N95 surgical masks</v>
      </c>
      <c r="D3976" s="4" t="s">
        <v>9085</v>
      </c>
      <c r="E3976" s="4">
        <v>4151515</v>
      </c>
      <c r="F3976">
        <v>1</v>
      </c>
    </row>
    <row r="3977" spans="1:6" ht="13.5" customHeight="1">
      <c r="A3977" s="4" t="s">
        <v>9086</v>
      </c>
      <c r="B3977" s="4" t="s">
        <v>9087</v>
      </c>
      <c r="C3977" s="4" t="str">
        <f ca="1">IFERROR(__xludf.DUMMYFUNCTION("GOOGLETRANSLATE(D:D,""auto"",""en"")"),"Four-day mission, the medical community to join forces in Wuhan")</f>
        <v>Four-day mission, the medical community to join forces in Wuhan</v>
      </c>
      <c r="D3977" s="5" t="s">
        <v>9088</v>
      </c>
      <c r="E3977" s="4">
        <v>2757789</v>
      </c>
      <c r="F3977">
        <v>1</v>
      </c>
    </row>
    <row r="3978" spans="1:6" ht="13.5" customHeight="1">
      <c r="A3978" s="4" t="s">
        <v>9089</v>
      </c>
      <c r="B3978" s="4" t="s">
        <v>8980</v>
      </c>
      <c r="C3978" s="4" t="str">
        <f ca="1">IFERROR(__xludf.DUMMYFUNCTION("GOOGLETRANSLATE(D:D,""auto"",""en"")"),"Tong Zhaohui new crown will not get pneumonia after healing within six months")</f>
        <v>Tong Zhaohui new crown will not get pneumonia after healing within six months</v>
      </c>
      <c r="D3978" s="5" t="s">
        <v>9090</v>
      </c>
      <c r="E3978" s="4">
        <v>2633795</v>
      </c>
      <c r="F3978">
        <v>1</v>
      </c>
    </row>
    <row r="3979" spans="1:6" ht="13.5" customHeight="1">
      <c r="A3979" s="4" t="s">
        <v>9091</v>
      </c>
      <c r="B3979" s="4" t="s">
        <v>9092</v>
      </c>
      <c r="C3979" s="4" t="str">
        <f ca="1">IFERROR(__xludf.DUMMYFUNCTION("GOOGLETRANSLATE(D:D,""auto"",""en"")"),"Patients with the disease lose the best treatment opportunity conceal death")</f>
        <v>Patients with the disease lose the best treatment opportunity conceal death</v>
      </c>
      <c r="D3979" s="5" t="s">
        <v>9093</v>
      </c>
      <c r="E3979" s="4">
        <v>1700635</v>
      </c>
      <c r="F3979">
        <v>1</v>
      </c>
    </row>
    <row r="3980" spans="1:6" ht="13.5" customHeight="1">
      <c r="A3980" s="4" t="s">
        <v>9094</v>
      </c>
      <c r="B3980" s="4" t="s">
        <v>9095</v>
      </c>
      <c r="C3980" s="4" t="str">
        <f ca="1">IFERROR(__xludf.DUMMYFUNCTION("GOOGLETRANSLATE(D:D,""auto"",""en"")"),"Shanghai Hongqiao hub body temperature abnormalities have been found 101 people")</f>
        <v>Shanghai Hongqiao hub body temperature abnormalities have been found 101 people</v>
      </c>
      <c r="D3980" s="5" t="s">
        <v>9096</v>
      </c>
      <c r="E3980" s="4">
        <v>1659465</v>
      </c>
      <c r="F3980">
        <v>1</v>
      </c>
    </row>
    <row r="3981" spans="1:6" ht="13.5" customHeight="1">
      <c r="A3981" s="4" t="s">
        <v>9097</v>
      </c>
      <c r="B3981" s="4" t="s">
        <v>9039</v>
      </c>
      <c r="C3981" s="4" t="str">
        <f ca="1">IFERROR(__xludf.DUMMYFUNCTION("GOOGLETRANSLATE(D:D,""auto"",""en"")"),"Jiang Chaoliang finished within two days to detect all patients suspected of Wuhan")</f>
        <v>Jiang Chaoliang finished within two days to detect all patients suspected of Wuhan</v>
      </c>
      <c r="D3981" s="5" t="s">
        <v>9098</v>
      </c>
      <c r="E3981" s="4">
        <v>1604190</v>
      </c>
      <c r="F3981">
        <v>1</v>
      </c>
    </row>
    <row r="3982" spans="1:6" ht="13.5" customHeight="1">
      <c r="A3982" s="4" t="s">
        <v>9099</v>
      </c>
      <c r="B3982" s="4" t="s">
        <v>9100</v>
      </c>
      <c r="C3982" s="4" t="str">
        <f ca="1">IFERROR(__xludf.DUMMYFUNCTION("GOOGLETRANSLATE(D:D,""auto"",""en"")"),"Empty auditorium")</f>
        <v>Empty auditorium</v>
      </c>
      <c r="D3982" s="5" t="s">
        <v>9101</v>
      </c>
      <c r="E3982" s="4">
        <v>1272537</v>
      </c>
      <c r="F3982">
        <v>1</v>
      </c>
    </row>
    <row r="3983" spans="1:6" ht="13.5" customHeight="1">
      <c r="A3983" s="4" t="s">
        <v>9102</v>
      </c>
      <c r="B3983" s="4" t="s">
        <v>9103</v>
      </c>
      <c r="C3983" s="4" t="str">
        <f ca="1">IFERROR(__xludf.DUMMYFUNCTION("GOOGLETRANSLATE(D:D,""auto"",""en"")"),"The national total of 37,198 cases of pneumonia diagnosed with the new crown")</f>
        <v>The national total of 37,198 cases of pneumonia diagnosed with the new crown</v>
      </c>
      <c r="D3983" s="5" t="s">
        <v>9104</v>
      </c>
      <c r="E3983" s="4">
        <v>982927</v>
      </c>
      <c r="F3983">
        <v>1</v>
      </c>
    </row>
    <row r="3984" spans="1:6" ht="13.5" customHeight="1">
      <c r="A3984" s="4" t="s">
        <v>9105</v>
      </c>
      <c r="B3984" s="4" t="s">
        <v>9106</v>
      </c>
      <c r="C3984" s="4" t="str">
        <f ca="1">IFERROR(__xludf.DUMMYFUNCTION("GOOGLETRANSLATE(D:D,""auto"",""en"")"),"Wuhan women's basketball team after two straight shouting refueling")</f>
        <v>Wuhan women's basketball team after two straight shouting refueling</v>
      </c>
      <c r="D3984" s="5" t="s">
        <v>9107</v>
      </c>
      <c r="E3984" s="4">
        <v>744438</v>
      </c>
      <c r="F3984">
        <v>1</v>
      </c>
    </row>
    <row r="3985" spans="1:6" ht="13.5" hidden="1" customHeight="1">
      <c r="A3985" s="4" t="s">
        <v>9108</v>
      </c>
      <c r="B3985" s="4" t="s">
        <v>9109</v>
      </c>
      <c r="C3985" s="4" t="str">
        <f ca="1">IFERROR(__xludf.DUMMYFUNCTION("GOOGLETRANSLATE(D:D,""auto"",""en"")"),"Thailand shooting the murderer was killed")</f>
        <v>Thailand shooting the murderer was killed</v>
      </c>
      <c r="D3985" s="5" t="s">
        <v>9110</v>
      </c>
      <c r="E3985" s="4">
        <v>739779</v>
      </c>
    </row>
    <row r="3986" spans="1:6" ht="13.5" hidden="1" customHeight="1">
      <c r="A3986" s="4" t="s">
        <v>9111</v>
      </c>
      <c r="B3986" s="4" t="s">
        <v>9112</v>
      </c>
      <c r="C3986" s="4" t="str">
        <f ca="1">IFERROR(__xludf.DUMMYFUNCTION("GOOGLETRANSLATE(D:D,""auto"",""en"")"),"Thailand shootings caused 25 dead 34 injured")</f>
        <v>Thailand shootings caused 25 dead 34 injured</v>
      </c>
      <c r="D3986" s="5" t="s">
        <v>9113</v>
      </c>
      <c r="E3986" s="4">
        <v>739319</v>
      </c>
    </row>
    <row r="3987" spans="1:6" ht="13.5" customHeight="1">
      <c r="A3987" s="4" t="s">
        <v>5803</v>
      </c>
      <c r="B3987" s="4" t="s">
        <v>5804</v>
      </c>
      <c r="C3987" s="4" t="str">
        <f ca="1">IFERROR(__xludf.DUMMYFUNCTION("GOOGLETRANSLATE(D:D,""auto"",""en"")"),"The latest outbreak Map")</f>
        <v>The latest outbreak Map</v>
      </c>
      <c r="D3987" s="5" t="s">
        <v>5805</v>
      </c>
      <c r="E3987" s="4">
        <v>733398</v>
      </c>
      <c r="F3987">
        <v>1</v>
      </c>
    </row>
    <row r="3988" spans="1:6" ht="13.5" customHeight="1">
      <c r="A3988" s="4" t="s">
        <v>9114</v>
      </c>
      <c r="B3988" s="4" t="s">
        <v>9115</v>
      </c>
      <c r="C3988" s="4" t="str">
        <f ca="1">IFERROR(__xludf.DUMMYFUNCTION("GOOGLETRANSLATE(D:D,""auto"",""en"")"),"CDC experts respond aerosol dissemination")</f>
        <v>CDC experts respond aerosol dissemination</v>
      </c>
      <c r="D3988" s="5" t="s">
        <v>9116</v>
      </c>
      <c r="E3988" s="4">
        <v>713775</v>
      </c>
      <c r="F3988">
        <v>1</v>
      </c>
    </row>
    <row r="3989" spans="1:6" ht="13.5" hidden="1" customHeight="1">
      <c r="A3989" s="4" t="s">
        <v>8963</v>
      </c>
      <c r="B3989" s="4" t="s">
        <v>8964</v>
      </c>
      <c r="C3989" s="4" t="str">
        <f ca="1">IFERROR(__xludf.DUMMYFUNCTION("GOOGLETRANSLATE(D:D,""auto"",""en"")"),"Only the legendary Phoenix Ling flower")</f>
        <v>Only the legendary Phoenix Ling flower</v>
      </c>
      <c r="D3989" s="5" t="s">
        <v>8965</v>
      </c>
      <c r="E3989" s="4">
        <v>711187</v>
      </c>
    </row>
    <row r="3990" spans="1:6" ht="13.5" customHeight="1">
      <c r="A3990" s="4" t="s">
        <v>9117</v>
      </c>
      <c r="B3990" s="4" t="s">
        <v>9118</v>
      </c>
      <c r="C3990" s="4" t="str">
        <f ca="1">IFERROR(__xludf.DUMMYFUNCTION("GOOGLETRANSLATE(D:D,""auto"",""en"")"),"Key government reveal all the details of medical supplies procurement purchasing and storage protection")</f>
        <v>Key government reveal all the details of medical supplies procurement purchasing and storage protection</v>
      </c>
      <c r="D3990" s="5" t="s">
        <v>9119</v>
      </c>
      <c r="E3990" s="4">
        <v>710238</v>
      </c>
      <c r="F3990">
        <v>1</v>
      </c>
    </row>
    <row r="3991" spans="1:6" ht="13.5" customHeight="1">
      <c r="A3991" s="4" t="s">
        <v>9120</v>
      </c>
      <c r="B3991" s="4" t="s">
        <v>9121</v>
      </c>
      <c r="C3991" s="4" t="str">
        <f ca="1">IFERROR(__xludf.DUMMYFUNCTION("GOOGLETRANSLATE(D:D,""auto"",""en"")"),"Small rice balls first nucleic acid test results")</f>
        <v>Small rice balls first nucleic acid test results</v>
      </c>
      <c r="D3991" s="5" t="s">
        <v>9122</v>
      </c>
      <c r="E3991" s="4">
        <v>706015</v>
      </c>
      <c r="F3991">
        <v>1</v>
      </c>
    </row>
    <row r="3992" spans="1:6" ht="13.5" customHeight="1">
      <c r="A3992" s="4" t="s">
        <v>9123</v>
      </c>
      <c r="B3992" s="4" t="s">
        <v>9124</v>
      </c>
      <c r="C3992" s="4" t="str">
        <f ca="1">IFERROR(__xludf.DUMMYFUNCTION("GOOGLETRANSLATE(D:D,""auto"",""en"")"),"Front-line nurses loved ones miss calls")</f>
        <v>Front-line nurses loved ones miss calls</v>
      </c>
      <c r="D3992" s="5" t="s">
        <v>9125</v>
      </c>
      <c r="E3992" s="4">
        <v>704506</v>
      </c>
      <c r="F3992">
        <v>1</v>
      </c>
    </row>
    <row r="3993" spans="1:6" ht="13.5" customHeight="1">
      <c r="A3993" s="4" t="s">
        <v>9126</v>
      </c>
      <c r="B3993" s="4" t="s">
        <v>9027</v>
      </c>
      <c r="C3993" s="4" t="str">
        <f ca="1">IFERROR(__xludf.DUMMYFUNCTION("GOOGLETRANSLATE(D:D,""auto"",""en"")"),"British grandfather recorded epidemic daily cruise isolation")</f>
        <v>British grandfather recorded epidemic daily cruise isolation</v>
      </c>
      <c r="D3993" s="5" t="s">
        <v>9127</v>
      </c>
      <c r="E3993" s="4">
        <v>701461</v>
      </c>
      <c r="F3993">
        <v>1</v>
      </c>
    </row>
    <row r="3994" spans="1:6" ht="13.5" hidden="1" customHeight="1">
      <c r="A3994" s="4" t="s">
        <v>9128</v>
      </c>
      <c r="B3994" s="4" t="s">
        <v>9129</v>
      </c>
      <c r="C3994" s="4" t="str">
        <f ca="1">IFERROR(__xludf.DUMMYFUNCTION("GOOGLETRANSLATE(D:D,""auto"",""en"")"),"Wiggins Warriors debut")</f>
        <v>Wiggins Warriors debut</v>
      </c>
      <c r="D3994" s="5" t="s">
        <v>9130</v>
      </c>
      <c r="E3994" s="4">
        <v>696759</v>
      </c>
    </row>
    <row r="3995" spans="1:6" ht="13.5" hidden="1" customHeight="1">
      <c r="A3995" s="4" t="s">
        <v>9131</v>
      </c>
      <c r="B3995" s="4" t="s">
        <v>8957</v>
      </c>
      <c r="C3995" s="4" t="str">
        <f ca="1">IFERROR(__xludf.DUMMYFUNCTION("GOOGLETRANSLATE(D:D,""auto"",""en"")"),"66-year-old critically ill patients eight days fast recovery")</f>
        <v>66-year-old critically ill patients eight days fast recovery</v>
      </c>
      <c r="D3995" s="5" t="s">
        <v>9132</v>
      </c>
      <c r="E3995" s="4">
        <v>695547</v>
      </c>
    </row>
    <row r="3996" spans="1:6" ht="13.5" customHeight="1">
      <c r="A3996" s="4" t="s">
        <v>9133</v>
      </c>
      <c r="B3996" s="4" t="s">
        <v>8901</v>
      </c>
      <c r="C3996" s="4" t="str">
        <f ca="1">IFERROR(__xludf.DUMMYFUNCTION("GOOGLETRANSLATE(D:D,""auto"",""en"")"),"Itaewon CLASS")</f>
        <v>Itaewon CLASS</v>
      </c>
      <c r="D3996" s="5" t="s">
        <v>9134</v>
      </c>
      <c r="E3996" s="4">
        <v>693441</v>
      </c>
      <c r="F3996">
        <v>1</v>
      </c>
    </row>
    <row r="3997" spans="1:6" ht="13.5" customHeight="1">
      <c r="A3997" s="4" t="s">
        <v>9135</v>
      </c>
      <c r="B3997" s="4" t="s">
        <v>9136</v>
      </c>
      <c r="C3997" s="4" t="str">
        <f ca="1">IFERROR(__xludf.DUMMYFUNCTION("GOOGLETRANSLATE(D:D,""auto"",""en"")"),"Shaolin Temple overseas home purchase one million masks rush to the rescue")</f>
        <v>Shaolin Temple overseas home purchase one million masks rush to the rescue</v>
      </c>
      <c r="D3997" s="5" t="s">
        <v>9137</v>
      </c>
      <c r="E3997" s="4">
        <v>684668</v>
      </c>
      <c r="F3997">
        <v>1</v>
      </c>
    </row>
    <row r="3998" spans="1:6" ht="13.5" customHeight="1">
      <c r="A3998" s="4" t="s">
        <v>9138</v>
      </c>
      <c r="B3998" s="4" t="s">
        <v>9139</v>
      </c>
      <c r="C3998" s="4" t="str">
        <f ca="1">IFERROR(__xludf.DUMMYFUNCTION("GOOGLETRANSLATE(D:D,""auto"",""en"")"),"Critically ill patients discharged from hospital after investigation")</f>
        <v>Critically ill patients discharged from hospital after investigation</v>
      </c>
      <c r="D3998" s="5" t="s">
        <v>9140</v>
      </c>
      <c r="E3998" s="4">
        <v>666355</v>
      </c>
      <c r="F3998">
        <v>1</v>
      </c>
    </row>
    <row r="3999" spans="1:6" ht="13.5" hidden="1" customHeight="1">
      <c r="A3999" s="4" t="s">
        <v>9141</v>
      </c>
      <c r="B3999" s="4" t="s">
        <v>9142</v>
      </c>
      <c r="C3999" s="4" t="str">
        <f ca="1">IFERROR(__xludf.DUMMYFUNCTION("GOOGLETRANSLATE(D:D,""auto"",""en"")"),"MONTHS")</f>
        <v>MONTHS</v>
      </c>
      <c r="D3999" s="5" t="s">
        <v>9143</v>
      </c>
      <c r="E3999" s="4">
        <v>611179</v>
      </c>
    </row>
    <row r="4000" spans="1:6" ht="13.5" customHeight="1">
      <c r="A4000" s="4" t="s">
        <v>9144</v>
      </c>
      <c r="B4000" s="4" t="s">
        <v>9145</v>
      </c>
      <c r="C4000" s="4" t="str">
        <f ca="1">IFERROR(__xludf.DUMMYFUNCTION("GOOGLETRANSLATE(D:D,""auto"",""en"")"),"Vulcan Hill Hospital open microblogging")</f>
        <v>Vulcan Hill Hospital open microblogging</v>
      </c>
      <c r="D4000" s="5" t="s">
        <v>9146</v>
      </c>
      <c r="E4000" s="4">
        <v>568136</v>
      </c>
      <c r="F4000">
        <v>1</v>
      </c>
    </row>
    <row r="4001" spans="1:6" ht="13.5" hidden="1" customHeight="1">
      <c r="A4001" s="4" t="s">
        <v>1169</v>
      </c>
      <c r="B4001" s="4" t="s">
        <v>1170</v>
      </c>
      <c r="C4001" s="4" t="str">
        <f ca="1">IFERROR(__xludf.DUMMYFUNCTION("GOOGLETRANSLATE(D:D,""auto"",""en"")"),"want to see you")</f>
        <v>want to see you</v>
      </c>
      <c r="D4001" s="5" t="s">
        <v>1171</v>
      </c>
      <c r="E4001" s="4">
        <v>558694</v>
      </c>
    </row>
    <row r="4002" spans="1:6" ht="13.5" customHeight="1">
      <c r="A4002" s="4" t="s">
        <v>9147</v>
      </c>
      <c r="B4002" s="4" t="s">
        <v>9148</v>
      </c>
      <c r="C4002" s="4" t="str">
        <f ca="1">IFERROR(__xludf.DUMMYFUNCTION("GOOGLETRANSLATE(D:D,""auto"",""en"")"),"Henan confirmed cases accumulated over one thousand cases")</f>
        <v>Henan confirmed cases accumulated over one thousand cases</v>
      </c>
      <c r="D4002" s="5" t="s">
        <v>9149</v>
      </c>
      <c r="E4002" s="4">
        <v>407723</v>
      </c>
      <c r="F4002">
        <v>1</v>
      </c>
    </row>
    <row r="4003" spans="1:6" ht="13.5" hidden="1" customHeight="1">
      <c r="A4003" s="4" t="s">
        <v>9150</v>
      </c>
      <c r="B4003" s="4" t="s">
        <v>9151</v>
      </c>
      <c r="C4003" s="4" t="str">
        <f ca="1">IFERROR(__xludf.DUMMYFUNCTION("GOOGLETRANSLATE(D:D,""auto"",""en"")"),"Yue Fei")</f>
        <v>Yue Fei</v>
      </c>
      <c r="D4003" s="5" t="s">
        <v>9152</v>
      </c>
      <c r="E4003" s="4">
        <v>356574</v>
      </c>
    </row>
    <row r="4004" spans="1:6" ht="13.5" hidden="1" customHeight="1">
      <c r="A4004" s="4" t="s">
        <v>9007</v>
      </c>
      <c r="B4004" s="4" t="s">
        <v>9008</v>
      </c>
      <c r="C4004" s="4" t="str">
        <f ca="1">IFERROR(__xludf.DUMMYFUNCTION("GOOGLETRANSLATE(D:D,""auto"",""en"")"),"Yao Ming laugh")</f>
        <v>Yao Ming laugh</v>
      </c>
      <c r="D4004" s="5" t="s">
        <v>9009</v>
      </c>
      <c r="E4004" s="4">
        <v>350006</v>
      </c>
    </row>
    <row r="4005" spans="1:6" ht="13.5" customHeight="1">
      <c r="A4005" s="4" t="s">
        <v>9153</v>
      </c>
      <c r="B4005" s="4" t="s">
        <v>9154</v>
      </c>
      <c r="C4005" s="4" t="str">
        <f ca="1">IFERROR(__xludf.DUMMYFUNCTION("GOOGLETRANSLATE(D:D,""auto"",""en"")"),"After the meeting the need to return post how to do")</f>
        <v>After the meeting the need to return post how to do</v>
      </c>
      <c r="D4005" s="5" t="s">
        <v>9155</v>
      </c>
      <c r="E4005" s="4">
        <v>347576</v>
      </c>
      <c r="F4005">
        <v>1</v>
      </c>
    </row>
    <row r="4006" spans="1:6" ht="13.5" hidden="1" customHeight="1">
      <c r="A4006" s="4" t="s">
        <v>8998</v>
      </c>
      <c r="B4006" s="4" t="s">
        <v>8999</v>
      </c>
      <c r="C4006" s="4" t="str">
        <f ca="1">IFERROR(__xludf.DUMMYFUNCTION("GOOGLETRANSLATE(D:D,""auto"",""en"")"),"Hunan TV host prop up a party")</f>
        <v>Hunan TV host prop up a party</v>
      </c>
      <c r="D4006" s="5" t="s">
        <v>9000</v>
      </c>
      <c r="E4006" s="4">
        <v>302110</v>
      </c>
    </row>
    <row r="4007" spans="1:6" ht="13.5" customHeight="1">
      <c r="A4007" s="4" t="s">
        <v>9156</v>
      </c>
      <c r="B4007" s="4" t="s">
        <v>9157</v>
      </c>
      <c r="C4007" s="4" t="str">
        <f ca="1">IFERROR(__xludf.DUMMYFUNCTION("GOOGLETRANSLATE(D:D,""auto"",""en"")"),"Anhui's first deaths")</f>
        <v>Anhui's first deaths</v>
      </c>
      <c r="D4007" s="5" t="s">
        <v>9158</v>
      </c>
      <c r="E4007" s="4">
        <v>277403</v>
      </c>
      <c r="F4007">
        <v>1</v>
      </c>
    </row>
    <row r="4008" spans="1:6" ht="13.5" customHeight="1">
      <c r="A4008" s="4" t="s">
        <v>9159</v>
      </c>
      <c r="B4008" s="4" t="s">
        <v>9100</v>
      </c>
      <c r="C4008" s="4" t="str">
        <f ca="1">IFERROR(__xludf.DUMMYFUNCTION("GOOGLETRANSLATE(D:D,""auto"",""en"")"),"Hubei new crown the new 2147 cases of pneumonia")</f>
        <v>Hubei new crown the new 2147 cases of pneumonia</v>
      </c>
      <c r="D4008" s="5" t="s">
        <v>9160</v>
      </c>
      <c r="E4008" s="4">
        <v>277230</v>
      </c>
      <c r="F4008">
        <v>1</v>
      </c>
    </row>
    <row r="4009" spans="1:6" ht="13.5" customHeight="1">
      <c r="A4009" s="4" t="s">
        <v>8986</v>
      </c>
      <c r="B4009" s="4" t="s">
        <v>8987</v>
      </c>
      <c r="C4009" s="4" t="str">
        <f ca="1">IFERROR(__xludf.DUMMYFUNCTION("GOOGLETRANSLATE(D:D,""auto"",""en"")"),"Hubei regulation 6 class formalism and bureaucratism")</f>
        <v>Hubei regulation 6 class formalism and bureaucratism</v>
      </c>
      <c r="D4009" s="5" t="s">
        <v>8988</v>
      </c>
      <c r="E4009" s="4">
        <v>267332</v>
      </c>
      <c r="F4009">
        <v>1</v>
      </c>
    </row>
    <row r="4010" spans="1:6" ht="13.5" hidden="1" customHeight="1">
      <c r="A4010" s="4" t="s">
        <v>8969</v>
      </c>
      <c r="B4010" s="4" t="s">
        <v>8970</v>
      </c>
      <c r="C4010" s="4" t="str">
        <f ca="1">IFERROR(__xludf.DUMMYFUNCTION("GOOGLETRANSLATE(D:D,""auto"",""en"")"),"Wang Yaoqing dubbing")</f>
        <v>Wang Yaoqing dubbing</v>
      </c>
      <c r="D4010" s="5" t="s">
        <v>8971</v>
      </c>
      <c r="E4010" s="4">
        <v>267116</v>
      </c>
    </row>
    <row r="4011" spans="1:6" ht="13.5" hidden="1" customHeight="1">
      <c r="A4011" s="4" t="s">
        <v>9001</v>
      </c>
      <c r="B4011" s="4" t="s">
        <v>9002</v>
      </c>
      <c r="C4011" s="4" t="str">
        <f ca="1">IFERROR(__xludf.DUMMYFUNCTION("GOOGLETRANSLATE(D:D,""auto"",""en"")"),"Huang Jingyu weight")</f>
        <v>Huang Jingyu weight</v>
      </c>
      <c r="D4011" s="5" t="s">
        <v>9003</v>
      </c>
      <c r="E4011" s="4">
        <v>266073</v>
      </c>
    </row>
    <row r="4012" spans="1:6" ht="13.5" customHeight="1">
      <c r="A4012" s="4" t="s">
        <v>6674</v>
      </c>
      <c r="B4012" s="4" t="s">
        <v>6675</v>
      </c>
      <c r="C4012" s="4" t="str">
        <f ca="1">IFERROR(__xludf.DUMMYFUNCTION("GOOGLETRANSLATE(D:D,""auto"",""en"")"),"Jiangsu new new 29 cases of pneumonia")</f>
        <v>Jiangsu new new 29 cases of pneumonia</v>
      </c>
      <c r="D4012" s="5" t="s">
        <v>6676</v>
      </c>
      <c r="E4012" s="4">
        <v>244168</v>
      </c>
      <c r="F4012">
        <v>1</v>
      </c>
    </row>
    <row r="4013" spans="1:6" ht="13.5" customHeight="1">
      <c r="A4013" s="4" t="s">
        <v>9161</v>
      </c>
      <c r="B4013" s="4" t="s">
        <v>9162</v>
      </c>
      <c r="C4013" s="4" t="str">
        <f ca="1">IFERROR(__xludf.DUMMYFUNCTION("GOOGLETRANSLATE(D:D,""auto"",""en"")"),"When the temporary care of children six months of age diagnosed with mom")</f>
        <v>When the temporary care of children six months of age diagnosed with mom</v>
      </c>
      <c r="D4013" s="5" t="s">
        <v>9163</v>
      </c>
      <c r="E4013" s="4">
        <v>219318</v>
      </c>
      <c r="F4013">
        <v>1</v>
      </c>
    </row>
    <row r="4014" spans="1:6" ht="13.5" customHeight="1">
      <c r="A4014" s="4" t="s">
        <v>9007</v>
      </c>
      <c r="B4014" s="4" t="s">
        <v>9078</v>
      </c>
      <c r="C4014" s="4" t="str">
        <f ca="1">IFERROR(__xludf.DUMMYFUNCTION("GOOGLETRANSLATE(D:D,""auto"",""en"")"),"Medical team one hour to complete the voluntary registration")</f>
        <v>Medical team one hour to complete the voluntary registration</v>
      </c>
      <c r="D4014" s="5" t="s">
        <v>9164</v>
      </c>
      <c r="E4014" s="4">
        <v>209797</v>
      </c>
      <c r="F4014">
        <v>1</v>
      </c>
    </row>
    <row r="4015" spans="1:6" ht="13.5" customHeight="1">
      <c r="A4015" s="4" t="s">
        <v>9161</v>
      </c>
      <c r="B4015" s="4" t="s">
        <v>9165</v>
      </c>
      <c r="C4015" s="4" t="str">
        <f ca="1">IFERROR(__xludf.DUMMYFUNCTION("GOOGLETRANSLATE(D:D,""auto"",""en"")"),"After the outbreak of your new goals")</f>
        <v>After the outbreak of your new goals</v>
      </c>
      <c r="D4015" s="5" t="s">
        <v>9166</v>
      </c>
      <c r="E4015" s="4">
        <v>177243</v>
      </c>
      <c r="F4015">
        <v>1</v>
      </c>
    </row>
    <row r="4016" spans="1:6" ht="13.5" hidden="1" customHeight="1">
      <c r="A4016" s="4" t="s">
        <v>9034</v>
      </c>
      <c r="B4016" s="4" t="s">
        <v>9035</v>
      </c>
      <c r="C4016" s="4" t="str">
        <f ca="1">IFERROR(__xludf.DUMMYFUNCTION("GOOGLETRANSLATE(D:D,""auto"",""en"")"),"Lantern Festival party in Hunan have Dasha")</f>
        <v>Lantern Festival party in Hunan have Dasha</v>
      </c>
      <c r="D4016" s="5" t="s">
        <v>9036</v>
      </c>
      <c r="E4016" s="4">
        <v>174472</v>
      </c>
    </row>
    <row r="4017" spans="1:6" ht="13.5" customHeight="1">
      <c r="A4017" s="4" t="s">
        <v>9167</v>
      </c>
      <c r="B4017" s="4" t="s">
        <v>9168</v>
      </c>
      <c r="C4017" s="4" t="str">
        <f ca="1">IFERROR(__xludf.DUMMYFUNCTION("GOOGLETRANSLATE(D:D,""auto"",""en"")"),"Shandong new 19 cases of pneumonia new crown")</f>
        <v>Shandong new 19 cases of pneumonia new crown</v>
      </c>
      <c r="D4017" s="5" t="s">
        <v>9169</v>
      </c>
      <c r="E4017" s="4">
        <v>174173</v>
      </c>
      <c r="F4017">
        <v>1</v>
      </c>
    </row>
    <row r="4018" spans="1:6" ht="13.5" hidden="1" customHeight="1">
      <c r="A4018" s="4" t="s">
        <v>9010</v>
      </c>
      <c r="B4018" s="4" t="s">
        <v>9011</v>
      </c>
      <c r="C4018" s="4" t="str">
        <f ca="1">IFERROR(__xludf.DUMMYFUNCTION("GOOGLETRANSLATE(D:D,""auto"",""en"")"),"White light wedding")</f>
        <v>White light wedding</v>
      </c>
      <c r="D4018" s="5" t="s">
        <v>9012</v>
      </c>
      <c r="E4018" s="4">
        <v>174103</v>
      </c>
    </row>
    <row r="4019" spans="1:6" ht="13.5" hidden="1" customHeight="1">
      <c r="A4019" s="4" t="s">
        <v>2608</v>
      </c>
      <c r="B4019" s="4" t="s">
        <v>2609</v>
      </c>
      <c r="C4019" s="4" t="str">
        <f ca="1">IFERROR(__xludf.DUMMYFUNCTION("GOOGLETRANSLATE(D:D,""auto"",""en"")"),"Landing of love")</f>
        <v>Landing of love</v>
      </c>
      <c r="D4019" s="5" t="s">
        <v>2610</v>
      </c>
      <c r="E4019" s="4">
        <v>158731</v>
      </c>
    </row>
    <row r="4020" spans="1:6" ht="13.5" hidden="1" customHeight="1">
      <c r="A4020" s="4" t="s">
        <v>9021</v>
      </c>
      <c r="B4020" s="4" t="s">
        <v>9022</v>
      </c>
      <c r="C4020" s="4" t="str">
        <f ca="1">IFERROR(__xludf.DUMMYFUNCTION("GOOGLETRANSLATE(D:D,""auto"",""en"")"),"Li Jiaqi live")</f>
        <v>Li Jiaqi live</v>
      </c>
      <c r="D4020" s="5" t="s">
        <v>9023</v>
      </c>
      <c r="E4020" s="4">
        <v>141054</v>
      </c>
    </row>
    <row r="4021" spans="1:6" ht="13.5" hidden="1" customHeight="1">
      <c r="A4021" s="4" t="s">
        <v>8972</v>
      </c>
      <c r="B4021" s="4" t="s">
        <v>8973</v>
      </c>
      <c r="C4021" s="4" t="str">
        <f ca="1">IFERROR(__xludf.DUMMYFUNCTION("GOOGLETRANSLATE(D:D,""auto"",""en"")"),"Kelly tearful recitation")</f>
        <v>Kelly tearful recitation</v>
      </c>
      <c r="D4021" s="5" t="s">
        <v>8974</v>
      </c>
      <c r="E4021" s="4">
        <v>122471</v>
      </c>
    </row>
    <row r="4022" spans="1:6" ht="13.5" hidden="1" customHeight="1">
      <c r="A4022" s="4" t="s">
        <v>9013</v>
      </c>
      <c r="B4022" s="4" t="s">
        <v>9014</v>
      </c>
      <c r="C4022" s="4" t="str">
        <f ca="1">IFERROR(__xludf.DUMMYFUNCTION("GOOGLETRANSLATE(D:D,""auto"",""en"")"),"Tao Hong")</f>
        <v>Tao Hong</v>
      </c>
      <c r="D4022" s="5" t="s">
        <v>9015</v>
      </c>
      <c r="E4022" s="4">
        <v>116557</v>
      </c>
    </row>
    <row r="4023" spans="1:6" ht="13.5" hidden="1" customHeight="1">
      <c r="A4023" s="4" t="s">
        <v>9080</v>
      </c>
      <c r="B4023" s="4" t="s">
        <v>9081</v>
      </c>
      <c r="C4023" s="4" t="str">
        <f ca="1">IFERROR(__xludf.DUMMYFUNCTION("GOOGLETRANSLATE(D:D,""auto"",""en"")"),"Chinese women's basketball team into the Olympic Games in Tokyo")</f>
        <v>Chinese women's basketball team into the Olympic Games in Tokyo</v>
      </c>
      <c r="D4023" s="5" t="s">
        <v>9082</v>
      </c>
      <c r="E4023" s="4">
        <v>68727</v>
      </c>
    </row>
    <row r="4024" spans="1:6" ht="13.5" hidden="1" customHeight="1">
      <c r="A4024" s="4" t="s">
        <v>9037</v>
      </c>
      <c r="B4024" s="4" t="s">
        <v>8887</v>
      </c>
      <c r="C4024" s="4" t="str">
        <f ca="1">IFERROR(__xludf.DUMMYFUNCTION("GOOGLETRANSLATE(D:D,""auto"",""en"")"),"Sui Wenjing Han Cong won")</f>
        <v>Sui Wenjing Han Cong won</v>
      </c>
      <c r="D4024" s="5" t="s">
        <v>9038</v>
      </c>
      <c r="E4024" s="4">
        <v>64189</v>
      </c>
    </row>
    <row r="4025" spans="1:6" ht="13.5" hidden="1" customHeight="1">
      <c r="A4025" s="4" t="s">
        <v>8983</v>
      </c>
      <c r="B4025" s="4" t="s">
        <v>8984</v>
      </c>
      <c r="C4025" s="4" t="str">
        <f ca="1">IFERROR(__xludf.DUMMYFUNCTION("GOOGLETRANSLATE(D:D,""auto"",""en"")"),"Choi Ji-woo guest landing of love")</f>
        <v>Choi Ji-woo guest landing of love</v>
      </c>
      <c r="D4025" s="5" t="s">
        <v>8985</v>
      </c>
      <c r="E4025" s="4">
        <v>63652</v>
      </c>
    </row>
    <row r="4026" spans="1:6" ht="13.5" hidden="1" customHeight="1">
      <c r="C4026" s="4" t="str">
        <f ca="1">IFERROR(__xludf.DUMMYFUNCTION("GOOGLETRANSLATE(D:D,""auto"",""en"")"),"#VALUE!")</f>
        <v>#VALUE!</v>
      </c>
    </row>
    <row r="4027" spans="1:6" ht="13.5" customHeight="1">
      <c r="A4027" s="4" t="s">
        <v>9170</v>
      </c>
      <c r="B4027" s="4" t="s">
        <v>9171</v>
      </c>
      <c r="C4027" s="4" t="str">
        <f ca="1">IFERROR(__xludf.DUMMYFUNCTION("GOOGLETRANSLATE(D:D,""auto"",""en"")"),"78% of human emerging infectious diseases and wildlife-related")</f>
        <v>78% of human emerging infectious diseases and wildlife-related</v>
      </c>
      <c r="D4027" s="4" t="s">
        <v>9172</v>
      </c>
      <c r="E4027" s="4">
        <v>3975243</v>
      </c>
      <c r="F4027">
        <v>1</v>
      </c>
    </row>
    <row r="4028" spans="1:6" ht="13.5" customHeight="1">
      <c r="A4028" s="4" t="s">
        <v>9173</v>
      </c>
      <c r="B4028" s="4" t="s">
        <v>9174</v>
      </c>
      <c r="C4028" s="4" t="str">
        <f ca="1">IFERROR(__xludf.DUMMYFUNCTION("GOOGLETRANSLATE(D:D,""auto"",""en"")"),"Red Cross went to Wuhan Working Group")</f>
        <v>Red Cross went to Wuhan Working Group</v>
      </c>
      <c r="D4028" s="5" t="s">
        <v>9175</v>
      </c>
      <c r="E4028" s="4">
        <v>2098689</v>
      </c>
      <c r="F4028">
        <v>1</v>
      </c>
    </row>
    <row r="4029" spans="1:6" ht="13.5" customHeight="1">
      <c r="A4029" s="4" t="s">
        <v>9176</v>
      </c>
      <c r="B4029" s="4" t="s">
        <v>9177</v>
      </c>
      <c r="C4029" s="4" t="str">
        <f ca="1">IFERROR(__xludf.DUMMYFUNCTION("GOOGLETRANSLATE(D:D,""auto"",""en"")"),"New cure for 10 days over new deaths")</f>
        <v>New cure for 10 days over new deaths</v>
      </c>
      <c r="D4029" s="5" t="s">
        <v>9178</v>
      </c>
      <c r="E4029" s="4">
        <v>2093903</v>
      </c>
      <c r="F4029">
        <v>1</v>
      </c>
    </row>
    <row r="4030" spans="1:6" ht="13.5" hidden="1" customHeight="1">
      <c r="A4030" s="4" t="s">
        <v>9179</v>
      </c>
      <c r="B4030" s="4" t="s">
        <v>9180</v>
      </c>
      <c r="C4030" s="4" t="str">
        <f ca="1">IFERROR(__xludf.DUMMYFUNCTION("GOOGLETRANSLATE(D:D,""auto"",""en"")"),"Snow Song Three Views")</f>
        <v>Snow Song Three Views</v>
      </c>
      <c r="D4030" s="5" t="s">
        <v>9181</v>
      </c>
      <c r="E4030" s="4">
        <v>1928712</v>
      </c>
    </row>
    <row r="4031" spans="1:6" ht="13.5" hidden="1" customHeight="1">
      <c r="A4031" s="4" t="s">
        <v>9182</v>
      </c>
      <c r="B4031" s="4" t="s">
        <v>9183</v>
      </c>
      <c r="C4031" s="4" t="str">
        <f ca="1">IFERROR(__xludf.DUMMYFUNCTION("GOOGLETRANSLATE(D:D,""auto"",""en"")"),"The gas to be Chen Yun")</f>
        <v>The gas to be Chen Yun</v>
      </c>
      <c r="D4031" s="5" t="s">
        <v>9184</v>
      </c>
      <c r="E4031" s="4">
        <v>1887881</v>
      </c>
    </row>
    <row r="4032" spans="1:6" ht="13.5" hidden="1" customHeight="1">
      <c r="A4032" s="4" t="s">
        <v>1169</v>
      </c>
      <c r="B4032" s="4" t="s">
        <v>1170</v>
      </c>
      <c r="C4032" s="4" t="str">
        <f ca="1">IFERROR(__xludf.DUMMYFUNCTION("GOOGLETRANSLATE(D:D,""auto"",""en"")"),"want to see you")</f>
        <v>want to see you</v>
      </c>
      <c r="D4032" s="5" t="s">
        <v>1171</v>
      </c>
      <c r="E4032" s="4">
        <v>1562003</v>
      </c>
    </row>
    <row r="4033" spans="1:6" ht="13.5" customHeight="1">
      <c r="A4033" s="4" t="s">
        <v>9185</v>
      </c>
      <c r="B4033" s="4" t="s">
        <v>9186</v>
      </c>
      <c r="C4033" s="4" t="str">
        <f ca="1">IFERROR(__xludf.DUMMYFUNCTION("GOOGLETRANSLATE(D:D,""auto"",""en"")"),"Hubei ensure that the number of patients admitted not cleared")</f>
        <v>Hubei ensure that the number of patients admitted not cleared</v>
      </c>
      <c r="D4033" s="5" t="s">
        <v>9187</v>
      </c>
      <c r="E4033" s="4">
        <v>1245801</v>
      </c>
      <c r="F4033">
        <v>1</v>
      </c>
    </row>
    <row r="4034" spans="1:6" ht="13.5" customHeight="1">
      <c r="A4034" s="4" t="s">
        <v>9188</v>
      </c>
      <c r="B4034" s="4" t="s">
        <v>9189</v>
      </c>
      <c r="C4034" s="4" t="str">
        <f ca="1">IFERROR(__xludf.DUMMYFUNCTION("GOOGLETRANSLATE(D:D,""auto"",""en"")"),"A confirmed case more than 20 days no abnormal body temperature")</f>
        <v>A confirmed case more than 20 days no abnormal body temperature</v>
      </c>
      <c r="D4034" s="5" t="s">
        <v>9190</v>
      </c>
      <c r="E4034" s="4">
        <v>1140600</v>
      </c>
      <c r="F4034">
        <v>1</v>
      </c>
    </row>
    <row r="4035" spans="1:6" ht="13.5" customHeight="1">
      <c r="A4035" s="4" t="s">
        <v>9191</v>
      </c>
      <c r="B4035" s="4" t="s">
        <v>9192</v>
      </c>
      <c r="C4035" s="4" t="str">
        <f ca="1">IFERROR(__xludf.DUMMYFUNCTION("GOOGLETRANSLATE(D:D,""auto"",""en"")"),"Mr. Bean to refuel in Wuhan, China")</f>
        <v>Mr. Bean to refuel in Wuhan, China</v>
      </c>
      <c r="D4035" s="5" t="s">
        <v>9193</v>
      </c>
      <c r="E4035" s="4">
        <v>1004163</v>
      </c>
      <c r="F4035">
        <v>1</v>
      </c>
    </row>
    <row r="4036" spans="1:6" ht="13.5" hidden="1" customHeight="1">
      <c r="A4036" s="4" t="s">
        <v>2608</v>
      </c>
      <c r="B4036" s="4" t="s">
        <v>2609</v>
      </c>
      <c r="C4036" s="4" t="str">
        <f ca="1">IFERROR(__xludf.DUMMYFUNCTION("GOOGLETRANSLATE(D:D,""auto"",""en"")"),"Landing of love")</f>
        <v>Landing of love</v>
      </c>
      <c r="D4036" s="5" t="s">
        <v>2610</v>
      </c>
      <c r="E4036" s="4">
        <v>947133</v>
      </c>
    </row>
    <row r="4037" spans="1:6" ht="13.5" hidden="1" customHeight="1">
      <c r="A4037" s="4" t="s">
        <v>9194</v>
      </c>
      <c r="B4037" s="4" t="s">
        <v>9195</v>
      </c>
      <c r="C4037" s="4" t="str">
        <f ca="1">IFERROR(__xludf.DUMMYFUNCTION("GOOGLETRANSLATE(D:D,""auto"",""en"")"),"Tie Lin'm angry")</f>
        <v>Tie Lin'm angry</v>
      </c>
      <c r="D4037" s="5" t="s">
        <v>9196</v>
      </c>
      <c r="E4037" s="4">
        <v>946999</v>
      </c>
    </row>
    <row r="4038" spans="1:6" ht="13.5" hidden="1" customHeight="1">
      <c r="A4038" s="4" t="s">
        <v>9197</v>
      </c>
      <c r="B4038" s="4" t="s">
        <v>9198</v>
      </c>
      <c r="C4038" s="4" t="str">
        <f ca="1">IFERROR(__xludf.DUMMYFUNCTION("GOOGLETRANSLATE(D:D,""auto"",""en"")"),"An Yixuan")</f>
        <v>An Yixuan</v>
      </c>
      <c r="D4038" s="5" t="s">
        <v>9199</v>
      </c>
      <c r="E4038" s="4">
        <v>942097</v>
      </c>
    </row>
    <row r="4039" spans="1:6" ht="13.5" customHeight="1">
      <c r="A4039" s="4" t="s">
        <v>9067</v>
      </c>
      <c r="B4039" s="4" t="s">
        <v>9200</v>
      </c>
      <c r="C4039" s="4" t="str">
        <f ca="1">IFERROR(__xludf.DUMMYFUNCTION("GOOGLETRANSLATE(D:D,""auto"",""en"")"),"Japanese girl bow Wuhan donations")</f>
        <v>Japanese girl bow Wuhan donations</v>
      </c>
      <c r="D4039" s="5" t="s">
        <v>9201</v>
      </c>
      <c r="E4039" s="4">
        <v>939048</v>
      </c>
      <c r="F4039">
        <v>1</v>
      </c>
    </row>
    <row r="4040" spans="1:6" ht="13.5" customHeight="1">
      <c r="A4040" s="4" t="s">
        <v>9202</v>
      </c>
      <c r="B4040" s="4" t="s">
        <v>9203</v>
      </c>
      <c r="C4040" s="4" t="str">
        <f ca="1">IFERROR(__xludf.DUMMYFUNCTION("GOOGLETRANSLATE(D:D,""auto"",""en"")"),"Hubei driver was trapped in a high-speed one week")</f>
        <v>Hubei driver was trapped in a high-speed one week</v>
      </c>
      <c r="D4040" s="5" t="s">
        <v>9204</v>
      </c>
      <c r="E4040" s="4">
        <v>931784</v>
      </c>
      <c r="F4040">
        <v>1</v>
      </c>
    </row>
    <row r="4041" spans="1:6" ht="13.5" customHeight="1">
      <c r="A4041" s="4" t="s">
        <v>5803</v>
      </c>
      <c r="B4041" s="4" t="s">
        <v>5804</v>
      </c>
      <c r="C4041" s="4" t="str">
        <f ca="1">IFERROR(__xludf.DUMMYFUNCTION("GOOGLETRANSLATE(D:D,""auto"",""en"")"),"The latest outbreak Map")</f>
        <v>The latest outbreak Map</v>
      </c>
      <c r="D4041" s="5" t="s">
        <v>5805</v>
      </c>
      <c r="E4041" s="4">
        <v>930203</v>
      </c>
      <c r="F4041">
        <v>1</v>
      </c>
    </row>
    <row r="4042" spans="1:6" ht="13.5" hidden="1" customHeight="1">
      <c r="A4042" s="4" t="s">
        <v>9205</v>
      </c>
      <c r="B4042" s="4" t="s">
        <v>9206</v>
      </c>
      <c r="C4042" s="4" t="str">
        <f ca="1">IFERROR(__xludf.DUMMYFUNCTION("GOOGLETRANSLATE(D:D,""auto"",""en"")"),"Shen Fanfan derailment")</f>
        <v>Shen Fanfan derailment</v>
      </c>
      <c r="D4042" s="5" t="s">
        <v>9207</v>
      </c>
      <c r="E4042" s="4">
        <v>926620</v>
      </c>
    </row>
    <row r="4043" spans="1:6" ht="13.5" hidden="1" customHeight="1">
      <c r="A4043" s="4" t="s">
        <v>9208</v>
      </c>
      <c r="B4043" s="4" t="s">
        <v>9209</v>
      </c>
      <c r="C4043" s="4" t="str">
        <f ca="1">IFERROR(__xludf.DUMMYFUNCTION("GOOGLETRANSLATE(D:D,""auto"",""en"")"),"Gina's waist")</f>
        <v>Gina's waist</v>
      </c>
      <c r="D4043" s="5" t="s">
        <v>9210</v>
      </c>
      <c r="E4043" s="4">
        <v>922467</v>
      </c>
    </row>
    <row r="4044" spans="1:6" ht="13.5" customHeight="1">
      <c r="A4044" s="4" t="s">
        <v>9211</v>
      </c>
      <c r="B4044" s="4" t="s">
        <v>9212</v>
      </c>
      <c r="C4044" s="4" t="str">
        <f ca="1">IFERROR(__xludf.DUMMYFUNCTION("GOOGLETRANSLATE(D:D,""auto"",""en"")"),"Beijing may not refuse to recruit personnel dismissal of the epidemic-hit areas")</f>
        <v>Beijing may not refuse to recruit personnel dismissal of the epidemic-hit areas</v>
      </c>
      <c r="D4044" s="5" t="s">
        <v>9213</v>
      </c>
      <c r="E4044" s="4">
        <v>916570</v>
      </c>
      <c r="F4044">
        <v>1</v>
      </c>
    </row>
    <row r="4045" spans="1:6" ht="13.5" hidden="1" customHeight="1">
      <c r="A4045" s="4" t="s">
        <v>9214</v>
      </c>
      <c r="B4045" s="4" t="s">
        <v>9215</v>
      </c>
      <c r="C4045" s="4" t="str">
        <f ca="1">IFERROR(__xludf.DUMMYFUNCTION("GOOGLETRANSLATE(D:D,""auto"",""en"")"),"Chinese women's basketball team beat South Korea women's basketball")</f>
        <v>Chinese women's basketball team beat South Korea women's basketball</v>
      </c>
      <c r="D4045" s="5" t="s">
        <v>9216</v>
      </c>
      <c r="E4045" s="4">
        <v>913910</v>
      </c>
    </row>
    <row r="4046" spans="1:6" ht="13.5" hidden="1" customHeight="1">
      <c r="A4046" s="4" t="s">
        <v>9217</v>
      </c>
      <c r="B4046" s="4" t="s">
        <v>9218</v>
      </c>
      <c r="C4046" s="4" t="str">
        <f ca="1">IFERROR(__xludf.DUMMYFUNCTION("GOOGLETRANSLATE(D:D,""auto"",""en"")"),"He Canyang Cai Minmin too sweet")</f>
        <v>He Canyang Cai Minmin too sweet</v>
      </c>
      <c r="D4046" s="5" t="s">
        <v>9219</v>
      </c>
      <c r="E4046" s="4">
        <v>909749</v>
      </c>
    </row>
    <row r="4047" spans="1:6" ht="13.5" hidden="1" customHeight="1">
      <c r="A4047" s="4" t="s">
        <v>9220</v>
      </c>
      <c r="B4047" s="4" t="s">
        <v>9221</v>
      </c>
      <c r="C4047" s="4" t="str">
        <f ca="1">IFERROR(__xludf.DUMMYFUNCTION("GOOGLETRANSLATE(D:D,""auto"",""en"")"),"Time heals all it really")</f>
        <v>Time heals all it really</v>
      </c>
      <c r="D4047" s="5" t="s">
        <v>9222</v>
      </c>
      <c r="E4047" s="4">
        <v>905137</v>
      </c>
    </row>
    <row r="4048" spans="1:6" ht="13.5" customHeight="1">
      <c r="A4048" s="4" t="s">
        <v>9223</v>
      </c>
      <c r="B4048" s="4" t="s">
        <v>9224</v>
      </c>
      <c r="C4048" s="4" t="str">
        <f ca="1">IFERROR(__xludf.DUMMYFUNCTION("GOOGLETRANSLATE(D:D,""auto"",""en"")"),"I am about to return to work")</f>
        <v>I am about to return to work</v>
      </c>
      <c r="D4048" s="5" t="s">
        <v>9225</v>
      </c>
      <c r="E4048" s="4">
        <v>904151</v>
      </c>
      <c r="F4048">
        <v>1</v>
      </c>
    </row>
    <row r="4049" spans="1:6" ht="13.5" hidden="1" customHeight="1">
      <c r="A4049" s="4" t="s">
        <v>9226</v>
      </c>
      <c r="B4049" s="4" t="s">
        <v>9227</v>
      </c>
      <c r="C4049" s="4" t="str">
        <f ca="1">IFERROR(__xludf.DUMMYFUNCTION("GOOGLETRANSLATE(D:D,""auto"",""en"")"),"Barry Hao and Wang Junkai")</f>
        <v>Barry Hao and Wang Junkai</v>
      </c>
      <c r="D4049" s="5" t="s">
        <v>9228</v>
      </c>
      <c r="E4049" s="4">
        <v>866041</v>
      </c>
    </row>
    <row r="4050" spans="1:6" ht="13.5" hidden="1" customHeight="1">
      <c r="A4050" s="4" t="s">
        <v>9229</v>
      </c>
      <c r="B4050" s="4" t="s">
        <v>9230</v>
      </c>
      <c r="C4050" s="4" t="str">
        <f ca="1">IFERROR(__xludf.DUMMYFUNCTION("GOOGLETRANSLATE(D:D,""auto"",""en"")"),"Wu Lei bench")</f>
        <v>Wu Lei bench</v>
      </c>
      <c r="D4050" s="5" t="s">
        <v>9231</v>
      </c>
      <c r="E4050" s="4">
        <v>712673</v>
      </c>
    </row>
    <row r="4051" spans="1:6" ht="13.5" hidden="1" customHeight="1">
      <c r="A4051" s="4" t="s">
        <v>9232</v>
      </c>
      <c r="B4051" s="4" t="s">
        <v>9233</v>
      </c>
      <c r="C4051" s="4" t="str">
        <f ca="1">IFERROR(__xludf.DUMMYFUNCTION("GOOGLETRANSLATE(D:D,""auto"",""en"")"),"Winter operations was my mother cooking a")</f>
        <v>Winter operations was my mother cooking a</v>
      </c>
      <c r="D4051" s="5" t="s">
        <v>9234</v>
      </c>
      <c r="E4051" s="4">
        <v>686928</v>
      </c>
    </row>
    <row r="4052" spans="1:6" ht="13.5" customHeight="1">
      <c r="A4052" s="4" t="s">
        <v>9229</v>
      </c>
      <c r="B4052" s="4" t="s">
        <v>9235</v>
      </c>
      <c r="C4052" s="4" t="str">
        <f ca="1">IFERROR(__xludf.DUMMYFUNCTION("GOOGLETRANSLATE(D:D,""auto"",""en"")"),"The official response to active treatment Prize 1000 yuan fever")</f>
        <v>The official response to active treatment Prize 1000 yuan fever</v>
      </c>
      <c r="D4052" s="5" t="s">
        <v>9236</v>
      </c>
      <c r="E4052" s="4">
        <v>567634</v>
      </c>
      <c r="F4052">
        <v>1</v>
      </c>
    </row>
    <row r="4053" spans="1:6" ht="13.5" customHeight="1">
      <c r="A4053" s="4" t="s">
        <v>9237</v>
      </c>
      <c r="B4053" s="4" t="s">
        <v>9238</v>
      </c>
      <c r="C4053" s="4" t="str">
        <f ca="1">IFERROR(__xludf.DUMMYFUNCTION("GOOGLETRANSLATE(D:D,""auto"",""en"")"),"Shandong first case of deaths")</f>
        <v>Shandong first case of deaths</v>
      </c>
      <c r="D4053" s="5" t="s">
        <v>9239</v>
      </c>
      <c r="E4053" s="4">
        <v>502245</v>
      </c>
      <c r="F4053">
        <v>1</v>
      </c>
    </row>
    <row r="4054" spans="1:6" ht="13.5" hidden="1" customHeight="1">
      <c r="A4054" s="4" t="s">
        <v>9240</v>
      </c>
      <c r="B4054" s="4" t="s">
        <v>9241</v>
      </c>
      <c r="C4054" s="4" t="str">
        <f ca="1">IFERROR(__xludf.DUMMYFUNCTION("GOOGLETRANSLATE(D:D,""auto"",""en"")"),"张鲁 one acting")</f>
        <v>张鲁 one acting</v>
      </c>
      <c r="D4054" s="5" t="s">
        <v>9242</v>
      </c>
      <c r="E4054" s="4">
        <v>486065</v>
      </c>
    </row>
    <row r="4055" spans="1:6" ht="13.5" customHeight="1">
      <c r="A4055" s="4" t="s">
        <v>9243</v>
      </c>
      <c r="B4055" s="4" t="s">
        <v>9244</v>
      </c>
      <c r="C4055" s="4" t="str">
        <f ca="1">IFERROR(__xludf.DUMMYFUNCTION("GOOGLETRANSLATE(D:D,""auto"",""en"")"),"Fecal-oral transmission is controlled")</f>
        <v>Fecal-oral transmission is controlled</v>
      </c>
      <c r="D4055" s="5" t="s">
        <v>9245</v>
      </c>
      <c r="E4055" s="4">
        <v>438313</v>
      </c>
      <c r="F4055">
        <v>1</v>
      </c>
    </row>
    <row r="4056" spans="1:6" ht="13.5" hidden="1" customHeight="1">
      <c r="A4056" s="4" t="s">
        <v>6103</v>
      </c>
      <c r="B4056" s="4" t="s">
        <v>6067</v>
      </c>
      <c r="C4056" s="4" t="str">
        <f ca="1">IFERROR(__xludf.DUMMYFUNCTION("GOOGLETRANSLATE(D:D,""auto"",""en"")"),"New blind date the General Assembly")</f>
        <v>New blind date the General Assembly</v>
      </c>
      <c r="D4056" s="5" t="s">
        <v>6104</v>
      </c>
      <c r="E4056" s="4">
        <v>395140</v>
      </c>
    </row>
    <row r="4057" spans="1:6" ht="13.5" hidden="1" customHeight="1">
      <c r="A4057" s="4" t="s">
        <v>9246</v>
      </c>
      <c r="B4057" s="4" t="s">
        <v>9180</v>
      </c>
      <c r="C4057" s="4" t="str">
        <f ca="1">IFERROR(__xludf.DUMMYFUNCTION("GOOGLETRANSLATE(D:D,""auto"",""en"")"),"Xuguang Han Chat")</f>
        <v>Xuguang Han Chat</v>
      </c>
      <c r="D4057" s="5" t="s">
        <v>9247</v>
      </c>
      <c r="E4057" s="4">
        <v>392970</v>
      </c>
    </row>
    <row r="4058" spans="1:6" ht="13.5" customHeight="1">
      <c r="A4058" s="4" t="s">
        <v>9214</v>
      </c>
      <c r="B4058" s="4" t="s">
        <v>9248</v>
      </c>
      <c r="C4058" s="4" t="str">
        <f ca="1">IFERROR(__xludf.DUMMYFUNCTION("GOOGLETRANSLATE(D:D,""auto"",""en"")"),"Property will not let medical personnel into the area was ordered to correct")</f>
        <v>Property will not let medical personnel into the area was ordered to correct</v>
      </c>
      <c r="D4058" s="5" t="s">
        <v>9249</v>
      </c>
      <c r="E4058" s="4">
        <v>363931</v>
      </c>
      <c r="F4058">
        <v>1</v>
      </c>
    </row>
    <row r="4059" spans="1:6" ht="13.5" customHeight="1">
      <c r="A4059" s="4" t="s">
        <v>9250</v>
      </c>
      <c r="B4059" s="4" t="s">
        <v>9251</v>
      </c>
      <c r="C4059" s="4" t="str">
        <f ca="1">IFERROR(__xludf.DUMMYFUNCTION("GOOGLETRANSLATE(D:D,""auto"",""en"")"),"Wuhan, a woman suspected of spitting out of the door handle")</f>
        <v>Wuhan, a woman suspected of spitting out of the door handle</v>
      </c>
      <c r="D4059" s="5" t="s">
        <v>9252</v>
      </c>
      <c r="E4059" s="4">
        <v>347178</v>
      </c>
      <c r="F4059">
        <v>1</v>
      </c>
    </row>
    <row r="4060" spans="1:6" ht="13.5" customHeight="1">
      <c r="A4060" s="4" t="s">
        <v>9253</v>
      </c>
      <c r="B4060" s="4" t="s">
        <v>9254</v>
      </c>
      <c r="C4060" s="4" t="str">
        <f ca="1">IFERROR(__xludf.DUMMYFUNCTION("GOOGLETRANSLATE(D:D,""auto"",""en"")"),"The air is generally not a new virus crown")</f>
        <v>The air is generally not a new virus crown</v>
      </c>
      <c r="D4060" s="5" t="s">
        <v>9255</v>
      </c>
      <c r="E4060" s="4">
        <v>344295</v>
      </c>
      <c r="F4060">
        <v>1</v>
      </c>
    </row>
    <row r="4061" spans="1:6" ht="13.5" customHeight="1">
      <c r="A4061" s="4" t="s">
        <v>9256</v>
      </c>
      <c r="B4061" s="4" t="s">
        <v>9257</v>
      </c>
      <c r="C4061" s="4" t="str">
        <f ca="1">IFERROR(__xludf.DUMMYFUNCTION("GOOGLETRANSLATE(D:D,""auto"",""en"")"),"Nara deer grazing hungry start")</f>
        <v>Nara deer grazing hungry start</v>
      </c>
      <c r="D4061" s="5" t="s">
        <v>9258</v>
      </c>
      <c r="E4061" s="4">
        <v>343523</v>
      </c>
      <c r="F4061">
        <v>1</v>
      </c>
    </row>
    <row r="4062" spans="1:6" ht="13.5" hidden="1" customHeight="1">
      <c r="A4062" s="4" t="s">
        <v>9259</v>
      </c>
      <c r="B4062" s="4" t="s">
        <v>9260</v>
      </c>
      <c r="C4062" s="4" t="str">
        <f ca="1">IFERROR(__xludf.DUMMYFUNCTION("GOOGLETRANSLATE(D:D,""auto"",""en"")"),"Tan Song Yun Fang statement")</f>
        <v>Tan Song Yun Fang statement</v>
      </c>
      <c r="D4062" s="5" t="s">
        <v>9261</v>
      </c>
      <c r="E4062" s="4">
        <v>328799</v>
      </c>
    </row>
    <row r="4063" spans="1:6" ht="13.5" customHeight="1">
      <c r="A4063" s="4" t="s">
        <v>9262</v>
      </c>
      <c r="B4063" s="4" t="s">
        <v>9263</v>
      </c>
      <c r="C4063" s="4" t="str">
        <f ca="1">IFERROR(__xludf.DUMMYFUNCTION("GOOGLETRANSLATE(D:D,""auto"",""en"")"),"Liu Chuanjian sending medical teams to Hubei")</f>
        <v>Liu Chuanjian sending medical teams to Hubei</v>
      </c>
      <c r="D4063" s="5" t="s">
        <v>9264</v>
      </c>
      <c r="E4063" s="4">
        <v>326051</v>
      </c>
      <c r="F4063">
        <v>1</v>
      </c>
    </row>
    <row r="4064" spans="1:6" ht="13.5" customHeight="1">
      <c r="A4064" s="4" t="s">
        <v>9265</v>
      </c>
      <c r="B4064" s="4" t="s">
        <v>9266</v>
      </c>
      <c r="C4064" s="4" t="str">
        <f ca="1">IFERROR(__xludf.DUMMYFUNCTION("GOOGLETRANSLATE(D:D,""auto"",""en"")"),"Doctors Shanghai to Wuhan shaved head spiced corned egg")</f>
        <v>Doctors Shanghai to Wuhan shaved head spiced corned egg</v>
      </c>
      <c r="D4064" s="5" t="s">
        <v>9267</v>
      </c>
      <c r="E4064" s="4">
        <v>317903</v>
      </c>
      <c r="F4064">
        <v>1</v>
      </c>
    </row>
    <row r="4065" spans="1:6" ht="13.5" hidden="1" customHeight="1">
      <c r="A4065" s="4" t="s">
        <v>9268</v>
      </c>
      <c r="B4065" s="4" t="s">
        <v>9212</v>
      </c>
      <c r="C4065" s="4" t="str">
        <f ca="1">IFERROR(__xludf.DUMMYFUNCTION("GOOGLETRANSLATE(D:D,""auto"",""en"")"),"Ancient secret")</f>
        <v>Ancient secret</v>
      </c>
      <c r="D4065" s="5" t="s">
        <v>9269</v>
      </c>
      <c r="E4065" s="4">
        <v>317189</v>
      </c>
    </row>
    <row r="4066" spans="1:6" ht="13.5" customHeight="1">
      <c r="A4066" s="4" t="s">
        <v>9270</v>
      </c>
      <c r="B4066" s="4" t="s">
        <v>9271</v>
      </c>
      <c r="C4066" s="4" t="str">
        <f ca="1">IFERROR(__xludf.DUMMYFUNCTION("GOOGLETRANSLATE(D:D,""auto"",""en"")"),"So that you understand what the epidemic period")</f>
        <v>So that you understand what the epidemic period</v>
      </c>
      <c r="D4066" s="5" t="s">
        <v>9272</v>
      </c>
      <c r="E4066" s="4">
        <v>293686</v>
      </c>
      <c r="F4066">
        <v>1</v>
      </c>
    </row>
    <row r="4067" spans="1:6" ht="13.5" hidden="1" customHeight="1">
      <c r="A4067" s="4" t="s">
        <v>9273</v>
      </c>
      <c r="B4067" s="4" t="s">
        <v>7810</v>
      </c>
      <c r="C4067" s="4" t="str">
        <f ca="1">IFERROR(__xludf.DUMMYFUNCTION("GOOGLETRANSLATE(D:D,""auto"",""en"")"),"See you notice")</f>
        <v>See you notice</v>
      </c>
      <c r="D4067" s="5" t="s">
        <v>9274</v>
      </c>
      <c r="E4067" s="4">
        <v>269072</v>
      </c>
    </row>
    <row r="4068" spans="1:6" ht="13.5" customHeight="1">
      <c r="A4068" s="4" t="s">
        <v>9275</v>
      </c>
      <c r="B4068" s="4" t="s">
        <v>9276</v>
      </c>
      <c r="C4068" s="4" t="str">
        <f ca="1">IFERROR(__xludf.DUMMYFUNCTION("GOOGLETRANSLATE(D:D,""auto"",""en"")"),"Police seized 80,000 fake 3M masks")</f>
        <v>Police seized 80,000 fake 3M masks</v>
      </c>
      <c r="D4068" s="5" t="s">
        <v>9277</v>
      </c>
      <c r="E4068" s="4">
        <v>266607</v>
      </c>
      <c r="F4068">
        <v>1</v>
      </c>
    </row>
    <row r="4069" spans="1:6" ht="13.5" customHeight="1">
      <c r="A4069" s="4" t="s">
        <v>9278</v>
      </c>
      <c r="B4069" s="4" t="s">
        <v>9279</v>
      </c>
      <c r="C4069" s="4" t="str">
        <f ca="1">IFERROR(__xludf.DUMMYFUNCTION("GOOGLETRANSLATE(D:D,""auto"",""en"")"),"Can wear masks to prevent the spread of aerosols")</f>
        <v>Can wear masks to prevent the spread of aerosols</v>
      </c>
      <c r="D4069" s="5" t="s">
        <v>9280</v>
      </c>
      <c r="E4069" s="4">
        <v>246735</v>
      </c>
      <c r="F4069">
        <v>1</v>
      </c>
    </row>
    <row r="4070" spans="1:6" ht="13.5" hidden="1" customHeight="1">
      <c r="A4070" s="4" t="s">
        <v>9188</v>
      </c>
      <c r="B4070" s="4" t="s">
        <v>9281</v>
      </c>
      <c r="C4070" s="4" t="str">
        <f ca="1">IFERROR(__xludf.DUMMYFUNCTION("GOOGLETRANSLATE(D:D,""auto"",""en"")"),"Short Track Speed ​​Skating")</f>
        <v>Short Track Speed ​​Skating</v>
      </c>
      <c r="D4070" s="5" t="s">
        <v>9282</v>
      </c>
      <c r="E4070" s="4">
        <v>236721</v>
      </c>
    </row>
    <row r="4071" spans="1:6" ht="13.5" hidden="1" customHeight="1">
      <c r="A4071" s="4" t="s">
        <v>9283</v>
      </c>
      <c r="B4071" s="4" t="s">
        <v>9284</v>
      </c>
      <c r="C4071" s="4" t="str">
        <f ca="1">IFERROR(__xludf.DUMMYFUNCTION("GOOGLETRANSLATE(D:D,""auto"",""en"")"),"Tian Dan who set")</f>
        <v>Tian Dan who set</v>
      </c>
      <c r="D4071" s="5" t="s">
        <v>9285</v>
      </c>
      <c r="E4071" s="4">
        <v>229508</v>
      </c>
    </row>
    <row r="4072" spans="1:6" ht="13.5" hidden="1" customHeight="1">
      <c r="A4072" s="4" t="s">
        <v>9237</v>
      </c>
      <c r="B4072" s="4" t="s">
        <v>9284</v>
      </c>
      <c r="C4072" s="4" t="str">
        <f ca="1">IFERROR(__xludf.DUMMYFUNCTION("GOOGLETRANSLATE(D:D,""auto"",""en"")"),"Men's pole vault record was broken")</f>
        <v>Men's pole vault record was broken</v>
      </c>
      <c r="D4072" s="5" t="s">
        <v>9286</v>
      </c>
      <c r="E4072" s="4">
        <v>218622</v>
      </c>
    </row>
    <row r="4073" spans="1:6" ht="13.5" hidden="1" customHeight="1">
      <c r="A4073" s="4" t="s">
        <v>9287</v>
      </c>
      <c r="B4073" s="4" t="s">
        <v>9288</v>
      </c>
      <c r="C4073" s="4" t="str">
        <f ca="1">IFERROR(__xludf.DUMMYFUNCTION("GOOGLETRANSLATE(D:D,""auto"",""en"")"),"One hundred complaints dimensional model jointly secret hidden rules")</f>
        <v>One hundred complaints dimensional model jointly secret hidden rules</v>
      </c>
      <c r="D4073" s="5" t="s">
        <v>9289</v>
      </c>
      <c r="E4073" s="4">
        <v>197199</v>
      </c>
    </row>
    <row r="4074" spans="1:6" ht="13.5" customHeight="1">
      <c r="A4074" s="4" t="s">
        <v>9290</v>
      </c>
      <c r="B4074" s="4" t="s">
        <v>9291</v>
      </c>
      <c r="C4074" s="4" t="str">
        <f ca="1">IFERROR(__xludf.DUMMYFUNCTION("GOOGLETRANSLATE(D:D,""auto"",""en"")"),"Whether the delay will affect school graduation")</f>
        <v>Whether the delay will affect school graduation</v>
      </c>
      <c r="D4074" s="5" t="s">
        <v>9292</v>
      </c>
      <c r="E4074" s="4">
        <v>193543</v>
      </c>
      <c r="F4074">
        <v>1</v>
      </c>
    </row>
    <row r="4075" spans="1:6" ht="13.5" hidden="1" customHeight="1">
      <c r="A4075" s="4" t="s">
        <v>9067</v>
      </c>
      <c r="B4075" s="4" t="s">
        <v>9068</v>
      </c>
      <c r="C4075" s="4" t="str">
        <f ca="1">IFERROR(__xludf.DUMMYFUNCTION("GOOGLETRANSLATE(D:D,""auto"",""en"")"),"Love trailer landing")</f>
        <v>Love trailer landing</v>
      </c>
      <c r="D4075" s="5" t="s">
        <v>9069</v>
      </c>
      <c r="E4075" s="4">
        <v>191432</v>
      </c>
    </row>
    <row r="4076" spans="1:6" ht="13.5" hidden="1" customHeight="1">
      <c r="A4076" s="4" t="s">
        <v>9290</v>
      </c>
      <c r="B4076" s="4" t="s">
        <v>9293</v>
      </c>
      <c r="C4076" s="4" t="str">
        <f ca="1">IFERROR(__xludf.DUMMYFUNCTION("GOOGLETRANSLATE(D:D,""auto"",""en"")"),"Bryant wife sun daughter")</f>
        <v>Bryant wife sun daughter</v>
      </c>
      <c r="D4076" s="5" t="s">
        <v>9294</v>
      </c>
      <c r="E4076" s="4">
        <v>114718</v>
      </c>
    </row>
    <row r="4077" spans="1:6" ht="13.5" hidden="1" customHeight="1">
      <c r="C4077" s="4" t="str">
        <f ca="1">IFERROR(__xludf.DUMMYFUNCTION("GOOGLETRANSLATE(D:D,""auto"",""en"")"),"#VALUE!")</f>
        <v>#VALUE!</v>
      </c>
    </row>
    <row r="4078" spans="1:6" ht="13.5" customHeight="1">
      <c r="A4078" s="4" t="s">
        <v>9295</v>
      </c>
      <c r="B4078" s="4" t="s">
        <v>9296</v>
      </c>
      <c r="C4078" s="4" t="str">
        <f ca="1">IFERROR(__xludf.DUMMYFUNCTION("GOOGLETRANSLATE(D:D,""auto"",""en"")"),"The national total of 40,171 cases diagnosed pneumonia new crown")</f>
        <v>The national total of 40,171 cases diagnosed pneumonia new crown</v>
      </c>
      <c r="D4078" s="4" t="s">
        <v>9297</v>
      </c>
      <c r="E4078" s="4">
        <v>3210642</v>
      </c>
      <c r="F4078">
        <v>1</v>
      </c>
    </row>
    <row r="4079" spans="1:6" ht="13.5" customHeight="1">
      <c r="A4079" s="4" t="s">
        <v>9298</v>
      </c>
      <c r="B4079" s="4" t="s">
        <v>9205</v>
      </c>
      <c r="C4079" s="4" t="str">
        <f ca="1">IFERROR(__xludf.DUMMYFUNCTION("GOOGLETRANSLATE(D:D,""auto"",""en"")"),"Caused 84 men were quarantined for investigation")</f>
        <v>Caused 84 men were quarantined for investigation</v>
      </c>
      <c r="D4079" s="5" t="s">
        <v>9299</v>
      </c>
      <c r="E4079" s="4">
        <v>2884008</v>
      </c>
      <c r="F4079">
        <v>1</v>
      </c>
    </row>
    <row r="4080" spans="1:6" ht="13.5" customHeight="1">
      <c r="A4080" s="4" t="s">
        <v>9300</v>
      </c>
      <c r="B4080" s="4" t="s">
        <v>9301</v>
      </c>
      <c r="C4080" s="4" t="str">
        <f ca="1">IFERROR(__xludf.DUMMYFUNCTION("GOOGLETRANSLATE(D:D,""auto"",""en"")"),"Development and Reform Commission experts migration is six times the number of SARS")</f>
        <v>Development and Reform Commission experts migration is six times the number of SARS</v>
      </c>
      <c r="D4080" s="5" t="s">
        <v>9302</v>
      </c>
      <c r="E4080" s="4">
        <v>2183362</v>
      </c>
      <c r="F4080">
        <v>1</v>
      </c>
    </row>
    <row r="4081" spans="1:6" ht="13.5" hidden="1" customHeight="1">
      <c r="A4081" s="4" t="s">
        <v>9303</v>
      </c>
      <c r="B4081" s="4" t="s">
        <v>9223</v>
      </c>
      <c r="C4081" s="4" t="str">
        <f ca="1">IFERROR(__xludf.DUMMYFUNCTION("GOOGLETRANSLATE(D:D,""auto"",""en"")"),"Sichuan bird flu")</f>
        <v>Sichuan bird flu</v>
      </c>
      <c r="D4081" s="5" t="s">
        <v>9304</v>
      </c>
      <c r="E4081" s="4">
        <v>2149451</v>
      </c>
    </row>
    <row r="4082" spans="1:6" ht="13.5" customHeight="1">
      <c r="A4082" s="4" t="s">
        <v>9305</v>
      </c>
      <c r="B4082" s="4" t="s">
        <v>9306</v>
      </c>
      <c r="C4082" s="4" t="str">
        <f ca="1">IFERROR(__xludf.DUMMYFUNCTION("GOOGLETRANSLATE(D:D,""auto"",""en"")"),"Go to work")</f>
        <v>Go to work</v>
      </c>
      <c r="D4082" s="5" t="s">
        <v>9307</v>
      </c>
      <c r="E4082" s="4">
        <v>2087038</v>
      </c>
      <c r="F4082">
        <v>1</v>
      </c>
    </row>
    <row r="4083" spans="1:6" ht="13.5" customHeight="1">
      <c r="A4083" s="4" t="s">
        <v>9308</v>
      </c>
      <c r="B4083" s="4" t="s">
        <v>9309</v>
      </c>
      <c r="C4083" s="4" t="str">
        <f ca="1">IFERROR(__xludf.DUMMYFUNCTION("GOOGLETRANSLATE(D:D,""auto"",""en"")"),"Courier company fully resumed")</f>
        <v>Courier company fully resumed</v>
      </c>
      <c r="D4083" s="5" t="s">
        <v>9310</v>
      </c>
      <c r="E4083" s="4">
        <v>2024235</v>
      </c>
      <c r="F4083">
        <v>1</v>
      </c>
    </row>
    <row r="4084" spans="1:6" ht="13.5" customHeight="1">
      <c r="A4084" s="4" t="s">
        <v>9311</v>
      </c>
      <c r="B4084" s="4" t="s">
        <v>9312</v>
      </c>
      <c r="C4084" s="4" t="str">
        <f ca="1">IFERROR(__xludf.DUMMYFUNCTION("GOOGLETRANSLATE(D:D,""auto"",""en"")"),"Russia's hard-core isolation")</f>
        <v>Russia's hard-core isolation</v>
      </c>
      <c r="D4084" s="5" t="s">
        <v>9313</v>
      </c>
      <c r="E4084" s="4">
        <v>1602315</v>
      </c>
      <c r="F4084">
        <v>1</v>
      </c>
    </row>
    <row r="4085" spans="1:6" ht="13.5" customHeight="1">
      <c r="A4085" s="4" t="s">
        <v>9314</v>
      </c>
      <c r="B4085" s="4" t="s">
        <v>9315</v>
      </c>
      <c r="C4085" s="4" t="str">
        <f ca="1">IFERROR(__xludf.DUMMYFUNCTION("GOOGLETRANSLATE(D:D,""auto"",""en"")"),"PEP publish free textbooks electronic version of the full study period")</f>
        <v>PEP publish free textbooks electronic version of the full study period</v>
      </c>
      <c r="D4085" s="5" t="s">
        <v>9316</v>
      </c>
      <c r="E4085" s="4">
        <v>1559053</v>
      </c>
      <c r="F4085">
        <v>1</v>
      </c>
    </row>
    <row r="4086" spans="1:6" ht="13.5" hidden="1" customHeight="1">
      <c r="A4086" s="4" t="s">
        <v>9317</v>
      </c>
      <c r="B4086" s="4" t="s">
        <v>9318</v>
      </c>
      <c r="C4086" s="4" t="str">
        <f ca="1">IFERROR(__xludf.DUMMYFUNCTION("GOOGLETRANSLATE(D:D,""auto"",""en"")"),"Oscar")</f>
        <v>Oscar</v>
      </c>
      <c r="D4086" s="5" t="s">
        <v>9319</v>
      </c>
      <c r="E4086" s="4">
        <v>1443835</v>
      </c>
    </row>
    <row r="4087" spans="1:6" ht="13.5" customHeight="1">
      <c r="A4087" s="4" t="s">
        <v>9300</v>
      </c>
      <c r="B4087" s="4" t="s">
        <v>9320</v>
      </c>
      <c r="C4087" s="4" t="str">
        <f ca="1">IFERROR(__xludf.DUMMYFUNCTION("GOOGLETRANSLATE(D:D,""auto"",""en"")"),"Hubei Red Cross requires radical restructuring")</f>
        <v>Hubei Red Cross requires radical restructuring</v>
      </c>
      <c r="D4087" s="5" t="s">
        <v>9321</v>
      </c>
      <c r="E4087" s="4">
        <v>1290455</v>
      </c>
      <c r="F4087">
        <v>1</v>
      </c>
    </row>
    <row r="4088" spans="1:6" ht="13.5" customHeight="1">
      <c r="A4088" s="4" t="s">
        <v>9322</v>
      </c>
      <c r="B4088" s="4" t="s">
        <v>9179</v>
      </c>
      <c r="C4088" s="4" t="str">
        <f ca="1">IFERROR(__xludf.DUMMYFUNCTION("GOOGLETRANSLATE(D:D,""auto"",""en"")"),"After alcohol disinfection grilled electric heating body on fire")</f>
        <v>After alcohol disinfection grilled electric heating body on fire</v>
      </c>
      <c r="D4088" s="5" t="s">
        <v>9323</v>
      </c>
      <c r="E4088" s="4">
        <v>1144792</v>
      </c>
      <c r="F4088">
        <v>1</v>
      </c>
    </row>
    <row r="4089" spans="1:6" ht="13.5" hidden="1" customHeight="1">
      <c r="A4089" s="4" t="s">
        <v>9324</v>
      </c>
      <c r="B4089" s="4" t="s">
        <v>9223</v>
      </c>
      <c r="C4089" s="4" t="str">
        <f ca="1">IFERROR(__xludf.DUMMYFUNCTION("GOOGLETRANSLATE(D:D,""auto"",""en"")"),"Parasite Best Original Screenplay")</f>
        <v>Parasite Best Original Screenplay</v>
      </c>
      <c r="D4089" s="5" t="s">
        <v>9325</v>
      </c>
      <c r="E4089" s="4">
        <v>977546</v>
      </c>
    </row>
    <row r="4090" spans="1:6" ht="13.5" customHeight="1">
      <c r="A4090" s="4" t="s">
        <v>9326</v>
      </c>
      <c r="B4090" s="4" t="s">
        <v>9262</v>
      </c>
      <c r="C4090" s="4" t="str">
        <f ca="1">IFERROR(__xludf.DUMMYFUNCTION("GOOGLETRANSLATE(D:D,""auto"",""en"")"),"Neighbors in home quarantine it can open the window")</f>
        <v>Neighbors in home quarantine it can open the window</v>
      </c>
      <c r="D4090" s="5" t="s">
        <v>9327</v>
      </c>
      <c r="E4090" s="4">
        <v>977502</v>
      </c>
      <c r="F4090">
        <v>1</v>
      </c>
    </row>
    <row r="4091" spans="1:6" ht="13.5" customHeight="1">
      <c r="A4091" s="4" t="s">
        <v>9328</v>
      </c>
      <c r="B4091" s="4" t="s">
        <v>9329</v>
      </c>
      <c r="C4091" s="4" t="str">
        <f ca="1">IFERROR(__xludf.DUMMYFUNCTION("GOOGLETRANSLATE(D:D,""auto"",""en"")"),"Hero captain Liu Zhuanjian sending medical teams Contagion")</f>
        <v>Hero captain Liu Zhuanjian sending medical teams Contagion</v>
      </c>
      <c r="D4091" s="5" t="s">
        <v>9330</v>
      </c>
      <c r="E4091" s="4">
        <v>977220</v>
      </c>
      <c r="F4091">
        <v>1</v>
      </c>
    </row>
    <row r="4092" spans="1:6" ht="13.5" customHeight="1">
      <c r="A4092" s="4" t="s">
        <v>5803</v>
      </c>
      <c r="B4092" s="4" t="s">
        <v>5804</v>
      </c>
      <c r="C4092" s="4" t="str">
        <f ca="1">IFERROR(__xludf.DUMMYFUNCTION("GOOGLETRANSLATE(D:D,""auto"",""en"")"),"The latest outbreak Map")</f>
        <v>The latest outbreak Map</v>
      </c>
      <c r="D4092" s="5" t="s">
        <v>5805</v>
      </c>
      <c r="E4092" s="4">
        <v>977129</v>
      </c>
      <c r="F4092">
        <v>1</v>
      </c>
    </row>
    <row r="4093" spans="1:6" ht="13.5" hidden="1" customHeight="1">
      <c r="A4093" s="4" t="s">
        <v>9331</v>
      </c>
      <c r="B4093" s="4" t="s">
        <v>9332</v>
      </c>
      <c r="C4093" s="4" t="str">
        <f ca="1">IFERROR(__xludf.DUMMYFUNCTION("GOOGLETRANSLATE(D:D,""auto"",""en"")"),"freely")</f>
        <v>freely</v>
      </c>
      <c r="D4093" s="5" t="s">
        <v>9333</v>
      </c>
      <c r="E4093" s="4">
        <v>976859</v>
      </c>
    </row>
    <row r="4094" spans="1:6" ht="13.5" customHeight="1">
      <c r="A4094" s="4" t="s">
        <v>9334</v>
      </c>
      <c r="B4094" s="4" t="s">
        <v>9335</v>
      </c>
      <c r="C4094" s="4" t="str">
        <f ca="1">IFERROR(__xludf.DUMMYFUNCTION("GOOGLETRANSLATE(D:D,""auto"",""en"")"),"Dean of Henan a hospital refused to wear a mask to be suspended")</f>
        <v>Dean of Henan a hospital refused to wear a mask to be suspended</v>
      </c>
      <c r="D4094" s="5" t="s">
        <v>9336</v>
      </c>
      <c r="E4094" s="4">
        <v>976715</v>
      </c>
      <c r="F4094">
        <v>1</v>
      </c>
    </row>
    <row r="4095" spans="1:6" ht="13.5" hidden="1" customHeight="1">
      <c r="A4095" s="4" t="s">
        <v>9337</v>
      </c>
      <c r="B4095" s="4" t="s">
        <v>9338</v>
      </c>
      <c r="C4095" s="4" t="str">
        <f ca="1">IFERROR(__xludf.DUMMYFUNCTION("GOOGLETRANSLATE(D:D,""auto"",""en"")"),"Liaoning Exam")</f>
        <v>Liaoning Exam</v>
      </c>
      <c r="D4095" s="5" t="s">
        <v>9339</v>
      </c>
      <c r="E4095" s="4">
        <v>976375</v>
      </c>
    </row>
    <row r="4096" spans="1:6" ht="13.5" hidden="1" customHeight="1">
      <c r="A4096" s="4" t="s">
        <v>9340</v>
      </c>
      <c r="B4096" s="4" t="s">
        <v>9179</v>
      </c>
      <c r="C4096" s="4" t="str">
        <f ca="1">IFERROR(__xludf.DUMMYFUNCTION("GOOGLETRANSLATE(D:D,""auto"",""en"")"),"Jianghan University")</f>
        <v>Jianghan University</v>
      </c>
      <c r="D4096" s="5" t="s">
        <v>9341</v>
      </c>
      <c r="E4096" s="4">
        <v>976162</v>
      </c>
    </row>
    <row r="4097" spans="1:6" ht="13.5" hidden="1" customHeight="1">
      <c r="A4097" s="4" t="s">
        <v>9342</v>
      </c>
      <c r="B4097" s="4" t="s">
        <v>9343</v>
      </c>
      <c r="C4097" s="4" t="str">
        <f ca="1">IFERROR(__xludf.DUMMYFUNCTION("GOOGLETRANSLATE(D:D,""auto"",""en"")"),"Han Xu confession Xiaozhan")</f>
        <v>Han Xu confession Xiaozhan</v>
      </c>
      <c r="D4097" s="5" t="s">
        <v>9344</v>
      </c>
      <c r="E4097" s="4">
        <v>976161</v>
      </c>
    </row>
    <row r="4098" spans="1:6" ht="13.5" customHeight="1">
      <c r="A4098" s="4" t="s">
        <v>9345</v>
      </c>
      <c r="B4098" s="4" t="s">
        <v>9346</v>
      </c>
      <c r="C4098" s="4" t="str">
        <f ca="1">IFERROR(__xludf.DUMMYFUNCTION("GOOGLETRANSLATE(D:D,""auto"",""en"")"),"Conversation one minute infected")</f>
        <v>Conversation one minute infected</v>
      </c>
      <c r="D4098" s="5" t="s">
        <v>9347</v>
      </c>
      <c r="E4098" s="4">
        <v>898878</v>
      </c>
      <c r="F4098">
        <v>1</v>
      </c>
    </row>
    <row r="4099" spans="1:6" ht="13.5" customHeight="1">
      <c r="A4099" s="4" t="s">
        <v>9348</v>
      </c>
      <c r="B4099" s="4" t="s">
        <v>9349</v>
      </c>
      <c r="C4099" s="4" t="str">
        <f ca="1">IFERROR(__xludf.DUMMYFUNCTION("GOOGLETRANSLATE(D:D,""auto"",""en"")"),"What is your specialty can do for the fight against SARS")</f>
        <v>What is your specialty can do for the fight against SARS</v>
      </c>
      <c r="D4099" s="5" t="s">
        <v>9350</v>
      </c>
      <c r="E4099" s="4">
        <v>887979</v>
      </c>
      <c r="F4099">
        <v>1</v>
      </c>
    </row>
    <row r="4100" spans="1:6" ht="13.5" customHeight="1">
      <c r="A4100" s="4" t="s">
        <v>9351</v>
      </c>
      <c r="B4100" s="4" t="s">
        <v>9270</v>
      </c>
      <c r="C4100" s="4" t="str">
        <f ca="1">IFERROR(__xludf.DUMMYFUNCTION("GOOGLETRANSLATE(D:D,""auto"",""en"")"),"When asked to wear a mask even say 16 I do not wear")</f>
        <v>When asked to wear a mask even say 16 I do not wear</v>
      </c>
      <c r="D4100" s="5" t="s">
        <v>9352</v>
      </c>
      <c r="E4100" s="4">
        <v>729768</v>
      </c>
      <c r="F4100">
        <v>1</v>
      </c>
    </row>
    <row r="4101" spans="1:6" ht="13.5" hidden="1" customHeight="1">
      <c r="A4101" s="4" t="s">
        <v>9353</v>
      </c>
      <c r="B4101" s="4" t="s">
        <v>9354</v>
      </c>
      <c r="C4101" s="4" t="str">
        <f ca="1">IFERROR(__xludf.DUMMYFUNCTION("GOOGLETRANSLATE(D:D,""auto"",""en"")"),"Oscar red carpet")</f>
        <v>Oscar red carpet</v>
      </c>
      <c r="D4101" s="5" t="s">
        <v>9355</v>
      </c>
      <c r="E4101" s="4">
        <v>710959</v>
      </c>
    </row>
    <row r="4102" spans="1:6" ht="13.5" hidden="1" customHeight="1">
      <c r="A4102" s="4" t="s">
        <v>9356</v>
      </c>
      <c r="B4102" s="4" t="s">
        <v>9357</v>
      </c>
      <c r="C4102" s="4" t="str">
        <f ca="1">IFERROR(__xludf.DUMMYFUNCTION("GOOGLETRANSLATE(D:D,""auto"",""en"")"),"When the ranks of only a chicken dish when")</f>
        <v>When the ranks of only a chicken dish when</v>
      </c>
      <c r="D4102" s="5" t="s">
        <v>9358</v>
      </c>
      <c r="E4102" s="4">
        <v>649325</v>
      </c>
    </row>
    <row r="4103" spans="1:6" ht="13.5" customHeight="1">
      <c r="A4103" s="4" t="s">
        <v>9340</v>
      </c>
      <c r="B4103" s="4" t="s">
        <v>9246</v>
      </c>
      <c r="C4103" s="4" t="str">
        <f ca="1">IFERROR(__xludf.DUMMYFUNCTION("GOOGLETRANSLATE(D:D,""auto"",""en"")"),"Wu soft response to the student dormitory has been expropriated")</f>
        <v>Wu soft response to the student dormitory has been expropriated</v>
      </c>
      <c r="D4103" s="5" t="s">
        <v>9359</v>
      </c>
      <c r="E4103" s="4">
        <v>633527</v>
      </c>
      <c r="F4103">
        <v>1</v>
      </c>
    </row>
    <row r="4104" spans="1:6" ht="13.5" customHeight="1">
      <c r="A4104" s="4" t="s">
        <v>9360</v>
      </c>
      <c r="B4104" s="4" t="s">
        <v>9361</v>
      </c>
      <c r="C4104" s="4" t="str">
        <f ca="1">IFERROR(__xludf.DUMMYFUNCTION("GOOGLETRANSLATE(D:D,""auto"",""en"")"),"Uncle donated 500,000 yuan in cash to Wuhan")</f>
        <v>Uncle donated 500,000 yuan in cash to Wuhan</v>
      </c>
      <c r="D4104" s="5" t="s">
        <v>9362</v>
      </c>
      <c r="E4104" s="4">
        <v>586100</v>
      </c>
      <c r="F4104">
        <v>1</v>
      </c>
    </row>
    <row r="4105" spans="1:6" ht="13.5" customHeight="1">
      <c r="A4105" s="4" t="s">
        <v>9363</v>
      </c>
      <c r="B4105" s="4" t="s">
        <v>9364</v>
      </c>
      <c r="C4105" s="4" t="str">
        <f ca="1">IFERROR(__xludf.DUMMYFUNCTION("GOOGLETRANSLATE(D:D,""auto"",""en"")"),"The new crown pneumonia prevention Examination")</f>
        <v>The new crown pneumonia prevention Examination</v>
      </c>
      <c r="D4105" s="5" t="s">
        <v>9365</v>
      </c>
      <c r="E4105" s="4">
        <v>582503</v>
      </c>
      <c r="F4105">
        <v>1</v>
      </c>
    </row>
    <row r="4106" spans="1:6" ht="13.5" customHeight="1">
      <c r="A4106" s="4" t="s">
        <v>2339</v>
      </c>
      <c r="B4106" s="4" t="s">
        <v>2340</v>
      </c>
      <c r="C4106" s="4" t="str">
        <f ca="1">IFERROR(__xludf.DUMMYFUNCTION("GOOGLETRANSLATE(D:D,""auto"",""en"")"),"Shanghai Metro")</f>
        <v>Shanghai Metro</v>
      </c>
      <c r="D4106" s="5" t="s">
        <v>2341</v>
      </c>
      <c r="E4106" s="4">
        <v>538456</v>
      </c>
      <c r="F4106">
        <v>1</v>
      </c>
    </row>
    <row r="4107" spans="1:6" ht="13.5" hidden="1" customHeight="1">
      <c r="A4107" s="4" t="s">
        <v>9366</v>
      </c>
      <c r="B4107" s="4" t="s">
        <v>9367</v>
      </c>
      <c r="C4107" s="4" t="str">
        <f ca="1">IFERROR(__xludf.DUMMYFUNCTION("GOOGLETRANSLATE(D:D,""auto"",""en"")"),"Little Women Best Costume Design")</f>
        <v>Little Women Best Costume Design</v>
      </c>
      <c r="D4107" s="5" t="s">
        <v>9368</v>
      </c>
      <c r="E4107" s="4">
        <v>515729</v>
      </c>
    </row>
    <row r="4108" spans="1:6" ht="13.5" customHeight="1">
      <c r="A4108" s="4" t="s">
        <v>959</v>
      </c>
      <c r="B4108" s="4" t="s">
        <v>9369</v>
      </c>
      <c r="C4108" s="4" t="str">
        <f ca="1">IFERROR(__xludf.DUMMYFUNCTION("GOOGLETRANSLATE(D:D,""auto"",""en"")"),"Tibet 11 consecutive days without new cases")</f>
        <v>Tibet 11 consecutive days without new cases</v>
      </c>
      <c r="D4108" s="5" t="s">
        <v>9370</v>
      </c>
      <c r="E4108" s="4">
        <v>510755</v>
      </c>
      <c r="F4108">
        <v>1</v>
      </c>
    </row>
    <row r="4109" spans="1:6" ht="13.5" hidden="1" customHeight="1">
      <c r="A4109" s="4" t="s">
        <v>9371</v>
      </c>
      <c r="B4109" s="4" t="s">
        <v>9372</v>
      </c>
      <c r="C4109" s="4" t="str">
        <f ca="1">IFERROR(__xludf.DUMMYFUNCTION("GOOGLETRANSLATE(D:D,""auto"",""en"")"),"stock market")</f>
        <v>stock market</v>
      </c>
      <c r="D4109" s="5" t="s">
        <v>9373</v>
      </c>
      <c r="E4109" s="4">
        <v>481997</v>
      </c>
    </row>
    <row r="4110" spans="1:6" ht="13.5" customHeight="1">
      <c r="A4110" s="4" t="s">
        <v>9374</v>
      </c>
      <c r="B4110" s="4" t="s">
        <v>9375</v>
      </c>
      <c r="C4110" s="4" t="str">
        <f ca="1">IFERROR(__xludf.DUMMYFUNCTION("GOOGLETRANSLATE(D:D,""auto"",""en"")"),"Cells shed made 3.6 m pedestrian disinfection")</f>
        <v>Cells shed made 3.6 m pedestrian disinfection</v>
      </c>
      <c r="D4110" s="5" t="s">
        <v>9376</v>
      </c>
      <c r="E4110" s="4">
        <v>449379</v>
      </c>
      <c r="F4110">
        <v>1</v>
      </c>
    </row>
    <row r="4111" spans="1:6" ht="13.5" customHeight="1">
      <c r="A4111" s="4" t="s">
        <v>9377</v>
      </c>
      <c r="B4111" s="4" t="s">
        <v>9378</v>
      </c>
      <c r="C4111" s="4" t="str">
        <f ca="1">IFERROR(__xludf.DUMMYFUNCTION("GOOGLETRANSLATE(D:D,""auto"",""en"")"),"Wuhan wife to accompany her husband set off shaved head")</f>
        <v>Wuhan wife to accompany her husband set off shaved head</v>
      </c>
      <c r="D4111" s="5" t="s">
        <v>9379</v>
      </c>
      <c r="E4111" s="4">
        <v>423875</v>
      </c>
      <c r="F4111">
        <v>1</v>
      </c>
    </row>
    <row r="4112" spans="1:6" ht="13.5" hidden="1" customHeight="1">
      <c r="A4112" s="4" t="s">
        <v>9377</v>
      </c>
      <c r="B4112" s="4" t="s">
        <v>9380</v>
      </c>
      <c r="C4112" s="4" t="str">
        <f ca="1">IFERROR(__xludf.DUMMYFUNCTION("GOOGLETRANSLATE(D:D,""auto"",""en"")"),"Ten Aisha Chorus")</f>
        <v>Ten Aisha Chorus</v>
      </c>
      <c r="D4112" s="5" t="s">
        <v>9381</v>
      </c>
      <c r="E4112" s="4">
        <v>410145</v>
      </c>
    </row>
    <row r="4113" spans="1:6" ht="13.5" customHeight="1">
      <c r="A4113" s="4" t="s">
        <v>9382</v>
      </c>
      <c r="B4113" s="4" t="s">
        <v>9383</v>
      </c>
      <c r="C4113" s="4" t="str">
        <f ca="1">IFERROR(__xludf.DUMMYFUNCTION("GOOGLETRANSLATE(D:D,""auto"",""en"")"),"International team leader will arrive in Beijing tonight")</f>
        <v>International team leader will arrive in Beijing tonight</v>
      </c>
      <c r="D4113" s="5" t="s">
        <v>9384</v>
      </c>
      <c r="E4113" s="4">
        <v>409788</v>
      </c>
      <c r="F4113">
        <v>1</v>
      </c>
    </row>
    <row r="4114" spans="1:6" ht="13.5" customHeight="1">
      <c r="A4114" s="4" t="s">
        <v>4692</v>
      </c>
      <c r="B4114" s="4" t="s">
        <v>4693</v>
      </c>
      <c r="C4114" s="4" t="str">
        <f ca="1">IFERROR(__xludf.DUMMYFUNCTION("GOOGLETRANSLATE(D:D,""auto"",""en"")"),"Zhong Nanshan")</f>
        <v>Zhong Nanshan</v>
      </c>
      <c r="D4114" s="5" t="s">
        <v>4694</v>
      </c>
      <c r="E4114" s="4">
        <v>407083</v>
      </c>
      <c r="F4114">
        <v>1</v>
      </c>
    </row>
    <row r="4115" spans="1:6" ht="13.5" customHeight="1">
      <c r="A4115" s="4" t="s">
        <v>9385</v>
      </c>
      <c r="B4115" s="4" t="s">
        <v>9386</v>
      </c>
      <c r="C4115" s="4" t="str">
        <f ca="1">IFERROR(__xludf.DUMMYFUNCTION("GOOGLETRANSLATE(D:D,""auto"",""en"")"),"The reason you want to go to work")</f>
        <v>The reason you want to go to work</v>
      </c>
      <c r="D4115" s="5" t="s">
        <v>9387</v>
      </c>
      <c r="E4115" s="4">
        <v>404191</v>
      </c>
      <c r="F4115">
        <v>1</v>
      </c>
    </row>
    <row r="4116" spans="1:6" ht="13.5" customHeight="1">
      <c r="A4116" s="4" t="s">
        <v>959</v>
      </c>
      <c r="B4116" s="4" t="s">
        <v>1169</v>
      </c>
      <c r="C4116" s="4" t="str">
        <f ca="1">IFERROR(__xludf.DUMMYFUNCTION("GOOGLETRANSLATE(D:D,""auto"",""en"")"),"Japan cruise cumulative 70 people infected with the new crown pneumonia")</f>
        <v>Japan cruise cumulative 70 people infected with the new crown pneumonia</v>
      </c>
      <c r="D4116" s="5" t="s">
        <v>9388</v>
      </c>
      <c r="E4116" s="4">
        <v>398743</v>
      </c>
      <c r="F4116">
        <v>1</v>
      </c>
    </row>
    <row r="4117" spans="1:6" ht="13.5" customHeight="1">
      <c r="A4117" s="4" t="s">
        <v>8125</v>
      </c>
      <c r="B4117" s="4" t="s">
        <v>8081</v>
      </c>
      <c r="C4117" s="4" t="str">
        <f ca="1">IFERROR(__xludf.DUMMYFUNCTION("GOOGLETRANSLATE(D:D,""auto"",""en"")"),"Network Division")</f>
        <v>Network Division</v>
      </c>
      <c r="D4117" s="5" t="s">
        <v>8126</v>
      </c>
      <c r="E4117" s="4">
        <v>385771</v>
      </c>
      <c r="F4117">
        <v>1</v>
      </c>
    </row>
    <row r="4118" spans="1:6" ht="13.5" customHeight="1">
      <c r="A4118" s="4" t="s">
        <v>9389</v>
      </c>
      <c r="B4118" s="4" t="s">
        <v>9390</v>
      </c>
      <c r="C4118" s="4" t="str">
        <f ca="1">IFERROR(__xludf.DUMMYFUNCTION("GOOGLETRANSLATE(D:D,""auto"",""en"")"),"Response to price freely")</f>
        <v>Response to price freely</v>
      </c>
      <c r="D4118" s="5" t="s">
        <v>9391</v>
      </c>
      <c r="E4118" s="4">
        <v>368634</v>
      </c>
      <c r="F4118">
        <v>1</v>
      </c>
    </row>
    <row r="4119" spans="1:6" ht="13.5" hidden="1" customHeight="1">
      <c r="A4119" s="4" t="s">
        <v>9392</v>
      </c>
      <c r="B4119" s="4" t="s">
        <v>9393</v>
      </c>
      <c r="C4119" s="4" t="str">
        <f ca="1">IFERROR(__xludf.DUMMYFUNCTION("GOOGLETRANSLATE(D:D,""auto"",""en"")"),"Oscar Tribute Bryant")</f>
        <v>Oscar Tribute Bryant</v>
      </c>
      <c r="D4119" s="5" t="s">
        <v>9394</v>
      </c>
      <c r="E4119" s="4">
        <v>355471</v>
      </c>
    </row>
    <row r="4120" spans="1:6" ht="13.5" hidden="1" customHeight="1">
      <c r="A4120" s="4" t="s">
        <v>9395</v>
      </c>
      <c r="B4120" s="4" t="s">
        <v>9396</v>
      </c>
      <c r="C4120" s="4" t="str">
        <f ca="1">IFERROR(__xludf.DUMMYFUNCTION("GOOGLETRANSLATE(D:D,""auto"",""en"")"),"Brad Pitt Best Supporting Actor")</f>
        <v>Brad Pitt Best Supporting Actor</v>
      </c>
      <c r="D4120" s="5" t="s">
        <v>9397</v>
      </c>
      <c r="E4120" s="4">
        <v>339341</v>
      </c>
    </row>
    <row r="4121" spans="1:6" ht="13.5" hidden="1" customHeight="1">
      <c r="A4121" s="4" t="s">
        <v>9398</v>
      </c>
      <c r="B4121" s="4" t="s">
        <v>9399</v>
      </c>
      <c r="C4121" s="4" t="str">
        <f ca="1">IFERROR(__xludf.DUMMYFUNCTION("GOOGLETRANSLATE(D:D,""auto"",""en"")"),"Wei Diti hide Oscars")</f>
        <v>Wei Diti hide Oscars</v>
      </c>
      <c r="D4121" s="5" t="s">
        <v>9400</v>
      </c>
      <c r="E4121" s="4">
        <v>320818</v>
      </c>
    </row>
    <row r="4122" spans="1:6" ht="13.5" hidden="1" customHeight="1">
      <c r="A4122" s="4" t="s">
        <v>9337</v>
      </c>
      <c r="B4122" s="4" t="s">
        <v>9390</v>
      </c>
      <c r="C4122" s="4" t="str">
        <f ca="1">IFERROR(__xludf.DUMMYFUNCTION("GOOGLETRANSLATE(D:D,""auto"",""en"")"),"Best International Film parasites")</f>
        <v>Best International Film parasites</v>
      </c>
      <c r="D4122" s="5" t="s">
        <v>9401</v>
      </c>
      <c r="E4122" s="4">
        <v>319033</v>
      </c>
    </row>
    <row r="4123" spans="1:6" ht="13.5" customHeight="1">
      <c r="A4123" s="4" t="s">
        <v>8125</v>
      </c>
      <c r="B4123" s="4" t="s">
        <v>9402</v>
      </c>
      <c r="C4123" s="4" t="str">
        <f ca="1">IFERROR(__xludf.DUMMYFUNCTION("GOOGLETRANSLATE(D:D,""auto"",""en"")"),"Russia donated 23 tons of medical supplies to Wuhan")</f>
        <v>Russia donated 23 tons of medical supplies to Wuhan</v>
      </c>
      <c r="D4123" s="5" t="s">
        <v>9403</v>
      </c>
      <c r="E4123" s="4">
        <v>314202</v>
      </c>
      <c r="F4123">
        <v>1</v>
      </c>
    </row>
    <row r="4124" spans="1:6" ht="13.5" hidden="1" customHeight="1">
      <c r="A4124" s="4" t="s">
        <v>9404</v>
      </c>
      <c r="B4124" s="4" t="s">
        <v>9405</v>
      </c>
      <c r="C4124" s="4" t="str">
        <f ca="1">IFERROR(__xludf.DUMMYFUNCTION("GOOGLETRANSLATE(D:D,""auto"",""en"")"),"US Olympic men's basketball team list")</f>
        <v>US Olympic men's basketball team list</v>
      </c>
      <c r="D4124" s="5" t="s">
        <v>9406</v>
      </c>
      <c r="E4124" s="4">
        <v>280974</v>
      </c>
    </row>
    <row r="4125" spans="1:6" ht="13.5" customHeight="1">
      <c r="A4125" s="4" t="s">
        <v>7742</v>
      </c>
      <c r="B4125" s="4" t="s">
        <v>7743</v>
      </c>
      <c r="C4125" s="4" t="str">
        <f ca="1">IFERROR(__xludf.DUMMYFUNCTION("GOOGLETRANSLATE(D:D,""auto"",""en"")"),"Beijing subway")</f>
        <v>Beijing subway</v>
      </c>
      <c r="D4125" s="5" t="s">
        <v>7744</v>
      </c>
      <c r="E4125" s="4">
        <v>280906</v>
      </c>
      <c r="F4125">
        <v>1</v>
      </c>
    </row>
    <row r="4126" spans="1:6" ht="13.5" customHeight="1">
      <c r="A4126" s="4" t="s">
        <v>9395</v>
      </c>
      <c r="B4126" s="4" t="s">
        <v>9407</v>
      </c>
      <c r="C4126" s="4" t="str">
        <f ca="1">IFERROR(__xludf.DUMMYFUNCTION("GOOGLETRANSLATE(D:D,""auto"",""en"")"),"Truth About eight new crown pneumonia")</f>
        <v>Truth About eight new crown pneumonia</v>
      </c>
      <c r="D4126" s="5" t="s">
        <v>9408</v>
      </c>
      <c r="E4126" s="4">
        <v>229297</v>
      </c>
      <c r="F4126">
        <v>1</v>
      </c>
    </row>
    <row r="4127" spans="1:6" ht="13.5" hidden="1" customHeight="1">
      <c r="C4127" s="4" t="str">
        <f ca="1">IFERROR(__xludf.DUMMYFUNCTION("GOOGLETRANSLATE(D:D,""auto"",""en"")"),"#VALUE!")</f>
        <v>#VALUE!</v>
      </c>
    </row>
    <row r="4128" spans="1:6" ht="13.5" customHeight="1">
      <c r="A4128" s="4" t="s">
        <v>9409</v>
      </c>
      <c r="B4128" s="4" t="s">
        <v>9410</v>
      </c>
      <c r="C4128" s="4" t="str">
        <f ca="1">IFERROR(__xludf.DUMMYFUNCTION("GOOGLETRANSLATE(D:D,""auto"",""en"")"),"Wuhan investigation and the 1499 All critically ill patients admitted to hospital")</f>
        <v>Wuhan investigation and the 1499 All critically ill patients admitted to hospital</v>
      </c>
      <c r="D4128" s="4" t="s">
        <v>9411</v>
      </c>
      <c r="E4128" s="4">
        <v>4445452</v>
      </c>
      <c r="F4128">
        <v>1</v>
      </c>
    </row>
    <row r="4129" spans="1:6" ht="13.5" customHeight="1">
      <c r="A4129" s="4" t="s">
        <v>9412</v>
      </c>
      <c r="B4129" s="4" t="s">
        <v>9413</v>
      </c>
      <c r="C4129" s="4" t="str">
        <f ca="1">IFERROR(__xludf.DUMMYFUNCTION("GOOGLETRANSLATE(D:D,""auto"",""en"")"),"Zhang Dingyu new crown pneumonia is self-limiting disease")</f>
        <v>Zhang Dingyu new crown pneumonia is self-limiting disease</v>
      </c>
      <c r="D4129" s="5" t="s">
        <v>9414</v>
      </c>
      <c r="E4129" s="4">
        <v>3931718</v>
      </c>
      <c r="F4129">
        <v>1</v>
      </c>
    </row>
    <row r="4130" spans="1:6" ht="13.5" customHeight="1">
      <c r="A4130" s="4" t="s">
        <v>9415</v>
      </c>
      <c r="B4130" s="4" t="s">
        <v>9416</v>
      </c>
      <c r="C4130" s="4" t="str">
        <f ca="1">IFERROR(__xludf.DUMMYFUNCTION("GOOGLETRANSLATE(D:D,""auto"",""en"")"),"11 Wuhan intends to complete the detection of all patients suspected cleared")</f>
        <v>11 Wuhan intends to complete the detection of all patients suspected cleared</v>
      </c>
      <c r="D4130" s="5" t="s">
        <v>9417</v>
      </c>
      <c r="E4130" s="4">
        <v>2435118</v>
      </c>
      <c r="F4130">
        <v>1</v>
      </c>
    </row>
    <row r="4131" spans="1:6" ht="13.5" hidden="1" customHeight="1">
      <c r="A4131" s="4" t="s">
        <v>9418</v>
      </c>
      <c r="B4131" s="4" t="s">
        <v>9419</v>
      </c>
      <c r="C4131" s="4" t="str">
        <f ca="1">IFERROR(__xludf.DUMMYFUNCTION("GOOGLETRANSLATE(D:D,""auto"",""en"")"),"Yang Zi studio Statement")</f>
        <v>Yang Zi studio Statement</v>
      </c>
      <c r="D4131" s="5" t="s">
        <v>9420</v>
      </c>
      <c r="E4131" s="4">
        <v>2382182</v>
      </c>
    </row>
    <row r="4132" spans="1:6" ht="13.5" hidden="1" customHeight="1">
      <c r="A4132" s="4" t="s">
        <v>2848</v>
      </c>
      <c r="B4132" s="4" t="s">
        <v>2849</v>
      </c>
      <c r="C4132" s="4" t="str">
        <f ca="1">IFERROR(__xludf.DUMMYFUNCTION("GOOGLETRANSLATE(D:D,""auto"",""en"")"),"Love Apartments 5")</f>
        <v>Love Apartments 5</v>
      </c>
      <c r="D4132" s="5" t="s">
        <v>2850</v>
      </c>
      <c r="E4132" s="4">
        <v>2353113</v>
      </c>
    </row>
    <row r="4133" spans="1:6" ht="13.5" hidden="1" customHeight="1">
      <c r="A4133" s="4" t="s">
        <v>9421</v>
      </c>
      <c r="B4133" s="4" t="s">
        <v>9422</v>
      </c>
      <c r="C4133" s="4" t="str">
        <f ca="1">IFERROR(__xludf.DUMMYFUNCTION("GOOGLETRANSLATE(D:D,""auto"",""en"")"),"He stars in Song Yuan fix games")</f>
        <v>He stars in Song Yuan fix games</v>
      </c>
      <c r="D4133" s="5" t="s">
        <v>9423</v>
      </c>
      <c r="E4133" s="4">
        <v>1792899</v>
      </c>
    </row>
    <row r="4134" spans="1:6" ht="13.5" customHeight="1">
      <c r="A4134" s="4" t="s">
        <v>9424</v>
      </c>
      <c r="B4134" s="4" t="s">
        <v>9425</v>
      </c>
      <c r="C4134" s="4" t="str">
        <f ca="1">IFERROR(__xludf.DUMMYFUNCTION("GOOGLETRANSLATE(D:D,""auto"",""en"")"),"We will be able to overcome this epidemic")</f>
        <v>We will be able to overcome this epidemic</v>
      </c>
      <c r="D4134" s="5" t="s">
        <v>9426</v>
      </c>
      <c r="E4134" s="4">
        <v>1366502</v>
      </c>
      <c r="F4134">
        <v>1</v>
      </c>
    </row>
    <row r="4135" spans="1:6" ht="13.5" hidden="1" customHeight="1">
      <c r="A4135" s="4" t="s">
        <v>9427</v>
      </c>
      <c r="B4135" s="4" t="s">
        <v>9428</v>
      </c>
      <c r="C4135" s="4" t="str">
        <f ca="1">IFERROR(__xludf.DUMMYFUNCTION("GOOGLETRANSLATE(D:D,""auto"",""en"")"),"LG China headquarters building for sale")</f>
        <v>LG China headquarters building for sale</v>
      </c>
      <c r="D4135" s="5" t="s">
        <v>9429</v>
      </c>
      <c r="E4135" s="4">
        <v>960202</v>
      </c>
    </row>
    <row r="4136" spans="1:6" ht="13.5" customHeight="1">
      <c r="A4136" s="4" t="s">
        <v>9430</v>
      </c>
      <c r="B4136" s="4" t="s">
        <v>9431</v>
      </c>
      <c r="C4136" s="4" t="str">
        <f ca="1">IFERROR(__xludf.DUMMYFUNCTION("GOOGLETRANSLATE(D:D,""auto"",""en"")"),"Support Hubei provincial counterpart support table")</f>
        <v>Support Hubei provincial counterpart support table</v>
      </c>
      <c r="D4136" s="5" t="s">
        <v>9432</v>
      </c>
      <c r="E4136" s="4">
        <v>928842</v>
      </c>
      <c r="F4136">
        <v>1</v>
      </c>
    </row>
    <row r="4137" spans="1:6" ht="13.5" customHeight="1">
      <c r="A4137" s="4" t="s">
        <v>9433</v>
      </c>
      <c r="B4137" s="4" t="s">
        <v>9434</v>
      </c>
      <c r="C4137" s="4" t="str">
        <f ca="1">IFERROR(__xludf.DUMMYFUNCTION("GOOGLETRANSLATE(D:D,""auto"",""en"")"),"Epidemic prevention and control can not perform the contract due to force majeure")</f>
        <v>Epidemic prevention and control can not perform the contract due to force majeure</v>
      </c>
      <c r="D4137" s="5" t="s">
        <v>9435</v>
      </c>
      <c r="E4137" s="4">
        <v>914712</v>
      </c>
      <c r="F4137">
        <v>1</v>
      </c>
    </row>
    <row r="4138" spans="1:6" ht="13.5" customHeight="1">
      <c r="A4138" s="4" t="s">
        <v>9436</v>
      </c>
      <c r="B4138" s="4" t="s">
        <v>9437</v>
      </c>
      <c r="C4138" s="4" t="str">
        <f ca="1">IFERROR(__xludf.DUMMYFUNCTION("GOOGLETRANSLATE(D:D,""auto"",""en"")"),"Wuhan, the most cattle community has in fact confirmed cases")</f>
        <v>Wuhan, the most cattle community has in fact confirmed cases</v>
      </c>
      <c r="D4138" s="5" t="s">
        <v>9438</v>
      </c>
      <c r="E4138" s="4">
        <v>868157</v>
      </c>
      <c r="F4138">
        <v>1</v>
      </c>
    </row>
    <row r="4139" spans="1:6" ht="13.5" hidden="1" customHeight="1">
      <c r="A4139" s="4" t="s">
        <v>3117</v>
      </c>
      <c r="B4139" s="4" t="s">
        <v>3118</v>
      </c>
      <c r="C4139" s="4" t="str">
        <f ca="1">IFERROR(__xludf.DUMMYFUNCTION("GOOGLETRANSLATE(D:D,""auto"",""en"")"),"New World")</f>
        <v>New World</v>
      </c>
      <c r="D4139" s="5" t="s">
        <v>3119</v>
      </c>
      <c r="E4139" s="4">
        <v>830533</v>
      </c>
    </row>
    <row r="4140" spans="1:6" ht="13.5" customHeight="1">
      <c r="A4140" s="4" t="s">
        <v>9439</v>
      </c>
      <c r="B4140" s="4" t="s">
        <v>9440</v>
      </c>
      <c r="C4140" s="4" t="str">
        <f ca="1">IFERROR(__xludf.DUMMYFUNCTION("GOOGLETRANSLATE(D:D,""auto"",""en"")"),"Disposable protective equipment can not be disinfected after recycling")</f>
        <v>Disposable protective equipment can not be disinfected after recycling</v>
      </c>
      <c r="D4140" s="5" t="s">
        <v>9441</v>
      </c>
      <c r="E4140" s="4">
        <v>820429</v>
      </c>
      <c r="F4140">
        <v>1</v>
      </c>
    </row>
    <row r="4141" spans="1:6" ht="13.5" customHeight="1">
      <c r="A4141" s="4" t="s">
        <v>9427</v>
      </c>
      <c r="B4141" s="4" t="s">
        <v>9308</v>
      </c>
      <c r="C4141" s="4" t="str">
        <f ca="1">IFERROR(__xludf.DUMMYFUNCTION("GOOGLETRANSLATE(D:D,""auto"",""en"")"),"Hangzhou crown a new team of people being infected with pneumonia")</f>
        <v>Hangzhou crown a new team of people being infected with pneumonia</v>
      </c>
      <c r="D4141" s="5" t="s">
        <v>9442</v>
      </c>
      <c r="E4141" s="4">
        <v>817385</v>
      </c>
      <c r="F4141">
        <v>1</v>
      </c>
    </row>
    <row r="4142" spans="1:6" ht="13.5" customHeight="1">
      <c r="A4142" s="4" t="s">
        <v>9443</v>
      </c>
      <c r="B4142" s="4" t="s">
        <v>9444</v>
      </c>
      <c r="C4142" s="4" t="str">
        <f ca="1">IFERROR(__xludf.DUMMYFUNCTION("GOOGLETRANSLATE(D:D,""auto"",""en"")"),"Wondering whether you're sick how to do")</f>
        <v>Wondering whether you're sick how to do</v>
      </c>
      <c r="D4142" s="5" t="s">
        <v>9445</v>
      </c>
      <c r="E4142" s="4">
        <v>814462</v>
      </c>
      <c r="F4142">
        <v>1</v>
      </c>
    </row>
    <row r="4143" spans="1:6" ht="13.5" hidden="1" customHeight="1">
      <c r="A4143" s="4" t="s">
        <v>9021</v>
      </c>
      <c r="B4143" s="4" t="s">
        <v>9022</v>
      </c>
      <c r="C4143" s="4" t="str">
        <f ca="1">IFERROR(__xludf.DUMMYFUNCTION("GOOGLETRANSLATE(D:D,""auto"",""en"")"),"Li Jiaqi live")</f>
        <v>Li Jiaqi live</v>
      </c>
      <c r="D4143" s="5" t="s">
        <v>9023</v>
      </c>
      <c r="E4143" s="4">
        <v>807581</v>
      </c>
    </row>
    <row r="4144" spans="1:6" ht="13.5" hidden="1" customHeight="1">
      <c r="A4144" s="4" t="s">
        <v>9446</v>
      </c>
      <c r="B4144" s="4" t="s">
        <v>9447</v>
      </c>
      <c r="C4144" s="4" t="str">
        <f ca="1">IFERROR(__xludf.DUMMYFUNCTION("GOOGLETRANSLATE(D:D,""auto"",""en"")"),"Australia floods caused by heavy rains extinguish fires")</f>
        <v>Australia floods caused by heavy rains extinguish fires</v>
      </c>
      <c r="D4144" s="5" t="s">
        <v>9448</v>
      </c>
      <c r="E4144" s="4">
        <v>803103</v>
      </c>
    </row>
    <row r="4145" spans="1:6" ht="13.5" customHeight="1">
      <c r="A4145" s="4" t="s">
        <v>9412</v>
      </c>
      <c r="B4145" s="4" t="s">
        <v>9449</v>
      </c>
      <c r="C4145" s="4" t="str">
        <f ca="1">IFERROR(__xludf.DUMMYFUNCTION("GOOGLETRANSLATE(D:D,""auto"",""en"")"),"Like most of my home, hold back bad")</f>
        <v>Like most of my home, hold back bad</v>
      </c>
      <c r="D4145" s="5" t="s">
        <v>9450</v>
      </c>
      <c r="E4145" s="4">
        <v>797308</v>
      </c>
      <c r="F4145">
        <v>1</v>
      </c>
    </row>
    <row r="4146" spans="1:6" ht="13.5" customHeight="1">
      <c r="A4146" s="4" t="s">
        <v>9451</v>
      </c>
      <c r="B4146" s="4" t="s">
        <v>9452</v>
      </c>
      <c r="C4146" s="4" t="str">
        <f ca="1">IFERROR(__xludf.DUMMYFUNCTION("GOOGLETRANSLATE(D:D,""auto"",""en"")"),"Household hair dryer to disinfect masks")</f>
        <v>Household hair dryer to disinfect masks</v>
      </c>
      <c r="D4146" s="5" t="s">
        <v>9453</v>
      </c>
      <c r="E4146" s="4">
        <v>793393</v>
      </c>
      <c r="F4146">
        <v>1</v>
      </c>
    </row>
    <row r="4147" spans="1:6" ht="13.5" hidden="1" customHeight="1">
      <c r="A4147" s="4" t="s">
        <v>9454</v>
      </c>
      <c r="B4147" s="4" t="s">
        <v>9455</v>
      </c>
      <c r="C4147" s="4" t="str">
        <f ca="1">IFERROR(__xludf.DUMMYFUNCTION("GOOGLETRANSLATE(D:D,""auto"",""en"")"),"Dongyang appear")</f>
        <v>Dongyang appear</v>
      </c>
      <c r="D4147" s="5" t="s">
        <v>9456</v>
      </c>
      <c r="E4147" s="4">
        <v>736750</v>
      </c>
    </row>
    <row r="4148" spans="1:6" ht="13.5" hidden="1" customHeight="1">
      <c r="A4148" s="4" t="s">
        <v>9457</v>
      </c>
      <c r="B4148" s="4" t="s">
        <v>9458</v>
      </c>
      <c r="C4148" s="4" t="str">
        <f ca="1">IFERROR(__xludf.DUMMYFUNCTION("GOOGLETRANSLATE(D:D,""auto"",""en"")"),"This is the Master of retaliation it")</f>
        <v>This is the Master of retaliation it</v>
      </c>
      <c r="D4148" s="5" t="s">
        <v>9459</v>
      </c>
      <c r="E4148" s="4">
        <v>672375</v>
      </c>
    </row>
    <row r="4149" spans="1:6" ht="13.5" customHeight="1">
      <c r="A4149" s="4" t="s">
        <v>9460</v>
      </c>
      <c r="B4149" s="4" t="s">
        <v>9461</v>
      </c>
      <c r="C4149" s="4" t="str">
        <f ca="1">IFERROR(__xludf.DUMMYFUNCTION("GOOGLETRANSLATE(D:D,""auto"",""en"")"),"Internet embarrassing lesson")</f>
        <v>Internet embarrassing lesson</v>
      </c>
      <c r="D4149" s="5" t="s">
        <v>9462</v>
      </c>
      <c r="E4149" s="4">
        <v>616182</v>
      </c>
      <c r="F4149">
        <v>1</v>
      </c>
    </row>
    <row r="4150" spans="1:6" ht="13.5" customHeight="1">
      <c r="A4150" s="4" t="s">
        <v>9463</v>
      </c>
      <c r="B4150" s="4" t="s">
        <v>9464</v>
      </c>
      <c r="C4150" s="4" t="str">
        <f ca="1">IFERROR(__xludf.DUMMYFUNCTION("GOOGLETRANSLATE(D:D,""auto"",""en"")"),"After the outbreak of you and your friends")</f>
        <v>After the outbreak of you and your friends</v>
      </c>
      <c r="D4150" s="5" t="s">
        <v>9465</v>
      </c>
      <c r="E4150" s="4">
        <v>605070</v>
      </c>
      <c r="F4150">
        <v>1</v>
      </c>
    </row>
    <row r="4151" spans="1:6" ht="13.5" hidden="1" customHeight="1">
      <c r="A4151" s="4" t="s">
        <v>9466</v>
      </c>
      <c r="B4151" s="4" t="s">
        <v>9467</v>
      </c>
      <c r="C4151" s="4" t="str">
        <f ca="1">IFERROR(__xludf.DUMMYFUNCTION("GOOGLETRANSLATE(D:D,""auto"",""en"")"),"Root cause of your boring life")</f>
        <v>Root cause of your boring life</v>
      </c>
      <c r="D4151" s="5" t="s">
        <v>9468</v>
      </c>
      <c r="E4151" s="4">
        <v>532374</v>
      </c>
    </row>
    <row r="4152" spans="1:6" ht="13.5" customHeight="1">
      <c r="A4152" s="4" t="s">
        <v>9469</v>
      </c>
      <c r="B4152" s="4" t="s">
        <v>9470</v>
      </c>
      <c r="C4152" s="4" t="str">
        <f ca="1">IFERROR(__xludf.DUMMYFUNCTION("GOOGLETRANSLATE(D:D,""auto"",""en"")"),"High-speed driver trapped in Hubei, Shaanxi snapshots")</f>
        <v>High-speed driver trapped in Hubei, Shaanxi snapshots</v>
      </c>
      <c r="D4152" s="5" t="s">
        <v>9471</v>
      </c>
      <c r="E4152" s="4">
        <v>532015</v>
      </c>
      <c r="F4152">
        <v>1</v>
      </c>
    </row>
    <row r="4153" spans="1:6" ht="13.5" hidden="1" customHeight="1">
      <c r="A4153" s="4" t="s">
        <v>9472</v>
      </c>
      <c r="B4153" s="4" t="s">
        <v>9473</v>
      </c>
      <c r="C4153" s="4" t="str">
        <f ca="1">IFERROR(__xludf.DUMMYFUNCTION("GOOGLETRANSLATE(D:D,""auto"",""en"")"),"Xu Tian Tian Dan poke")</f>
        <v>Xu Tian Tian Dan poke</v>
      </c>
      <c r="D4153" s="5" t="s">
        <v>9474</v>
      </c>
      <c r="E4153" s="4">
        <v>460889</v>
      </c>
    </row>
    <row r="4154" spans="1:6" ht="13.5" customHeight="1">
      <c r="A4154" s="4" t="s">
        <v>9475</v>
      </c>
      <c r="B4154" s="4" t="s">
        <v>9476</v>
      </c>
      <c r="C4154" s="4" t="str">
        <f ca="1">IFERROR(__xludf.DUMMYFUNCTION("GOOGLETRANSLATE(D:D,""auto"",""en"")"),"Beijing's first pregnant patients discharged from hospital")</f>
        <v>Beijing's first pregnant patients discharged from hospital</v>
      </c>
      <c r="D4154" s="5" t="s">
        <v>9477</v>
      </c>
      <c r="E4154" s="4">
        <v>371587</v>
      </c>
      <c r="F4154">
        <v>1</v>
      </c>
    </row>
    <row r="4155" spans="1:6" ht="13.5" hidden="1" customHeight="1">
      <c r="A4155" s="4" t="s">
        <v>9421</v>
      </c>
      <c r="B4155" s="4" t="s">
        <v>9298</v>
      </c>
      <c r="C4155" s="4" t="str">
        <f ca="1">IFERROR(__xludf.DUMMYFUNCTION("GOOGLETRANSLATE(D:D,""auto"",""en"")"),"Former vice president of Communication University of China decided to arrest")</f>
        <v>Former vice president of Communication University of China decided to arrest</v>
      </c>
      <c r="D4155" s="5" t="s">
        <v>9478</v>
      </c>
      <c r="E4155" s="4">
        <v>356557</v>
      </c>
    </row>
    <row r="4156" spans="1:6" ht="13.5" customHeight="1">
      <c r="A4156" s="4" t="s">
        <v>9479</v>
      </c>
      <c r="B4156" s="4" t="s">
        <v>9480</v>
      </c>
      <c r="C4156" s="4" t="str">
        <f ca="1">IFERROR(__xludf.DUMMYFUNCTION("GOOGLETRANSLATE(D:D,""auto"",""en"")"),"41-day charter with nearly 6,000 people arrived in Wuhan")</f>
        <v>41-day charter with nearly 6,000 people arrived in Wuhan</v>
      </c>
      <c r="D4156" s="5" t="s">
        <v>9481</v>
      </c>
      <c r="E4156" s="4">
        <v>354540</v>
      </c>
      <c r="F4156">
        <v>1</v>
      </c>
    </row>
    <row r="4157" spans="1:6" ht="13.5" hidden="1" customHeight="1">
      <c r="A4157" s="4" t="s">
        <v>9482</v>
      </c>
      <c r="B4157" s="4" t="s">
        <v>9483</v>
      </c>
      <c r="C4157" s="4" t="str">
        <f ca="1">IFERROR(__xludf.DUMMYFUNCTION("GOOGLETRANSLATE(D:D,""auto"",""en"")"),"Every time cloud")</f>
        <v>Every time cloud</v>
      </c>
      <c r="D4157" s="5" t="s">
        <v>9484</v>
      </c>
      <c r="E4157" s="4">
        <v>354116</v>
      </c>
    </row>
    <row r="4158" spans="1:6" ht="13.5" hidden="1" customHeight="1">
      <c r="A4158" s="4" t="s">
        <v>9485</v>
      </c>
      <c r="B4158" s="4" t="s">
        <v>9486</v>
      </c>
      <c r="C4158" s="4" t="str">
        <f ca="1">IFERROR(__xludf.DUMMYFUNCTION("GOOGLETRANSLATE(D:D,""auto"",""en"")"),"Tie Lin")</f>
        <v>Tie Lin</v>
      </c>
      <c r="D4158" s="5" t="s">
        <v>9487</v>
      </c>
      <c r="E4158" s="4">
        <v>347675</v>
      </c>
    </row>
    <row r="4159" spans="1:6" ht="13.5" customHeight="1">
      <c r="A4159" s="4" t="s">
        <v>9488</v>
      </c>
      <c r="B4159" s="4" t="s">
        <v>9489</v>
      </c>
      <c r="C4159" s="4" t="str">
        <f ca="1">IFERROR(__xludf.DUMMYFUNCTION("GOOGLETRANSLATE(D:D,""auto"",""en"")"),"Refused to isolate suspected patients can result in transmission conviction")</f>
        <v>Refused to isolate suspected patients can result in transmission conviction</v>
      </c>
      <c r="D4159" s="5" t="s">
        <v>9490</v>
      </c>
      <c r="E4159" s="4">
        <v>294897</v>
      </c>
      <c r="F4159">
        <v>1</v>
      </c>
    </row>
    <row r="4160" spans="1:6" ht="13.5" customHeight="1">
      <c r="A4160" s="4" t="s">
        <v>9491</v>
      </c>
      <c r="B4160" s="4" t="s">
        <v>9464</v>
      </c>
      <c r="C4160" s="4" t="str">
        <f ca="1">IFERROR(__xludf.DUMMYFUNCTION("GOOGLETRANSLATE(D:D,""auto"",""en"")"),"Beijing and 73 clusters of disease were")</f>
        <v>Beijing and 73 clusters of disease were</v>
      </c>
      <c r="D4160" s="5" t="s">
        <v>9492</v>
      </c>
      <c r="E4160" s="4">
        <v>276592</v>
      </c>
      <c r="F4160">
        <v>1</v>
      </c>
    </row>
    <row r="4161" spans="1:6" ht="13.5" customHeight="1">
      <c r="A4161" s="4" t="s">
        <v>9493</v>
      </c>
      <c r="B4161" s="4" t="s">
        <v>9494</v>
      </c>
      <c r="C4161" s="4" t="str">
        <f ca="1">IFERROR(__xludf.DUMMYFUNCTION("GOOGLETRANSLATE(D:D,""auto"",""en"")"),"Chen's new deputy head of the Central Steering Group")</f>
        <v>Chen's new deputy head of the Central Steering Group</v>
      </c>
      <c r="D4161" s="5" t="s">
        <v>9495</v>
      </c>
      <c r="E4161" s="4">
        <v>268608</v>
      </c>
      <c r="F4161">
        <v>1</v>
      </c>
    </row>
    <row r="4162" spans="1:6" ht="13.5" customHeight="1">
      <c r="A4162" s="4" t="s">
        <v>9496</v>
      </c>
      <c r="B4162" s="4" t="s">
        <v>9497</v>
      </c>
      <c r="C4162" s="4" t="str">
        <f ca="1">IFERROR(__xludf.DUMMYFUNCTION("GOOGLETRANSLATE(D:D,""auto"",""en"")"),"One person dialogue Raytheon Dean Hill Hospital")</f>
        <v>One person dialogue Raytheon Dean Hill Hospital</v>
      </c>
      <c r="D4162" s="5" t="s">
        <v>9498</v>
      </c>
      <c r="E4162" s="4">
        <v>267729</v>
      </c>
      <c r="F4162">
        <v>1</v>
      </c>
    </row>
    <row r="4163" spans="1:6" ht="13.5" hidden="1" customHeight="1">
      <c r="A4163" s="4" t="s">
        <v>9499</v>
      </c>
      <c r="B4163" s="4" t="s">
        <v>9500</v>
      </c>
      <c r="C4163" s="4" t="str">
        <f ca="1">IFERROR(__xludf.DUMMYFUNCTION("GOOGLETRANSLATE(D:D,""auto"",""en"")"),"Fresh fruit prices fell for four consecutive months")</f>
        <v>Fresh fruit prices fell for four consecutive months</v>
      </c>
      <c r="D4163" s="5" t="s">
        <v>9501</v>
      </c>
      <c r="E4163" s="4">
        <v>258894</v>
      </c>
    </row>
    <row r="4164" spans="1:6" ht="13.5" customHeight="1">
      <c r="A4164" s="4" t="s">
        <v>9502</v>
      </c>
      <c r="B4164" s="4" t="s">
        <v>9503</v>
      </c>
      <c r="C4164" s="4" t="str">
        <f ca="1">IFERROR(__xludf.DUMMYFUNCTION("GOOGLETRANSLATE(D:D,""auto"",""en"")"),"Guizhou pharmaceutical companies fined 1.8 million yuan a")</f>
        <v>Guizhou pharmaceutical companies fined 1.8 million yuan a</v>
      </c>
      <c r="D4164" s="5" t="s">
        <v>9504</v>
      </c>
      <c r="E4164" s="4">
        <v>252282</v>
      </c>
      <c r="F4164">
        <v>1</v>
      </c>
    </row>
    <row r="4165" spans="1:6" ht="13.5" customHeight="1">
      <c r="A4165" s="4" t="s">
        <v>9505</v>
      </c>
      <c r="B4165" s="4" t="s">
        <v>9506</v>
      </c>
      <c r="C4165" s="4" t="str">
        <f ca="1">IFERROR(__xludf.DUMMYFUNCTION("GOOGLETRANSLATE(D:D,""auto"",""en"")"),"Shaanxi School 2 March Never school")</f>
        <v>Shaanxi School 2 March Never school</v>
      </c>
      <c r="D4165" s="5" t="s">
        <v>9507</v>
      </c>
      <c r="E4165" s="4">
        <v>227455</v>
      </c>
      <c r="F4165">
        <v>1</v>
      </c>
    </row>
    <row r="4166" spans="1:6" ht="13.5" hidden="1" customHeight="1">
      <c r="A4166" s="4" t="s">
        <v>3082</v>
      </c>
      <c r="B4166" s="4" t="s">
        <v>3083</v>
      </c>
      <c r="C4166" s="4" t="str">
        <f ca="1">IFERROR(__xludf.DUMMYFUNCTION("GOOGLETRANSLATE(D:D,""auto"",""en"")"),"The Night 2")</f>
        <v>The Night 2</v>
      </c>
      <c r="D4166" s="5" t="s">
        <v>3084</v>
      </c>
      <c r="E4166" s="4">
        <v>221697</v>
      </c>
    </row>
    <row r="4167" spans="1:6" ht="13.5" customHeight="1">
      <c r="A4167" s="4" t="s">
        <v>9508</v>
      </c>
      <c r="B4167" s="4" t="s">
        <v>9300</v>
      </c>
      <c r="C4167" s="4" t="str">
        <f ca="1">IFERROR(__xludf.DUMMYFUNCTION("GOOGLETRANSLATE(D:D,""auto"",""en"")"),"Diamond Princess")</f>
        <v>Diamond Princess</v>
      </c>
      <c r="D4167" s="5" t="s">
        <v>9509</v>
      </c>
      <c r="E4167" s="4">
        <v>216961</v>
      </c>
      <c r="F4167">
        <v>1</v>
      </c>
    </row>
    <row r="4168" spans="1:6" ht="13.5" hidden="1" customHeight="1">
      <c r="A4168" s="4" t="s">
        <v>9510</v>
      </c>
      <c r="B4168" s="4" t="s">
        <v>9511</v>
      </c>
      <c r="C4168" s="4" t="str">
        <f ca="1">IFERROR(__xludf.DUMMYFUNCTION("GOOGLETRANSLATE(D:D,""auto"",""en"")"),"2019 national fiscal revenue of over 19 trillion yuan")</f>
        <v>2019 national fiscal revenue of over 19 trillion yuan</v>
      </c>
      <c r="D4168" s="5" t="s">
        <v>9512</v>
      </c>
      <c r="E4168" s="4">
        <v>216600</v>
      </c>
    </row>
    <row r="4169" spans="1:6" ht="13.5" customHeight="1">
      <c r="A4169" s="4" t="s">
        <v>9513</v>
      </c>
      <c r="B4169" s="4" t="s">
        <v>9514</v>
      </c>
      <c r="C4169" s="4" t="str">
        <f ca="1">IFERROR(__xludf.DUMMYFUNCTION("GOOGLETRANSLATE(D:D,""auto"",""en"")"),"13 courier companies to resume normal operations")</f>
        <v>13 courier companies to resume normal operations</v>
      </c>
      <c r="D4169" s="5" t="s">
        <v>9515</v>
      </c>
      <c r="E4169" s="4">
        <v>212197</v>
      </c>
      <c r="F4169">
        <v>1</v>
      </c>
    </row>
    <row r="4170" spans="1:6" ht="13.5" hidden="1" customHeight="1">
      <c r="A4170" s="4" t="s">
        <v>9516</v>
      </c>
      <c r="B4170" s="4" t="s">
        <v>9517</v>
      </c>
      <c r="C4170" s="4" t="str">
        <f ca="1">IFERROR(__xludf.DUMMYFUNCTION("GOOGLETRANSLATE(D:D,""auto"",""en"")"),"Dengchuan week in and week")</f>
        <v>Dengchuan week in and week</v>
      </c>
      <c r="D4170" s="5" t="s">
        <v>9518</v>
      </c>
      <c r="E4170" s="4">
        <v>211170</v>
      </c>
    </row>
    <row r="4171" spans="1:6" ht="13.5" hidden="1" customHeight="1">
      <c r="A4171" s="4" t="s">
        <v>9519</v>
      </c>
      <c r="B4171" s="4" t="s">
        <v>9476</v>
      </c>
      <c r="C4171" s="4" t="str">
        <f ca="1">IFERROR(__xludf.DUMMYFUNCTION("GOOGLETRANSLATE(D:D,""auto"",""en"")"),"Liulaogen 3")</f>
        <v>Liulaogen 3</v>
      </c>
      <c r="D4171" s="5" t="s">
        <v>9520</v>
      </c>
      <c r="E4171" s="4">
        <v>210324</v>
      </c>
    </row>
    <row r="4172" spans="1:6" ht="13.5" customHeight="1">
      <c r="A4172" s="4" t="s">
        <v>9521</v>
      </c>
      <c r="B4172" s="4" t="s">
        <v>9522</v>
      </c>
      <c r="C4172" s="4" t="str">
        <f ca="1">IFERROR(__xludf.DUMMYFUNCTION("GOOGLETRANSLATE(D:D,""auto"",""en"")"),"Hubei whether non-return needs to be isolated 14 days")</f>
        <v>Hubei whether non-return needs to be isolated 14 days</v>
      </c>
      <c r="D4172" s="5" t="s">
        <v>9523</v>
      </c>
      <c r="E4172" s="4">
        <v>206879</v>
      </c>
      <c r="F4172">
        <v>1</v>
      </c>
    </row>
    <row r="4173" spans="1:6" ht="13.5" customHeight="1">
      <c r="A4173" s="4" t="s">
        <v>9524</v>
      </c>
      <c r="B4173" s="4" t="s">
        <v>9525</v>
      </c>
      <c r="C4173" s="4" t="str">
        <f ca="1">IFERROR(__xludf.DUMMYFUNCTION("GOOGLETRANSLATE(D:D,""auto"",""en"")"),"When I saw the online curriculum")</f>
        <v>When I saw the online curriculum</v>
      </c>
      <c r="D4173" s="5" t="s">
        <v>9526</v>
      </c>
      <c r="E4173" s="4">
        <v>199960</v>
      </c>
      <c r="F4173">
        <v>1</v>
      </c>
    </row>
    <row r="4174" spans="1:6" ht="13.5" customHeight="1">
      <c r="A4174" s="4" t="s">
        <v>9505</v>
      </c>
      <c r="B4174" s="4" t="s">
        <v>9527</v>
      </c>
      <c r="C4174" s="4" t="str">
        <f ca="1">IFERROR(__xludf.DUMMYFUNCTION("GOOGLETRANSLATE(D:D,""auto"",""en"")"),"The new crown pneumonia incubation period of up to 24 days")</f>
        <v>The new crown pneumonia incubation period of up to 24 days</v>
      </c>
      <c r="D4174" s="5" t="s">
        <v>9528</v>
      </c>
      <c r="E4174" s="4">
        <v>199702</v>
      </c>
      <c r="F4174">
        <v>1</v>
      </c>
    </row>
    <row r="4175" spans="1:6" ht="13.5" hidden="1" customHeight="1">
      <c r="A4175" s="4" t="s">
        <v>9529</v>
      </c>
      <c r="B4175" s="4" t="s">
        <v>9300</v>
      </c>
      <c r="C4175" s="4" t="str">
        <f ca="1">IFERROR(__xludf.DUMMYFUNCTION("GOOGLETRANSLATE(D:D,""auto"",""en"")"),"Tan Song Yun I'm talking to an adult home")</f>
        <v>Tan Song Yun I'm talking to an adult home</v>
      </c>
      <c r="D4175" s="5" t="s">
        <v>9530</v>
      </c>
      <c r="E4175" s="4">
        <v>163137</v>
      </c>
    </row>
    <row r="4176" spans="1:6" ht="13.5" customHeight="1">
      <c r="A4176" s="4" t="s">
        <v>9531</v>
      </c>
      <c r="B4176" s="4" t="s">
        <v>9532</v>
      </c>
      <c r="C4176" s="4" t="str">
        <f ca="1">IFERROR(__xludf.DUMMYFUNCTION("GOOGLETRANSLATE(D:D,""auto"",""en"")"),"Festival the first week of the average monthly salary of 9311 yuan recruitment")</f>
        <v>Festival the first week of the average monthly salary of 9311 yuan recruitment</v>
      </c>
      <c r="D4176" s="5" t="s">
        <v>9533</v>
      </c>
      <c r="E4176" s="4">
        <v>109837</v>
      </c>
      <c r="F4176">
        <v>1</v>
      </c>
    </row>
    <row r="4177" spans="1:6" ht="13.5" hidden="1" customHeight="1">
      <c r="C4177" s="4" t="str">
        <f ca="1">IFERROR(__xludf.DUMMYFUNCTION("GOOGLETRANSLATE(D:D,""auto"",""en"")"),"#VALUE!")</f>
        <v>#VALUE!</v>
      </c>
    </row>
    <row r="4178" spans="1:6" ht="13.5" hidden="1" customHeight="1">
      <c r="A4178" s="4" t="s">
        <v>9534</v>
      </c>
      <c r="B4178" s="4" t="s">
        <v>9535</v>
      </c>
      <c r="C4178" s="4" t="str">
        <f ca="1">IFERROR(__xludf.DUMMYFUNCTION("GOOGLETRANSLATE(D:D,""auto"",""en"")"),"Nigeria's outbreak of unknown disease")</f>
        <v>Nigeria's outbreak of unknown disease</v>
      </c>
      <c r="D4178" s="4" t="s">
        <v>9536</v>
      </c>
      <c r="E4178" s="4">
        <v>6537533</v>
      </c>
    </row>
    <row r="4179" spans="1:6" ht="13.5" customHeight="1">
      <c r="A4179" s="4" t="s">
        <v>9537</v>
      </c>
      <c r="B4179" s="4" t="s">
        <v>9538</v>
      </c>
      <c r="C4179" s="4" t="str">
        <f ca="1">IFERROR(__xludf.DUMMYFUNCTION("GOOGLETRANSLATE(D:D,""auto"",""en"")"),"Beijing non-essential living room entertainment all close")</f>
        <v>Beijing non-essential living room entertainment all close</v>
      </c>
      <c r="D4179" s="5" t="s">
        <v>9539</v>
      </c>
      <c r="E4179" s="4">
        <v>2311037</v>
      </c>
      <c r="F4179">
        <v>1</v>
      </c>
    </row>
    <row r="4180" spans="1:6" ht="13.5" customHeight="1">
      <c r="A4180" s="4" t="s">
        <v>9540</v>
      </c>
      <c r="B4180" s="4" t="s">
        <v>9508</v>
      </c>
      <c r="C4180" s="4" t="str">
        <f ca="1">IFERROR(__xludf.DUMMYFUNCTION("GOOGLETRANSLATE(D:D,""auto"",""en"")"),"Wei Jian, director of Hubei Provincial Committee Secretary was removed from office")</f>
        <v>Wei Jian, director of Hubei Provincial Committee Secretary was removed from office</v>
      </c>
      <c r="D4180" s="5" t="s">
        <v>9541</v>
      </c>
      <c r="E4180" s="4">
        <v>2093674</v>
      </c>
      <c r="F4180">
        <v>1</v>
      </c>
    </row>
    <row r="4181" spans="1:6" ht="13.5" customHeight="1">
      <c r="A4181" s="4" t="s">
        <v>9542</v>
      </c>
      <c r="B4181" s="4" t="s">
        <v>9543</v>
      </c>
      <c r="C4181" s="4" t="str">
        <f ca="1">IFERROR(__xludf.DUMMYFUNCTION("GOOGLETRANSLATE(D:D,""auto"",""en"")"),"The country's new crown pneumonia cumulative death broken one thousand")</f>
        <v>The country's new crown pneumonia cumulative death broken one thousand</v>
      </c>
      <c r="D4181" s="5" t="s">
        <v>9544</v>
      </c>
      <c r="E4181" s="4">
        <v>1604687</v>
      </c>
      <c r="F4181">
        <v>1</v>
      </c>
    </row>
    <row r="4182" spans="1:6" ht="13.5" customHeight="1">
      <c r="A4182" s="4" t="s">
        <v>9545</v>
      </c>
      <c r="B4182" s="4" t="s">
        <v>9451</v>
      </c>
      <c r="C4182" s="4" t="str">
        <f ca="1">IFERROR(__xludf.DUMMYFUNCTION("GOOGLETRANSLATE(D:D,""auto"",""en"")"),"Prohibit the unauthorized closure interchange")</f>
        <v>Prohibit the unauthorized closure interchange</v>
      </c>
      <c r="D4182" s="5" t="s">
        <v>9546</v>
      </c>
      <c r="E4182" s="4">
        <v>1261117</v>
      </c>
      <c r="F4182">
        <v>1</v>
      </c>
    </row>
    <row r="4183" spans="1:6" ht="13.5" hidden="1" customHeight="1">
      <c r="A4183" s="4" t="s">
        <v>9547</v>
      </c>
      <c r="B4183" s="4" t="s">
        <v>9548</v>
      </c>
      <c r="C4183" s="4" t="str">
        <f ca="1">IFERROR(__xludf.DUMMYFUNCTION("GOOGLETRANSLATE(D:D,""auto"",""en"")"),"Little Women withdrawal stalls")</f>
        <v>Little Women withdrawal stalls</v>
      </c>
      <c r="D4183" s="5" t="s">
        <v>9549</v>
      </c>
      <c r="E4183" s="4">
        <v>1183480</v>
      </c>
    </row>
    <row r="4184" spans="1:6" ht="13.5" customHeight="1">
      <c r="A4184" s="4" t="s">
        <v>9550</v>
      </c>
      <c r="B4184" s="4" t="s">
        <v>9551</v>
      </c>
      <c r="C4184" s="4" t="str">
        <f ca="1">IFERROR(__xludf.DUMMYFUNCTION("GOOGLETRANSLATE(D:D,""auto"",""en"")"),"Students passenger ticket before March 31 free back Meal")</f>
        <v>Students passenger ticket before March 31 free back Meal</v>
      </c>
      <c r="D4184" s="5" t="s">
        <v>9552</v>
      </c>
      <c r="E4184" s="4">
        <v>1150834</v>
      </c>
      <c r="F4184">
        <v>1</v>
      </c>
    </row>
    <row r="4185" spans="1:6" ht="13.5" customHeight="1">
      <c r="A4185" s="4" t="s">
        <v>9553</v>
      </c>
      <c r="B4185" s="4" t="s">
        <v>9554</v>
      </c>
      <c r="C4185" s="4" t="str">
        <f ca="1">IFERROR(__xludf.DUMMYFUNCTION("GOOGLETRANSLATE(D:D,""auto"",""en"")"),"Ningbo Hubei medical personnel rush to the rescue no less a luggage")</f>
        <v>Ningbo Hubei medical personnel rush to the rescue no less a luggage</v>
      </c>
      <c r="D4185" s="5" t="s">
        <v>9555</v>
      </c>
      <c r="E4185" s="4">
        <v>1039045</v>
      </c>
      <c r="F4185">
        <v>1</v>
      </c>
    </row>
    <row r="4186" spans="1:6" ht="13.5" hidden="1" customHeight="1">
      <c r="A4186" s="4" t="s">
        <v>9556</v>
      </c>
      <c r="B4186" s="4" t="s">
        <v>9557</v>
      </c>
      <c r="C4186" s="4" t="str">
        <f ca="1">IFERROR(__xludf.DUMMYFUNCTION("GOOGLETRANSLATE(D:D,""auto"",""en"")"),"Eastern theater exercises in the southeastern island's waters")</f>
        <v>Eastern theater exercises in the southeastern island's waters</v>
      </c>
      <c r="D4186" s="5" t="s">
        <v>9558</v>
      </c>
      <c r="E4186" s="4">
        <v>969197</v>
      </c>
    </row>
    <row r="4187" spans="1:6" ht="13.5" hidden="1" customHeight="1">
      <c r="A4187" s="4" t="s">
        <v>9545</v>
      </c>
      <c r="B4187" s="4" t="s">
        <v>9559</v>
      </c>
      <c r="C4187" s="4" t="str">
        <f ca="1">IFERROR(__xludf.DUMMYFUNCTION("GOOGLETRANSLATE(D:D,""auto"",""en"")"),"Hardcore Grandma stormy Education wife")</f>
        <v>Hardcore Grandma stormy Education wife</v>
      </c>
      <c r="D4187" s="5" t="s">
        <v>9560</v>
      </c>
      <c r="E4187" s="4">
        <v>962057</v>
      </c>
    </row>
    <row r="4188" spans="1:6" ht="13.5" customHeight="1">
      <c r="A4188" s="4" t="s">
        <v>9561</v>
      </c>
      <c r="B4188" s="4" t="s">
        <v>9562</v>
      </c>
      <c r="C4188" s="4" t="str">
        <f ca="1">IFERROR(__xludf.DUMMYFUNCTION("GOOGLETRANSLATE(D:D,""auto"",""en"")"),"The national total of 42,638 cases diagnosed pneumonia new")</f>
        <v>The national total of 42,638 cases diagnosed pneumonia new</v>
      </c>
      <c r="D4188" s="5" t="s">
        <v>9563</v>
      </c>
      <c r="E4188" s="4">
        <v>791929</v>
      </c>
      <c r="F4188">
        <v>1</v>
      </c>
    </row>
    <row r="4189" spans="1:6" ht="13.5" customHeight="1">
      <c r="A4189" s="4" t="s">
        <v>9556</v>
      </c>
      <c r="B4189" s="4" t="s">
        <v>9564</v>
      </c>
      <c r="C4189" s="4" t="str">
        <f ca="1">IFERROR(__xludf.DUMMYFUNCTION("GOOGLETRANSLATE(D:D,""auto"",""en"")"),"Shaanxi diagnosed with a high-speed rail cleaner ago, take high-speed rail 20 times")</f>
        <v>Shaanxi diagnosed with a high-speed rail cleaner ago, take high-speed rail 20 times</v>
      </c>
      <c r="D4189" s="5" t="s">
        <v>9565</v>
      </c>
      <c r="E4189" s="4">
        <v>615184</v>
      </c>
      <c r="F4189">
        <v>1</v>
      </c>
    </row>
    <row r="4190" spans="1:6" ht="13.5" customHeight="1">
      <c r="A4190" s="4" t="s">
        <v>9566</v>
      </c>
      <c r="B4190" s="4" t="s">
        <v>9551</v>
      </c>
      <c r="C4190" s="4" t="str">
        <f ca="1">IFERROR(__xludf.DUMMYFUNCTION("GOOGLETRANSLATE(D:D,""auto"",""en"")"),"WHO Expert advance team arrived in China")</f>
        <v>WHO Expert advance team arrived in China</v>
      </c>
      <c r="D4190" s="5" t="s">
        <v>9567</v>
      </c>
      <c r="E4190" s="4">
        <v>595325</v>
      </c>
      <c r="F4190">
        <v>1</v>
      </c>
    </row>
    <row r="4191" spans="1:6" ht="13.5" customHeight="1">
      <c r="A4191" s="4" t="s">
        <v>5803</v>
      </c>
      <c r="B4191" s="4" t="s">
        <v>5804</v>
      </c>
      <c r="C4191" s="4" t="str">
        <f ca="1">IFERROR(__xludf.DUMMYFUNCTION("GOOGLETRANSLATE(D:D,""auto"",""en"")"),"The latest outbreak Map")</f>
        <v>The latest outbreak Map</v>
      </c>
      <c r="D4191" s="5" t="s">
        <v>5805</v>
      </c>
      <c r="E4191" s="4">
        <v>530814</v>
      </c>
      <c r="F4191">
        <v>1</v>
      </c>
    </row>
    <row r="4192" spans="1:6" ht="13.5" customHeight="1">
      <c r="A4192" s="4" t="s">
        <v>9568</v>
      </c>
      <c r="B4192" s="4" t="s">
        <v>9551</v>
      </c>
      <c r="C4192" s="4" t="str">
        <f ca="1">IFERROR(__xludf.DUMMYFUNCTION("GOOGLETRANSLATE(D:D,""auto"",""en"")"),"Wuhan fever patient treatment may not cross")</f>
        <v>Wuhan fever patient treatment may not cross</v>
      </c>
      <c r="D4192" s="5" t="s">
        <v>9569</v>
      </c>
      <c r="E4192" s="4">
        <v>523043</v>
      </c>
      <c r="F4192">
        <v>1</v>
      </c>
    </row>
    <row r="4193" spans="1:6" ht="13.5" hidden="1" customHeight="1">
      <c r="A4193" s="4" t="s">
        <v>9570</v>
      </c>
      <c r="B4193" s="4" t="s">
        <v>9571</v>
      </c>
      <c r="C4193" s="4" t="str">
        <f ca="1">IFERROR(__xludf.DUMMYFUNCTION("GOOGLETRANSLATE(D:D,""auto"",""en"")"),"Wang source for hot pot boiled noodles")</f>
        <v>Wang source for hot pot boiled noodles</v>
      </c>
      <c r="D4193" s="5" t="s">
        <v>9572</v>
      </c>
      <c r="E4193" s="4">
        <v>521940</v>
      </c>
    </row>
    <row r="4194" spans="1:6" ht="13.5" hidden="1" customHeight="1">
      <c r="A4194" s="4" t="s">
        <v>9542</v>
      </c>
      <c r="B4194" s="4" t="s">
        <v>9469</v>
      </c>
      <c r="C4194" s="4" t="str">
        <f ca="1">IFERROR(__xludf.DUMMYFUNCTION("GOOGLETRANSLATE(D:D,""auto"",""en"")"),"Ramen Museum 1 1 table 3 people face around the curtain")</f>
        <v>Ramen Museum 1 1 table 3 people face around the curtain</v>
      </c>
      <c r="D4194" s="5" t="s">
        <v>9573</v>
      </c>
      <c r="E4194" s="4">
        <v>517124</v>
      </c>
    </row>
    <row r="4195" spans="1:6" ht="13.5" customHeight="1">
      <c r="A4195" s="4" t="s">
        <v>9574</v>
      </c>
      <c r="B4195" s="4" t="s">
        <v>9575</v>
      </c>
      <c r="C4195" s="4" t="str">
        <f ca="1">IFERROR(__xludf.DUMMYFUNCTION("GOOGLETRANSLATE(D:D,""auto"",""en"")"),"Middle-aged male teachers teach beauty full of live stage")</f>
        <v>Middle-aged male teachers teach beauty full of live stage</v>
      </c>
      <c r="D4195" s="5" t="s">
        <v>9576</v>
      </c>
      <c r="E4195" s="4">
        <v>512934</v>
      </c>
      <c r="F4195">
        <v>1</v>
      </c>
    </row>
    <row r="4196" spans="1:6" ht="13.5" hidden="1" customHeight="1">
      <c r="A4196" s="4" t="s">
        <v>9577</v>
      </c>
      <c r="B4196" s="4" t="s">
        <v>9466</v>
      </c>
      <c r="C4196" s="4" t="str">
        <f ca="1">IFERROR(__xludf.DUMMYFUNCTION("GOOGLETRANSLATE(D:D,""auto"",""en"")"),"Hou Yi Chang E skin video Like a Dream")</f>
        <v>Hou Yi Chang E skin video Like a Dream</v>
      </c>
      <c r="D4196" s="5" t="s">
        <v>9578</v>
      </c>
      <c r="E4196" s="4">
        <v>508975</v>
      </c>
    </row>
    <row r="4197" spans="1:6" ht="13.5" customHeight="1">
      <c r="A4197" s="4" t="s">
        <v>9579</v>
      </c>
      <c r="B4197" s="4" t="s">
        <v>9580</v>
      </c>
      <c r="C4197" s="4" t="str">
        <f ca="1">IFERROR(__xludf.DUMMYFUNCTION("GOOGLETRANSLATE(D:D,""auto"",""en"")"),"Hengdian World Studios from February 13 to gradually return to work")</f>
        <v>Hengdian World Studios from February 13 to gradually return to work</v>
      </c>
      <c r="D4197" s="5" t="s">
        <v>9581</v>
      </c>
      <c r="E4197" s="4">
        <v>508647</v>
      </c>
      <c r="F4197">
        <v>1</v>
      </c>
    </row>
    <row r="4198" spans="1:6" ht="13.5" customHeight="1">
      <c r="A4198" s="4" t="s">
        <v>9582</v>
      </c>
      <c r="B4198" s="4" t="s">
        <v>9583</v>
      </c>
      <c r="C4198" s="4" t="str">
        <f ca="1">IFERROR(__xludf.DUMMYFUNCTION("GOOGLETRANSLATE(D:D,""auto"",""en"")"),"Masks cat")</f>
        <v>Masks cat</v>
      </c>
      <c r="D4198" s="5" t="s">
        <v>9584</v>
      </c>
      <c r="E4198" s="4">
        <v>504383</v>
      </c>
      <c r="F4198">
        <v>1</v>
      </c>
    </row>
    <row r="4199" spans="1:6" ht="13.5" customHeight="1">
      <c r="A4199" s="4" t="s">
        <v>9585</v>
      </c>
      <c r="B4199" s="4" t="s">
        <v>9586</v>
      </c>
      <c r="C4199" s="4" t="str">
        <f ca="1">IFERROR(__xludf.DUMMYFUNCTION("GOOGLETRANSLATE(D:D,""auto"",""en"")"),"WHO's new crown virus is not afraid of hot and humid weather")</f>
        <v>WHO's new crown virus is not afraid of hot and humid weather</v>
      </c>
      <c r="D4199" s="5" t="s">
        <v>9587</v>
      </c>
      <c r="E4199" s="4">
        <v>501664</v>
      </c>
      <c r="F4199">
        <v>1</v>
      </c>
    </row>
    <row r="4200" spans="1:6" ht="13.5" customHeight="1">
      <c r="A4200" s="4" t="s">
        <v>9588</v>
      </c>
      <c r="B4200" s="4" t="s">
        <v>9589</v>
      </c>
      <c r="C4200" s="4" t="str">
        <f ca="1">IFERROR(__xludf.DUMMYFUNCTION("GOOGLETRANSLATE(D:D,""auto"",""en"")"),"Internet class embarrassing moment")</f>
        <v>Internet class embarrassing moment</v>
      </c>
      <c r="D4200" s="5" t="s">
        <v>9590</v>
      </c>
      <c r="E4200" s="4">
        <v>496049</v>
      </c>
      <c r="F4200">
        <v>1</v>
      </c>
    </row>
    <row r="4201" spans="1:6" ht="13.5" hidden="1" customHeight="1">
      <c r="A4201" s="4" t="s">
        <v>9591</v>
      </c>
      <c r="B4201" s="4" t="s">
        <v>9592</v>
      </c>
      <c r="C4201" s="4" t="str">
        <f ca="1">IFERROR(__xludf.DUMMYFUNCTION("GOOGLETRANSLATE(D:D,""auto"",""en"")"),"Waiting takeaway brother")</f>
        <v>Waiting takeaway brother</v>
      </c>
      <c r="D4201" s="5" t="s">
        <v>9593</v>
      </c>
      <c r="E4201" s="4">
        <v>494568</v>
      </c>
    </row>
    <row r="4202" spans="1:6" ht="13.5" hidden="1" customHeight="1">
      <c r="A4202" s="4" t="s">
        <v>9594</v>
      </c>
      <c r="B4202" s="4" t="s">
        <v>9595</v>
      </c>
      <c r="C4202" s="4" t="str">
        <f ca="1">IFERROR(__xludf.DUMMYFUNCTION("GOOGLETRANSLATE(D:D,""auto"",""en"")"),"US factory director said the Chinese thank Dewang")</f>
        <v>US factory director said the Chinese thank Dewang</v>
      </c>
      <c r="D4202" s="5" t="s">
        <v>9596</v>
      </c>
      <c r="E4202" s="4">
        <v>489148</v>
      </c>
    </row>
    <row r="4203" spans="1:6" ht="13.5" customHeight="1">
      <c r="A4203" s="4" t="s">
        <v>9597</v>
      </c>
      <c r="B4203" s="4" t="s">
        <v>9598</v>
      </c>
      <c r="C4203" s="4" t="str">
        <f ca="1">IFERROR(__xludf.DUMMYFUNCTION("GOOGLETRANSLATE(D:D,""auto"",""en"")"),"Shelter hospital patients on Long jump Sa")</f>
        <v>Shelter hospital patients on Long jump Sa</v>
      </c>
      <c r="D4203" s="5" t="s">
        <v>9599</v>
      </c>
      <c r="E4203" s="4">
        <v>487746</v>
      </c>
      <c r="F4203">
        <v>1</v>
      </c>
    </row>
    <row r="4204" spans="1:6" ht="13.5" hidden="1" customHeight="1">
      <c r="A4204" s="4" t="s">
        <v>9600</v>
      </c>
      <c r="B4204" s="4" t="s">
        <v>9424</v>
      </c>
      <c r="C4204" s="4" t="str">
        <f ca="1">IFERROR(__xludf.DUMMYFUNCTION("GOOGLETRANSLATE(D:D,""auto"",""en"")"),"Oscar record low ratings")</f>
        <v>Oscar record low ratings</v>
      </c>
      <c r="D4204" s="5" t="s">
        <v>9601</v>
      </c>
      <c r="E4204" s="4">
        <v>432137</v>
      </c>
    </row>
    <row r="4205" spans="1:6" ht="13.5" customHeight="1">
      <c r="A4205" s="4" t="s">
        <v>9602</v>
      </c>
      <c r="B4205" s="4" t="s">
        <v>9603</v>
      </c>
      <c r="C4205" s="4" t="str">
        <f ca="1">IFERROR(__xludf.DUMMYFUNCTION("GOOGLETRANSLATE(D:D,""auto"",""en"")"),"Linzhi persuaded to return 41 tours")</f>
        <v>Linzhi persuaded to return 41 tours</v>
      </c>
      <c r="D4205" s="5" t="s">
        <v>9604</v>
      </c>
      <c r="E4205" s="4">
        <v>429035</v>
      </c>
      <c r="F4205">
        <v>1</v>
      </c>
    </row>
    <row r="4206" spans="1:6" ht="13.5" customHeight="1">
      <c r="A4206" s="4" t="s">
        <v>9427</v>
      </c>
      <c r="B4206" s="4" t="s">
        <v>9308</v>
      </c>
      <c r="C4206" s="4" t="str">
        <f ca="1">IFERROR(__xludf.DUMMYFUNCTION("GOOGLETRANSLATE(D:D,""auto"",""en"")"),"Hangzhou crown a new team of people being infected with pneumonia")</f>
        <v>Hangzhou crown a new team of people being infected with pneumonia</v>
      </c>
      <c r="D4206" s="5" t="s">
        <v>9442</v>
      </c>
      <c r="E4206" s="4">
        <v>408641</v>
      </c>
      <c r="F4206">
        <v>1</v>
      </c>
    </row>
    <row r="4207" spans="1:6" ht="13.5" customHeight="1">
      <c r="A4207" s="4" t="s">
        <v>9566</v>
      </c>
      <c r="B4207" s="4" t="s">
        <v>9605</v>
      </c>
      <c r="C4207" s="4" t="str">
        <f ca="1">IFERROR(__xludf.DUMMYFUNCTION("GOOGLETRANSLATE(D:D,""auto"",""en"")"),"Hubei new cases even lower than 7 days")</f>
        <v>Hubei new cases even lower than 7 days</v>
      </c>
      <c r="D4207" s="5" t="s">
        <v>9606</v>
      </c>
      <c r="E4207" s="4">
        <v>392972</v>
      </c>
      <c r="F4207">
        <v>1</v>
      </c>
    </row>
    <row r="4208" spans="1:6" ht="13.5" customHeight="1">
      <c r="A4208" s="4" t="s">
        <v>9607</v>
      </c>
      <c r="B4208" s="4" t="s">
        <v>9608</v>
      </c>
      <c r="C4208" s="4" t="str">
        <f ca="1">IFERROR(__xludf.DUMMYFUNCTION("GOOGLETRANSLATE(D:D,""auto"",""en"")"),"Baibuting")</f>
        <v>Baibuting</v>
      </c>
      <c r="D4208" s="5" t="s">
        <v>9609</v>
      </c>
      <c r="E4208" s="4">
        <v>388718</v>
      </c>
      <c r="F4208">
        <v>1</v>
      </c>
    </row>
    <row r="4209" spans="1:6" ht="13.5" customHeight="1">
      <c r="A4209" s="4" t="s">
        <v>9610</v>
      </c>
      <c r="B4209" s="4" t="s">
        <v>9586</v>
      </c>
      <c r="C4209" s="4" t="str">
        <f ca="1">IFERROR(__xludf.DUMMYFUNCTION("GOOGLETRANSLATE(D:D,""auto"",""en"")"),"Do not publicize the contributions elderly")</f>
        <v>Do not publicize the contributions elderly</v>
      </c>
      <c r="D4209" s="5" t="s">
        <v>9611</v>
      </c>
      <c r="E4209" s="4">
        <v>388327</v>
      </c>
      <c r="F4209">
        <v>1</v>
      </c>
    </row>
    <row r="4210" spans="1:6" ht="13.5" customHeight="1">
      <c r="A4210" s="4" t="s">
        <v>9612</v>
      </c>
      <c r="B4210" s="4" t="s">
        <v>9613</v>
      </c>
      <c r="C4210" s="4" t="str">
        <f ca="1">IFERROR(__xludf.DUMMYFUNCTION("GOOGLETRANSLATE(D:D,""auto"",""en"")"),"Put an end to fill in the fight against SARS and other strict formalism")</f>
        <v>Put an end to fill in the fight against SARS and other strict formalism</v>
      </c>
      <c r="D4210" s="5" t="s">
        <v>9614</v>
      </c>
      <c r="E4210" s="4">
        <v>378899</v>
      </c>
      <c r="F4210">
        <v>1</v>
      </c>
    </row>
    <row r="4211" spans="1:6" ht="13.5" customHeight="1">
      <c r="A4211" s="4" t="s">
        <v>9615</v>
      </c>
      <c r="B4211" s="4" t="s">
        <v>9616</v>
      </c>
      <c r="C4211" s="4" t="str">
        <f ca="1">IFERROR(__xludf.DUMMYFUNCTION("GOOGLETRANSLATE(D:D,""auto"",""en"")"),"Masks enterprises return to work rate of more than 76%")</f>
        <v>Masks enterprises return to work rate of more than 76%</v>
      </c>
      <c r="D4211" s="5" t="s">
        <v>9617</v>
      </c>
      <c r="E4211" s="4">
        <v>362564</v>
      </c>
      <c r="F4211">
        <v>1</v>
      </c>
    </row>
    <row r="4212" spans="1:6" ht="13.5" customHeight="1">
      <c r="A4212" s="4" t="s">
        <v>9568</v>
      </c>
      <c r="B4212" s="4" t="s">
        <v>9616</v>
      </c>
      <c r="C4212" s="4" t="str">
        <f ca="1">IFERROR(__xludf.DUMMYFUNCTION("GOOGLETRANSLATE(D:D,""auto"",""en"")"),"Nanjing by taxi must be real-name registration")</f>
        <v>Nanjing by taxi must be real-name registration</v>
      </c>
      <c r="D4212" s="5" t="s">
        <v>9618</v>
      </c>
      <c r="E4212" s="4">
        <v>360776</v>
      </c>
      <c r="F4212">
        <v>1</v>
      </c>
    </row>
    <row r="4213" spans="1:6" ht="13.5" customHeight="1">
      <c r="A4213" s="4" t="s">
        <v>9619</v>
      </c>
      <c r="B4213" s="4" t="s">
        <v>9620</v>
      </c>
      <c r="C4213" s="4" t="str">
        <f ca="1">IFERROR(__xludf.DUMMYFUNCTION("GOOGLETRANSLATE(D:D,""auto"",""en"")"),"Companies to return to work for workers allotment masks")</f>
        <v>Companies to return to work for workers allotment masks</v>
      </c>
      <c r="D4213" s="5" t="s">
        <v>9621</v>
      </c>
      <c r="E4213" s="4">
        <v>320709</v>
      </c>
      <c r="F4213">
        <v>1</v>
      </c>
    </row>
    <row r="4214" spans="1:6" ht="13.5" customHeight="1">
      <c r="A4214" s="4" t="s">
        <v>9622</v>
      </c>
      <c r="B4214" s="4" t="s">
        <v>9418</v>
      </c>
      <c r="C4214" s="4" t="str">
        <f ca="1">IFERROR(__xludf.DUMMYFUNCTION("GOOGLETRANSLATE(D:D,""auto"",""en"")"),"Important areas of people's livelihood to return to work immediately resume production")</f>
        <v>Important areas of people's livelihood to return to work immediately resume production</v>
      </c>
      <c r="D4214" s="5" t="s">
        <v>9623</v>
      </c>
      <c r="E4214" s="4">
        <v>313414</v>
      </c>
      <c r="F4214">
        <v>1</v>
      </c>
    </row>
    <row r="4215" spans="1:6" ht="13.5" customHeight="1">
      <c r="A4215" s="4" t="s">
        <v>9624</v>
      </c>
      <c r="B4215" s="4" t="s">
        <v>3082</v>
      </c>
      <c r="C4215" s="4" t="str">
        <f ca="1">IFERROR(__xludf.DUMMYFUNCTION("GOOGLETRANSLATE(D:D,""auto"",""en"")"),"CCTV reporter entered the Wuhan hospital quarantine interview")</f>
        <v>CCTV reporter entered the Wuhan hospital quarantine interview</v>
      </c>
      <c r="D4215" s="5" t="s">
        <v>9625</v>
      </c>
      <c r="E4215" s="4">
        <v>284699</v>
      </c>
      <c r="F4215">
        <v>1</v>
      </c>
    </row>
    <row r="4216" spans="1:6" ht="13.5" hidden="1" customHeight="1">
      <c r="A4216" s="4" t="s">
        <v>9021</v>
      </c>
      <c r="B4216" s="4" t="s">
        <v>9022</v>
      </c>
      <c r="C4216" s="4" t="str">
        <f ca="1">IFERROR(__xludf.DUMMYFUNCTION("GOOGLETRANSLATE(D:D,""auto"",""en"")"),"Li Jiaqi live")</f>
        <v>Li Jiaqi live</v>
      </c>
      <c r="D4216" s="5" t="s">
        <v>9023</v>
      </c>
      <c r="E4216" s="4">
        <v>261179</v>
      </c>
    </row>
    <row r="4217" spans="1:6" ht="13.5" customHeight="1">
      <c r="A4217" s="4" t="s">
        <v>9626</v>
      </c>
      <c r="B4217" s="4" t="s">
        <v>9627</v>
      </c>
      <c r="C4217" s="4" t="str">
        <f ca="1">IFERROR(__xludf.DUMMYFUNCTION("GOOGLETRANSLATE(D:D,""auto"",""en"")"),"Started Wildlife Protection Act revision")</f>
        <v>Started Wildlife Protection Act revision</v>
      </c>
      <c r="D4217" s="5" t="s">
        <v>9628</v>
      </c>
      <c r="E4217" s="4">
        <v>238688</v>
      </c>
      <c r="F4217">
        <v>1</v>
      </c>
    </row>
    <row r="4218" spans="1:6" ht="13.5" customHeight="1">
      <c r="A4218" s="4" t="s">
        <v>9626</v>
      </c>
      <c r="B4218" s="4" t="s">
        <v>9629</v>
      </c>
      <c r="C4218" s="4" t="str">
        <f ca="1">IFERROR(__xludf.DUMMYFUNCTION("GOOGLETRANSLATE(D:D,""auto"",""en"")"),"Hubei total of over 30,000 cases of confirmed cases")</f>
        <v>Hubei total of over 30,000 cases of confirmed cases</v>
      </c>
      <c r="D4218" s="5" t="s">
        <v>9630</v>
      </c>
      <c r="E4218" s="4">
        <v>205437</v>
      </c>
      <c r="F4218">
        <v>1</v>
      </c>
    </row>
    <row r="4219" spans="1:6" ht="13.5" hidden="1" customHeight="1">
      <c r="A4219" s="4" t="s">
        <v>2848</v>
      </c>
      <c r="B4219" s="4" t="s">
        <v>2849</v>
      </c>
      <c r="C4219" s="4" t="str">
        <f ca="1">IFERROR(__xludf.DUMMYFUNCTION("GOOGLETRANSLATE(D:D,""auto"",""en"")"),"Love Apartments 5")</f>
        <v>Love Apartments 5</v>
      </c>
      <c r="D4219" s="5" t="s">
        <v>2850</v>
      </c>
      <c r="E4219" s="4">
        <v>205321</v>
      </c>
    </row>
    <row r="4220" spans="1:6" ht="13.5" hidden="1" customHeight="1">
      <c r="A4220" s="4" t="s">
        <v>9421</v>
      </c>
      <c r="B4220" s="4" t="s">
        <v>9422</v>
      </c>
      <c r="C4220" s="4" t="str">
        <f ca="1">IFERROR(__xludf.DUMMYFUNCTION("GOOGLETRANSLATE(D:D,""auto"",""en"")"),"He stars in Song Yuan fix games")</f>
        <v>He stars in Song Yuan fix games</v>
      </c>
      <c r="D4220" s="5" t="s">
        <v>9423</v>
      </c>
      <c r="E4220" s="4">
        <v>191721</v>
      </c>
    </row>
    <row r="4221" spans="1:6" ht="13.5" customHeight="1">
      <c r="A4221" s="4" t="s">
        <v>9631</v>
      </c>
      <c r="B4221" s="4" t="s">
        <v>9446</v>
      </c>
      <c r="C4221" s="4" t="str">
        <f ca="1">IFERROR(__xludf.DUMMYFUNCTION("GOOGLETRANSLATE(D:D,""auto"",""en"")"),"Girl carrying a sword rubbish")</f>
        <v>Girl carrying a sword rubbish</v>
      </c>
      <c r="D4221" s="5" t="s">
        <v>9632</v>
      </c>
      <c r="E4221" s="4">
        <v>156178</v>
      </c>
      <c r="F4221">
        <v>1</v>
      </c>
    </row>
    <row r="4222" spans="1:6" ht="13.5" hidden="1" customHeight="1">
      <c r="A4222" s="4" t="s">
        <v>9633</v>
      </c>
      <c r="B4222" s="4" t="s">
        <v>9446</v>
      </c>
      <c r="C4222" s="4" t="str">
        <f ca="1">IFERROR(__xludf.DUMMYFUNCTION("GOOGLETRANSLATE(D:D,""auto"",""en"")"),"Encourage online interview report signed")</f>
        <v>Encourage online interview report signed</v>
      </c>
      <c r="D4222" s="5" t="s">
        <v>9634</v>
      </c>
      <c r="E4222" s="4">
        <v>155405</v>
      </c>
    </row>
    <row r="4223" spans="1:6" ht="13.5" hidden="1" customHeight="1">
      <c r="A4223" s="4" t="s">
        <v>9635</v>
      </c>
      <c r="B4223" s="4" t="s">
        <v>9636</v>
      </c>
      <c r="C4223" s="4" t="str">
        <f ca="1">IFERROR(__xludf.DUMMYFUNCTION("GOOGLETRANSLATE(D:D,""auto"",""en"")"),"East BewhY cooperation")</f>
        <v>East BewhY cooperation</v>
      </c>
      <c r="D4223" s="5" t="s">
        <v>9637</v>
      </c>
      <c r="E4223" s="4">
        <v>154898</v>
      </c>
    </row>
    <row r="4224" spans="1:6" ht="13.5" customHeight="1">
      <c r="A4224" s="4" t="s">
        <v>9412</v>
      </c>
      <c r="B4224" s="4" t="s">
        <v>9449</v>
      </c>
      <c r="C4224" s="4" t="str">
        <f ca="1">IFERROR(__xludf.DUMMYFUNCTION("GOOGLETRANSLATE(D:D,""auto"",""en"")"),"Like most of my home, hold back bad")</f>
        <v>Like most of my home, hold back bad</v>
      </c>
      <c r="D4224" s="5" t="s">
        <v>9450</v>
      </c>
      <c r="E4224" s="4">
        <v>154114</v>
      </c>
      <c r="F4224">
        <v>1</v>
      </c>
    </row>
    <row r="4225" spans="1:6" ht="13.5" hidden="1" customHeight="1">
      <c r="A4225" s="4" t="s">
        <v>9427</v>
      </c>
      <c r="B4225" s="4" t="s">
        <v>9428</v>
      </c>
      <c r="C4225" s="4" t="str">
        <f ca="1">IFERROR(__xludf.DUMMYFUNCTION("GOOGLETRANSLATE(D:D,""auto"",""en"")"),"LG China headquarters building for sale")</f>
        <v>LG China headquarters building for sale</v>
      </c>
      <c r="D4225" s="5" t="s">
        <v>9429</v>
      </c>
      <c r="E4225" s="4">
        <v>153438</v>
      </c>
    </row>
    <row r="4226" spans="1:6" ht="13.5" hidden="1" customHeight="1">
      <c r="A4226" s="4" t="s">
        <v>9421</v>
      </c>
      <c r="B4226" s="4" t="s">
        <v>9298</v>
      </c>
      <c r="C4226" s="4" t="str">
        <f ca="1">IFERROR(__xludf.DUMMYFUNCTION("GOOGLETRANSLATE(D:D,""auto"",""en"")"),"Former vice president of Communication University of China decided to arrest")</f>
        <v>Former vice president of Communication University of China decided to arrest</v>
      </c>
      <c r="D4226" s="5" t="s">
        <v>9478</v>
      </c>
      <c r="E4226" s="4">
        <v>151685</v>
      </c>
    </row>
    <row r="4227" spans="1:6" ht="13.5" customHeight="1">
      <c r="A4227" s="4" t="s">
        <v>9412</v>
      </c>
      <c r="B4227" s="4" t="s">
        <v>9413</v>
      </c>
      <c r="C4227" s="4" t="str">
        <f ca="1">IFERROR(__xludf.DUMMYFUNCTION("GOOGLETRANSLATE(D:D,""auto"",""en"")"),"Zhang Dingyu new crown pneumonia is self-limiting disease")</f>
        <v>Zhang Dingyu new crown pneumonia is self-limiting disease</v>
      </c>
      <c r="D4227" s="5" t="s">
        <v>9414</v>
      </c>
      <c r="E4227" s="4">
        <v>151671</v>
      </c>
      <c r="F4227">
        <v>1</v>
      </c>
    </row>
    <row r="4228" spans="1:6" ht="13.5" hidden="1" customHeight="1">
      <c r="C4228" s="4" t="str">
        <f ca="1">IFERROR(__xludf.DUMMYFUNCTION("GOOGLETRANSLATE(D:D,""auto"",""en"")"),"#VALUE!")</f>
        <v>#VALUE!</v>
      </c>
    </row>
    <row r="4229" spans="1:6" ht="13.5" customHeight="1">
      <c r="A4229" s="4" t="s">
        <v>9638</v>
      </c>
      <c r="B4229" s="4" t="s">
        <v>9639</v>
      </c>
      <c r="C4229" s="4" t="str">
        <f ca="1">IFERROR(__xludf.DUMMYFUNCTION("GOOGLETRANSLATE(D:D,""auto"",""en"")"),"Not forcing students to punch a day online")</f>
        <v>Not forcing students to punch a day online</v>
      </c>
      <c r="D4229" s="4" t="s">
        <v>9640</v>
      </c>
      <c r="E4229" s="4">
        <v>3561523</v>
      </c>
      <c r="F4229">
        <v>1</v>
      </c>
    </row>
    <row r="4230" spans="1:6" ht="13.5" customHeight="1">
      <c r="A4230" s="4" t="s">
        <v>9641</v>
      </c>
      <c r="B4230" s="4" t="s">
        <v>9642</v>
      </c>
      <c r="C4230" s="4" t="str">
        <f ca="1">IFERROR(__xludf.DUMMYFUNCTION("GOOGLETRANSLATE(D:D,""auto"",""en"")"),"Forcing all teachers taped courses must stop")</f>
        <v>Forcing all teachers taped courses must stop</v>
      </c>
      <c r="D4230" s="5" t="s">
        <v>9643</v>
      </c>
      <c r="E4230" s="4">
        <v>3038712</v>
      </c>
      <c r="F4230">
        <v>1</v>
      </c>
    </row>
    <row r="4231" spans="1:6" ht="13.5" customHeight="1">
      <c r="A4231" s="4" t="s">
        <v>9644</v>
      </c>
      <c r="B4231" s="4" t="s">
        <v>9645</v>
      </c>
      <c r="C4231" s="4" t="str">
        <f ca="1">IFERROR(__xludf.DUMMYFUNCTION("GOOGLETRANSLATE(D:D,""auto"",""en"")"),"Central Steering Group interviewed Wuhan Vice Mayor behind the scenes")</f>
        <v>Central Steering Group interviewed Wuhan Vice Mayor behind the scenes</v>
      </c>
      <c r="D4231" s="5" t="s">
        <v>9646</v>
      </c>
      <c r="E4231" s="4">
        <v>2213947</v>
      </c>
      <c r="F4231">
        <v>1</v>
      </c>
    </row>
    <row r="4232" spans="1:6" ht="13.5" hidden="1" customHeight="1">
      <c r="A4232" s="4" t="s">
        <v>9647</v>
      </c>
      <c r="B4232" s="4" t="s">
        <v>9648</v>
      </c>
      <c r="C4232" s="4" t="str">
        <f ca="1">IFERROR(__xludf.DUMMYFUNCTION("GOOGLETRANSLATE(D:D,""auto"",""en"")"),"Gravity")</f>
        <v>Gravity</v>
      </c>
      <c r="D4232" s="5" t="s">
        <v>9649</v>
      </c>
      <c r="E4232" s="4">
        <v>1904225</v>
      </c>
    </row>
    <row r="4233" spans="1:6" ht="13.5" hidden="1" customHeight="1">
      <c r="A4233" s="4" t="s">
        <v>9650</v>
      </c>
      <c r="B4233" s="4" t="s">
        <v>9642</v>
      </c>
      <c r="C4233" s="4" t="str">
        <f ca="1">IFERROR(__xludf.DUMMYFUNCTION("GOOGLETRANSLATE(D:D,""auto"",""en"")"),"CET score Published")</f>
        <v>CET score Published</v>
      </c>
      <c r="D4233" s="5" t="s">
        <v>9651</v>
      </c>
      <c r="E4233" s="4">
        <v>1877709</v>
      </c>
    </row>
    <row r="4234" spans="1:6" ht="13.5" customHeight="1">
      <c r="A4234" s="4" t="s">
        <v>9652</v>
      </c>
      <c r="B4234" s="4" t="s">
        <v>9653</v>
      </c>
      <c r="C4234" s="4" t="str">
        <f ca="1">IFERROR(__xludf.DUMMYFUNCTION("GOOGLETRANSLATE(D:D,""auto"",""en"")"),"Huanggang comprehensive investigation found that 13,000 patients with fever")</f>
        <v>Huanggang comprehensive investigation found that 13,000 patients with fever</v>
      </c>
      <c r="D4234" s="5" t="s">
        <v>9654</v>
      </c>
      <c r="E4234" s="4">
        <v>1797509</v>
      </c>
      <c r="F4234">
        <v>1</v>
      </c>
    </row>
    <row r="4235" spans="1:6" ht="13.5" hidden="1" customHeight="1">
      <c r="A4235" s="4" t="s">
        <v>9655</v>
      </c>
      <c r="B4235" s="4" t="s">
        <v>9656</v>
      </c>
      <c r="C4235" s="4" t="str">
        <f ca="1">IFERROR(__xludf.DUMMYFUNCTION("GOOGLETRANSLATE(D:D,""auto"",""en"")"),"King of glory server")</f>
        <v>King of glory server</v>
      </c>
      <c r="D4235" s="5" t="s">
        <v>9657</v>
      </c>
      <c r="E4235" s="4">
        <v>1443142</v>
      </c>
    </row>
    <row r="4236" spans="1:6" ht="13.5" customHeight="1">
      <c r="A4236" s="4" t="s">
        <v>9658</v>
      </c>
      <c r="B4236" s="4" t="s">
        <v>9659</v>
      </c>
      <c r="C4236" s="4" t="str">
        <f ca="1">IFERROR(__xludf.DUMMYFUNCTION("GOOGLETRANSLATE(D:D,""auto"",""en"")"),"Zhong Nanshan says should peak in late February")</f>
        <v>Zhong Nanshan says should peak in late February</v>
      </c>
      <c r="D4236" s="5" t="s">
        <v>9660</v>
      </c>
      <c r="E4236" s="4">
        <v>1221559</v>
      </c>
      <c r="F4236">
        <v>1</v>
      </c>
    </row>
    <row r="4237" spans="1:6" ht="13.5" customHeight="1">
      <c r="A4237" s="4" t="s">
        <v>9661</v>
      </c>
      <c r="B4237" s="4" t="s">
        <v>9662</v>
      </c>
      <c r="C4237" s="4" t="str">
        <f ca="1">IFERROR(__xludf.DUMMYFUNCTION("GOOGLETRANSLATE(D:D,""auto"",""en"")"),"Li Lanjuan team treatment model is paying off")</f>
        <v>Li Lanjuan team treatment model is paying off</v>
      </c>
      <c r="D4237" s="5" t="s">
        <v>9663</v>
      </c>
      <c r="E4237" s="4">
        <v>1166541</v>
      </c>
      <c r="F4237">
        <v>1</v>
      </c>
    </row>
    <row r="4238" spans="1:6" ht="13.5" hidden="1" customHeight="1">
      <c r="A4238" s="4" t="s">
        <v>9664</v>
      </c>
      <c r="B4238" s="4" t="s">
        <v>9665</v>
      </c>
      <c r="C4238" s="4" t="str">
        <f ca="1">IFERROR(__xludf.DUMMYFUNCTION("GOOGLETRANSLATE(D:D,""auto"",""en"")"),"He stars Yuansonghudui")</f>
        <v>He stars Yuansonghudui</v>
      </c>
      <c r="D4238" s="5" t="s">
        <v>9666</v>
      </c>
      <c r="E4238" s="4">
        <v>1126819</v>
      </c>
    </row>
    <row r="4239" spans="1:6" ht="13.5" customHeight="1">
      <c r="A4239" s="4" t="s">
        <v>9667</v>
      </c>
      <c r="B4239" s="4" t="s">
        <v>9668</v>
      </c>
      <c r="C4239" s="4" t="str">
        <f ca="1">IFERROR(__xludf.DUMMYFUNCTION("GOOGLETRANSLATE(D:D,""auto"",""en"")"),"And others who do not prefer bed and other bed")</f>
        <v>And others who do not prefer bed and other bed</v>
      </c>
      <c r="D4239" s="5" t="s">
        <v>9669</v>
      </c>
      <c r="E4239" s="4">
        <v>1097724</v>
      </c>
      <c r="F4239">
        <v>1</v>
      </c>
    </row>
    <row r="4240" spans="1:6" ht="13.5" customHeight="1">
      <c r="A4240" s="4" t="s">
        <v>9670</v>
      </c>
      <c r="B4240" s="4" t="s">
        <v>9671</v>
      </c>
      <c r="C4240" s="4" t="str">
        <f ca="1">IFERROR(__xludf.DUMMYFUNCTION("GOOGLETRANSLATE(D:D,""auto"",""en"")"),"World Health Organization named the new coronavirus")</f>
        <v>World Health Organization named the new coronavirus</v>
      </c>
      <c r="D4240" s="5" t="s">
        <v>9672</v>
      </c>
      <c r="E4240" s="4">
        <v>1019017</v>
      </c>
      <c r="F4240">
        <v>1</v>
      </c>
    </row>
    <row r="4241" spans="1:6" ht="13.5" hidden="1" customHeight="1">
      <c r="A4241" s="4" t="s">
        <v>9652</v>
      </c>
      <c r="B4241" s="4" t="s">
        <v>9673</v>
      </c>
      <c r="C4241" s="4" t="str">
        <f ca="1">IFERROR(__xludf.DUMMYFUNCTION("GOOGLETRANSLATE(D:D,""auto"",""en"")"),"Love Apartments 5 finale")</f>
        <v>Love Apartments 5 finale</v>
      </c>
      <c r="D4241" s="5" t="s">
        <v>9674</v>
      </c>
      <c r="E4241" s="4">
        <v>935181</v>
      </c>
    </row>
    <row r="4242" spans="1:6" ht="13.5" hidden="1" customHeight="1">
      <c r="A4242" s="4" t="s">
        <v>9675</v>
      </c>
      <c r="B4242" s="4" t="s">
        <v>9676</v>
      </c>
      <c r="C4242" s="4" t="str">
        <f ca="1">IFERROR(__xludf.DUMMYFUNCTION("GOOGLETRANSLATE(D:D,""auto"",""en"")"),"NASA Li broom challenge")</f>
        <v>NASA Li broom challenge</v>
      </c>
      <c r="D4242" s="5" t="s">
        <v>9677</v>
      </c>
      <c r="E4242" s="4">
        <v>843023</v>
      </c>
    </row>
    <row r="4243" spans="1:6" ht="13.5" customHeight="1">
      <c r="A4243" s="4" t="s">
        <v>9678</v>
      </c>
      <c r="B4243" s="4" t="s">
        <v>9665</v>
      </c>
      <c r="C4243" s="4" t="str">
        <f ca="1">IFERROR(__xludf.DUMMYFUNCTION("GOOGLETRANSLATE(D:D,""auto"",""en"")"),"Huanggang stock of pre-epidemic all testing is completed")</f>
        <v>Huanggang stock of pre-epidemic all testing is completed</v>
      </c>
      <c r="D4243" s="5" t="s">
        <v>9679</v>
      </c>
      <c r="E4243" s="4">
        <v>675803</v>
      </c>
      <c r="F4243">
        <v>1</v>
      </c>
    </row>
    <row r="4244" spans="1:6" ht="13.5" customHeight="1">
      <c r="A4244" s="4" t="s">
        <v>9680</v>
      </c>
      <c r="B4244" s="4" t="s">
        <v>9681</v>
      </c>
      <c r="C4244" s="4" t="str">
        <f ca="1">IFERROR(__xludf.DUMMYFUNCTION("GOOGLETRANSLATE(D:D,""auto"",""en"")"),"Large network roll-class site")</f>
        <v>Large network roll-class site</v>
      </c>
      <c r="D4244" s="5" t="s">
        <v>9682</v>
      </c>
      <c r="E4244" s="4">
        <v>661462</v>
      </c>
      <c r="F4244">
        <v>1</v>
      </c>
    </row>
    <row r="4245" spans="1:6" ht="13.5" hidden="1" customHeight="1">
      <c r="A4245" s="4" t="s">
        <v>9652</v>
      </c>
      <c r="B4245" s="4" t="s">
        <v>9683</v>
      </c>
      <c r="C4245" s="4" t="str">
        <f ca="1">IFERROR(__xludf.DUMMYFUNCTION("GOOGLETRANSLATE(D:D,""auto"",""en"")"),"Huludao a business explosion")</f>
        <v>Huludao a business explosion</v>
      </c>
      <c r="D4245" s="5" t="s">
        <v>9684</v>
      </c>
      <c r="E4245" s="4">
        <v>635518</v>
      </c>
    </row>
    <row r="4246" spans="1:6" ht="13.5" hidden="1" customHeight="1">
      <c r="A4246" s="4" t="s">
        <v>6108</v>
      </c>
      <c r="B4246" s="4" t="s">
        <v>6109</v>
      </c>
      <c r="C4246" s="4" t="str">
        <f ca="1">IFERROR(__xludf.DUMMYFUNCTION("GOOGLETRANSLATE(D:D,""auto"",""en"")"),"The next stop is happy")</f>
        <v>The next stop is happy</v>
      </c>
      <c r="D4246" s="5" t="s">
        <v>6110</v>
      </c>
      <c r="E4246" s="4">
        <v>614692</v>
      </c>
    </row>
    <row r="4247" spans="1:6" ht="13.5" hidden="1" customHeight="1">
      <c r="A4247" s="4" t="s">
        <v>9685</v>
      </c>
      <c r="B4247" s="4" t="s">
        <v>9686</v>
      </c>
      <c r="C4247" s="4" t="str">
        <f ca="1">IFERROR(__xludf.DUMMYFUNCTION("GOOGLETRANSLATE(D:D,""auto"",""en"")"),"Li eggs")</f>
        <v>Li eggs</v>
      </c>
      <c r="D4247" s="5" t="s">
        <v>9687</v>
      </c>
      <c r="E4247" s="4">
        <v>607987</v>
      </c>
    </row>
    <row r="4248" spans="1:6" ht="13.5" hidden="1" customHeight="1">
      <c r="A4248" s="4" t="s">
        <v>9240</v>
      </c>
      <c r="B4248" s="4" t="s">
        <v>9241</v>
      </c>
      <c r="C4248" s="4" t="str">
        <f ca="1">IFERROR(__xludf.DUMMYFUNCTION("GOOGLETRANSLATE(D:D,""auto"",""en"")"),"张鲁 one acting")</f>
        <v>张鲁 one acting</v>
      </c>
      <c r="D4248" s="5" t="s">
        <v>9242</v>
      </c>
      <c r="E4248" s="4">
        <v>586675</v>
      </c>
    </row>
    <row r="4249" spans="1:6" ht="13.5" customHeight="1">
      <c r="A4249" s="4" t="s">
        <v>9688</v>
      </c>
      <c r="B4249" s="4" t="s">
        <v>9689</v>
      </c>
      <c r="C4249" s="4" t="str">
        <f ca="1">IFERROR(__xludf.DUMMYFUNCTION("GOOGLETRANSLATE(D:D,""auto"",""en"")"),"Shanghai Police identified the man a ride Wuhan to Shanghai")</f>
        <v>Shanghai Police identified the man a ride Wuhan to Shanghai</v>
      </c>
      <c r="D4249" s="5" t="s">
        <v>9690</v>
      </c>
      <c r="E4249" s="4">
        <v>579021</v>
      </c>
      <c r="F4249">
        <v>1</v>
      </c>
    </row>
    <row r="4250" spans="1:6" ht="13.5" customHeight="1">
      <c r="A4250" s="4" t="s">
        <v>9691</v>
      </c>
      <c r="B4250" s="4" t="s">
        <v>9692</v>
      </c>
      <c r="C4250" s="4" t="str">
        <f ca="1">IFERROR(__xludf.DUMMYFUNCTION("GOOGLETRANSLATE(D:D,""auto"",""en"")"),"Chinese medicine achieved remarkable success in early disease intervention")</f>
        <v>Chinese medicine achieved remarkable success in early disease intervention</v>
      </c>
      <c r="D4250" s="5" t="s">
        <v>9693</v>
      </c>
      <c r="E4250" s="4">
        <v>549981</v>
      </c>
      <c r="F4250">
        <v>1</v>
      </c>
    </row>
    <row r="4251" spans="1:6" ht="13.5" hidden="1" customHeight="1">
      <c r="A4251" s="4" t="s">
        <v>9691</v>
      </c>
      <c r="B4251" s="4" t="s">
        <v>9570</v>
      </c>
      <c r="C4251" s="4" t="str">
        <f ca="1">IFERROR(__xludf.DUMMYFUNCTION("GOOGLETRANSLATE(D:D,""auto"",""en"")"),"Parasite poster design")</f>
        <v>Parasite poster design</v>
      </c>
      <c r="D4251" s="5" t="s">
        <v>9694</v>
      </c>
      <c r="E4251" s="4">
        <v>502367</v>
      </c>
    </row>
    <row r="4252" spans="1:6" ht="13.5" hidden="1" customHeight="1">
      <c r="A4252" s="4" t="s">
        <v>9695</v>
      </c>
      <c r="B4252" s="4" t="s">
        <v>9696</v>
      </c>
      <c r="C4252" s="4" t="str">
        <f ca="1">IFERROR(__xludf.DUMMYFUNCTION("GOOGLETRANSLATE(D:D,""auto"",""en"")"),"Baoying")</f>
        <v>Baoying</v>
      </c>
      <c r="D4252" s="5" t="s">
        <v>9697</v>
      </c>
      <c r="E4252" s="4">
        <v>488501</v>
      </c>
    </row>
    <row r="4253" spans="1:6" ht="13.5" hidden="1" customHeight="1">
      <c r="A4253" s="4" t="s">
        <v>9698</v>
      </c>
      <c r="B4253" s="4" t="s">
        <v>9648</v>
      </c>
      <c r="C4253" s="4" t="str">
        <f ca="1">IFERROR(__xludf.DUMMYFUNCTION("GOOGLETRANSLATE(D:D,""auto"",""en"")"),"Small ears Haoheng")</f>
        <v>Small ears Haoheng</v>
      </c>
      <c r="D4253" s="5" t="s">
        <v>9699</v>
      </c>
      <c r="E4253" s="4">
        <v>468629</v>
      </c>
    </row>
    <row r="4254" spans="1:6" ht="13.5" customHeight="1">
      <c r="A4254" s="4" t="s">
        <v>9700</v>
      </c>
      <c r="B4254" s="4" t="s">
        <v>9701</v>
      </c>
      <c r="C4254" s="4" t="str">
        <f ca="1">IFERROR(__xludf.DUMMYFUNCTION("GOOGLETRANSLATE(D:D,""auto"",""en"")"),"Police seized 20 days Wildlife 38000")</f>
        <v>Police seized 20 days Wildlife 38000</v>
      </c>
      <c r="D4254" s="5" t="s">
        <v>9702</v>
      </c>
      <c r="E4254" s="4">
        <v>449534</v>
      </c>
      <c r="F4254">
        <v>1</v>
      </c>
    </row>
    <row r="4255" spans="1:6" ht="13.5" customHeight="1">
      <c r="A4255" s="4" t="s">
        <v>9650</v>
      </c>
      <c r="B4255" s="4" t="s">
        <v>9645</v>
      </c>
      <c r="C4255" s="4" t="str">
        <f ca="1">IFERROR(__xludf.DUMMYFUNCTION("GOOGLETRANSLATE(D:D,""auto"",""en"")"),"House very anxious how to do at home")</f>
        <v>House very anxious how to do at home</v>
      </c>
      <c r="D4255" s="5" t="s">
        <v>9703</v>
      </c>
      <c r="E4255" s="4">
        <v>418734</v>
      </c>
      <c r="F4255">
        <v>1</v>
      </c>
    </row>
    <row r="4256" spans="1:6" ht="13.5" hidden="1" customHeight="1">
      <c r="A4256" s="4" t="s">
        <v>9704</v>
      </c>
      <c r="B4256" s="4" t="s">
        <v>9642</v>
      </c>
      <c r="C4256" s="4" t="str">
        <f ca="1">IFERROR(__xludf.DUMMYFUNCTION("GOOGLETRANSLATE(D:D,""auto"",""en"")"),"Chengdu seven in")</f>
        <v>Chengdu seven in</v>
      </c>
      <c r="D4256" s="5" t="s">
        <v>9705</v>
      </c>
      <c r="E4256" s="4">
        <v>412391</v>
      </c>
    </row>
    <row r="4257" spans="1:6" ht="13.5" customHeight="1">
      <c r="A4257" s="4" t="s">
        <v>9706</v>
      </c>
      <c r="B4257" s="4" t="s">
        <v>9707</v>
      </c>
      <c r="C4257" s="4" t="str">
        <f ca="1">IFERROR(__xludf.DUMMYFUNCTION("GOOGLETRANSLATE(D:D,""auto"",""en"")"),"Central Steering Group of Wuhan epidemic prevention and control in emergencies interviews")</f>
        <v>Central Steering Group of Wuhan epidemic prevention and control in emergencies interviews</v>
      </c>
      <c r="D4257" s="5" t="s">
        <v>9708</v>
      </c>
      <c r="E4257" s="4">
        <v>383376</v>
      </c>
      <c r="F4257">
        <v>1</v>
      </c>
    </row>
    <row r="4258" spans="1:6" ht="13.5" hidden="1" customHeight="1">
      <c r="A4258" s="4" t="s">
        <v>4179</v>
      </c>
      <c r="B4258" s="4" t="s">
        <v>4180</v>
      </c>
      <c r="C4258" s="4" t="str">
        <f ca="1">IFERROR(__xludf.DUMMYFUNCTION("GOOGLETRANSLATE(D:D,""auto"",""en"")"),"Pu Canlie live")</f>
        <v>Pu Canlie live</v>
      </c>
      <c r="D4258" s="5" t="s">
        <v>4181</v>
      </c>
      <c r="E4258" s="4">
        <v>381124</v>
      </c>
    </row>
    <row r="4259" spans="1:6" ht="13.5" hidden="1" customHeight="1">
      <c r="A4259" s="4" t="s">
        <v>9709</v>
      </c>
      <c r="B4259" s="4" t="s">
        <v>9659</v>
      </c>
      <c r="C4259" s="4" t="str">
        <f ca="1">IFERROR(__xludf.DUMMYFUNCTION("GOOGLETRANSLATE(D:D,""auto"",""en"")"),"You want to see a team statement")</f>
        <v>You want to see a team statement</v>
      </c>
      <c r="D4259" s="5" t="s">
        <v>9710</v>
      </c>
      <c r="E4259" s="4">
        <v>379176</v>
      </c>
    </row>
    <row r="4260" spans="1:6" ht="13.5" hidden="1" customHeight="1">
      <c r="A4260" s="4" t="s">
        <v>9650</v>
      </c>
      <c r="B4260" s="4" t="s">
        <v>9711</v>
      </c>
      <c r="C4260" s="4" t="str">
        <f ca="1">IFERROR(__xludf.DUMMYFUNCTION("GOOGLETRANSLATE(D:D,""auto"",""en"")"),"July ten black teeth")</f>
        <v>July ten black teeth</v>
      </c>
      <c r="D4260" s="5" t="s">
        <v>9712</v>
      </c>
      <c r="E4260" s="4">
        <v>334285</v>
      </c>
    </row>
    <row r="4261" spans="1:6" ht="13.5" hidden="1" customHeight="1">
      <c r="A4261" s="4" t="s">
        <v>9713</v>
      </c>
      <c r="B4261" s="4" t="s">
        <v>9714</v>
      </c>
      <c r="C4261" s="4" t="str">
        <f ca="1">IFERROR(__xludf.DUMMYFUNCTION("GOOGLETRANSLATE(D:D,""auto"",""en"")"),"Singer postponed Record")</f>
        <v>Singer postponed Record</v>
      </c>
      <c r="D4261" s="5" t="s">
        <v>9715</v>
      </c>
      <c r="E4261" s="4">
        <v>331540</v>
      </c>
    </row>
    <row r="4262" spans="1:6" ht="13.5" customHeight="1">
      <c r="A4262" s="4" t="s">
        <v>9619</v>
      </c>
      <c r="B4262" s="4" t="s">
        <v>9620</v>
      </c>
      <c r="C4262" s="4" t="str">
        <f ca="1">IFERROR(__xludf.DUMMYFUNCTION("GOOGLETRANSLATE(D:D,""auto"",""en"")"),"Companies to return to work for workers allotment masks")</f>
        <v>Companies to return to work for workers allotment masks</v>
      </c>
      <c r="D4262" s="5" t="s">
        <v>9621</v>
      </c>
      <c r="E4262" s="4">
        <v>330325</v>
      </c>
      <c r="F4262">
        <v>1</v>
      </c>
    </row>
    <row r="4263" spans="1:6" ht="13.5" customHeight="1">
      <c r="A4263" s="4" t="s">
        <v>9675</v>
      </c>
      <c r="B4263" s="4" t="s">
        <v>9716</v>
      </c>
      <c r="C4263" s="4" t="str">
        <f ca="1">IFERROR(__xludf.DUMMYFUNCTION("GOOGLETRANSLATE(D:D,""auto"",""en"")"),"The first is the trunk channel Ruhu Tibetans")</f>
        <v>The first is the trunk channel Ruhu Tibetans</v>
      </c>
      <c r="D4263" s="5" t="s">
        <v>9717</v>
      </c>
      <c r="E4263" s="4">
        <v>329392</v>
      </c>
      <c r="F4263">
        <v>1</v>
      </c>
    </row>
    <row r="4264" spans="1:6" ht="13.5" customHeight="1">
      <c r="A4264" s="4" t="s">
        <v>9718</v>
      </c>
      <c r="B4264" s="4" t="s">
        <v>9719</v>
      </c>
      <c r="C4264" s="4" t="str">
        <f ca="1">IFERROR(__xludf.DUMMYFUNCTION("GOOGLETRANSLATE(D:D,""auto"",""en"")"),"Wuhan suspected patients to accelerate digestion stock")</f>
        <v>Wuhan suspected patients to accelerate digestion stock</v>
      </c>
      <c r="D4264" s="5" t="s">
        <v>9720</v>
      </c>
      <c r="E4264" s="4">
        <v>301544</v>
      </c>
      <c r="F4264">
        <v>1</v>
      </c>
    </row>
    <row r="4265" spans="1:6" ht="13.5" customHeight="1">
      <c r="A4265" s="4" t="s">
        <v>9721</v>
      </c>
      <c r="B4265" s="4" t="s">
        <v>9722</v>
      </c>
      <c r="C4265" s="4" t="str">
        <f ca="1">IFERROR(__xludf.DUMMYFUNCTION("GOOGLETRANSLATE(D:D,""auto"",""en"")"),"What to eat the first meal out")</f>
        <v>What to eat the first meal out</v>
      </c>
      <c r="D4265" s="5" t="s">
        <v>9723</v>
      </c>
      <c r="E4265" s="4">
        <v>292426</v>
      </c>
      <c r="F4265">
        <v>1</v>
      </c>
    </row>
    <row r="4266" spans="1:6" ht="13.5" hidden="1" customHeight="1">
      <c r="A4266" s="4" t="s">
        <v>9724</v>
      </c>
      <c r="B4266" s="4" t="s">
        <v>9725</v>
      </c>
      <c r="C4266" s="4" t="str">
        <f ca="1">IFERROR(__xludf.DUMMYFUNCTION("GOOGLETRANSLATE(D:D,""auto"",""en"")"),"铁林 blackening")</f>
        <v>铁林 blackening</v>
      </c>
      <c r="D4266" s="5" t="s">
        <v>9726</v>
      </c>
      <c r="E4266" s="4">
        <v>273474</v>
      </c>
    </row>
    <row r="4267" spans="1:6" ht="13.5" customHeight="1">
      <c r="A4267" s="4" t="s">
        <v>9647</v>
      </c>
      <c r="B4267" s="4" t="s">
        <v>9727</v>
      </c>
      <c r="C4267" s="4" t="str">
        <f ca="1">IFERROR(__xludf.DUMMYFUNCTION("GOOGLETRANSLATE(D:D,""auto"",""en"")"),"Ningxia cure rate of 41.5%")</f>
        <v>Ningxia cure rate of 41.5%</v>
      </c>
      <c r="D4267" s="5" t="s">
        <v>9728</v>
      </c>
      <c r="E4267" s="4">
        <v>258666</v>
      </c>
      <c r="F4267">
        <v>1</v>
      </c>
    </row>
    <row r="4268" spans="1:6" ht="13.5" hidden="1" customHeight="1">
      <c r="A4268" s="4" t="s">
        <v>9691</v>
      </c>
      <c r="B4268" s="4" t="s">
        <v>9729</v>
      </c>
      <c r="C4268" s="4" t="str">
        <f ca="1">IFERROR(__xludf.DUMMYFUNCTION("GOOGLETRANSLATE(D:D,""auto"",""en"")"),"Brazil found a mysterious virus")</f>
        <v>Brazil found a mysterious virus</v>
      </c>
      <c r="D4268" s="5" t="s">
        <v>9730</v>
      </c>
      <c r="E4268" s="4">
        <v>255365</v>
      </c>
    </row>
    <row r="4269" spans="1:6" ht="13.5" customHeight="1">
      <c r="A4269" s="4" t="s">
        <v>9731</v>
      </c>
      <c r="B4269" s="4" t="s">
        <v>9732</v>
      </c>
      <c r="C4269" s="4" t="str">
        <f ca="1">IFERROR(__xludf.DUMMYFUNCTION("GOOGLETRANSLATE(D:D,""auto"",""en"")"),"Hubei province district under close control")</f>
        <v>Hubei province district under close control</v>
      </c>
      <c r="D4269" s="5" t="s">
        <v>9733</v>
      </c>
      <c r="E4269" s="4">
        <v>245827</v>
      </c>
      <c r="F4269">
        <v>1</v>
      </c>
    </row>
    <row r="4270" spans="1:6" ht="13.5" customHeight="1">
      <c r="A4270" s="4" t="s">
        <v>9734</v>
      </c>
      <c r="B4270" s="4" t="s">
        <v>9735</v>
      </c>
      <c r="C4270" s="4" t="str">
        <f ca="1">IFERROR(__xludf.DUMMYFUNCTION("GOOGLETRANSLATE(D:D,""auto"",""en"")"),"The elevator methods N")</f>
        <v>The elevator methods N</v>
      </c>
      <c r="D4270" s="5" t="s">
        <v>9736</v>
      </c>
      <c r="E4270" s="4">
        <v>237266</v>
      </c>
      <c r="F4270">
        <v>1</v>
      </c>
    </row>
    <row r="4271" spans="1:6" ht="13.5" customHeight="1">
      <c r="A4271" s="4" t="s">
        <v>9737</v>
      </c>
      <c r="B4271" s="4" t="s">
        <v>9738</v>
      </c>
      <c r="C4271" s="4" t="str">
        <f ca="1">IFERROR(__xludf.DUMMYFUNCTION("GOOGLETRANSLATE(D:D,""auto"",""en"")"),"Jiangsu aid Yellowstone medical support team set off")</f>
        <v>Jiangsu aid Yellowstone medical support team set off</v>
      </c>
      <c r="D4271" s="5" t="s">
        <v>9739</v>
      </c>
      <c r="E4271" s="4">
        <v>236420</v>
      </c>
      <c r="F4271">
        <v>1</v>
      </c>
    </row>
    <row r="4272" spans="1:6" ht="13.5" customHeight="1">
      <c r="A4272" s="4" t="s">
        <v>9740</v>
      </c>
      <c r="B4272" s="4" t="s">
        <v>9741</v>
      </c>
      <c r="C4272" s="4" t="str">
        <f ca="1">IFERROR(__xludf.DUMMYFUNCTION("GOOGLETRANSLATE(D:D,""auto"",""en"")"),"A true portrayal of the family house")</f>
        <v>A true portrayal of the family house</v>
      </c>
      <c r="D4272" s="5" t="s">
        <v>9742</v>
      </c>
      <c r="E4272" s="4">
        <v>221670</v>
      </c>
      <c r="F4272">
        <v>1</v>
      </c>
    </row>
    <row r="4273" spans="1:6" ht="13.5" customHeight="1">
      <c r="A4273" s="4" t="s">
        <v>9743</v>
      </c>
      <c r="B4273" s="4" t="s">
        <v>9744</v>
      </c>
      <c r="C4273" s="4" t="str">
        <f ca="1">IFERROR(__xludf.DUMMYFUNCTION("GOOGLETRANSLATE(D:D,""auto"",""en"")"),"During the epidemic mom said most of the words")</f>
        <v>During the epidemic mom said most of the words</v>
      </c>
      <c r="D4273" s="5" t="s">
        <v>9745</v>
      </c>
      <c r="E4273" s="4">
        <v>218423</v>
      </c>
      <c r="F4273">
        <v>1</v>
      </c>
    </row>
    <row r="4274" spans="1:6" ht="13.5" hidden="1" customHeight="1">
      <c r="A4274" s="4" t="s">
        <v>9691</v>
      </c>
      <c r="B4274" s="4" t="s">
        <v>9746</v>
      </c>
      <c r="C4274" s="4" t="str">
        <f ca="1">IFERROR(__xludf.DUMMYFUNCTION("GOOGLETRANSLATE(D:D,""auto"",""en"")"),"Daegu, South Korea will build Bong Joon-ho Street")</f>
        <v>Daegu, South Korea will build Bong Joon-ho Street</v>
      </c>
      <c r="D4274" s="5" t="s">
        <v>9747</v>
      </c>
      <c r="E4274" s="4">
        <v>212562</v>
      </c>
    </row>
    <row r="4275" spans="1:6" ht="13.5" customHeight="1">
      <c r="A4275" s="4" t="s">
        <v>9748</v>
      </c>
      <c r="B4275" s="4" t="s">
        <v>9749</v>
      </c>
      <c r="C4275" s="4" t="str">
        <f ca="1">IFERROR(__xludf.DUMMYFUNCTION("GOOGLETRANSLATE(D:D,""auto"",""en"")"),"Rice cooker cake")</f>
        <v>Rice cooker cake</v>
      </c>
      <c r="D4275" s="5" t="s">
        <v>9750</v>
      </c>
      <c r="E4275" s="4">
        <v>202270</v>
      </c>
      <c r="F4275">
        <v>1</v>
      </c>
    </row>
    <row r="4276" spans="1:6" ht="13.5" customHeight="1">
      <c r="A4276" s="4" t="s">
        <v>9740</v>
      </c>
      <c r="B4276" s="4" t="s">
        <v>9751</v>
      </c>
      <c r="C4276" s="4" t="str">
        <f ca="1">IFERROR(__xludf.DUMMYFUNCTION("GOOGLETRANSLATE(D:D,""auto"",""en"")"),"Ordinary masks can be reused")</f>
        <v>Ordinary masks can be reused</v>
      </c>
      <c r="D4276" s="5" t="s">
        <v>9752</v>
      </c>
      <c r="E4276" s="4">
        <v>198768</v>
      </c>
      <c r="F4276">
        <v>1</v>
      </c>
    </row>
    <row r="4277" spans="1:6" ht="13.5" hidden="1" customHeight="1">
      <c r="A4277" s="4" t="s">
        <v>9753</v>
      </c>
      <c r="B4277" s="4" t="s">
        <v>9754</v>
      </c>
      <c r="C4277" s="4" t="str">
        <f ca="1">IFERROR(__xludf.DUMMYFUNCTION("GOOGLETRANSLATE(D:D,""auto"",""en"")"),"The United Nations called attention to the plague of locusts")</f>
        <v>The United Nations called attention to the plague of locusts</v>
      </c>
      <c r="D4277" s="5" t="s">
        <v>9755</v>
      </c>
      <c r="E4277" s="4">
        <v>155053</v>
      </c>
    </row>
    <row r="4278" spans="1:6" ht="13.5" customHeight="1">
      <c r="A4278" s="4" t="s">
        <v>9756</v>
      </c>
      <c r="B4278" s="4" t="s">
        <v>9757</v>
      </c>
      <c r="C4278" s="4" t="str">
        <f ca="1">IFERROR(__xludf.DUMMYFUNCTION("GOOGLETRANSLATE(D:D,""auto"",""en"")"),"49-year-old fell to the auxiliary line epidemic prevention")</f>
        <v>49-year-old fell to the auxiliary line epidemic prevention</v>
      </c>
      <c r="D4278" s="5" t="s">
        <v>9758</v>
      </c>
      <c r="E4278" s="4">
        <v>126524</v>
      </c>
      <c r="F4278">
        <v>1</v>
      </c>
    </row>
    <row r="4279" spans="1:6" ht="13.5" hidden="1" customHeight="1">
      <c r="C4279" s="4" t="str">
        <f ca="1">IFERROR(__xludf.DUMMYFUNCTION("GOOGLETRANSLATE(D:D,""auto"",""en"")"),"#VALUE!")</f>
        <v>#VALUE!</v>
      </c>
    </row>
    <row r="4280" spans="1:6" ht="13.5" customHeight="1">
      <c r="A4280" s="4" t="s">
        <v>9759</v>
      </c>
      <c r="B4280" s="4" t="s">
        <v>9760</v>
      </c>
      <c r="C4280" s="4" t="str">
        <f ca="1">IFERROR(__xludf.DUMMYFUNCTION("GOOGLETRANSLATE(D:D,""auto"",""en"")"),"The new crown virus vaccine may be completed within 18 months")</f>
        <v>The new crown virus vaccine may be completed within 18 months</v>
      </c>
      <c r="D4280" s="4" t="s">
        <v>9761</v>
      </c>
      <c r="E4280" s="4">
        <v>3687443</v>
      </c>
      <c r="F4280">
        <v>1</v>
      </c>
    </row>
    <row r="4281" spans="1:6" ht="13.5" hidden="1" customHeight="1">
      <c r="A4281" s="4" t="s">
        <v>9762</v>
      </c>
      <c r="B4281" s="4" t="s">
        <v>9763</v>
      </c>
      <c r="C4281" s="4" t="str">
        <f ca="1">IFERROR(__xludf.DUMMYFUNCTION("GOOGLETRANSLATE(D:D,""auto"",""en"")"),"Bryant and his body had been buried Gigi")</f>
        <v>Bryant and his body had been buried Gigi</v>
      </c>
      <c r="D4281" s="5" t="s">
        <v>9764</v>
      </c>
      <c r="E4281" s="4">
        <v>2392524</v>
      </c>
    </row>
    <row r="4282" spans="1:6" ht="13.5" customHeight="1">
      <c r="A4282" s="4" t="s">
        <v>9765</v>
      </c>
      <c r="B4282" s="4" t="s">
        <v>9670</v>
      </c>
      <c r="C4282" s="4" t="str">
        <f ca="1">IFERROR(__xludf.DUMMYFUNCTION("GOOGLETRANSLATE(D:D,""auto"",""en"")"),"I can not cry goggles will spend")</f>
        <v>I can not cry goggles will spend</v>
      </c>
      <c r="D4282" s="5" t="s">
        <v>9766</v>
      </c>
      <c r="E4282" s="4">
        <v>2223976</v>
      </c>
      <c r="F4282">
        <v>1</v>
      </c>
    </row>
    <row r="4283" spans="1:6" ht="13.5" customHeight="1">
      <c r="A4283" s="4" t="s">
        <v>9767</v>
      </c>
      <c r="B4283" s="4" t="s">
        <v>9638</v>
      </c>
      <c r="C4283" s="4" t="str">
        <f ca="1">IFERROR(__xludf.DUMMYFUNCTION("GOOGLETRANSLATE(D:D,""auto"",""en"")"),"Yue Yunpeng and other epidemics in the past I invite you to look at comic")</f>
        <v>Yue Yunpeng and other epidemics in the past I invite you to look at comic</v>
      </c>
      <c r="D4283" s="5" t="s">
        <v>9768</v>
      </c>
      <c r="E4283" s="4">
        <v>2207686</v>
      </c>
      <c r="F4283">
        <v>1</v>
      </c>
    </row>
    <row r="4284" spans="1:6" ht="13.5" hidden="1" customHeight="1">
      <c r="A4284" s="4" t="s">
        <v>9769</v>
      </c>
      <c r="B4284" s="4" t="s">
        <v>9770</v>
      </c>
      <c r="C4284" s="4" t="str">
        <f ca="1">IFERROR(__xludf.DUMMYFUNCTION("GOOGLETRANSLATE(D:D,""auto"",""en"")"),"NASA responded Li broom challenge")</f>
        <v>NASA responded Li broom challenge</v>
      </c>
      <c r="D4284" s="5" t="s">
        <v>9771</v>
      </c>
      <c r="E4284" s="4">
        <v>1849231</v>
      </c>
    </row>
    <row r="4285" spans="1:6" ht="13.5" customHeight="1">
      <c r="A4285" s="4" t="s">
        <v>9772</v>
      </c>
      <c r="B4285" s="4" t="s">
        <v>9773</v>
      </c>
      <c r="C4285" s="4" t="str">
        <f ca="1">IFERROR(__xludf.DUMMYFUNCTION("GOOGLETRANSLATE(D:D,""auto"",""en"")"),"A quick lesson on a network there are so many unreasonable demands")</f>
        <v>A quick lesson on a network there are so many unreasonable demands</v>
      </c>
      <c r="D4285" s="5" t="s">
        <v>9774</v>
      </c>
      <c r="E4285" s="4">
        <v>1740957</v>
      </c>
      <c r="F4285">
        <v>1</v>
      </c>
    </row>
    <row r="4286" spans="1:6" ht="13.5" hidden="1" customHeight="1">
      <c r="A4286" s="4" t="s">
        <v>9775</v>
      </c>
      <c r="B4286" s="4" t="s">
        <v>9776</v>
      </c>
      <c r="C4286" s="4" t="str">
        <f ca="1">IFERROR(__xludf.DUMMYFUNCTION("GOOGLETRANSLATE(D:D,""auto"",""en"")"),"British death truck survey results")</f>
        <v>British death truck survey results</v>
      </c>
      <c r="D4286" s="5" t="s">
        <v>9777</v>
      </c>
      <c r="E4286" s="4">
        <v>1558579</v>
      </c>
    </row>
    <row r="4287" spans="1:6" ht="13.5" customHeight="1">
      <c r="A4287" s="4" t="s">
        <v>9778</v>
      </c>
      <c r="B4287" s="4" t="s">
        <v>9779</v>
      </c>
      <c r="C4287" s="4" t="str">
        <f ca="1">IFERROR(__xludf.DUMMYFUNCTION("GOOGLETRANSLATE(D:D,""auto"",""en"")"),"Zhong Nanshan new crown pneumonia epidemic is expected to close by April")</f>
        <v>Zhong Nanshan new crown pneumonia epidemic is expected to close by April</v>
      </c>
      <c r="D4287" s="5" t="s">
        <v>9780</v>
      </c>
      <c r="E4287" s="4">
        <v>1398829</v>
      </c>
      <c r="F4287">
        <v>1</v>
      </c>
    </row>
    <row r="4288" spans="1:6" ht="13.5" customHeight="1">
      <c r="A4288" s="4" t="s">
        <v>9781</v>
      </c>
      <c r="B4288" s="4" t="s">
        <v>9760</v>
      </c>
      <c r="C4288" s="4" t="str">
        <f ca="1">IFERROR(__xludf.DUMMYFUNCTION("GOOGLETRANSLATE(D:D,""auto"",""en"")"),"Press to respond to children's publications, said civet cats to eat")</f>
        <v>Press to respond to children's publications, said civet cats to eat</v>
      </c>
      <c r="D4288" s="5" t="s">
        <v>9782</v>
      </c>
      <c r="E4288" s="4">
        <v>1022307</v>
      </c>
      <c r="F4288">
        <v>1</v>
      </c>
    </row>
    <row r="4289" spans="1:6" ht="13.5" customHeight="1">
      <c r="A4289" s="4" t="s">
        <v>9783</v>
      </c>
      <c r="B4289" s="4" t="s">
        <v>9698</v>
      </c>
      <c r="C4289" s="4" t="str">
        <f ca="1">IFERROR(__xludf.DUMMYFUNCTION("GOOGLETRANSLATE(D:D,""auto"",""en"")"),"The national total of 44,653 cases of pneumonia diagnosed with the new crown")</f>
        <v>The national total of 44,653 cases of pneumonia diagnosed with the new crown</v>
      </c>
      <c r="D4289" s="5" t="s">
        <v>9784</v>
      </c>
      <c r="E4289" s="4">
        <v>904958</v>
      </c>
      <c r="F4289">
        <v>1</v>
      </c>
    </row>
    <row r="4290" spans="1:6" ht="13.5" customHeight="1">
      <c r="A4290" s="4" t="s">
        <v>9785</v>
      </c>
      <c r="B4290" s="4" t="s">
        <v>9786</v>
      </c>
      <c r="C4290" s="4" t="str">
        <f ca="1">IFERROR(__xludf.DUMMYFUNCTION("GOOGLETRANSLATE(D:D,""auto"",""en"")"),"Zhong Nanshan said Li Wenliang hero")</f>
        <v>Zhong Nanshan said Li Wenliang hero</v>
      </c>
      <c r="D4290" s="5" t="s">
        <v>9787</v>
      </c>
      <c r="E4290" s="4">
        <v>842160</v>
      </c>
      <c r="F4290">
        <v>1</v>
      </c>
    </row>
    <row r="4291" spans="1:6" ht="13.5" customHeight="1">
      <c r="A4291" s="4" t="s">
        <v>9788</v>
      </c>
      <c r="B4291" s="4" t="s">
        <v>9789</v>
      </c>
      <c r="C4291" s="4" t="str">
        <f ca="1">IFERROR(__xludf.DUMMYFUNCTION("GOOGLETRANSLATE(D:D,""auto"",""en"")"),"The degree of infection and immune status of the patient is closely related")</f>
        <v>The degree of infection and immune status of the patient is closely related</v>
      </c>
      <c r="D4291" s="5" t="s">
        <v>9790</v>
      </c>
      <c r="E4291" s="4">
        <v>687706</v>
      </c>
      <c r="F4291">
        <v>1</v>
      </c>
    </row>
    <row r="4292" spans="1:6" ht="13.5" customHeight="1">
      <c r="A4292" s="4" t="s">
        <v>9791</v>
      </c>
      <c r="B4292" s="4" t="s">
        <v>9792</v>
      </c>
      <c r="C4292" s="4" t="str">
        <f ca="1">IFERROR(__xludf.DUMMYFUNCTION("GOOGLETRANSLATE(D:D,""auto"",""en"")"),"Japan cruise confirmed 174 cases of pneumonia new crown")</f>
        <v>Japan cruise confirmed 174 cases of pneumonia new crown</v>
      </c>
      <c r="D4292" s="5" t="s">
        <v>9793</v>
      </c>
      <c r="E4292" s="4">
        <v>646313</v>
      </c>
      <c r="F4292">
        <v>1</v>
      </c>
    </row>
    <row r="4293" spans="1:6" ht="13.5" customHeight="1">
      <c r="A4293" s="4" t="s">
        <v>5803</v>
      </c>
      <c r="B4293" s="4" t="s">
        <v>5804</v>
      </c>
      <c r="C4293" s="4" t="str">
        <f ca="1">IFERROR(__xludf.DUMMYFUNCTION("GOOGLETRANSLATE(D:D,""auto"",""en"")"),"The latest outbreak Map")</f>
        <v>The latest outbreak Map</v>
      </c>
      <c r="D4293" s="5" t="s">
        <v>5805</v>
      </c>
      <c r="E4293" s="4">
        <v>643161</v>
      </c>
      <c r="F4293">
        <v>1</v>
      </c>
    </row>
    <row r="4294" spans="1:6" ht="13.5" customHeight="1">
      <c r="A4294" s="4" t="s">
        <v>9641</v>
      </c>
      <c r="B4294" s="4" t="s">
        <v>9642</v>
      </c>
      <c r="C4294" s="4" t="str">
        <f ca="1">IFERROR(__xludf.DUMMYFUNCTION("GOOGLETRANSLATE(D:D,""auto"",""en"")"),"Forcing all teachers taped courses must stop")</f>
        <v>Forcing all teachers taped courses must stop</v>
      </c>
      <c r="D4294" s="5" t="s">
        <v>9643</v>
      </c>
      <c r="E4294" s="4">
        <v>639860</v>
      </c>
      <c r="F4294">
        <v>1</v>
      </c>
    </row>
    <row r="4295" spans="1:6" ht="13.5" hidden="1" customHeight="1">
      <c r="A4295" s="4" t="s">
        <v>9794</v>
      </c>
      <c r="B4295" s="4" t="s">
        <v>9795</v>
      </c>
      <c r="C4295" s="4" t="str">
        <f ca="1">IFERROR(__xludf.DUMMYFUNCTION("GOOGLETRANSLATE(D:D,""auto"",""en"")"),"High Xiuzhen died")</f>
        <v>High Xiuzhen died</v>
      </c>
      <c r="D4295" s="5" t="s">
        <v>9796</v>
      </c>
      <c r="E4295" s="4">
        <v>637472</v>
      </c>
    </row>
    <row r="4296" spans="1:6" ht="13.5" hidden="1" customHeight="1">
      <c r="A4296" s="4" t="s">
        <v>9797</v>
      </c>
      <c r="B4296" s="4" t="s">
        <v>9688</v>
      </c>
      <c r="C4296" s="4" t="str">
        <f ca="1">IFERROR(__xludf.DUMMYFUNCTION("GOOGLETRANSLATE(D:D,""auto"",""en"")"),"Get out the broom legislation have deleted it")</f>
        <v>Get out the broom legislation have deleted it</v>
      </c>
      <c r="D4296" s="5" t="s">
        <v>9798</v>
      </c>
      <c r="E4296" s="4">
        <v>635314</v>
      </c>
    </row>
    <row r="4297" spans="1:6" ht="13.5" hidden="1" customHeight="1">
      <c r="A4297" s="4" t="s">
        <v>9799</v>
      </c>
      <c r="B4297" s="4" t="s">
        <v>9800</v>
      </c>
      <c r="C4297" s="4" t="str">
        <f ca="1">IFERROR(__xludf.DUMMYFUNCTION("GOOGLETRANSLATE(D:D,""auto"",""en"")"),"The Mandarin too common")</f>
        <v>The Mandarin too common</v>
      </c>
      <c r="D4297" s="5" t="s">
        <v>9801</v>
      </c>
      <c r="E4297" s="4">
        <v>630245</v>
      </c>
    </row>
    <row r="4298" spans="1:6" ht="13.5" hidden="1" customHeight="1">
      <c r="A4298" s="4" t="s">
        <v>9765</v>
      </c>
      <c r="B4298" s="4" t="s">
        <v>9670</v>
      </c>
      <c r="C4298" s="4" t="str">
        <f ca="1">IFERROR(__xludf.DUMMYFUNCTION("GOOGLETRANSLATE(D:D,""auto"",""en"")"),"Expropriated real mother to help students dormitory-style packaged goods")</f>
        <v>Expropriated real mother to help students dormitory-style packaged goods</v>
      </c>
      <c r="D4298" s="5" t="s">
        <v>9802</v>
      </c>
      <c r="E4298" s="4">
        <v>627322</v>
      </c>
    </row>
    <row r="4299" spans="1:6" ht="13.5" hidden="1" customHeight="1">
      <c r="A4299" s="4" t="s">
        <v>9803</v>
      </c>
      <c r="B4299" s="4" t="s">
        <v>9804</v>
      </c>
      <c r="C4299" s="4" t="str">
        <f ca="1">IFERROR(__xludf.DUMMYFUNCTION("GOOGLETRANSLATE(D:D,""auto"",""en"")"),"Grandma every day to write a love letter to his wife ICU")</f>
        <v>Grandma every day to write a love letter to his wife ICU</v>
      </c>
      <c r="D4299" s="5" t="s">
        <v>9805</v>
      </c>
      <c r="E4299" s="4">
        <v>622757</v>
      </c>
    </row>
    <row r="4300" spans="1:6" ht="13.5" hidden="1" customHeight="1">
      <c r="A4300" s="4" t="s">
        <v>9806</v>
      </c>
      <c r="B4300" s="4" t="s">
        <v>9807</v>
      </c>
      <c r="C4300" s="4" t="str">
        <f ca="1">IFERROR(__xludf.DUMMYFUNCTION("GOOGLETRANSLATE(D:D,""auto"",""en"")"),"Former French Prime Minister to China refueling")</f>
        <v>Former French Prime Minister to China refueling</v>
      </c>
      <c r="D4300" s="5" t="s">
        <v>9808</v>
      </c>
      <c r="E4300" s="4">
        <v>619030</v>
      </c>
    </row>
    <row r="4301" spans="1:6" ht="13.5" customHeight="1">
      <c r="A4301" s="4" t="s">
        <v>9809</v>
      </c>
      <c r="B4301" s="4" t="s">
        <v>9810</v>
      </c>
      <c r="C4301" s="4" t="str">
        <f ca="1">IFERROR(__xludf.DUMMYFUNCTION("GOOGLETRANSLATE(D:D,""auto"",""en"")"),"Heilongjiang 32-year-old fell to the fight against SARS frontline police")</f>
        <v>Heilongjiang 32-year-old fell to the fight against SARS frontline police</v>
      </c>
      <c r="D4301" s="5" t="s">
        <v>9811</v>
      </c>
      <c r="E4301" s="4">
        <v>617233</v>
      </c>
      <c r="F4301">
        <v>1</v>
      </c>
    </row>
    <row r="4302" spans="1:6" ht="13.5" hidden="1" customHeight="1">
      <c r="A4302" s="4" t="s">
        <v>9812</v>
      </c>
      <c r="B4302" s="4" t="s">
        <v>9661</v>
      </c>
      <c r="C4302" s="4" t="str">
        <f ca="1">IFERROR(__xludf.DUMMYFUNCTION("GOOGLETRANSLATE(D:D,""auto"",""en"")"),"Takeout brother")</f>
        <v>Takeout brother</v>
      </c>
      <c r="D4302" s="5" t="s">
        <v>9813</v>
      </c>
      <c r="E4302" s="4">
        <v>613998</v>
      </c>
    </row>
    <row r="4303" spans="1:6" ht="13.5" customHeight="1">
      <c r="A4303" s="4" t="s">
        <v>9814</v>
      </c>
      <c r="B4303" s="4" t="s">
        <v>9815</v>
      </c>
      <c r="C4303" s="4" t="str">
        <f ca="1">IFERROR(__xludf.DUMMYFUNCTION("GOOGLETRANSLATE(D:D,""auto"",""en"")"),"Live nails deny students the teacher can open the camera")</f>
        <v>Live nails deny students the teacher can open the camera</v>
      </c>
      <c r="D4303" s="5" t="s">
        <v>9816</v>
      </c>
      <c r="E4303" s="4">
        <v>587342</v>
      </c>
      <c r="F4303">
        <v>1</v>
      </c>
    </row>
    <row r="4304" spans="1:6" ht="13.5" hidden="1" customHeight="1">
      <c r="A4304" s="4" t="s">
        <v>9817</v>
      </c>
      <c r="B4304" s="4" t="s">
        <v>9800</v>
      </c>
      <c r="C4304" s="4" t="str">
        <f ca="1">IFERROR(__xludf.DUMMYFUNCTION("GOOGLETRANSLATE(D:D,""auto"",""en"")"),"Jingyang County, Anhui Medical Records kill criminals were executed")</f>
        <v>Jingyang County, Anhui Medical Records kill criminals were executed</v>
      </c>
      <c r="D4304" s="5" t="s">
        <v>9818</v>
      </c>
      <c r="E4304" s="4">
        <v>581354</v>
      </c>
    </row>
    <row r="4305" spans="1:6" ht="13.5" hidden="1" customHeight="1">
      <c r="A4305" s="4" t="s">
        <v>9769</v>
      </c>
      <c r="B4305" s="4" t="s">
        <v>9819</v>
      </c>
      <c r="C4305" s="4" t="str">
        <f ca="1">IFERROR(__xludf.DUMMYFUNCTION("GOOGLETRANSLATE(D:D,""auto"",""en"")"),"COSMO cover of the March issue")</f>
        <v>COSMO cover of the March issue</v>
      </c>
      <c r="D4305" s="5" t="s">
        <v>9820</v>
      </c>
      <c r="E4305" s="4">
        <v>554268</v>
      </c>
    </row>
    <row r="4306" spans="1:6" ht="13.5" customHeight="1">
      <c r="A4306" s="4" t="s">
        <v>9821</v>
      </c>
      <c r="B4306" s="4" t="s">
        <v>9822</v>
      </c>
      <c r="C4306" s="4" t="str">
        <f ca="1">IFERROR(__xludf.DUMMYFUNCTION("GOOGLETRANSLATE(D:D,""auto"",""en"")"),"Wuhan hospital lunch shelter")</f>
        <v>Wuhan hospital lunch shelter</v>
      </c>
      <c r="D4306" s="5" t="s">
        <v>9823</v>
      </c>
      <c r="E4306" s="4">
        <v>514615</v>
      </c>
      <c r="F4306">
        <v>1</v>
      </c>
    </row>
    <row r="4307" spans="1:6" ht="13.5" hidden="1" customHeight="1">
      <c r="A4307" s="4" t="s">
        <v>9824</v>
      </c>
      <c r="B4307" s="4" t="s">
        <v>9789</v>
      </c>
      <c r="C4307" s="4" t="str">
        <f ca="1">IFERROR(__xludf.DUMMYFUNCTION("GOOGLETRANSLATE(D:D,""auto"",""en"")"),"Beijing schools in any form of collective new lesson")</f>
        <v>Beijing schools in any form of collective new lesson</v>
      </c>
      <c r="D4307" s="5" t="s">
        <v>9825</v>
      </c>
      <c r="E4307" s="4">
        <v>487107</v>
      </c>
    </row>
    <row r="4308" spans="1:6" ht="13.5" customHeight="1">
      <c r="A4308" s="4" t="s">
        <v>9826</v>
      </c>
      <c r="B4308" s="4" t="s">
        <v>9827</v>
      </c>
      <c r="C4308" s="4" t="str">
        <f ca="1">IFERROR(__xludf.DUMMYFUNCTION("GOOGLETRANSLATE(D:D,""auto"",""en"")"),"During the epidemic hardcore outfit")</f>
        <v>During the epidemic hardcore outfit</v>
      </c>
      <c r="D4308" s="5" t="s">
        <v>9828</v>
      </c>
      <c r="E4308" s="4">
        <v>424281</v>
      </c>
      <c r="F4308">
        <v>1</v>
      </c>
    </row>
    <row r="4309" spans="1:6" ht="13.5" customHeight="1">
      <c r="A4309" s="4" t="s">
        <v>9785</v>
      </c>
      <c r="B4309" s="4" t="s">
        <v>9792</v>
      </c>
      <c r="C4309" s="4" t="str">
        <f ca="1">IFERROR(__xludf.DUMMYFUNCTION("GOOGLETRANSLATE(D:D,""auto"",""en"")"),"COVID-19")</f>
        <v>COVID-19</v>
      </c>
      <c r="D4309" s="5" t="s">
        <v>9829</v>
      </c>
      <c r="E4309" s="4">
        <v>417190</v>
      </c>
      <c r="F4309">
        <v>1</v>
      </c>
    </row>
    <row r="4310" spans="1:6" ht="13.5" hidden="1" customHeight="1">
      <c r="A4310" s="4" t="s">
        <v>9830</v>
      </c>
      <c r="B4310" s="4" t="s">
        <v>9721</v>
      </c>
      <c r="C4310" s="4" t="str">
        <f ca="1">IFERROR(__xludf.DUMMYFUNCTION("GOOGLETRANSLATE(D:D,""auto"",""en"")"),"Xie Na encourage Chinese medical aid")</f>
        <v>Xie Na encourage Chinese medical aid</v>
      </c>
      <c r="D4310" s="5" t="s">
        <v>9831</v>
      </c>
      <c r="E4310" s="4">
        <v>410026</v>
      </c>
    </row>
    <row r="4311" spans="1:6" ht="13.5" customHeight="1">
      <c r="A4311" s="4" t="s">
        <v>9809</v>
      </c>
      <c r="B4311" s="4" t="s">
        <v>9670</v>
      </c>
      <c r="C4311" s="4" t="str">
        <f ca="1">IFERROR(__xludf.DUMMYFUNCTION("GOOGLETRANSLATE(D:D,""auto"",""en"")"),"Hankou pets left behind by generations feed")</f>
        <v>Hankou pets left behind by generations feed</v>
      </c>
      <c r="D4311" s="5" t="s">
        <v>9832</v>
      </c>
      <c r="E4311" s="4">
        <v>395385</v>
      </c>
      <c r="F4311">
        <v>1</v>
      </c>
    </row>
    <row r="4312" spans="1:6" ht="13.5" hidden="1" customHeight="1">
      <c r="A4312" s="4" t="s">
        <v>9833</v>
      </c>
      <c r="B4312" s="4" t="s">
        <v>9834</v>
      </c>
      <c r="C4312" s="4" t="str">
        <f ca="1">IFERROR(__xludf.DUMMYFUNCTION("GOOGLETRANSLATE(D:D,""auto"",""en"")"),"Thai army chief apologized for the shooting")</f>
        <v>Thai army chief apologized for the shooting</v>
      </c>
      <c r="D4312" s="5" t="s">
        <v>9835</v>
      </c>
      <c r="E4312" s="4">
        <v>340057</v>
      </c>
    </row>
    <row r="4313" spans="1:6" ht="13.5" customHeight="1">
      <c r="A4313" s="4" t="s">
        <v>9836</v>
      </c>
      <c r="B4313" s="4" t="s">
        <v>9837</v>
      </c>
      <c r="C4313" s="4" t="str">
        <f ca="1">IFERROR(__xludf.DUMMYFUNCTION("GOOGLETRANSLATE(D:D,""auto"",""en"")"),"The fight against SARS frontline nurses to marry him with a paper clip ring")</f>
        <v>The fight against SARS frontline nurses to marry him with a paper clip ring</v>
      </c>
      <c r="D4313" s="5" t="s">
        <v>9838</v>
      </c>
      <c r="E4313" s="4">
        <v>339247</v>
      </c>
      <c r="F4313">
        <v>1</v>
      </c>
    </row>
    <row r="4314" spans="1:6" ht="13.5" customHeight="1">
      <c r="A4314" s="4" t="s">
        <v>9839</v>
      </c>
      <c r="B4314" s="4" t="s">
        <v>9789</v>
      </c>
      <c r="C4314" s="4" t="str">
        <f ca="1">IFERROR(__xludf.DUMMYFUNCTION("GOOGLETRANSLATE(D:D,""auto"",""en"")"),"Jiangsu total of 543 cases of pneumonia diagnosed with the new crown")</f>
        <v>Jiangsu total of 543 cases of pneumonia diagnosed with the new crown</v>
      </c>
      <c r="D4314" s="5" t="s">
        <v>9840</v>
      </c>
      <c r="E4314" s="4">
        <v>318880</v>
      </c>
      <c r="F4314">
        <v>1</v>
      </c>
    </row>
    <row r="4315" spans="1:6" ht="13.5" customHeight="1">
      <c r="A4315" s="4" t="s">
        <v>9680</v>
      </c>
      <c r="B4315" s="4" t="s">
        <v>9681</v>
      </c>
      <c r="C4315" s="4" t="str">
        <f ca="1">IFERROR(__xludf.DUMMYFUNCTION("GOOGLETRANSLATE(D:D,""auto"",""en"")"),"Large network roll-class site")</f>
        <v>Large network roll-class site</v>
      </c>
      <c r="D4315" s="5" t="s">
        <v>9682</v>
      </c>
      <c r="E4315" s="4">
        <v>318105</v>
      </c>
      <c r="F4315">
        <v>1</v>
      </c>
    </row>
    <row r="4316" spans="1:6" ht="13.5" customHeight="1">
      <c r="A4316" s="4" t="s">
        <v>9841</v>
      </c>
      <c r="B4316" s="4" t="s">
        <v>9842</v>
      </c>
      <c r="C4316" s="4" t="str">
        <f ca="1">IFERROR(__xludf.DUMMYFUNCTION("GOOGLETRANSLATE(D:D,""auto"",""en"")"),"Emergency Center driver wearing diapers patients receiving")</f>
        <v>Emergency Center driver wearing diapers patients receiving</v>
      </c>
      <c r="D4316" s="5" t="s">
        <v>9843</v>
      </c>
      <c r="E4316" s="4">
        <v>302736</v>
      </c>
      <c r="F4316">
        <v>1</v>
      </c>
    </row>
    <row r="4317" spans="1:6" ht="13.5" hidden="1" customHeight="1">
      <c r="A4317" s="4" t="s">
        <v>6108</v>
      </c>
      <c r="B4317" s="4" t="s">
        <v>6109</v>
      </c>
      <c r="C4317" s="4" t="str">
        <f ca="1">IFERROR(__xludf.DUMMYFUNCTION("GOOGLETRANSLATE(D:D,""auto"",""en"")"),"The next stop is happy")</f>
        <v>The next stop is happy</v>
      </c>
      <c r="D4317" s="5" t="s">
        <v>6110</v>
      </c>
      <c r="E4317" s="4">
        <v>270685</v>
      </c>
    </row>
    <row r="4318" spans="1:6" ht="13.5" hidden="1" customHeight="1">
      <c r="A4318" s="4" t="s">
        <v>9695</v>
      </c>
      <c r="B4318" s="4" t="s">
        <v>9696</v>
      </c>
      <c r="C4318" s="4" t="str">
        <f ca="1">IFERROR(__xludf.DUMMYFUNCTION("GOOGLETRANSLATE(D:D,""auto"",""en"")"),"Baoying")</f>
        <v>Baoying</v>
      </c>
      <c r="D4318" s="5" t="s">
        <v>9697</v>
      </c>
      <c r="E4318" s="4">
        <v>268221</v>
      </c>
    </row>
    <row r="4319" spans="1:6" ht="13.5" customHeight="1">
      <c r="A4319" s="4" t="s">
        <v>9844</v>
      </c>
      <c r="B4319" s="4" t="s">
        <v>9652</v>
      </c>
      <c r="C4319" s="4" t="str">
        <f ca="1">IFERROR(__xludf.DUMMYFUNCTION("GOOGLETRANSLATE(D:D,""auto"",""en"")"),"EU 12 tons protective supplies are being shipped to China")</f>
        <v>EU 12 tons protective supplies are being shipped to China</v>
      </c>
      <c r="D4319" s="5" t="s">
        <v>9845</v>
      </c>
      <c r="E4319" s="4">
        <v>244807</v>
      </c>
      <c r="F4319">
        <v>1</v>
      </c>
    </row>
    <row r="4320" spans="1:6" ht="13.5" customHeight="1">
      <c r="A4320" s="4" t="s">
        <v>9833</v>
      </c>
      <c r="B4320" s="4" t="s">
        <v>9846</v>
      </c>
      <c r="C4320" s="4" t="str">
        <f ca="1">IFERROR(__xludf.DUMMYFUNCTION("GOOGLETRANSLATE(D:D,""auto"",""en"")"),"Conceal the patient's condition was just discharged from hospital detention")</f>
        <v>Conceal the patient's condition was just discharged from hospital detention</v>
      </c>
      <c r="D4320" s="5" t="s">
        <v>9847</v>
      </c>
      <c r="E4320" s="4">
        <v>235667</v>
      </c>
      <c r="F4320">
        <v>1</v>
      </c>
    </row>
    <row r="4321" spans="1:6" ht="13.5" customHeight="1">
      <c r="A4321" s="4" t="s">
        <v>9848</v>
      </c>
      <c r="B4321" s="4" t="s">
        <v>9849</v>
      </c>
      <c r="C4321" s="4" t="str">
        <f ca="1">IFERROR(__xludf.DUMMYFUNCTION("GOOGLETRANSLATE(D:D,""auto"",""en"")"),"Wuhan Li Lanjuan written on protective clothing refueling")</f>
        <v>Wuhan Li Lanjuan written on protective clothing refueling</v>
      </c>
      <c r="D4321" s="5" t="s">
        <v>9850</v>
      </c>
      <c r="E4321" s="4">
        <v>235323</v>
      </c>
      <c r="F4321">
        <v>1</v>
      </c>
    </row>
    <row r="4322" spans="1:6" ht="13.5" customHeight="1">
      <c r="A4322" s="4" t="s">
        <v>9844</v>
      </c>
      <c r="B4322" s="4" t="s">
        <v>9655</v>
      </c>
      <c r="C4322" s="4" t="str">
        <f ca="1">IFERROR(__xludf.DUMMYFUNCTION("GOOGLETRANSLATE(D:D,""auto"",""en"")"),"A true portrayal of house home office")</f>
        <v>A true portrayal of house home office</v>
      </c>
      <c r="D4322" s="5" t="s">
        <v>9851</v>
      </c>
      <c r="E4322" s="4">
        <v>231487</v>
      </c>
      <c r="F4322">
        <v>1</v>
      </c>
    </row>
    <row r="4323" spans="1:6" ht="13.5" hidden="1" customHeight="1">
      <c r="A4323" s="4" t="s">
        <v>9852</v>
      </c>
      <c r="B4323" s="4" t="s">
        <v>9800</v>
      </c>
      <c r="C4323" s="4" t="str">
        <f ca="1">IFERROR(__xludf.DUMMYFUNCTION("GOOGLETRANSLATE(D:D,""auto"",""en"")"),"Fancy a haircut at home")</f>
        <v>Fancy a haircut at home</v>
      </c>
      <c r="D4323" s="5" t="s">
        <v>9853</v>
      </c>
      <c r="E4323" s="4">
        <v>230223</v>
      </c>
    </row>
    <row r="4324" spans="1:6" ht="13.5" customHeight="1">
      <c r="A4324" s="4" t="s">
        <v>9854</v>
      </c>
      <c r="B4324" s="4" t="s">
        <v>9800</v>
      </c>
      <c r="C4324" s="4" t="str">
        <f ca="1">IFERROR(__xludf.DUMMYFUNCTION("GOOGLETRANSLATE(D:D,""auto"",""en"")"),"Vulcan Hill Hospital patients admitted over 900 people")</f>
        <v>Vulcan Hill Hospital patients admitted over 900 people</v>
      </c>
      <c r="D4324" s="5" t="s">
        <v>9855</v>
      </c>
      <c r="E4324" s="4">
        <v>227523</v>
      </c>
      <c r="F4324">
        <v>1</v>
      </c>
    </row>
    <row r="4325" spans="1:6" ht="13.5" customHeight="1">
      <c r="A4325" s="4" t="s">
        <v>9856</v>
      </c>
      <c r="B4325" s="4" t="s">
        <v>9857</v>
      </c>
      <c r="C4325" s="4" t="str">
        <f ca="1">IFERROR(__xludf.DUMMYFUNCTION("GOOGLETRANSLATE(D:D,""auto"",""en"")"),"Trunk Ruhu")</f>
        <v>Trunk Ruhu</v>
      </c>
      <c r="D4325" s="5" t="s">
        <v>9858</v>
      </c>
      <c r="E4325" s="4">
        <v>225933</v>
      </c>
      <c r="F4325">
        <v>1</v>
      </c>
    </row>
    <row r="4326" spans="1:6" ht="13.5" customHeight="1">
      <c r="A4326" s="4" t="s">
        <v>9859</v>
      </c>
      <c r="B4326" s="4" t="s">
        <v>9860</v>
      </c>
      <c r="C4326" s="4" t="str">
        <f ca="1">IFERROR(__xludf.DUMMYFUNCTION("GOOGLETRANSLATE(D:D,""auto"",""en"")"),"Yuyao, Zhejiang Jixun close contacts")</f>
        <v>Yuyao, Zhejiang Jixun close contacts</v>
      </c>
      <c r="D4326" s="5" t="s">
        <v>9861</v>
      </c>
      <c r="E4326" s="4">
        <v>225540</v>
      </c>
      <c r="F4326">
        <v>1</v>
      </c>
    </row>
    <row r="4327" spans="1:6" ht="13.5" customHeight="1">
      <c r="A4327" s="4" t="s">
        <v>9695</v>
      </c>
      <c r="B4327" s="4" t="s">
        <v>9862</v>
      </c>
      <c r="C4327" s="4" t="str">
        <f ca="1">IFERROR(__xludf.DUMMYFUNCTION("GOOGLETRANSLATE(D:D,""auto"",""en"")"),"Japanese street banners hanging Wuhan refueling")</f>
        <v>Japanese street banners hanging Wuhan refueling</v>
      </c>
      <c r="D4327" s="5" t="s">
        <v>9863</v>
      </c>
      <c r="E4327" s="4">
        <v>212377</v>
      </c>
      <c r="F4327">
        <v>1</v>
      </c>
    </row>
    <row r="4328" spans="1:6" ht="13.5" customHeight="1">
      <c r="A4328" s="4" t="s">
        <v>9848</v>
      </c>
      <c r="B4328" s="4" t="s">
        <v>9864</v>
      </c>
      <c r="C4328" s="4" t="str">
        <f ca="1">IFERROR(__xludf.DUMMYFUNCTION("GOOGLETRANSLATE(D:D,""auto"",""en"")"),"COVID-19 field screen name")</f>
        <v>COVID-19 field screen name</v>
      </c>
      <c r="D4328" s="5" t="s">
        <v>9865</v>
      </c>
      <c r="E4328" s="4">
        <v>181466</v>
      </c>
      <c r="F4328">
        <v>1</v>
      </c>
    </row>
    <row r="4329" spans="1:6" ht="13.5" customHeight="1">
      <c r="A4329" s="4" t="s">
        <v>9866</v>
      </c>
      <c r="B4329" s="4" t="s">
        <v>9619</v>
      </c>
      <c r="C4329" s="4" t="str">
        <f ca="1">IFERROR(__xludf.DUMMYFUNCTION("GOOGLETRANSLATE(D:D,""auto"",""en"")"),"Beijing to prevent sticking resolutely to prevent the spread of the epidemic")</f>
        <v>Beijing to prevent sticking resolutely to prevent the spread of the epidemic</v>
      </c>
      <c r="D4329" s="5" t="s">
        <v>9867</v>
      </c>
      <c r="E4329" s="4">
        <v>147373</v>
      </c>
      <c r="F4329">
        <v>1</v>
      </c>
    </row>
    <row r="4330" spans="1:6" ht="13.5" hidden="1" customHeight="1">
      <c r="C4330" s="4" t="str">
        <f ca="1">IFERROR(__xludf.DUMMYFUNCTION("GOOGLETRANSLATE(D:D,""auto"",""en"")"),"#VALUE!")</f>
        <v>#VALUE!</v>
      </c>
    </row>
    <row r="4331" spans="1:6" ht="13.5" hidden="1" customHeight="1">
      <c r="A4331" s="4" t="s">
        <v>9868</v>
      </c>
      <c r="B4331" s="4" t="s">
        <v>9869</v>
      </c>
      <c r="C4331" s="4" t="str">
        <f ca="1">IFERROR(__xludf.DUMMYFUNCTION("GOOGLETRANSLATE(D:D,""auto"",""en"")"),"Lu died park")</f>
        <v>Lu died park</v>
      </c>
      <c r="D4331" s="4" t="s">
        <v>9870</v>
      </c>
      <c r="E4331" s="4">
        <v>4054477</v>
      </c>
    </row>
    <row r="4332" spans="1:6" ht="13.5" customHeight="1">
      <c r="A4332" s="4" t="s">
        <v>9871</v>
      </c>
      <c r="B4332" s="4" t="s">
        <v>9872</v>
      </c>
      <c r="C4332" s="4" t="str">
        <f ca="1">IFERROR(__xludf.DUMMYFUNCTION("GOOGLETRANSLATE(D:D,""auto"",""en"")"),"Zhang stream waves all disinfectants are effective against the new virus crown")</f>
        <v>Zhang stream waves all disinfectants are effective against the new virus crown</v>
      </c>
      <c r="D4332" s="5" t="s">
        <v>9873</v>
      </c>
      <c r="E4332" s="4">
        <v>2556667</v>
      </c>
      <c r="F4332">
        <v>1</v>
      </c>
    </row>
    <row r="4333" spans="1:6" ht="13.5" customHeight="1">
      <c r="A4333" s="4" t="s">
        <v>9874</v>
      </c>
      <c r="B4333" s="4" t="s">
        <v>9875</v>
      </c>
      <c r="C4333" s="4" t="str">
        <f ca="1">IFERROR(__xludf.DUMMYFUNCTION("GOOGLETRANSLATE(D:D,""auto"",""en"")"),"Hubei Jiangzai build a hospital emergency reserve")</f>
        <v>Hubei Jiangzai build a hospital emergency reserve</v>
      </c>
      <c r="D4333" s="5" t="s">
        <v>9876</v>
      </c>
      <c r="E4333" s="4">
        <v>2386580</v>
      </c>
      <c r="F4333">
        <v>1</v>
      </c>
    </row>
    <row r="4334" spans="1:6" ht="13.5" hidden="1" customHeight="1">
      <c r="A4334" s="4" t="s">
        <v>9877</v>
      </c>
      <c r="B4334" s="4" t="s">
        <v>9878</v>
      </c>
      <c r="C4334" s="4" t="str">
        <f ca="1">IFERROR(__xludf.DUMMYFUNCTION("GOOGLETRANSLATE(D:D,""auto"",""en"")"),"Flowers grandmother is gone")</f>
        <v>Flowers grandmother is gone</v>
      </c>
      <c r="D4334" s="5" t="s">
        <v>9879</v>
      </c>
      <c r="E4334" s="4">
        <v>2252919</v>
      </c>
    </row>
    <row r="4335" spans="1:6" ht="13.5" hidden="1" customHeight="1">
      <c r="A4335" s="4" t="s">
        <v>9880</v>
      </c>
      <c r="B4335" s="4" t="s">
        <v>9881</v>
      </c>
      <c r="C4335" s="4" t="str">
        <f ca="1">IFERROR(__xludf.DUMMYFUNCTION("GOOGLETRANSLATE(D:D,""auto"",""en"")"),"Yang distressed rain")</f>
        <v>Yang distressed rain</v>
      </c>
      <c r="D4335" s="5" t="s">
        <v>9882</v>
      </c>
      <c r="E4335" s="4">
        <v>2241877</v>
      </c>
    </row>
    <row r="4336" spans="1:6" ht="13.5" hidden="1" customHeight="1">
      <c r="A4336" s="4" t="s">
        <v>9883</v>
      </c>
      <c r="B4336" s="4" t="s">
        <v>9884</v>
      </c>
      <c r="C4336" s="4" t="str">
        <f ca="1">IFERROR(__xludf.DUMMYFUNCTION("GOOGLETRANSLATE(D:D,""auto"",""en"")"),"Li Zi Meng bow to read my statement")</f>
        <v>Li Zi Meng bow to read my statement</v>
      </c>
      <c r="D4336" s="5" t="s">
        <v>9885</v>
      </c>
      <c r="E4336" s="4">
        <v>1745670</v>
      </c>
    </row>
    <row r="4337" spans="1:6" ht="13.5" customHeight="1">
      <c r="A4337" s="4" t="s">
        <v>9886</v>
      </c>
      <c r="B4337" s="4" t="s">
        <v>9887</v>
      </c>
      <c r="C4337" s="4" t="str">
        <f ca="1">IFERROR(__xludf.DUMMYFUNCTION("GOOGLETRANSLATE(D:D,""auto"",""en"")"),"China imported 730 million since the Spring Festival masks")</f>
        <v>China imported 730 million since the Spring Festival masks</v>
      </c>
      <c r="D4337" s="5" t="s">
        <v>9888</v>
      </c>
      <c r="E4337" s="4">
        <v>1601786</v>
      </c>
      <c r="F4337">
        <v>1</v>
      </c>
    </row>
    <row r="4338" spans="1:6" ht="13.5" hidden="1" customHeight="1">
      <c r="A4338" s="4" t="s">
        <v>9889</v>
      </c>
      <c r="B4338" s="4" t="s">
        <v>9890</v>
      </c>
      <c r="C4338" s="4" t="str">
        <f ca="1">IFERROR(__xludf.DUMMYFUNCTION("GOOGLETRANSLATE(D:D,""auto"",""en"")"),"This year's first cold wave")</f>
        <v>This year's first cold wave</v>
      </c>
      <c r="D4338" s="5" t="s">
        <v>9891</v>
      </c>
      <c r="E4338" s="4">
        <v>1101750</v>
      </c>
    </row>
    <row r="4339" spans="1:6" ht="13.5" hidden="1" customHeight="1">
      <c r="A4339" s="4" t="s">
        <v>9892</v>
      </c>
      <c r="B4339" s="4" t="s">
        <v>9893</v>
      </c>
      <c r="C4339" s="4" t="str">
        <f ca="1">IFERROR(__xludf.DUMMYFUNCTION("GOOGLETRANSLATE(D:D,""auto"",""en"")"),"2020 college graduates had 8.74 million")</f>
        <v>2020 college graduates had 8.74 million</v>
      </c>
      <c r="D4339" s="5" t="s">
        <v>9894</v>
      </c>
      <c r="E4339" s="4">
        <v>1050307</v>
      </c>
    </row>
    <row r="4340" spans="1:6" ht="13.5" hidden="1" customHeight="1">
      <c r="A4340" s="4" t="s">
        <v>9895</v>
      </c>
      <c r="B4340" s="4" t="s">
        <v>9896</v>
      </c>
      <c r="C4340" s="4" t="str">
        <f ca="1">IFERROR(__xludf.DUMMYFUNCTION("GOOGLETRANSLATE(D:D,""auto"",""en"")"),"Song Yuan Tucao He stars")</f>
        <v>Song Yuan Tucao He stars</v>
      </c>
      <c r="D4340" s="5" t="s">
        <v>9897</v>
      </c>
      <c r="E4340" s="4">
        <v>1030206</v>
      </c>
    </row>
    <row r="4341" spans="1:6" ht="13.5" customHeight="1">
      <c r="A4341" s="4" t="s">
        <v>9898</v>
      </c>
      <c r="B4341" s="4" t="s">
        <v>9896</v>
      </c>
      <c r="C4341" s="4" t="str">
        <f ca="1">IFERROR(__xludf.DUMMYFUNCTION("GOOGLETRANSLATE(D:D,""auto"",""en"")"),"Public places found cases of disabled air conditioning and ventilation systems")</f>
        <v>Public places found cases of disabled air conditioning and ventilation systems</v>
      </c>
      <c r="D4341" s="5" t="s">
        <v>9899</v>
      </c>
      <c r="E4341" s="4">
        <v>1027841</v>
      </c>
      <c r="F4341">
        <v>1</v>
      </c>
    </row>
    <row r="4342" spans="1:6" ht="13.5" customHeight="1">
      <c r="A4342" s="4" t="s">
        <v>9874</v>
      </c>
      <c r="B4342" s="4" t="s">
        <v>9900</v>
      </c>
      <c r="C4342" s="4" t="str">
        <f ca="1">IFERROR(__xludf.DUMMYFUNCTION("GOOGLETRANSLATE(D:D,""auto"",""en"")"),"Three positive changes in the epidemic situation has")</f>
        <v>Three positive changes in the epidemic situation has</v>
      </c>
      <c r="D4342" s="5" t="s">
        <v>9901</v>
      </c>
      <c r="E4342" s="4">
        <v>1018069</v>
      </c>
      <c r="F4342">
        <v>1</v>
      </c>
    </row>
    <row r="4343" spans="1:6" ht="13.5" hidden="1" customHeight="1">
      <c r="A4343" s="4" t="s">
        <v>9902</v>
      </c>
      <c r="B4343" s="4" t="s">
        <v>9903</v>
      </c>
      <c r="C4343" s="4" t="str">
        <f ca="1">IFERROR(__xludf.DUMMYFUNCTION("GOOGLETRANSLATE(D:D,""auto"",""en"")"),"SARFT provides 180 excellent free program")</f>
        <v>SARFT provides 180 excellent free program</v>
      </c>
      <c r="D4343" s="5" t="s">
        <v>9904</v>
      </c>
      <c r="E4343" s="4">
        <v>1004006</v>
      </c>
    </row>
    <row r="4344" spans="1:6" ht="13.5" customHeight="1">
      <c r="A4344" s="4" t="s">
        <v>9905</v>
      </c>
      <c r="B4344" s="4" t="s">
        <v>9906</v>
      </c>
      <c r="C4344" s="4" t="str">
        <f ca="1">IFERROR(__xludf.DUMMYFUNCTION("GOOGLETRANSLATE(D:D,""auto"",""en"")"),"Wuchang District Government organizations one by one to apologize for critically ill patients")</f>
        <v>Wuchang District Government organizations one by one to apologize for critically ill patients</v>
      </c>
      <c r="D4344" s="5" t="s">
        <v>9907</v>
      </c>
      <c r="E4344" s="4">
        <v>1001854</v>
      </c>
      <c r="F4344">
        <v>1</v>
      </c>
    </row>
    <row r="4345" spans="1:6" ht="13.5" hidden="1" customHeight="1">
      <c r="A4345" s="4" t="s">
        <v>9908</v>
      </c>
      <c r="B4345" s="4" t="s">
        <v>9909</v>
      </c>
      <c r="C4345" s="4" t="str">
        <f ca="1">IFERROR(__xludf.DUMMYFUNCTION("GOOGLETRANSLATE(D:D,""auto"",""en"")"),"Ministry of Education, in response to whether to postpone entrance")</f>
        <v>Ministry of Education, in response to whether to postpone entrance</v>
      </c>
      <c r="D4345" s="5" t="s">
        <v>9910</v>
      </c>
      <c r="E4345" s="4">
        <v>991942</v>
      </c>
    </row>
    <row r="4346" spans="1:6" ht="13.5" hidden="1" customHeight="1">
      <c r="A4346" s="4" t="s">
        <v>9911</v>
      </c>
      <c r="B4346" s="4" t="s">
        <v>9872</v>
      </c>
      <c r="C4346" s="4" t="str">
        <f ca="1">IFERROR(__xludf.DUMMYFUNCTION("GOOGLETRANSLATE(D:D,""auto"",""en"")"),"Zhang Yu Jian Tucao Song Qian red envelopes")</f>
        <v>Zhang Yu Jian Tucao Song Qian red envelopes</v>
      </c>
      <c r="D4346" s="5" t="s">
        <v>9912</v>
      </c>
      <c r="E4346" s="4">
        <v>974904</v>
      </c>
    </row>
    <row r="4347" spans="1:6" ht="13.5" hidden="1" customHeight="1">
      <c r="A4347" s="4" t="s">
        <v>9913</v>
      </c>
      <c r="B4347" s="4" t="s">
        <v>9914</v>
      </c>
      <c r="C4347" s="4" t="str">
        <f ca="1">IFERROR(__xludf.DUMMYFUNCTION("GOOGLETRANSLATE(D:D,""auto"",""en"")"),"A Rolex way back home")</f>
        <v>A Rolex way back home</v>
      </c>
      <c r="D4347" s="5" t="s">
        <v>9915</v>
      </c>
      <c r="E4347" s="4">
        <v>973457</v>
      </c>
    </row>
    <row r="4348" spans="1:6" ht="13.5" hidden="1" customHeight="1">
      <c r="A4348" s="4" t="s">
        <v>9916</v>
      </c>
      <c r="B4348" s="4" t="s">
        <v>9917</v>
      </c>
      <c r="C4348" s="4" t="str">
        <f ca="1">IFERROR(__xludf.DUMMYFUNCTION("GOOGLETRANSLATE(D:D,""auto"",""en"")"),"Muzi foreign coax children live")</f>
        <v>Muzi foreign coax children live</v>
      </c>
      <c r="D4348" s="5" t="s">
        <v>9918</v>
      </c>
      <c r="E4348" s="4">
        <v>964896</v>
      </c>
    </row>
    <row r="4349" spans="1:6" ht="13.5" hidden="1" customHeight="1">
      <c r="A4349" s="4" t="s">
        <v>6108</v>
      </c>
      <c r="B4349" s="4" t="s">
        <v>6109</v>
      </c>
      <c r="C4349" s="4" t="str">
        <f ca="1">IFERROR(__xludf.DUMMYFUNCTION("GOOGLETRANSLATE(D:D,""auto"",""en"")"),"The next stop is happy")</f>
        <v>The next stop is happy</v>
      </c>
      <c r="D4349" s="5" t="s">
        <v>6110</v>
      </c>
      <c r="E4349" s="4">
        <v>962233</v>
      </c>
    </row>
    <row r="4350" spans="1:6" ht="13.5" customHeight="1">
      <c r="A4350" s="4" t="s">
        <v>9919</v>
      </c>
      <c r="B4350" s="4" t="s">
        <v>9920</v>
      </c>
      <c r="C4350" s="4" t="str">
        <f ca="1">IFERROR(__xludf.DUMMYFUNCTION("GOOGLETRANSLATE(D:D,""auto"",""en"")"),"Zhong Nanshan team released point guard to return to work")</f>
        <v>Zhong Nanshan team released point guard to return to work</v>
      </c>
      <c r="D4350" s="5" t="s">
        <v>9921</v>
      </c>
      <c r="E4350" s="4">
        <v>955514</v>
      </c>
      <c r="F4350">
        <v>1</v>
      </c>
    </row>
    <row r="4351" spans="1:6" ht="13.5" hidden="1" customHeight="1">
      <c r="A4351" s="4" t="s">
        <v>9922</v>
      </c>
      <c r="B4351" s="4" t="s">
        <v>9923</v>
      </c>
      <c r="C4351" s="4" t="str">
        <f ca="1">IFERROR(__xludf.DUMMYFUNCTION("GOOGLETRANSLATE(D:D,""auto"",""en"")"),"The original physical education Terrier is true")</f>
        <v>The original physical education Terrier is true</v>
      </c>
      <c r="D4351" s="5" t="s">
        <v>9924</v>
      </c>
      <c r="E4351" s="4">
        <v>841106</v>
      </c>
    </row>
    <row r="4352" spans="1:6" ht="13.5" hidden="1" customHeight="1">
      <c r="A4352" s="4" t="s">
        <v>9925</v>
      </c>
      <c r="B4352" s="4" t="s">
        <v>9926</v>
      </c>
      <c r="C4352" s="4" t="str">
        <f ca="1">IFERROR(__xludf.DUMMYFUNCTION("GOOGLETRANSLATE(D:D,""auto"",""en"")"),"Never expected this wish come true")</f>
        <v>Never expected this wish come true</v>
      </c>
      <c r="D4352" s="5" t="s">
        <v>9927</v>
      </c>
      <c r="E4352" s="4">
        <v>665329</v>
      </c>
    </row>
    <row r="4353" spans="1:6" ht="13.5" customHeight="1">
      <c r="A4353" s="4" t="s">
        <v>9928</v>
      </c>
      <c r="B4353" s="4" t="s">
        <v>9929</v>
      </c>
      <c r="C4353" s="4" t="str">
        <f ca="1">IFERROR(__xludf.DUMMYFUNCTION("GOOGLETRANSLATE(D:D,""auto"",""en"")"),"Zhong Nanshan disciple part-time anchor")</f>
        <v>Zhong Nanshan disciple part-time anchor</v>
      </c>
      <c r="D4353" s="5" t="s">
        <v>9930</v>
      </c>
      <c r="E4353" s="4">
        <v>594221</v>
      </c>
      <c r="F4353">
        <v>1</v>
      </c>
    </row>
    <row r="4354" spans="1:6" ht="13.5" hidden="1" customHeight="1">
      <c r="A4354" s="4" t="s">
        <v>9931</v>
      </c>
      <c r="B4354" s="4" t="s">
        <v>9932</v>
      </c>
      <c r="C4354" s="4" t="str">
        <f ca="1">IFERROR(__xludf.DUMMYFUNCTION("GOOGLETRANSLATE(D:D,""auto"",""en"")"),"Valentine's Day gifts Ratings List")</f>
        <v>Valentine's Day gifts Ratings List</v>
      </c>
      <c r="D4354" s="5" t="s">
        <v>9933</v>
      </c>
      <c r="E4354" s="4">
        <v>576638</v>
      </c>
    </row>
    <row r="4355" spans="1:6" ht="13.5" customHeight="1">
      <c r="A4355" s="4" t="s">
        <v>9922</v>
      </c>
      <c r="B4355" s="4" t="s">
        <v>9934</v>
      </c>
      <c r="C4355" s="4" t="str">
        <f ca="1">IFERROR(__xludf.DUMMYFUNCTION("GOOGLETRANSLATE(D:D,""auto"",""en"")"),"A person picking up a whole production line")</f>
        <v>A person picking up a whole production line</v>
      </c>
      <c r="D4355" s="5" t="s">
        <v>9935</v>
      </c>
      <c r="E4355" s="4">
        <v>550061</v>
      </c>
      <c r="F4355">
        <v>1</v>
      </c>
    </row>
    <row r="4356" spans="1:6" ht="13.5" customHeight="1">
      <c r="A4356" s="4" t="s">
        <v>9936</v>
      </c>
      <c r="B4356" s="4" t="s">
        <v>9937</v>
      </c>
      <c r="C4356" s="4" t="str">
        <f ca="1">IFERROR(__xludf.DUMMYFUNCTION("GOOGLETRANSLATE(D:D,""auto"",""en"")"),"Jie Ke Go Live teach")</f>
        <v>Jie Ke Go Live teach</v>
      </c>
      <c r="D4356" s="5" t="s">
        <v>9938</v>
      </c>
      <c r="E4356" s="4">
        <v>493887</v>
      </c>
      <c r="F4356">
        <v>1</v>
      </c>
    </row>
    <row r="4357" spans="1:6" ht="13.5" customHeight="1">
      <c r="A4357" s="4" t="s">
        <v>9939</v>
      </c>
      <c r="B4357" s="4" t="s">
        <v>9940</v>
      </c>
      <c r="C4357" s="4" t="str">
        <f ca="1">IFERROR(__xludf.DUMMYFUNCTION("GOOGLETRANSLATE(D:D,""auto"",""en"")"),"Net working class, the teacher checks the way")</f>
        <v>Net working class, the teacher checks the way</v>
      </c>
      <c r="D4357" s="5" t="s">
        <v>9941</v>
      </c>
      <c r="E4357" s="4">
        <v>463875</v>
      </c>
      <c r="F4357">
        <v>1</v>
      </c>
    </row>
    <row r="4358" spans="1:6" ht="13.5" customHeight="1">
      <c r="A4358" s="4" t="s">
        <v>9886</v>
      </c>
      <c r="B4358" s="4" t="s">
        <v>9942</v>
      </c>
      <c r="C4358" s="4" t="str">
        <f ca="1">IFERROR(__xludf.DUMMYFUNCTION("GOOGLETRANSLATE(D:D,""auto"",""en"")"),"Xuzhou a high-speed rail cleaning staff tested positive")</f>
        <v>Xuzhou a high-speed rail cleaning staff tested positive</v>
      </c>
      <c r="D4358" s="5" t="s">
        <v>9943</v>
      </c>
      <c r="E4358" s="4">
        <v>447359</v>
      </c>
      <c r="F4358">
        <v>1</v>
      </c>
    </row>
    <row r="4359" spans="1:6" ht="13.5" customHeight="1">
      <c r="A4359" s="4" t="s">
        <v>9936</v>
      </c>
      <c r="B4359" s="4" t="s">
        <v>9944</v>
      </c>
      <c r="C4359" s="4" t="str">
        <f ca="1">IFERROR(__xludf.DUMMYFUNCTION("GOOGLETRANSLATE(D:D,""auto"",""en"")"),"Taking a Valentine's Day date makeup")</f>
        <v>Taking a Valentine's Day date makeup</v>
      </c>
      <c r="D4359" s="5" t="s">
        <v>9945</v>
      </c>
      <c r="E4359" s="4">
        <v>422015</v>
      </c>
      <c r="F4359">
        <v>1</v>
      </c>
    </row>
    <row r="4360" spans="1:6" ht="13.5" hidden="1" customHeight="1">
      <c r="A4360" s="4" t="s">
        <v>9946</v>
      </c>
      <c r="B4360" s="4" t="s">
        <v>9947</v>
      </c>
      <c r="C4360" s="4" t="str">
        <f ca="1">IFERROR(__xludf.DUMMYFUNCTION("GOOGLETRANSLATE(D:D,""auto"",""en"")"),"Japan, sing the Chinese national anthem Ballet")</f>
        <v>Japan, sing the Chinese national anthem Ballet</v>
      </c>
      <c r="D4360" s="5" t="s">
        <v>9948</v>
      </c>
      <c r="E4360" s="4">
        <v>410872</v>
      </c>
    </row>
    <row r="4361" spans="1:6" ht="13.5" customHeight="1">
      <c r="A4361" s="4" t="s">
        <v>9949</v>
      </c>
      <c r="B4361" s="4" t="s">
        <v>9950</v>
      </c>
      <c r="C4361" s="4" t="str">
        <f ca="1">IFERROR(__xludf.DUMMYFUNCTION("GOOGLETRANSLATE(D:D,""auto"",""en"")"),"Sichuan, Hubei people how to teach children to eat vegetables")</f>
        <v>Sichuan, Hubei people how to teach children to eat vegetables</v>
      </c>
      <c r="D4361" s="5" t="s">
        <v>9951</v>
      </c>
      <c r="E4361" s="4">
        <v>397248</v>
      </c>
      <c r="F4361">
        <v>1</v>
      </c>
    </row>
    <row r="4362" spans="1:6" ht="13.5" hidden="1" customHeight="1">
      <c r="A4362" s="4" t="s">
        <v>9939</v>
      </c>
      <c r="B4362" s="4" t="s">
        <v>9952</v>
      </c>
      <c r="C4362" s="4" t="str">
        <f ca="1">IFERROR(__xludf.DUMMYFUNCTION("GOOGLETRANSLATE(D:D,""auto"",""en"")"),"Real working front-line state of health care")</f>
        <v>Real working front-line state of health care</v>
      </c>
      <c r="D4362" s="5" t="s">
        <v>9953</v>
      </c>
      <c r="E4362" s="4">
        <v>389178</v>
      </c>
    </row>
    <row r="4363" spans="1:6" ht="13.5" hidden="1" customHeight="1">
      <c r="A4363" s="4" t="s">
        <v>9954</v>
      </c>
      <c r="B4363" s="4" t="s">
        <v>9955</v>
      </c>
      <c r="C4363" s="4" t="str">
        <f ca="1">IFERROR(__xludf.DUMMYFUNCTION("GOOGLETRANSLATE(D:D,""auto"",""en"")"),"5.2 earthquake occurred in Japan")</f>
        <v>5.2 earthquake occurred in Japan</v>
      </c>
      <c r="D4363" s="5" t="s">
        <v>9956</v>
      </c>
      <c r="E4363" s="4">
        <v>376809</v>
      </c>
    </row>
    <row r="4364" spans="1:6" ht="13.5" customHeight="1">
      <c r="A4364" s="4" t="s">
        <v>9946</v>
      </c>
      <c r="B4364" s="4" t="s">
        <v>9957</v>
      </c>
      <c r="C4364" s="4" t="str">
        <f ca="1">IFERROR(__xludf.DUMMYFUNCTION("GOOGLETRANSLATE(D:D,""auto"",""en"")"),"State Council executive meeting to prevent mass layoffs")</f>
        <v>State Council executive meeting to prevent mass layoffs</v>
      </c>
      <c r="D4364" s="5" t="s">
        <v>9958</v>
      </c>
      <c r="E4364" s="4">
        <v>362412</v>
      </c>
      <c r="F4364">
        <v>1</v>
      </c>
    </row>
    <row r="4365" spans="1:6" ht="13.5" hidden="1" customHeight="1">
      <c r="A4365" s="4" t="s">
        <v>9959</v>
      </c>
      <c r="B4365" s="4" t="s">
        <v>9960</v>
      </c>
      <c r="C4365" s="4" t="str">
        <f ca="1">IFERROR(__xludf.DUMMYFUNCTION("GOOGLETRANSLATE(D:D,""auto"",""en"")"),"Dr. Gao is not Little Red Coat")</f>
        <v>Dr. Gao is not Little Red Coat</v>
      </c>
      <c r="D4365" s="5" t="s">
        <v>9961</v>
      </c>
      <c r="E4365" s="4">
        <v>361322</v>
      </c>
    </row>
    <row r="4366" spans="1:6" ht="13.5" customHeight="1">
      <c r="A4366" s="4" t="s">
        <v>9962</v>
      </c>
      <c r="B4366" s="4" t="s">
        <v>9923</v>
      </c>
      <c r="C4366" s="4" t="str">
        <f ca="1">IFERROR(__xludf.DUMMYFUNCTION("GOOGLETRANSLATE(D:D,""auto"",""en"")"),"Etc. can go out so I can go")</f>
        <v>Etc. can go out so I can go</v>
      </c>
      <c r="D4366" s="5" t="s">
        <v>9963</v>
      </c>
      <c r="E4366" s="4">
        <v>351765</v>
      </c>
      <c r="F4366">
        <v>1</v>
      </c>
    </row>
    <row r="4367" spans="1:6" ht="13.5" hidden="1" customHeight="1">
      <c r="A4367" s="4" t="s">
        <v>9964</v>
      </c>
      <c r="B4367" s="4" t="s">
        <v>9890</v>
      </c>
      <c r="C4367" s="4" t="str">
        <f ca="1">IFERROR(__xludf.DUMMYFUNCTION("GOOGLETRANSLATE(D:D,""auto"",""en"")"),"Quzhou loud noise")</f>
        <v>Quzhou loud noise</v>
      </c>
      <c r="D4367" s="5" t="s">
        <v>9965</v>
      </c>
      <c r="E4367" s="4">
        <v>334877</v>
      </c>
    </row>
    <row r="4368" spans="1:6" ht="13.5" hidden="1" customHeight="1">
      <c r="A4368" s="4" t="s">
        <v>9966</v>
      </c>
      <c r="B4368" s="4" t="s">
        <v>9772</v>
      </c>
      <c r="C4368" s="4" t="str">
        <f ca="1">IFERROR(__xludf.DUMMYFUNCTION("GOOGLETRANSLATE(D:D,""auto"",""en"")"),"Zhang Tian Yi Chen")</f>
        <v>Zhang Tian Yi Chen</v>
      </c>
      <c r="D4368" s="5" t="s">
        <v>9967</v>
      </c>
      <c r="E4368" s="4">
        <v>320477</v>
      </c>
    </row>
    <row r="4369" spans="1:6" ht="13.5" customHeight="1">
      <c r="A4369" s="4" t="s">
        <v>9968</v>
      </c>
      <c r="B4369" s="4" t="s">
        <v>9969</v>
      </c>
      <c r="C4369" s="4" t="str">
        <f ca="1">IFERROR(__xludf.DUMMYFUNCTION("GOOGLETRANSLATE(D:D,""auto"",""en"")"),"Yunnan All scan code into a public place")</f>
        <v>Yunnan All scan code into a public place</v>
      </c>
      <c r="D4369" s="5" t="s">
        <v>9970</v>
      </c>
      <c r="E4369" s="4">
        <v>296973</v>
      </c>
      <c r="F4369">
        <v>1</v>
      </c>
    </row>
    <row r="4370" spans="1:6" ht="13.5" customHeight="1">
      <c r="A4370" s="4" t="s">
        <v>9971</v>
      </c>
      <c r="B4370" s="4" t="s">
        <v>9765</v>
      </c>
      <c r="C4370" s="4" t="str">
        <f ca="1">IFERROR(__xludf.DUMMYFUNCTION("GOOGLETRANSLATE(D:D,""auto"",""en"")"),"Hubei Ji stewardess choked broadcast")</f>
        <v>Hubei Ji stewardess choked broadcast</v>
      </c>
      <c r="D4370" s="5" t="s">
        <v>9972</v>
      </c>
      <c r="E4370" s="4">
        <v>293856</v>
      </c>
      <c r="F4370">
        <v>1</v>
      </c>
    </row>
    <row r="4371" spans="1:6" ht="13.5" customHeight="1">
      <c r="A4371" s="4" t="s">
        <v>9968</v>
      </c>
      <c r="B4371" s="4" t="s">
        <v>9973</v>
      </c>
      <c r="C4371" s="4" t="str">
        <f ca="1">IFERROR(__xludf.DUMMYFUNCTION("GOOGLETRANSLATE(D:D,""auto"",""en"")"),"Couple new video to see the baby crown pneumonia")</f>
        <v>Couple new video to see the baby crown pneumonia</v>
      </c>
      <c r="D4371" s="5" t="s">
        <v>9974</v>
      </c>
      <c r="E4371" s="4">
        <v>289746</v>
      </c>
      <c r="F4371">
        <v>1</v>
      </c>
    </row>
    <row r="4372" spans="1:6" ht="13.5" hidden="1" customHeight="1">
      <c r="A4372" s="4" t="s">
        <v>9975</v>
      </c>
      <c r="B4372" s="4" t="s">
        <v>9976</v>
      </c>
      <c r="C4372" s="4" t="str">
        <f ca="1">IFERROR(__xludf.DUMMYFUNCTION("GOOGLETRANSLATE(D:D,""auto"",""en"")"),"Yi Xi smelt one thousand double Academy Award nominations")</f>
        <v>Yi Xi smelt one thousand double Academy Award nominations</v>
      </c>
      <c r="D4372" s="5" t="s">
        <v>9977</v>
      </c>
      <c r="E4372" s="4">
        <v>247662</v>
      </c>
    </row>
    <row r="4373" spans="1:6" ht="13.5" customHeight="1">
      <c r="A4373" s="4" t="s">
        <v>9978</v>
      </c>
      <c r="B4373" s="4" t="s">
        <v>9979</v>
      </c>
      <c r="C4373" s="4" t="str">
        <f ca="1">IFERROR(__xludf.DUMMYFUNCTION("GOOGLETRANSLATE(D:D,""auto"",""en"")"),"For the first time after the New Year makeup")</f>
        <v>For the first time after the New Year makeup</v>
      </c>
      <c r="D4373" s="5" t="s">
        <v>9980</v>
      </c>
      <c r="E4373" s="4">
        <v>239944</v>
      </c>
      <c r="F4373">
        <v>1</v>
      </c>
    </row>
    <row r="4374" spans="1:6" ht="13.5" customHeight="1">
      <c r="A4374" s="4" t="s">
        <v>9981</v>
      </c>
      <c r="B4374" s="4" t="s">
        <v>9982</v>
      </c>
      <c r="C4374" s="4" t="str">
        <f ca="1">IFERROR(__xludf.DUMMYFUNCTION("GOOGLETRANSLATE(D:D,""auto"",""en"")"),"Putian, Fujian, a village 24 cases of clusters of disease")</f>
        <v>Putian, Fujian, a village 24 cases of clusters of disease</v>
      </c>
      <c r="D4374" s="5" t="s">
        <v>9983</v>
      </c>
      <c r="E4374" s="4">
        <v>224542</v>
      </c>
      <c r="F4374">
        <v>1</v>
      </c>
    </row>
    <row r="4375" spans="1:6" ht="13.5" hidden="1" customHeight="1">
      <c r="A4375" s="4" t="s">
        <v>9984</v>
      </c>
      <c r="B4375" s="4" t="s">
        <v>9985</v>
      </c>
      <c r="C4375" s="4" t="str">
        <f ca="1">IFERROR(__xludf.DUMMYFUNCTION("GOOGLETRANSLATE(D:D,""auto"",""en"")"),"Beijing will welcome local Blizzard")</f>
        <v>Beijing will welcome local Blizzard</v>
      </c>
      <c r="D4375" s="5" t="s">
        <v>9986</v>
      </c>
      <c r="E4375" s="4">
        <v>217099</v>
      </c>
    </row>
    <row r="4376" spans="1:6" ht="13.5" hidden="1" customHeight="1">
      <c r="A4376" s="4" t="s">
        <v>9987</v>
      </c>
      <c r="B4376" s="4" t="s">
        <v>9988</v>
      </c>
      <c r="C4376" s="4" t="str">
        <f ca="1">IFERROR(__xludf.DUMMYFUNCTION("GOOGLETRANSLATE(D:D,""auto"",""en"")"),"Mother of cannabis at home")</f>
        <v>Mother of cannabis at home</v>
      </c>
      <c r="D4376" s="5" t="s">
        <v>9989</v>
      </c>
      <c r="E4376" s="4">
        <v>211896</v>
      </c>
    </row>
    <row r="4377" spans="1:6" ht="13.5" customHeight="1">
      <c r="A4377" s="4" t="s">
        <v>9990</v>
      </c>
      <c r="B4377" s="4" t="s">
        <v>9991</v>
      </c>
      <c r="C4377" s="4" t="str">
        <f ca="1">IFERROR(__xludf.DUMMYFUNCTION("GOOGLETRANSLATE(D:D,""auto"",""en"")"),"Physical education teacher is how online courses")</f>
        <v>Physical education teacher is how online courses</v>
      </c>
      <c r="D4377" s="5" t="s">
        <v>9992</v>
      </c>
      <c r="E4377" s="4">
        <v>202874</v>
      </c>
      <c r="F4377">
        <v>1</v>
      </c>
    </row>
    <row r="4378" spans="1:6" ht="13.5" hidden="1" customHeight="1">
      <c r="A4378" s="4" t="s">
        <v>9993</v>
      </c>
      <c r="B4378" s="4" t="s">
        <v>9994</v>
      </c>
      <c r="C4378" s="4" t="str">
        <f ca="1">IFERROR(__xludf.DUMMYFUNCTION("GOOGLETRANSLATE(D:D,""auto"",""en"")"),"ZhouDongYu nominated for Best Actress Award")</f>
        <v>ZhouDongYu nominated for Best Actress Award</v>
      </c>
      <c r="D4378" s="5" t="s">
        <v>9995</v>
      </c>
      <c r="E4378" s="4">
        <v>184014</v>
      </c>
    </row>
    <row r="4379" spans="1:6" ht="13.5" customHeight="1">
      <c r="A4379" s="4" t="s">
        <v>9996</v>
      </c>
      <c r="B4379" s="4" t="s">
        <v>9997</v>
      </c>
      <c r="C4379" s="4" t="str">
        <f ca="1">IFERROR(__xludf.DUMMYFUNCTION("GOOGLETRANSLATE(D:D,""auto"",""en"")"),"Hubei and other students back to school to lift the mobility control")</f>
        <v>Hubei and other students back to school to lift the mobility control</v>
      </c>
      <c r="D4379" s="5" t="s">
        <v>9998</v>
      </c>
      <c r="E4379" s="4">
        <v>179955</v>
      </c>
      <c r="F4379">
        <v>1</v>
      </c>
    </row>
    <row r="4380" spans="1:6" ht="13.5" customHeight="1">
      <c r="A4380" s="4" t="s">
        <v>9999</v>
      </c>
      <c r="B4380" s="4" t="s">
        <v>10000</v>
      </c>
      <c r="C4380" s="4" t="str">
        <f ca="1">IFERROR(__xludf.DUMMYFUNCTION("GOOGLETRANSLATE(D:D,""auto"",""en"")"),"Teachers qualifying examination and identification postponed")</f>
        <v>Teachers qualifying examination and identification postponed</v>
      </c>
      <c r="D4380" s="5" t="s">
        <v>10001</v>
      </c>
      <c r="E4380" s="4">
        <v>128607</v>
      </c>
      <c r="F4380">
        <v>1</v>
      </c>
    </row>
    <row r="4381" spans="1:6" ht="13.5" hidden="1" customHeight="1">
      <c r="C4381" s="4" t="str">
        <f ca="1">IFERROR(__xludf.DUMMYFUNCTION("GOOGLETRANSLATE(D:D,""auto"",""en"")"),"#VALUE!")</f>
        <v>#VALUE!</v>
      </c>
    </row>
    <row r="4382" spans="1:6" ht="13.5" customHeight="1">
      <c r="A4382" s="4" t="s">
        <v>10002</v>
      </c>
      <c r="B4382" s="4" t="s">
        <v>10003</v>
      </c>
      <c r="C4382" s="4" t="str">
        <f ca="1">IFERROR(__xludf.DUMMYFUNCTION("GOOGLETRANSLATE(D:D,""auto"",""en"")"),"Hubei Provincial Party Committee responsible comrades position adjustment")</f>
        <v>Hubei Provincial Party Committee responsible comrades position adjustment</v>
      </c>
      <c r="D4382" s="4" t="s">
        <v>10004</v>
      </c>
      <c r="E4382" s="4">
        <v>8559910</v>
      </c>
      <c r="F4382">
        <v>1</v>
      </c>
    </row>
    <row r="4383" spans="1:6" ht="13.5" customHeight="1">
      <c r="A4383" s="4" t="s">
        <v>10005</v>
      </c>
      <c r="B4383" s="4" t="s">
        <v>10006</v>
      </c>
      <c r="C4383" s="4" t="str">
        <f ca="1">IFERROR(__xludf.DUMMYFUNCTION("GOOGLETRANSLATE(D:D,""auto"",""en"")"),"Hubei new crown to add 14,840 cases of pneumonia")</f>
        <v>Hubei new crown to add 14,840 cases of pneumonia</v>
      </c>
      <c r="D4383" s="5" t="s">
        <v>10007</v>
      </c>
      <c r="E4383" s="4">
        <v>3523479</v>
      </c>
      <c r="F4383">
        <v>1</v>
      </c>
    </row>
    <row r="4384" spans="1:6" ht="13.5" customHeight="1">
      <c r="A4384" s="4" t="s">
        <v>10008</v>
      </c>
      <c r="B4384" s="4" t="s">
        <v>10009</v>
      </c>
      <c r="C4384" s="4" t="str">
        <f ca="1">IFERROR(__xludf.DUMMYFUNCTION("GOOGLETRANSLATE(D:D,""auto"",""en"")"),"Four tested negative fifth was diagnosed")</f>
        <v>Four tested negative fifth was diagnosed</v>
      </c>
      <c r="D4384" s="5" t="s">
        <v>10010</v>
      </c>
      <c r="E4384" s="4">
        <v>2445506</v>
      </c>
      <c r="F4384">
        <v>1</v>
      </c>
    </row>
    <row r="4385" spans="1:6" ht="13.5" hidden="1" customHeight="1">
      <c r="A4385" s="4" t="s">
        <v>10011</v>
      </c>
      <c r="B4385" s="4" t="s">
        <v>10012</v>
      </c>
      <c r="C4385" s="4" t="str">
        <f ca="1">IFERROR(__xludf.DUMMYFUNCTION("GOOGLETRANSLATE(D:D,""auto"",""en"")"),"Bryant during his lifetime SMS")</f>
        <v>Bryant during his lifetime SMS</v>
      </c>
      <c r="D4385" s="5" t="s">
        <v>10013</v>
      </c>
      <c r="E4385" s="4">
        <v>2237724</v>
      </c>
    </row>
    <row r="4386" spans="1:6" ht="13.5" customHeight="1">
      <c r="A4386" s="4" t="s">
        <v>10014</v>
      </c>
      <c r="B4386" s="4" t="s">
        <v>9962</v>
      </c>
      <c r="C4386" s="4" t="str">
        <f ca="1">IFERROR(__xludf.DUMMYFUNCTION("GOOGLETRANSLATE(D:D,""auto"",""en"")"),"Singer to cancel the public hearing site group")</f>
        <v>Singer to cancel the public hearing site group</v>
      </c>
      <c r="D4386" s="5" t="s">
        <v>10015</v>
      </c>
      <c r="E4386" s="4">
        <v>2040526</v>
      </c>
      <c r="F4386">
        <v>1</v>
      </c>
    </row>
    <row r="4387" spans="1:6" ht="13.5" hidden="1" customHeight="1">
      <c r="A4387" s="4" t="s">
        <v>1075</v>
      </c>
      <c r="B4387" s="4" t="s">
        <v>1076</v>
      </c>
      <c r="C4387" s="4" t="str">
        <f ca="1">IFERROR(__xludf.DUMMYFUNCTION("GOOGLETRANSLATE(D:D,""auto"",""en"")"),"Blizzard blue warning")</f>
        <v>Blizzard blue warning</v>
      </c>
      <c r="D4387" s="5" t="s">
        <v>1077</v>
      </c>
      <c r="E4387" s="4">
        <v>1631518</v>
      </c>
    </row>
    <row r="4388" spans="1:6" ht="13.5" customHeight="1">
      <c r="A4388" s="4" t="s">
        <v>10016</v>
      </c>
      <c r="B4388" s="4" t="s">
        <v>9905</v>
      </c>
      <c r="C4388" s="4" t="str">
        <f ca="1">IFERROR(__xludf.DUMMYFUNCTION("GOOGLETRANSLATE(D:D,""auto"",""en"")"),"20 Tianhe Airport transportation")</f>
        <v>20 Tianhe Airport transportation</v>
      </c>
      <c r="D4388" s="5" t="s">
        <v>10017</v>
      </c>
      <c r="E4388" s="4">
        <v>1054335</v>
      </c>
      <c r="F4388">
        <v>1</v>
      </c>
    </row>
    <row r="4389" spans="1:6" ht="13.5" hidden="1" customHeight="1">
      <c r="A4389" s="4" t="s">
        <v>10018</v>
      </c>
      <c r="B4389" s="4" t="s">
        <v>10019</v>
      </c>
      <c r="C4389" s="4" t="str">
        <f ca="1">IFERROR(__xludf.DUMMYFUNCTION("GOOGLETRANSLATE(D:D,""auto"",""en"")"),"Mulan action figure")</f>
        <v>Mulan action figure</v>
      </c>
      <c r="D4389" s="5" t="s">
        <v>10020</v>
      </c>
      <c r="E4389" s="4">
        <v>947294</v>
      </c>
    </row>
    <row r="4390" spans="1:6" ht="13.5" customHeight="1">
      <c r="A4390" s="4" t="s">
        <v>10021</v>
      </c>
      <c r="B4390" s="4" t="s">
        <v>10022</v>
      </c>
      <c r="C4390" s="4" t="str">
        <f ca="1">IFERROR(__xludf.DUMMYFUNCTION("GOOGLETRANSLATE(D:D,""auto"",""en"")"),"Suspected or confirmed antenatal and delivery inspection hospitals")</f>
        <v>Suspected or confirmed antenatal and delivery inspection hospitals</v>
      </c>
      <c r="D4390" s="5" t="s">
        <v>10023</v>
      </c>
      <c r="E4390" s="4">
        <v>780766</v>
      </c>
      <c r="F4390">
        <v>1</v>
      </c>
    </row>
    <row r="4391" spans="1:6" ht="13.5" customHeight="1">
      <c r="A4391" s="4" t="s">
        <v>10024</v>
      </c>
      <c r="B4391" s="4" t="s">
        <v>9984</v>
      </c>
      <c r="C4391" s="4" t="str">
        <f ca="1">IFERROR(__xludf.DUMMYFUNCTION("GOOGLETRANSLATE(D:D,""auto"",""en"")"),"Send more troops to support 2,600 health care workers in Wuhan")</f>
        <v>Send more troops to support 2,600 health care workers in Wuhan</v>
      </c>
      <c r="D4391" s="5" t="s">
        <v>10025</v>
      </c>
      <c r="E4391" s="4">
        <v>712369</v>
      </c>
      <c r="F4391">
        <v>1</v>
      </c>
    </row>
    <row r="4392" spans="1:6" ht="13.5" hidden="1" customHeight="1">
      <c r="A4392" s="4" t="s">
        <v>10026</v>
      </c>
      <c r="B4392" s="4" t="s">
        <v>10027</v>
      </c>
      <c r="C4392" s="4" t="str">
        <f ca="1">IFERROR(__xludf.DUMMYFUNCTION("GOOGLETRANSLATE(D:D,""auto"",""en"")"),"Russian Foreign Ministry spokesman with the Chinese for the Chinese refueling")</f>
        <v>Russian Foreign Ministry spokesman with the Chinese for the Chinese refueling</v>
      </c>
      <c r="D4392" s="5" t="s">
        <v>10028</v>
      </c>
      <c r="E4392" s="4">
        <v>697469</v>
      </c>
    </row>
    <row r="4393" spans="1:6" ht="13.5" hidden="1" customHeight="1">
      <c r="A4393" s="4" t="s">
        <v>10029</v>
      </c>
      <c r="B4393" s="4" t="s">
        <v>10030</v>
      </c>
      <c r="C4393" s="4" t="str">
        <f ca="1">IFERROR(__xludf.DUMMYFUNCTION("GOOGLETRANSLATE(D:D,""auto"",""en"")"),"Dong Mingzhu aspirations to Forbes China's most prominent business women")</f>
        <v>Dong Mingzhu aspirations to Forbes China's most prominent business women</v>
      </c>
      <c r="D4393" s="5" t="s">
        <v>10031</v>
      </c>
      <c r="E4393" s="4">
        <v>689851</v>
      </c>
    </row>
    <row r="4394" spans="1:6" ht="13.5" hidden="1" customHeight="1">
      <c r="A4394" s="4" t="s">
        <v>9877</v>
      </c>
      <c r="B4394" s="4" t="s">
        <v>9878</v>
      </c>
      <c r="C4394" s="4" t="str">
        <f ca="1">IFERROR(__xludf.DUMMYFUNCTION("GOOGLETRANSLATE(D:D,""auto"",""en"")"),"Flowers grandmother is gone")</f>
        <v>Flowers grandmother is gone</v>
      </c>
      <c r="D4394" s="5" t="s">
        <v>9879</v>
      </c>
      <c r="E4394" s="4">
        <v>672994</v>
      </c>
    </row>
    <row r="4395" spans="1:6" ht="13.5" customHeight="1">
      <c r="A4395" s="4" t="s">
        <v>10032</v>
      </c>
      <c r="B4395" s="4" t="s">
        <v>10033</v>
      </c>
      <c r="C4395" s="4" t="str">
        <f ca="1">IFERROR(__xludf.DUMMYFUNCTION("GOOGLETRANSLATE(D:D,""auto"",""en"")"),"Experts Sherlock Holmes-style crack epidemic clustering")</f>
        <v>Experts Sherlock Holmes-style crack epidemic clustering</v>
      </c>
      <c r="D4395" s="5" t="s">
        <v>10034</v>
      </c>
      <c r="E4395" s="4">
        <v>652326</v>
      </c>
      <c r="F4395">
        <v>1</v>
      </c>
    </row>
    <row r="4396" spans="1:6" ht="13.5" customHeight="1">
      <c r="A4396" s="4" t="s">
        <v>10035</v>
      </c>
      <c r="B4396" s="4" t="s">
        <v>9975</v>
      </c>
      <c r="C4396" s="4" t="str">
        <f ca="1">IFERROR(__xludf.DUMMYFUNCTION("GOOGLETRANSLATE(D:D,""auto"",""en"")"),"Shiyan Zhang Wan implementation of wartime control")</f>
        <v>Shiyan Zhang Wan implementation of wartime control</v>
      </c>
      <c r="D4396" s="5" t="s">
        <v>10036</v>
      </c>
      <c r="E4396" s="4">
        <v>649746</v>
      </c>
      <c r="F4396">
        <v>1</v>
      </c>
    </row>
    <row r="4397" spans="1:6" ht="13.5" hidden="1" customHeight="1">
      <c r="A4397" s="4" t="s">
        <v>10037</v>
      </c>
      <c r="B4397" s="4" t="s">
        <v>9954</v>
      </c>
      <c r="C4397" s="4" t="str">
        <f ca="1">IFERROR(__xludf.DUMMYFUNCTION("GOOGLETRANSLATE(D:D,""auto"",""en"")"),"50-year-old Michael Wong")</f>
        <v>50-year-old Michael Wong</v>
      </c>
      <c r="D4397" s="5" t="s">
        <v>10038</v>
      </c>
      <c r="E4397" s="4">
        <v>628924</v>
      </c>
    </row>
    <row r="4398" spans="1:6" ht="13.5" hidden="1" customHeight="1">
      <c r="A4398" s="4" t="s">
        <v>10039</v>
      </c>
      <c r="B4398" s="4" t="s">
        <v>10019</v>
      </c>
      <c r="C4398" s="4" t="str">
        <f ca="1">IFERROR(__xludf.DUMMYFUNCTION("GOOGLETRANSLATE(D:D,""auto"",""en"")"),"High Xiuzhen cause of death")</f>
        <v>High Xiuzhen cause of death</v>
      </c>
      <c r="D4398" s="5" t="s">
        <v>10040</v>
      </c>
      <c r="E4398" s="4">
        <v>608330</v>
      </c>
    </row>
    <row r="4399" spans="1:6" ht="13.5" customHeight="1">
      <c r="A4399" s="4" t="s">
        <v>10041</v>
      </c>
      <c r="B4399" s="4" t="s">
        <v>10042</v>
      </c>
      <c r="C4399" s="4" t="str">
        <f ca="1">IFERROR(__xludf.DUMMYFUNCTION("GOOGLETRANSLATE(D:D,""auto"",""en"")"),"Tianjin public third deaths rescue measures")</f>
        <v>Tianjin public third deaths rescue measures</v>
      </c>
      <c r="D4399" s="5" t="s">
        <v>10043</v>
      </c>
      <c r="E4399" s="4">
        <v>588296</v>
      </c>
      <c r="F4399">
        <v>1</v>
      </c>
    </row>
    <row r="4400" spans="1:6" ht="13.5" hidden="1" customHeight="1">
      <c r="A4400" s="4" t="s">
        <v>10044</v>
      </c>
      <c r="B4400" s="4" t="s">
        <v>10045</v>
      </c>
      <c r="C4400" s="4" t="str">
        <f ca="1">IFERROR(__xludf.DUMMYFUNCTION("GOOGLETRANSLATE(D:D,""auto"",""en"")"),"Outlook circle of friends equality for girls")</f>
        <v>Outlook circle of friends equality for girls</v>
      </c>
      <c r="D4400" s="5" t="s">
        <v>10046</v>
      </c>
      <c r="E4400" s="4">
        <v>578501</v>
      </c>
    </row>
    <row r="4401" spans="1:6" ht="13.5" hidden="1" customHeight="1">
      <c r="A4401" s="4" t="s">
        <v>10014</v>
      </c>
      <c r="B4401" s="4" t="s">
        <v>10003</v>
      </c>
      <c r="C4401" s="4" t="str">
        <f ca="1">IFERROR(__xludf.DUMMYFUNCTION("GOOGLETRANSLATE(D:D,""auto"",""en"")"),"Liu Shouxiang")</f>
        <v>Liu Shouxiang</v>
      </c>
      <c r="D4401" s="5" t="s">
        <v>10047</v>
      </c>
      <c r="E4401" s="4">
        <v>572535</v>
      </c>
    </row>
    <row r="4402" spans="1:6" ht="13.5" customHeight="1">
      <c r="A4402" s="4" t="s">
        <v>10048</v>
      </c>
      <c r="B4402" s="4" t="s">
        <v>10009</v>
      </c>
      <c r="C4402" s="4" t="str">
        <f ca="1">IFERROR(__xludf.DUMMYFUNCTION("GOOGLETRANSLATE(D:D,""auto"",""en"")"),"After the 95 patients with a male nurse in the ward to play ball")</f>
        <v>After the 95 patients with a male nurse in the ward to play ball</v>
      </c>
      <c r="D4402" s="5" t="s">
        <v>10049</v>
      </c>
      <c r="E4402" s="4">
        <v>534376</v>
      </c>
      <c r="F4402">
        <v>1</v>
      </c>
    </row>
    <row r="4403" spans="1:6" ht="13.5" hidden="1" customHeight="1">
      <c r="A4403" s="4" t="s">
        <v>10050</v>
      </c>
      <c r="B4403" s="4" t="s">
        <v>10051</v>
      </c>
      <c r="C4403" s="4" t="str">
        <f ca="1">IFERROR(__xludf.DUMMYFUNCTION("GOOGLETRANSLATE(D:D,""auto"",""en"")"),"Donors sons and daughters")</f>
        <v>Donors sons and daughters</v>
      </c>
      <c r="D4403" s="5" t="s">
        <v>10052</v>
      </c>
      <c r="E4403" s="4">
        <v>511662</v>
      </c>
    </row>
    <row r="4404" spans="1:6" ht="13.5" hidden="1" customHeight="1">
      <c r="A4404" s="4" t="s">
        <v>10050</v>
      </c>
      <c r="B4404" s="4" t="s">
        <v>10053</v>
      </c>
      <c r="C4404" s="4" t="str">
        <f ca="1">IFERROR(__xludf.DUMMYFUNCTION("GOOGLETRANSLATE(D:D,""auto"",""en"")"),"Open supper right")</f>
        <v>Open supper right</v>
      </c>
      <c r="D4404" s="5" t="s">
        <v>10054</v>
      </c>
      <c r="E4404" s="4">
        <v>484848</v>
      </c>
    </row>
    <row r="4405" spans="1:6" ht="13.5" hidden="1" customHeight="1">
      <c r="A4405" s="4" t="s">
        <v>10055</v>
      </c>
      <c r="B4405" s="4" t="s">
        <v>10056</v>
      </c>
      <c r="C4405" s="4" t="str">
        <f ca="1">IFERROR(__xludf.DUMMYFUNCTION("GOOGLETRANSLATE(D:D,""auto"",""en"")"),"Love and making people get")</f>
        <v>Love and making people get</v>
      </c>
      <c r="D4405" s="5" t="s">
        <v>10057</v>
      </c>
      <c r="E4405" s="4">
        <v>450951</v>
      </c>
    </row>
    <row r="4406" spans="1:6" ht="13.5" hidden="1" customHeight="1">
      <c r="A4406" s="4" t="s">
        <v>10058</v>
      </c>
      <c r="B4406" s="4" t="s">
        <v>10059</v>
      </c>
      <c r="C4406" s="4" t="str">
        <f ca="1">IFERROR(__xludf.DUMMYFUNCTION("GOOGLETRANSLATE(D:D,""auto"",""en"")"),"The United States put the world's largest fireworks")</f>
        <v>The United States put the world's largest fireworks</v>
      </c>
      <c r="D4406" s="5" t="s">
        <v>10060</v>
      </c>
      <c r="E4406" s="4">
        <v>444330</v>
      </c>
    </row>
    <row r="4407" spans="1:6" ht="13.5" customHeight="1">
      <c r="A4407" s="4" t="s">
        <v>10061</v>
      </c>
      <c r="B4407" s="4" t="s">
        <v>10062</v>
      </c>
      <c r="C4407" s="4" t="str">
        <f ca="1">IFERROR(__xludf.DUMMYFUNCTION("GOOGLETRANSLATE(D:D,""auto"",""en"")"),"Obstruction of official sentenced to 10 months epidemic")</f>
        <v>Obstruction of official sentenced to 10 months epidemic</v>
      </c>
      <c r="D4407" s="5" t="s">
        <v>10063</v>
      </c>
      <c r="E4407" s="4">
        <v>417394</v>
      </c>
      <c r="F4407">
        <v>1</v>
      </c>
    </row>
    <row r="4408" spans="1:6" ht="13.5" hidden="1" customHeight="1">
      <c r="A4408" s="4" t="s">
        <v>9911</v>
      </c>
      <c r="B4408" s="4" t="s">
        <v>9872</v>
      </c>
      <c r="C4408" s="4" t="str">
        <f ca="1">IFERROR(__xludf.DUMMYFUNCTION("GOOGLETRANSLATE(D:D,""auto"",""en"")"),"Zhang Yu Jian Tucao Song Qian red envelopes")</f>
        <v>Zhang Yu Jian Tucao Song Qian red envelopes</v>
      </c>
      <c r="D4408" s="5" t="s">
        <v>9912</v>
      </c>
      <c r="E4408" s="4">
        <v>363424</v>
      </c>
    </row>
    <row r="4409" spans="1:6" ht="13.5" customHeight="1">
      <c r="A4409" s="4" t="s">
        <v>10064</v>
      </c>
      <c r="B4409" s="4" t="s">
        <v>10065</v>
      </c>
      <c r="C4409" s="4" t="str">
        <f ca="1">IFERROR(__xludf.DUMMYFUNCTION("GOOGLETRANSLATE(D:D,""auto"",""en"")"),"Tibet for 14 consecutive days without new cases")</f>
        <v>Tibet for 14 consecutive days without new cases</v>
      </c>
      <c r="D4409" s="5" t="s">
        <v>10066</v>
      </c>
      <c r="E4409" s="4">
        <v>337235</v>
      </c>
      <c r="F4409">
        <v>1</v>
      </c>
    </row>
    <row r="4410" spans="1:6" ht="13.5" hidden="1" customHeight="1">
      <c r="A4410" s="4" t="s">
        <v>6108</v>
      </c>
      <c r="B4410" s="4" t="s">
        <v>6109</v>
      </c>
      <c r="C4410" s="4" t="str">
        <f ca="1">IFERROR(__xludf.DUMMYFUNCTION("GOOGLETRANSLATE(D:D,""auto"",""en"")"),"The next stop is happy")</f>
        <v>The next stop is happy</v>
      </c>
      <c r="D4410" s="5" t="s">
        <v>6110</v>
      </c>
      <c r="E4410" s="4">
        <v>319954</v>
      </c>
    </row>
    <row r="4411" spans="1:6" ht="13.5" hidden="1" customHeight="1">
      <c r="A4411" s="4" t="s">
        <v>9913</v>
      </c>
      <c r="B4411" s="4" t="s">
        <v>9914</v>
      </c>
      <c r="C4411" s="4" t="str">
        <f ca="1">IFERROR(__xludf.DUMMYFUNCTION("GOOGLETRANSLATE(D:D,""auto"",""en"")"),"A Rolex way back home")</f>
        <v>A Rolex way back home</v>
      </c>
      <c r="D4411" s="5" t="s">
        <v>9915</v>
      </c>
      <c r="E4411" s="4">
        <v>305118</v>
      </c>
    </row>
    <row r="4412" spans="1:6" ht="13.5" hidden="1" customHeight="1">
      <c r="A4412" s="4" t="s">
        <v>10067</v>
      </c>
      <c r="B4412" s="4" t="s">
        <v>10062</v>
      </c>
      <c r="C4412" s="4" t="str">
        <f ca="1">IFERROR(__xludf.DUMMYFUNCTION("GOOGLETRANSLATE(D:D,""auto"",""en"")"),"Sky after the rain in the end how beautiful")</f>
        <v>Sky after the rain in the end how beautiful</v>
      </c>
      <c r="D4412" s="5" t="s">
        <v>10068</v>
      </c>
      <c r="E4412" s="4">
        <v>284423</v>
      </c>
    </row>
    <row r="4413" spans="1:6" ht="13.5" hidden="1" customHeight="1">
      <c r="A4413" s="4" t="s">
        <v>9916</v>
      </c>
      <c r="B4413" s="4" t="s">
        <v>9917</v>
      </c>
      <c r="C4413" s="4" t="str">
        <f ca="1">IFERROR(__xludf.DUMMYFUNCTION("GOOGLETRANSLATE(D:D,""auto"",""en"")"),"Muzi foreign coax children live")</f>
        <v>Muzi foreign coax children live</v>
      </c>
      <c r="D4413" s="5" t="s">
        <v>9918</v>
      </c>
      <c r="E4413" s="4">
        <v>259871</v>
      </c>
    </row>
    <row r="4414" spans="1:6" ht="13.5" customHeight="1">
      <c r="A4414" s="4" t="s">
        <v>10069</v>
      </c>
      <c r="B4414" s="4" t="s">
        <v>10070</v>
      </c>
      <c r="C4414" s="4" t="str">
        <f ca="1">IFERROR(__xludf.DUMMYFUNCTION("GOOGLETRANSLATE(D:D,""auto"",""en"")"),"12 May 1485 New Hubei people rush to the rescue")</f>
        <v>12 May 1485 New Hubei people rush to the rescue</v>
      </c>
      <c r="D4414" s="5" t="s">
        <v>10071</v>
      </c>
      <c r="E4414" s="4">
        <v>222049</v>
      </c>
      <c r="F4414">
        <v>1</v>
      </c>
    </row>
    <row r="4415" spans="1:6" ht="13.5" customHeight="1">
      <c r="A4415" s="4" t="s">
        <v>9946</v>
      </c>
      <c r="B4415" s="4" t="s">
        <v>9957</v>
      </c>
      <c r="C4415" s="4" t="str">
        <f ca="1">IFERROR(__xludf.DUMMYFUNCTION("GOOGLETRANSLATE(D:D,""auto"",""en"")"),"State Council executive meeting to prevent mass layoffs")</f>
        <v>State Council executive meeting to prevent mass layoffs</v>
      </c>
      <c r="D4415" s="5" t="s">
        <v>9958</v>
      </c>
      <c r="E4415" s="4">
        <v>219977</v>
      </c>
      <c r="F4415">
        <v>1</v>
      </c>
    </row>
    <row r="4416" spans="1:6" ht="13.5" customHeight="1">
      <c r="A4416" s="4" t="s">
        <v>10069</v>
      </c>
      <c r="B4416" s="4" t="s">
        <v>10072</v>
      </c>
      <c r="C4416" s="4" t="str">
        <f ca="1">IFERROR(__xludf.DUMMYFUNCTION("GOOGLETRANSLATE(D:D,""auto"",""en"")"),"Mobile World Congress canceled")</f>
        <v>Mobile World Congress canceled</v>
      </c>
      <c r="D4416" s="5" t="s">
        <v>10073</v>
      </c>
      <c r="E4416" s="4">
        <v>219273</v>
      </c>
      <c r="F4416">
        <v>1</v>
      </c>
    </row>
    <row r="4417" spans="1:6" ht="13.5" hidden="1" customHeight="1">
      <c r="A4417" s="4" t="s">
        <v>9925</v>
      </c>
      <c r="B4417" s="4" t="s">
        <v>9926</v>
      </c>
      <c r="C4417" s="4" t="str">
        <f ca="1">IFERROR(__xludf.DUMMYFUNCTION("GOOGLETRANSLATE(D:D,""auto"",""en"")"),"Never expected this wish come true")</f>
        <v>Never expected this wish come true</v>
      </c>
      <c r="D4417" s="5" t="s">
        <v>9927</v>
      </c>
      <c r="E4417" s="4">
        <v>218629</v>
      </c>
    </row>
    <row r="4418" spans="1:6" ht="13.5" customHeight="1">
      <c r="A4418" s="4" t="s">
        <v>9871</v>
      </c>
      <c r="B4418" s="4" t="s">
        <v>9872</v>
      </c>
      <c r="C4418" s="4" t="str">
        <f ca="1">IFERROR(__xludf.DUMMYFUNCTION("GOOGLETRANSLATE(D:D,""auto"",""en"")"),"Zhang stream waves all disinfectants are effective against the new virus crown")</f>
        <v>Zhang stream waves all disinfectants are effective against the new virus crown</v>
      </c>
      <c r="D4418" s="5" t="s">
        <v>9873</v>
      </c>
      <c r="E4418" s="4">
        <v>172039</v>
      </c>
      <c r="F4418">
        <v>1</v>
      </c>
    </row>
    <row r="4419" spans="1:6" ht="13.5" customHeight="1">
      <c r="A4419" s="4" t="s">
        <v>9922</v>
      </c>
      <c r="B4419" s="4" t="s">
        <v>9934</v>
      </c>
      <c r="C4419" s="4" t="str">
        <f ca="1">IFERROR(__xludf.DUMMYFUNCTION("GOOGLETRANSLATE(D:D,""auto"",""en"")"),"A person picking up a whole production line")</f>
        <v>A person picking up a whole production line</v>
      </c>
      <c r="D4419" s="5" t="s">
        <v>9935</v>
      </c>
      <c r="E4419" s="4">
        <v>151434</v>
      </c>
      <c r="F4419">
        <v>1</v>
      </c>
    </row>
    <row r="4420" spans="1:6" ht="13.5" hidden="1" customHeight="1">
      <c r="A4420" s="4" t="s">
        <v>9931</v>
      </c>
      <c r="B4420" s="4" t="s">
        <v>9932</v>
      </c>
      <c r="C4420" s="4" t="str">
        <f ca="1">IFERROR(__xludf.DUMMYFUNCTION("GOOGLETRANSLATE(D:D,""auto"",""en"")"),"Valentine's Day gifts Ratings List")</f>
        <v>Valentine's Day gifts Ratings List</v>
      </c>
      <c r="D4420" s="5" t="s">
        <v>9933</v>
      </c>
      <c r="E4420" s="4">
        <v>143470</v>
      </c>
    </row>
    <row r="4421" spans="1:6" ht="13.5" hidden="1" customHeight="1">
      <c r="A4421" s="4" t="s">
        <v>9922</v>
      </c>
      <c r="B4421" s="4" t="s">
        <v>9923</v>
      </c>
      <c r="C4421" s="4" t="str">
        <f ca="1">IFERROR(__xludf.DUMMYFUNCTION("GOOGLETRANSLATE(D:D,""auto"",""en"")"),"The original physical education Terrier is true")</f>
        <v>The original physical education Terrier is true</v>
      </c>
      <c r="D4421" s="5" t="s">
        <v>9924</v>
      </c>
      <c r="E4421" s="4">
        <v>134983</v>
      </c>
    </row>
    <row r="4422" spans="1:6" ht="13.5" hidden="1" customHeight="1">
      <c r="A4422" s="4" t="s">
        <v>9880</v>
      </c>
      <c r="B4422" s="4" t="s">
        <v>9881</v>
      </c>
      <c r="C4422" s="4" t="str">
        <f ca="1">IFERROR(__xludf.DUMMYFUNCTION("GOOGLETRANSLATE(D:D,""auto"",""en"")"),"Yang distressed rain")</f>
        <v>Yang distressed rain</v>
      </c>
      <c r="D4422" s="5" t="s">
        <v>9882</v>
      </c>
      <c r="E4422" s="4">
        <v>130295</v>
      </c>
    </row>
    <row r="4423" spans="1:6" ht="13.5" hidden="1" customHeight="1">
      <c r="A4423" s="4" t="s">
        <v>9946</v>
      </c>
      <c r="B4423" s="4" t="s">
        <v>9947</v>
      </c>
      <c r="C4423" s="4" t="str">
        <f ca="1">IFERROR(__xludf.DUMMYFUNCTION("GOOGLETRANSLATE(D:D,""auto"",""en"")"),"Japan, sing the Chinese national anthem Ballet")</f>
        <v>Japan, sing the Chinese national anthem Ballet</v>
      </c>
      <c r="D4423" s="5" t="s">
        <v>9948</v>
      </c>
      <c r="E4423" s="4">
        <v>125187</v>
      </c>
    </row>
    <row r="4424" spans="1:6" ht="13.5" customHeight="1">
      <c r="A4424" s="4" t="s">
        <v>10074</v>
      </c>
      <c r="B4424" s="4" t="s">
        <v>10075</v>
      </c>
      <c r="C4424" s="4" t="str">
        <f ca="1">IFERROR(__xludf.DUMMYFUNCTION("GOOGLETRANSLATE(D:D,""auto"",""en"")"),"316 medical teams rush to the rescue Heilongjiang Xiaogan")</f>
        <v>316 medical teams rush to the rescue Heilongjiang Xiaogan</v>
      </c>
      <c r="D4424" s="5" t="s">
        <v>10076</v>
      </c>
      <c r="E4424" s="4">
        <v>116289</v>
      </c>
      <c r="F4424">
        <v>1</v>
      </c>
    </row>
    <row r="4425" spans="1:6" ht="13.5" hidden="1" customHeight="1">
      <c r="A4425" s="4" t="s">
        <v>9895</v>
      </c>
      <c r="B4425" s="4" t="s">
        <v>9896</v>
      </c>
      <c r="C4425" s="4" t="str">
        <f ca="1">IFERROR(__xludf.DUMMYFUNCTION("GOOGLETRANSLATE(D:D,""auto"",""en"")"),"Song Yuan Tucao He stars")</f>
        <v>Song Yuan Tucao He stars</v>
      </c>
      <c r="D4425" s="5" t="s">
        <v>9897</v>
      </c>
      <c r="E4425" s="4">
        <v>113167</v>
      </c>
    </row>
    <row r="4426" spans="1:6" ht="13.5" customHeight="1">
      <c r="A4426" s="4" t="s">
        <v>9936</v>
      </c>
      <c r="B4426" s="4" t="s">
        <v>9937</v>
      </c>
      <c r="C4426" s="4" t="str">
        <f ca="1">IFERROR(__xludf.DUMMYFUNCTION("GOOGLETRANSLATE(D:D,""auto"",""en"")"),"Jie Ke Go Live teach")</f>
        <v>Jie Ke Go Live teach</v>
      </c>
      <c r="D4426" s="5" t="s">
        <v>9938</v>
      </c>
      <c r="E4426" s="4">
        <v>107057</v>
      </c>
      <c r="F4426">
        <v>1</v>
      </c>
    </row>
    <row r="4427" spans="1:6" ht="13.5" hidden="1" customHeight="1">
      <c r="A4427" s="4" t="s">
        <v>9868</v>
      </c>
      <c r="B4427" s="4" t="s">
        <v>9869</v>
      </c>
      <c r="C4427" s="4" t="str">
        <f ca="1">IFERROR(__xludf.DUMMYFUNCTION("GOOGLETRANSLATE(D:D,""auto"",""en"")"),"Lu died park")</f>
        <v>Lu died park</v>
      </c>
      <c r="D4427" s="5" t="s">
        <v>9870</v>
      </c>
      <c r="E4427" s="4">
        <v>105037</v>
      </c>
    </row>
    <row r="4428" spans="1:6" ht="13.5" hidden="1" customHeight="1">
      <c r="A4428" s="4" t="s">
        <v>9936</v>
      </c>
      <c r="B4428" s="4" t="s">
        <v>9944</v>
      </c>
      <c r="C4428" s="4" t="str">
        <f ca="1">IFERROR(__xludf.DUMMYFUNCTION("GOOGLETRANSLATE(D:D,""auto"",""en"")"),"Taking a Valentine's Day date makeup")</f>
        <v>Taking a Valentine's Day date makeup</v>
      </c>
      <c r="D4428" s="5" t="s">
        <v>9945</v>
      </c>
      <c r="E4428" s="4">
        <v>101630</v>
      </c>
    </row>
    <row r="4429" spans="1:6" ht="13.5" customHeight="1">
      <c r="A4429" s="4" t="s">
        <v>9939</v>
      </c>
      <c r="B4429" s="4" t="s">
        <v>9940</v>
      </c>
      <c r="C4429" s="4" t="str">
        <f ca="1">IFERROR(__xludf.DUMMYFUNCTION("GOOGLETRANSLATE(D:D,""auto"",""en"")"),"Net working class, the teacher checks the way")</f>
        <v>Net working class, the teacher checks the way</v>
      </c>
      <c r="D4429" s="5" t="s">
        <v>9941</v>
      </c>
      <c r="E4429" s="4">
        <v>98781</v>
      </c>
      <c r="F4429">
        <v>1</v>
      </c>
    </row>
    <row r="4430" spans="1:6" ht="13.5" customHeight="1">
      <c r="A4430" s="4" t="s">
        <v>9939</v>
      </c>
      <c r="B4430" s="4" t="s">
        <v>9952</v>
      </c>
      <c r="C4430" s="4" t="str">
        <f ca="1">IFERROR(__xludf.DUMMYFUNCTION("GOOGLETRANSLATE(D:D,""auto"",""en"")"),"Real working front-line state of health care")</f>
        <v>Real working front-line state of health care</v>
      </c>
      <c r="D4430" s="5" t="s">
        <v>9953</v>
      </c>
      <c r="E4430" s="4">
        <v>89720</v>
      </c>
      <c r="F4430">
        <v>1</v>
      </c>
    </row>
    <row r="4431" spans="1:6" ht="13.5" hidden="1" customHeight="1">
      <c r="A4431" s="4" t="s">
        <v>9883</v>
      </c>
      <c r="B4431" s="4" t="s">
        <v>9884</v>
      </c>
      <c r="C4431" s="4" t="str">
        <f ca="1">IFERROR(__xludf.DUMMYFUNCTION("GOOGLETRANSLATE(D:D,""auto"",""en"")"),"Li Zi Meng bow to read my statement")</f>
        <v>Li Zi Meng bow to read my statement</v>
      </c>
      <c r="D4431" s="5" t="s">
        <v>9885</v>
      </c>
      <c r="E4431" s="4">
        <v>63340</v>
      </c>
    </row>
    <row r="4432" spans="1:6" ht="13.5" hidden="1" customHeight="1">
      <c r="C4432" s="4" t="str">
        <f ca="1">IFERROR(__xludf.DUMMYFUNCTION("GOOGLETRANSLATE(D:D,""auto"",""en"")"),"#VALUE!")</f>
        <v>#VALUE!</v>
      </c>
    </row>
    <row r="4433" spans="1:6" ht="13.5" customHeight="1">
      <c r="A4433" s="4" t="s">
        <v>10077</v>
      </c>
      <c r="B4433" s="4" t="s">
        <v>10078</v>
      </c>
      <c r="C4433" s="4" t="str">
        <f ca="1">IFERROR(__xludf.DUMMYFUNCTION("GOOGLETRANSLATE(D:D,""auto"",""en"")"),"Wuhan is not to find out the number of infections")</f>
        <v>Wuhan is not to find out the number of infections</v>
      </c>
      <c r="D4433" s="4" t="s">
        <v>10079</v>
      </c>
      <c r="E4433" s="4">
        <v>2741467</v>
      </c>
      <c r="F4433">
        <v>1</v>
      </c>
    </row>
    <row r="4434" spans="1:6" ht="13.5" customHeight="1">
      <c r="A4434" s="4" t="s">
        <v>10080</v>
      </c>
      <c r="B4434" s="4" t="s">
        <v>10081</v>
      </c>
      <c r="C4434" s="4" t="str">
        <f ca="1">IFERROR(__xludf.DUMMYFUNCTION("GOOGLETRANSLATE(D:D,""auto"",""en"")"),"Jinyintan hospital rehabilitation of patients kindly donated plasma")</f>
        <v>Jinyintan hospital rehabilitation of patients kindly donated plasma</v>
      </c>
      <c r="D4434" s="5" t="s">
        <v>10082</v>
      </c>
      <c r="E4434" s="4">
        <v>2526902</v>
      </c>
      <c r="F4434">
        <v>1</v>
      </c>
    </row>
    <row r="4435" spans="1:6" ht="13.5" customHeight="1">
      <c r="A4435" s="4" t="s">
        <v>10083</v>
      </c>
      <c r="B4435" s="4" t="s">
        <v>10081</v>
      </c>
      <c r="C4435" s="4" t="str">
        <f ca="1">IFERROR(__xludf.DUMMYFUNCTION("GOOGLETRANSLATE(D:D,""auto"",""en"")"),"Tong Zhaohui new crown pneumonia SARS disease progress faster than")</f>
        <v>Tong Zhaohui new crown pneumonia SARS disease progress faster than</v>
      </c>
      <c r="D4435" s="5" t="s">
        <v>10084</v>
      </c>
      <c r="E4435" s="4">
        <v>2526448</v>
      </c>
      <c r="F4435">
        <v>1</v>
      </c>
    </row>
    <row r="4436" spans="1:6" ht="13.5" hidden="1" customHeight="1">
      <c r="A4436" s="4" t="s">
        <v>10085</v>
      </c>
      <c r="B4436" s="4" t="s">
        <v>10086</v>
      </c>
      <c r="C4436" s="4" t="str">
        <f ca="1">IFERROR(__xludf.DUMMYFUNCTION("GOOGLETRANSLATE(D:D,""auto"",""en"")"),"Leroy entertainment Statement")</f>
        <v>Leroy entertainment Statement</v>
      </c>
      <c r="D4436" s="5" t="s">
        <v>10087</v>
      </c>
      <c r="E4436" s="4">
        <v>2526445</v>
      </c>
    </row>
    <row r="4437" spans="1:6" ht="13.5" hidden="1" customHeight="1">
      <c r="A4437" s="4" t="s">
        <v>10088</v>
      </c>
      <c r="B4437" s="4" t="s">
        <v>10089</v>
      </c>
      <c r="C4437" s="4" t="str">
        <f ca="1">IFERROR(__xludf.DUMMYFUNCTION("GOOGLETRANSLATE(D:D,""auto"",""en"")"),"Huang Yali help sister Starchaser Wang Yibo")</f>
        <v>Huang Yali help sister Starchaser Wang Yibo</v>
      </c>
      <c r="D4437" s="5" t="s">
        <v>10090</v>
      </c>
      <c r="E4437" s="4">
        <v>2526443</v>
      </c>
    </row>
    <row r="4438" spans="1:6" ht="13.5" hidden="1" customHeight="1">
      <c r="A4438" s="4" t="s">
        <v>10091</v>
      </c>
      <c r="B4438" s="4" t="s">
        <v>10092</v>
      </c>
      <c r="C4438" s="4" t="str">
        <f ca="1">IFERROR(__xludf.DUMMYFUNCTION("GOOGLETRANSLATE(D:D,""auto"",""en"")"),"Huang Zhibo")</f>
        <v>Huang Zhibo</v>
      </c>
      <c r="D4438" s="5" t="s">
        <v>10093</v>
      </c>
      <c r="E4438" s="4">
        <v>1999714</v>
      </c>
    </row>
    <row r="4439" spans="1:6" ht="13.5" customHeight="1">
      <c r="A4439" s="4" t="s">
        <v>10094</v>
      </c>
      <c r="B4439" s="4" t="s">
        <v>10095</v>
      </c>
      <c r="C4439" s="4" t="str">
        <f ca="1">IFERROR(__xludf.DUMMYFUNCTION("GOOGLETRANSLATE(D:D,""auto"",""en"")"),"Zhang Fu likely to move to other virus transmission appear")</f>
        <v>Zhang Fu likely to move to other virus transmission appear</v>
      </c>
      <c r="D4439" s="5" t="s">
        <v>10096</v>
      </c>
      <c r="E4439" s="4">
        <v>1645849</v>
      </c>
      <c r="F4439">
        <v>1</v>
      </c>
    </row>
    <row r="4440" spans="1:6" ht="13.5" hidden="1" customHeight="1">
      <c r="A4440" s="4" t="s">
        <v>10097</v>
      </c>
      <c r="B4440" s="4" t="s">
        <v>10098</v>
      </c>
      <c r="C4440" s="4" t="str">
        <f ca="1">IFERROR(__xludf.DUMMYFUNCTION("GOOGLETRANSLATE(D:D,""auto"",""en"")"),"He again refused stars yuan Song")</f>
        <v>He again refused stars yuan Song</v>
      </c>
      <c r="D4440" s="5" t="s">
        <v>10099</v>
      </c>
      <c r="E4440" s="4">
        <v>1365536</v>
      </c>
    </row>
    <row r="4441" spans="1:6" ht="13.5" hidden="1" customHeight="1">
      <c r="A4441" s="4" t="s">
        <v>10100</v>
      </c>
      <c r="B4441" s="4" t="s">
        <v>10101</v>
      </c>
      <c r="C4441" s="4" t="str">
        <f ca="1">IFERROR(__xludf.DUMMYFUNCTION("GOOGLETRANSLATE(D:D,""auto"",""en"")"),"Little Red Coat seventeen")</f>
        <v>Little Red Coat seventeen</v>
      </c>
      <c r="D4441" s="5" t="s">
        <v>10102</v>
      </c>
      <c r="E4441" s="4">
        <v>1006940</v>
      </c>
    </row>
    <row r="4442" spans="1:6" ht="13.5" hidden="1" customHeight="1">
      <c r="A4442" s="4" t="s">
        <v>10103</v>
      </c>
      <c r="B4442" s="4" t="s">
        <v>10086</v>
      </c>
      <c r="C4442" s="4" t="str">
        <f ca="1">IFERROR(__xludf.DUMMYFUNCTION("GOOGLETRANSLATE(D:D,""auto"",""en"")"),"Cai Minmin He Canyang and uncle to make money")</f>
        <v>Cai Minmin He Canyang and uncle to make money</v>
      </c>
      <c r="D4442" s="5" t="s">
        <v>10104</v>
      </c>
      <c r="E4442" s="4">
        <v>962857</v>
      </c>
    </row>
    <row r="4443" spans="1:6" ht="13.5" customHeight="1">
      <c r="A4443" s="4" t="s">
        <v>10105</v>
      </c>
      <c r="B4443" s="4" t="s">
        <v>10106</v>
      </c>
      <c r="C4443" s="4" t="str">
        <f ca="1">IFERROR(__xludf.DUMMYFUNCTION("GOOGLETRANSLATE(D:D,""auto"",""en"")"),"6 hair masks sell one yuan purchase price will be fined restart the survey")</f>
        <v>6 hair masks sell one yuan purchase price will be fined restart the survey</v>
      </c>
      <c r="D4443" s="5" t="s">
        <v>10107</v>
      </c>
      <c r="E4443" s="4">
        <v>960021</v>
      </c>
      <c r="F4443">
        <v>1</v>
      </c>
    </row>
    <row r="4444" spans="1:6" ht="13.5" hidden="1" customHeight="1">
      <c r="A4444" s="4" t="s">
        <v>10108</v>
      </c>
      <c r="B4444" s="4" t="s">
        <v>10109</v>
      </c>
      <c r="C4444" s="4" t="str">
        <f ca="1">IFERROR(__xludf.DUMMYFUNCTION("GOOGLETRANSLATE(D:D,""auto"",""en"")"),"Rebels of the Ivory Hill came into the world")</f>
        <v>Rebels of the Ivory Hill came into the world</v>
      </c>
      <c r="D4444" s="5" t="s">
        <v>10110</v>
      </c>
      <c r="E4444" s="4">
        <v>917816</v>
      </c>
    </row>
    <row r="4445" spans="1:6" ht="13.5" hidden="1" customHeight="1">
      <c r="A4445" s="4" t="s">
        <v>10111</v>
      </c>
      <c r="B4445" s="4" t="s">
        <v>10112</v>
      </c>
      <c r="C4445" s="4" t="str">
        <f ca="1">IFERROR(__xludf.DUMMYFUNCTION("GOOGLETRANSLATE(D:D,""auto"",""en"")"),"Lee Jun Zhuang the")</f>
        <v>Lee Jun Zhuang the</v>
      </c>
      <c r="D4445" s="5" t="s">
        <v>10113</v>
      </c>
      <c r="E4445" s="4">
        <v>913864</v>
      </c>
    </row>
    <row r="4446" spans="1:6" ht="13.5" customHeight="1">
      <c r="A4446" s="4" t="s">
        <v>10114</v>
      </c>
      <c r="B4446" s="4" t="s">
        <v>10115</v>
      </c>
      <c r="C4446" s="4" t="str">
        <f ca="1">IFERROR(__xludf.DUMMYFUNCTION("GOOGLETRANSLATE(D:D,""auto"",""en"")"),"Xiaogan Huanggang, Wuhan and other places to take the same measures")</f>
        <v>Xiaogan Huanggang, Wuhan and other places to take the same measures</v>
      </c>
      <c r="D4446" s="5" t="s">
        <v>10116</v>
      </c>
      <c r="E4446" s="4">
        <v>871910</v>
      </c>
      <c r="F4446">
        <v>1</v>
      </c>
    </row>
    <row r="4447" spans="1:6" ht="13.5" customHeight="1">
      <c r="A4447" s="4" t="s">
        <v>10117</v>
      </c>
      <c r="B4447" s="4" t="s">
        <v>10118</v>
      </c>
      <c r="C4447" s="4" t="str">
        <f ca="1">IFERROR(__xludf.DUMMYFUNCTION("GOOGLETRANSLATE(D:D,""auto"",""en"")"),"The national total of 59,804 cases of pneumonia diagnosed with the new crown")</f>
        <v>The national total of 59,804 cases of pneumonia diagnosed with the new crown</v>
      </c>
      <c r="D4447" s="5" t="s">
        <v>10119</v>
      </c>
      <c r="E4447" s="4">
        <v>865655</v>
      </c>
      <c r="F4447">
        <v>1</v>
      </c>
    </row>
    <row r="4448" spans="1:6" ht="13.5" customHeight="1">
      <c r="A4448" s="4" t="s">
        <v>5761</v>
      </c>
      <c r="B4448" s="4" t="s">
        <v>10120</v>
      </c>
      <c r="C4448" s="4" t="str">
        <f ca="1">IFERROR(__xludf.DUMMYFUNCTION("GOOGLETRANSLATE(D:D,""auto"",""en"")"),"Bieber contributions to China")</f>
        <v>Bieber contributions to China</v>
      </c>
      <c r="D4448" s="5" t="s">
        <v>10121</v>
      </c>
      <c r="E4448" s="4">
        <v>828913</v>
      </c>
      <c r="F4448">
        <v>1</v>
      </c>
    </row>
    <row r="4449" spans="1:6" ht="13.5" hidden="1" customHeight="1">
      <c r="A4449" s="4" t="s">
        <v>10122</v>
      </c>
      <c r="B4449" s="4" t="s">
        <v>10123</v>
      </c>
      <c r="C4449" s="4" t="str">
        <f ca="1">IFERROR(__xludf.DUMMYFUNCTION("GOOGLETRANSLATE(D:D,""auto"",""en"")"),"Kenny Shen")</f>
        <v>Kenny Shen</v>
      </c>
      <c r="D4449" s="5" t="s">
        <v>10124</v>
      </c>
      <c r="E4449" s="4">
        <v>810860</v>
      </c>
    </row>
    <row r="4450" spans="1:6" ht="13.5" hidden="1" customHeight="1">
      <c r="A4450" s="4" t="s">
        <v>10125</v>
      </c>
      <c r="B4450" s="4" t="s">
        <v>10126</v>
      </c>
      <c r="C4450" s="4" t="str">
        <f ca="1">IFERROR(__xludf.DUMMYFUNCTION("GOOGLETRANSLATE(D:D,""auto"",""en"")"),"Sister pig imitation makeup")</f>
        <v>Sister pig imitation makeup</v>
      </c>
      <c r="D4450" s="5" t="s">
        <v>10127</v>
      </c>
      <c r="E4450" s="4">
        <v>786679</v>
      </c>
    </row>
    <row r="4451" spans="1:6" ht="13.5" hidden="1" customHeight="1">
      <c r="A4451" s="4" t="s">
        <v>10128</v>
      </c>
      <c r="B4451" s="4" t="s">
        <v>10129</v>
      </c>
      <c r="C4451" s="4" t="str">
        <f ca="1">IFERROR(__xludf.DUMMYFUNCTION("GOOGLETRANSLATE(D:D,""auto"",""en"")"),"Northwestern University Exam")</f>
        <v>Northwestern University Exam</v>
      </c>
      <c r="D4451" s="5" t="s">
        <v>10130</v>
      </c>
      <c r="E4451" s="4">
        <v>777073</v>
      </c>
    </row>
    <row r="4452" spans="1:6" ht="13.5" hidden="1" customHeight="1">
      <c r="A4452" s="4" t="s">
        <v>10131</v>
      </c>
      <c r="B4452" s="4" t="s">
        <v>10132</v>
      </c>
      <c r="C4452" s="4" t="str">
        <f ca="1">IFERROR(__xludf.DUMMYFUNCTION("GOOGLETRANSLATE(D:D,""auto"",""en"")"),"India, a large number of men molesting students break girls'")</f>
        <v>India, a large number of men molesting students break girls'</v>
      </c>
      <c r="D4452" s="5" t="s">
        <v>10133</v>
      </c>
      <c r="E4452" s="4">
        <v>772049</v>
      </c>
    </row>
    <row r="4453" spans="1:6" ht="13.5" hidden="1" customHeight="1">
      <c r="A4453" s="4" t="s">
        <v>10134</v>
      </c>
      <c r="B4453" s="4" t="s">
        <v>10132</v>
      </c>
      <c r="C4453" s="4" t="str">
        <f ca="1">IFERROR(__xludf.DUMMYFUNCTION("GOOGLETRANSLATE(D:D,""auto"",""en"")"),"Tung Wah Fung saw nine bathing")</f>
        <v>Tung Wah Fung saw nine bathing</v>
      </c>
      <c r="D4453" s="5" t="s">
        <v>10135</v>
      </c>
      <c r="E4453" s="4">
        <v>770305</v>
      </c>
    </row>
    <row r="4454" spans="1:6" ht="13.5" hidden="1" customHeight="1">
      <c r="A4454" s="4" t="s">
        <v>5761</v>
      </c>
      <c r="B4454" s="4" t="s">
        <v>10120</v>
      </c>
      <c r="C4454" s="4" t="str">
        <f ca="1">IFERROR(__xludf.DUMMYFUNCTION("GOOGLETRANSLATE(D:D,""auto"",""en"")"),"Only men have the tacit understanding between")</f>
        <v>Only men have the tacit understanding between</v>
      </c>
      <c r="D4454" s="5" t="s">
        <v>10136</v>
      </c>
      <c r="E4454" s="4">
        <v>769591</v>
      </c>
    </row>
    <row r="4455" spans="1:6" ht="13.5" hidden="1" customHeight="1">
      <c r="A4455" s="4" t="s">
        <v>9021</v>
      </c>
      <c r="B4455" s="4" t="s">
        <v>9022</v>
      </c>
      <c r="C4455" s="4" t="str">
        <f ca="1">IFERROR(__xludf.DUMMYFUNCTION("GOOGLETRANSLATE(D:D,""auto"",""en"")"),"Li Jiaqi live")</f>
        <v>Li Jiaqi live</v>
      </c>
      <c r="D4455" s="5" t="s">
        <v>9023</v>
      </c>
      <c r="E4455" s="4">
        <v>765250</v>
      </c>
    </row>
    <row r="4456" spans="1:6" ht="13.5" customHeight="1">
      <c r="A4456" s="4" t="s">
        <v>10137</v>
      </c>
      <c r="B4456" s="4" t="s">
        <v>10138</v>
      </c>
      <c r="C4456" s="4" t="str">
        <f ca="1">IFERROR(__xludf.DUMMYFUNCTION("GOOGLETRANSLATE(D:D,""auto"",""en"")"),"A seven relatives do not care about all diagnosed infections")</f>
        <v>A seven relatives do not care about all diagnosed infections</v>
      </c>
      <c r="D4456" s="5" t="s">
        <v>10139</v>
      </c>
      <c r="E4456" s="4">
        <v>730695</v>
      </c>
      <c r="F4456">
        <v>1</v>
      </c>
    </row>
    <row r="4457" spans="1:6" ht="13.5" customHeight="1">
      <c r="A4457" s="4" t="s">
        <v>10140</v>
      </c>
      <c r="B4457" s="4" t="s">
        <v>10141</v>
      </c>
      <c r="C4457" s="4" t="str">
        <f ca="1">IFERROR(__xludf.DUMMYFUNCTION("GOOGLETRANSLATE(D:D,""auto"",""en"")"),"Conditions do not allow my house")</f>
        <v>Conditions do not allow my house</v>
      </c>
      <c r="D4457" s="5" t="s">
        <v>10142</v>
      </c>
      <c r="E4457" s="4">
        <v>698491</v>
      </c>
      <c r="F4457">
        <v>1</v>
      </c>
    </row>
    <row r="4458" spans="1:6" ht="13.5" hidden="1" customHeight="1">
      <c r="A4458" s="4" t="s">
        <v>8343</v>
      </c>
      <c r="B4458" s="4" t="s">
        <v>8344</v>
      </c>
      <c r="C4458" s="4" t="str">
        <f ca="1">IFERROR(__xludf.DUMMYFUNCTION("GOOGLETRANSLATE(D:D,""auto"",""en"")"),"The next stop is happy trailer")</f>
        <v>The next stop is happy trailer</v>
      </c>
      <c r="D4458" s="5" t="s">
        <v>8345</v>
      </c>
      <c r="E4458" s="4">
        <v>676821</v>
      </c>
    </row>
    <row r="4459" spans="1:6" ht="13.5" customHeight="1">
      <c r="A4459" s="4" t="s">
        <v>10143</v>
      </c>
      <c r="B4459" s="4" t="s">
        <v>10144</v>
      </c>
      <c r="C4459" s="4" t="str">
        <f ca="1">IFERROR(__xludf.DUMMYFUNCTION("GOOGLETRANSLATE(D:D,""auto"",""en"")"),"Watercolorist Liushou Xiang died of pneumonia because of the new crown")</f>
        <v>Watercolorist Liushou Xiang died of pneumonia because of the new crown</v>
      </c>
      <c r="D4459" s="5" t="s">
        <v>10145</v>
      </c>
      <c r="E4459" s="4">
        <v>557492</v>
      </c>
      <c r="F4459">
        <v>1</v>
      </c>
    </row>
    <row r="4460" spans="1:6" ht="13.5" customHeight="1">
      <c r="A4460" s="4" t="s">
        <v>10146</v>
      </c>
      <c r="B4460" s="4" t="s">
        <v>10147</v>
      </c>
      <c r="C4460" s="4" t="str">
        <f ca="1">IFERROR(__xludf.DUMMYFUNCTION("GOOGLETRANSLATE(D:D,""auto"",""en"")"),"Strengthen the work of guidance, Hubei and Wuhan discipline inspection")</f>
        <v>Strengthen the work of guidance, Hubei and Wuhan discipline inspection</v>
      </c>
      <c r="D4460" s="5" t="s">
        <v>10148</v>
      </c>
      <c r="E4460" s="4">
        <v>532727</v>
      </c>
      <c r="F4460">
        <v>1</v>
      </c>
    </row>
    <row r="4461" spans="1:6" ht="13.5" hidden="1" customHeight="1">
      <c r="A4461" s="4" t="s">
        <v>10105</v>
      </c>
      <c r="B4461" s="4" t="s">
        <v>10138</v>
      </c>
      <c r="C4461" s="4" t="str">
        <f ca="1">IFERROR(__xludf.DUMMYFUNCTION("GOOGLETRANSLATE(D:D,""auto"",""en"")"),"Postpone part of vocational qualification examination registration")</f>
        <v>Postpone part of vocational qualification examination registration</v>
      </c>
      <c r="D4461" s="5" t="s">
        <v>10149</v>
      </c>
      <c r="E4461" s="4">
        <v>526439</v>
      </c>
    </row>
    <row r="4462" spans="1:6" ht="13.5" hidden="1" customHeight="1">
      <c r="A4462" s="4" t="s">
        <v>10150</v>
      </c>
      <c r="B4462" s="4" t="s">
        <v>10151</v>
      </c>
      <c r="C4462" s="4" t="str">
        <f ca="1">IFERROR(__xludf.DUMMYFUNCTION("GOOGLETRANSLATE(D:D,""auto"",""en"")"),"Concert propose how romantic")</f>
        <v>Concert propose how romantic</v>
      </c>
      <c r="D4462" s="5" t="s">
        <v>10152</v>
      </c>
      <c r="E4462" s="4">
        <v>526198</v>
      </c>
    </row>
    <row r="4463" spans="1:6" ht="13.5" hidden="1" customHeight="1">
      <c r="A4463" s="4" t="s">
        <v>10153</v>
      </c>
      <c r="B4463" s="4" t="s">
        <v>10154</v>
      </c>
      <c r="C4463" s="4" t="str">
        <f ca="1">IFERROR(__xludf.DUMMYFUNCTION("GOOGLETRANSLATE(D:D,""auto"",""en"")"),"AXX powerful")</f>
        <v>AXX powerful</v>
      </c>
      <c r="D4463" s="5" t="s">
        <v>10155</v>
      </c>
      <c r="E4463" s="4">
        <v>523997</v>
      </c>
    </row>
    <row r="4464" spans="1:6" ht="13.5" customHeight="1">
      <c r="A4464" s="4" t="s">
        <v>10156</v>
      </c>
      <c r="B4464" s="4" t="s">
        <v>10157</v>
      </c>
      <c r="C4464" s="4" t="str">
        <f ca="1">IFERROR(__xludf.DUMMYFUNCTION("GOOGLETRANSLATE(D:D,""auto"",""en"")"),"Guangxi before March 1 can not school")</f>
        <v>Guangxi before March 1 can not school</v>
      </c>
      <c r="D4464" s="5" t="s">
        <v>10158</v>
      </c>
      <c r="E4464" s="4">
        <v>495213</v>
      </c>
      <c r="F4464">
        <v>1</v>
      </c>
    </row>
    <row r="4465" spans="1:6" ht="13.5" hidden="1" customHeight="1">
      <c r="A4465" s="4" t="s">
        <v>10143</v>
      </c>
      <c r="B4465" s="4" t="s">
        <v>10159</v>
      </c>
      <c r="C4465" s="4" t="str">
        <f ca="1">IFERROR(__xludf.DUMMYFUNCTION("GOOGLETRANSLATE(D:D,""auto"",""en"")"),"Before the holiday and the holiday of difference")</f>
        <v>Before the holiday and the holiday of difference</v>
      </c>
      <c r="D4465" s="5" t="s">
        <v>10160</v>
      </c>
      <c r="E4465" s="4">
        <v>473488</v>
      </c>
    </row>
    <row r="4466" spans="1:6" ht="13.5" customHeight="1">
      <c r="A4466" s="4" t="s">
        <v>10105</v>
      </c>
      <c r="B4466" s="4" t="s">
        <v>9913</v>
      </c>
      <c r="C4466" s="4" t="str">
        <f ca="1">IFERROR(__xludf.DUMMYFUNCTION("GOOGLETRANSLATE(D:D,""auto"",""en"")"),"Jiang Chaoliang no longer serve as Hubei Provincial Committee")</f>
        <v>Jiang Chaoliang no longer serve as Hubei Provincial Committee</v>
      </c>
      <c r="D4466" s="5" t="s">
        <v>10161</v>
      </c>
      <c r="E4466" s="4">
        <v>445476</v>
      </c>
      <c r="F4466">
        <v>1</v>
      </c>
    </row>
    <row r="4467" spans="1:6" ht="13.5" hidden="1" customHeight="1">
      <c r="A4467" s="4" t="s">
        <v>10162</v>
      </c>
      <c r="B4467" s="4" t="s">
        <v>10163</v>
      </c>
      <c r="C4467" s="4" t="str">
        <f ca="1">IFERROR(__xludf.DUMMYFUNCTION("GOOGLETRANSLATE(D:D,""auto"",""en"")"),"Kuril Islands earthquake occurred 7.0")</f>
        <v>Kuril Islands earthquake occurred 7.0</v>
      </c>
      <c r="D4467" s="5" t="s">
        <v>10164</v>
      </c>
      <c r="E4467" s="4">
        <v>434229</v>
      </c>
    </row>
    <row r="4468" spans="1:6" ht="13.5" hidden="1" customHeight="1">
      <c r="A4468" s="4" t="s">
        <v>10165</v>
      </c>
      <c r="B4468" s="4" t="s">
        <v>10166</v>
      </c>
      <c r="C4468" s="4" t="str">
        <f ca="1">IFERROR(__xludf.DUMMYFUNCTION("GOOGLETRANSLATE(D:D,""auto"",""en"")"),"How the teacher called my mother to get up")</f>
        <v>How the teacher called my mother to get up</v>
      </c>
      <c r="D4468" s="5" t="s">
        <v>10167</v>
      </c>
      <c r="E4468" s="4">
        <v>428496</v>
      </c>
    </row>
    <row r="4469" spans="1:6" ht="13.5" hidden="1" customHeight="1">
      <c r="A4469" s="4" t="s">
        <v>10168</v>
      </c>
      <c r="B4469" s="4" t="s">
        <v>10169</v>
      </c>
      <c r="C4469" s="4" t="str">
        <f ca="1">IFERROR(__xludf.DUMMYFUNCTION("GOOGLETRANSLATE(D:D,""auto"",""en"")"),"Seoul mayor, said that now is the time for gratitude")</f>
        <v>Seoul mayor, said that now is the time for gratitude</v>
      </c>
      <c r="D4469" s="5" t="s">
        <v>10170</v>
      </c>
      <c r="E4469" s="4">
        <v>415527</v>
      </c>
    </row>
    <row r="4470" spans="1:6" ht="13.5" customHeight="1">
      <c r="A4470" s="4" t="s">
        <v>10083</v>
      </c>
      <c r="B4470" s="4" t="s">
        <v>10171</v>
      </c>
      <c r="C4470" s="4" t="str">
        <f ca="1">IFERROR(__xludf.DUMMYFUNCTION("GOOGLETRANSLATE(D:D,""auto"",""en"")"),"Husband and wife beaten medical personnel were sentenced")</f>
        <v>Husband and wife beaten medical personnel were sentenced</v>
      </c>
      <c r="D4470" s="5" t="s">
        <v>10172</v>
      </c>
      <c r="E4470" s="4">
        <v>408524</v>
      </c>
      <c r="F4470">
        <v>1</v>
      </c>
    </row>
    <row r="4471" spans="1:6" ht="13.5" hidden="1" customHeight="1">
      <c r="A4471" s="4" t="s">
        <v>10173</v>
      </c>
      <c r="B4471" s="4" t="s">
        <v>10174</v>
      </c>
      <c r="C4471" s="4" t="str">
        <f ca="1">IFERROR(__xludf.DUMMYFUNCTION("GOOGLETRANSLATE(D:D,""auto"",""en"")"),"Brothers were forced to leave with the baby")</f>
        <v>Brothers were forced to leave with the baby</v>
      </c>
      <c r="D4471" s="5" t="s">
        <v>10175</v>
      </c>
      <c r="E4471" s="4">
        <v>362339</v>
      </c>
    </row>
    <row r="4472" spans="1:6" ht="13.5" customHeight="1">
      <c r="A4472" s="4" t="s">
        <v>10176</v>
      </c>
      <c r="B4472" s="4" t="s">
        <v>10177</v>
      </c>
      <c r="C4472" s="4" t="str">
        <f ca="1">IFERROR(__xludf.DUMMYFUNCTION("GOOGLETRANSLATE(D:D,""auto"",""en"")"),"Japan's first case of the new crown pneumonia deaths")</f>
        <v>Japan's first case of the new crown pneumonia deaths</v>
      </c>
      <c r="D4472" s="5" t="s">
        <v>10178</v>
      </c>
      <c r="E4472" s="4">
        <v>353393</v>
      </c>
      <c r="F4472">
        <v>1</v>
      </c>
    </row>
    <row r="4473" spans="1:6" ht="13.5" customHeight="1">
      <c r="A4473" s="4" t="s">
        <v>10105</v>
      </c>
      <c r="B4473" s="4" t="s">
        <v>10179</v>
      </c>
      <c r="C4473" s="4" t="str">
        <f ca="1">IFERROR(__xludf.DUMMYFUNCTION("GOOGLETRANSLATE(D:D,""auto"",""en"")"),"Write on dry noodles week black duck medical protective clothing")</f>
        <v>Write on dry noodles week black duck medical protective clothing</v>
      </c>
      <c r="D4473" s="5" t="s">
        <v>10180</v>
      </c>
      <c r="E4473" s="4">
        <v>315719</v>
      </c>
      <c r="F4473">
        <v>1</v>
      </c>
    </row>
    <row r="4474" spans="1:6" ht="13.5" customHeight="1">
      <c r="A4474" s="4" t="s">
        <v>10181</v>
      </c>
      <c r="B4474" s="4" t="s">
        <v>10182</v>
      </c>
      <c r="C4474" s="4" t="str">
        <f ca="1">IFERROR(__xludf.DUMMYFUNCTION("GOOGLETRANSLATE(D:D,""auto"",""en"")"),"Shelter hospital Doo Dance Championship")</f>
        <v>Shelter hospital Doo Dance Championship</v>
      </c>
      <c r="D4474" s="5" t="s">
        <v>10183</v>
      </c>
      <c r="E4474" s="4">
        <v>301752</v>
      </c>
      <c r="F4474">
        <v>1</v>
      </c>
    </row>
    <row r="4475" spans="1:6" ht="13.5" hidden="1" customHeight="1">
      <c r="A4475" s="4" t="s">
        <v>10176</v>
      </c>
      <c r="B4475" s="4" t="s">
        <v>10184</v>
      </c>
      <c r="C4475" s="4" t="str">
        <f ca="1">IFERROR(__xludf.DUMMYFUNCTION("GOOGLETRANSLATE(D:D,""auto"",""en"")"),"Ren Jialun the cover of Harper's Bazaar")</f>
        <v>Ren Jialun the cover of Harper's Bazaar</v>
      </c>
      <c r="D4475" s="5" t="s">
        <v>10185</v>
      </c>
      <c r="E4475" s="4">
        <v>289041</v>
      </c>
    </row>
    <row r="4476" spans="1:6" ht="13.5" hidden="1" customHeight="1">
      <c r="A4476" s="4" t="s">
        <v>10186</v>
      </c>
      <c r="B4476" s="4" t="s">
        <v>10118</v>
      </c>
      <c r="C4476" s="4" t="str">
        <f ca="1">IFERROR(__xludf.DUMMYFUNCTION("GOOGLETRANSLATE(D:D,""auto"",""en"")"),"The first time I saw a cat in plaster")</f>
        <v>The first time I saw a cat in plaster</v>
      </c>
      <c r="D4476" s="5" t="s">
        <v>10187</v>
      </c>
      <c r="E4476" s="4">
        <v>268315</v>
      </c>
    </row>
    <row r="4477" spans="1:6" ht="13.5" customHeight="1">
      <c r="A4477" s="4" t="s">
        <v>10188</v>
      </c>
      <c r="B4477" s="4" t="s">
        <v>10189</v>
      </c>
      <c r="C4477" s="4" t="str">
        <f ca="1">IFERROR(__xludf.DUMMYFUNCTION("GOOGLETRANSLATE(D:D,""auto"",""en"")"),"March ACCA exam canceled")</f>
        <v>March ACCA exam canceled</v>
      </c>
      <c r="D4477" s="5" t="s">
        <v>10190</v>
      </c>
      <c r="E4477" s="4">
        <v>242936</v>
      </c>
      <c r="F4477">
        <v>1</v>
      </c>
    </row>
    <row r="4478" spans="1:6" ht="13.5" customHeight="1">
      <c r="A4478" s="4" t="s">
        <v>10176</v>
      </c>
      <c r="B4478" s="4" t="s">
        <v>10191</v>
      </c>
      <c r="C4478" s="4" t="str">
        <f ca="1">IFERROR(__xludf.DUMMYFUNCTION("GOOGLETRANSLATE(D:D,""auto"",""en"")"),"A family gathering of 10 people diagnosed")</f>
        <v>A family gathering of 10 people diagnosed</v>
      </c>
      <c r="D4478" s="5" t="s">
        <v>10192</v>
      </c>
      <c r="E4478" s="4">
        <v>228463</v>
      </c>
      <c r="F4478">
        <v>1</v>
      </c>
    </row>
    <row r="4479" spans="1:6" ht="13.5" customHeight="1">
      <c r="A4479" s="4" t="s">
        <v>10176</v>
      </c>
      <c r="B4479" s="4" t="s">
        <v>10112</v>
      </c>
      <c r="C4479" s="4" t="str">
        <f ca="1">IFERROR(__xludf.DUMMYFUNCTION("GOOGLETRANSLATE(D:D,""auto"",""en"")"),"Bank employees to wear protective clothing to respond shot put")</f>
        <v>Bank employees to wear protective clothing to respond shot put</v>
      </c>
      <c r="D4479" s="5" t="s">
        <v>10193</v>
      </c>
      <c r="E4479" s="4">
        <v>201131</v>
      </c>
      <c r="F4479">
        <v>1</v>
      </c>
    </row>
    <row r="4480" spans="1:6" ht="13.5" customHeight="1">
      <c r="A4480" s="4" t="s">
        <v>10194</v>
      </c>
      <c r="B4480" s="4" t="s">
        <v>10159</v>
      </c>
      <c r="C4480" s="4" t="str">
        <f ca="1">IFERROR(__xludf.DUMMYFUNCTION("GOOGLETRANSLATE(D:D,""auto"",""en"")"),"Wuhan free medical barber haircut")</f>
        <v>Wuhan free medical barber haircut</v>
      </c>
      <c r="D4480" s="5" t="s">
        <v>10195</v>
      </c>
      <c r="E4480" s="4">
        <v>190762</v>
      </c>
      <c r="F4480">
        <v>1</v>
      </c>
    </row>
    <row r="4481" spans="1:6" ht="13.5" hidden="1" customHeight="1">
      <c r="A4481" s="4" t="s">
        <v>6108</v>
      </c>
      <c r="B4481" s="4" t="s">
        <v>6109</v>
      </c>
      <c r="C4481" s="4" t="str">
        <f ca="1">IFERROR(__xludf.DUMMYFUNCTION("GOOGLETRANSLATE(D:D,""auto"",""en"")"),"The next stop is happy")</f>
        <v>The next stop is happy</v>
      </c>
      <c r="D4481" s="5" t="s">
        <v>6110</v>
      </c>
      <c r="E4481" s="4">
        <v>143098</v>
      </c>
    </row>
    <row r="4482" spans="1:6" ht="13.5" hidden="1" customHeight="1">
      <c r="A4482" s="4" t="s">
        <v>10156</v>
      </c>
      <c r="B4482" s="4" t="s">
        <v>10196</v>
      </c>
      <c r="C4482" s="4" t="str">
        <f ca="1">IFERROR(__xludf.DUMMYFUNCTION("GOOGLETRANSLATE(D:D,""auto"",""en"")"),"Promote Chinese medicine deeply involved in diagnosis and treatment")</f>
        <v>Promote Chinese medicine deeply involved in diagnosis and treatment</v>
      </c>
      <c r="D4482" s="5" t="s">
        <v>10197</v>
      </c>
      <c r="E4482" s="4">
        <v>127086</v>
      </c>
    </row>
    <row r="4483" spans="1:6" ht="13.5" hidden="1" customHeight="1">
      <c r="C4483" s="4" t="str">
        <f ca="1">IFERROR(__xludf.DUMMYFUNCTION("GOOGLETRANSLATE(D:D,""auto"",""en"")"),"#VALUE!")</f>
        <v>#VALUE!</v>
      </c>
    </row>
    <row r="4484" spans="1:6" ht="13.5" hidden="1" customHeight="1">
      <c r="A4484" s="4" t="s">
        <v>10198</v>
      </c>
      <c r="B4484" s="4" t="s">
        <v>10199</v>
      </c>
      <c r="C4484" s="4" t="str">
        <f ca="1">IFERROR(__xludf.DUMMYFUNCTION("GOOGLETRANSLATE(D:D,""auto"",""en"")"),"Bryant wife announced Mamba fund was renamed")</f>
        <v>Bryant wife announced Mamba fund was renamed</v>
      </c>
      <c r="D4484" s="4" t="s">
        <v>10200</v>
      </c>
      <c r="E4484" s="4">
        <v>4265027</v>
      </c>
    </row>
    <row r="4485" spans="1:6" ht="13.5" customHeight="1">
      <c r="A4485" s="4" t="s">
        <v>10201</v>
      </c>
      <c r="B4485" s="4" t="s">
        <v>10202</v>
      </c>
      <c r="C4485" s="4" t="str">
        <f ca="1">IFERROR(__xludf.DUMMYFUNCTION("GOOGLETRANSLATE(D:D,""auto"",""en"")"),"And more specifically delayed start dates available summer filled")</f>
        <v>And more specifically delayed start dates available summer filled</v>
      </c>
      <c r="D4485" s="5" t="s">
        <v>10203</v>
      </c>
      <c r="E4485" s="4">
        <v>4042942</v>
      </c>
      <c r="F4485">
        <v>1</v>
      </c>
    </row>
    <row r="4486" spans="1:6" ht="13.5" customHeight="1">
      <c r="A4486" s="4" t="s">
        <v>10204</v>
      </c>
      <c r="B4486" s="4" t="s">
        <v>10205</v>
      </c>
      <c r="C4486" s="4" t="str">
        <f ca="1">IFERROR(__xludf.DUMMYFUNCTION("GOOGLETRANSLATE(D:D,""auto"",""en"")"),"1 year old baby with severe pneumonia discharged new crown")</f>
        <v>1 year old baby with severe pneumonia discharged new crown</v>
      </c>
      <c r="D4486" s="5" t="s">
        <v>10206</v>
      </c>
      <c r="E4486" s="4">
        <v>3354721</v>
      </c>
      <c r="F4486">
        <v>1</v>
      </c>
    </row>
    <row r="4487" spans="1:6" ht="13.5" hidden="1" customHeight="1">
      <c r="A4487" s="4" t="s">
        <v>10207</v>
      </c>
      <c r="B4487" s="4" t="s">
        <v>10083</v>
      </c>
      <c r="C4487" s="4" t="str">
        <f ca="1">IFERROR(__xludf.DUMMYFUNCTION("GOOGLETRANSLATE(D:D,""auto"",""en"")"),"One day be destroyed millions of roses")</f>
        <v>One day be destroyed millions of roses</v>
      </c>
      <c r="D4487" s="5" t="s">
        <v>10208</v>
      </c>
      <c r="E4487" s="4">
        <v>3230591</v>
      </c>
    </row>
    <row r="4488" spans="1:6" ht="13.5" hidden="1" customHeight="1">
      <c r="A4488" s="4" t="s">
        <v>10209</v>
      </c>
      <c r="B4488" s="4" t="s">
        <v>10210</v>
      </c>
      <c r="C4488" s="4" t="str">
        <f ca="1">IFERROR(__xludf.DUMMYFUNCTION("GOOGLETRANSLATE(D:D,""auto"",""en"")"),"William Chan")</f>
        <v>William Chan</v>
      </c>
      <c r="D4488" s="5" t="s">
        <v>10211</v>
      </c>
      <c r="E4488" s="4">
        <v>2600652</v>
      </c>
    </row>
    <row r="4489" spans="1:6" ht="13.5" hidden="1" customHeight="1">
      <c r="A4489" s="4" t="s">
        <v>10212</v>
      </c>
      <c r="B4489" s="4" t="s">
        <v>10213</v>
      </c>
      <c r="C4489" s="4" t="str">
        <f ca="1">IFERROR(__xludf.DUMMYFUNCTION("GOOGLETRANSLATE(D:D,""auto"",""en"")"),"0214 mean")</f>
        <v>0214 mean</v>
      </c>
      <c r="D4489" s="5" t="s">
        <v>10214</v>
      </c>
      <c r="E4489" s="4">
        <v>2523357</v>
      </c>
    </row>
    <row r="4490" spans="1:6" ht="13.5" hidden="1" customHeight="1">
      <c r="A4490" s="4" t="s">
        <v>10215</v>
      </c>
      <c r="B4490" s="4" t="s">
        <v>10216</v>
      </c>
      <c r="C4490" s="4" t="str">
        <f ca="1">IFERROR(__xludf.DUMMYFUNCTION("GOOGLETRANSLATE(D:D,""auto"",""en"")"),"Couples Avatar")</f>
        <v>Couples Avatar</v>
      </c>
      <c r="D4490" s="5" t="s">
        <v>10217</v>
      </c>
      <c r="E4490" s="4">
        <v>1584260</v>
      </c>
    </row>
    <row r="4491" spans="1:6" ht="13.5" customHeight="1">
      <c r="A4491" s="4" t="s">
        <v>10218</v>
      </c>
      <c r="B4491" s="4" t="s">
        <v>10219</v>
      </c>
      <c r="C4491" s="4" t="str">
        <f ca="1">IFERROR(__xludf.DUMMYFUNCTION("GOOGLETRANSLATE(D:D,""auto"",""en"")"),"Hubei new crown the new 4823 cases of pneumonia")</f>
        <v>Hubei new crown the new 4823 cases of pneumonia</v>
      </c>
      <c r="D4491" s="5" t="s">
        <v>10220</v>
      </c>
      <c r="E4491" s="4">
        <v>1075383</v>
      </c>
      <c r="F4491">
        <v>1</v>
      </c>
    </row>
    <row r="4492" spans="1:6" ht="13.5" hidden="1" customHeight="1">
      <c r="A4492" s="4" t="s">
        <v>10221</v>
      </c>
      <c r="B4492" s="4" t="s">
        <v>10222</v>
      </c>
      <c r="C4492" s="4" t="str">
        <f ca="1">IFERROR(__xludf.DUMMYFUNCTION("GOOGLETRANSLATE(D:D,""auto"",""en"")"),"Live Starchaser Huachen Yu Li Jiaqi")</f>
        <v>Live Starchaser Huachen Yu Li Jiaqi</v>
      </c>
      <c r="D4492" s="5" t="s">
        <v>10223</v>
      </c>
      <c r="E4492" s="4">
        <v>964379</v>
      </c>
    </row>
    <row r="4493" spans="1:6" ht="13.5" customHeight="1">
      <c r="A4493" s="4" t="s">
        <v>10224</v>
      </c>
      <c r="B4493" s="4" t="s">
        <v>10225</v>
      </c>
      <c r="C4493" s="4" t="str">
        <f ca="1">IFERROR(__xludf.DUMMYFUNCTION("GOOGLETRANSLATE(D:D,""auto"",""en"")"),"Add a new crown Jiangsu pneumonia 23 cases")</f>
        <v>Add a new crown Jiangsu pneumonia 23 cases</v>
      </c>
      <c r="D4493" s="5" t="s">
        <v>10226</v>
      </c>
      <c r="E4493" s="4">
        <v>920122</v>
      </c>
      <c r="F4493">
        <v>1</v>
      </c>
    </row>
    <row r="4494" spans="1:6" ht="13.5" hidden="1" customHeight="1">
      <c r="A4494" s="4" t="s">
        <v>10227</v>
      </c>
      <c r="B4494" s="4" t="s">
        <v>10228</v>
      </c>
      <c r="C4494" s="4" t="str">
        <f ca="1">IFERROR(__xludf.DUMMYFUNCTION("GOOGLETRANSLATE(D:D,""auto"",""en"")"),"Beijing special period of employment of graduates Deal")</f>
        <v>Beijing special period of employment of graduates Deal</v>
      </c>
      <c r="D4494" s="5" t="s">
        <v>10229</v>
      </c>
      <c r="E4494" s="4">
        <v>918500</v>
      </c>
    </row>
    <row r="4495" spans="1:6" ht="13.5" customHeight="1">
      <c r="A4495" s="4" t="s">
        <v>10230</v>
      </c>
      <c r="B4495" s="4" t="s">
        <v>10231</v>
      </c>
      <c r="C4495" s="4" t="str">
        <f ca="1">IFERROR(__xludf.DUMMYFUNCTION("GOOGLETRANSLATE(D:D,""auto"",""en"")"),"New therapeutic crown dispensation plasma products have been put into clinical")</f>
        <v>New therapeutic crown dispensation plasma products have been put into clinical</v>
      </c>
      <c r="D4495" s="5" t="s">
        <v>10232</v>
      </c>
      <c r="E4495" s="4">
        <v>914343</v>
      </c>
      <c r="F4495">
        <v>1</v>
      </c>
    </row>
    <row r="4496" spans="1:6" ht="13.5" hidden="1" customHeight="1">
      <c r="A4496" s="4" t="s">
        <v>10233</v>
      </c>
      <c r="B4496" s="4" t="s">
        <v>10108</v>
      </c>
      <c r="C4496" s="4" t="str">
        <f ca="1">IFERROR(__xludf.DUMMYFUNCTION("GOOGLETRANSLATE(D:D,""auto"",""en"")"),"After the rehabilitation of patients with antibodies in vivo")</f>
        <v>After the rehabilitation of patients with antibodies in vivo</v>
      </c>
      <c r="D4496" s="5" t="s">
        <v>10234</v>
      </c>
      <c r="E4496" s="4">
        <v>911007</v>
      </c>
    </row>
    <row r="4497" spans="1:6" ht="13.5" hidden="1" customHeight="1">
      <c r="A4497" s="4" t="s">
        <v>10235</v>
      </c>
      <c r="B4497" s="4" t="s">
        <v>10236</v>
      </c>
      <c r="C4497" s="4" t="str">
        <f ca="1">IFERROR(__xludf.DUMMYFUNCTION("GOOGLETRANSLATE(D:D,""auto"",""en"")"),"Valentine's Day")</f>
        <v>Valentine's Day</v>
      </c>
      <c r="D4497" s="5" t="s">
        <v>10237</v>
      </c>
      <c r="E4497" s="4">
        <v>909652</v>
      </c>
    </row>
    <row r="4498" spans="1:6" ht="13.5" hidden="1" customHeight="1">
      <c r="A4498" s="4" t="s">
        <v>10238</v>
      </c>
      <c r="B4498" s="4" t="s">
        <v>10150</v>
      </c>
      <c r="C4498" s="4" t="str">
        <f ca="1">IFERROR(__xludf.DUMMYFUNCTION("GOOGLETRANSLATE(D:D,""auto"",""en"")"),"Downtown Washington shooting incident")</f>
        <v>Downtown Washington shooting incident</v>
      </c>
      <c r="D4498" s="5" t="s">
        <v>10239</v>
      </c>
      <c r="E4498" s="4">
        <v>904359</v>
      </c>
    </row>
    <row r="4499" spans="1:6" ht="13.5" hidden="1" customHeight="1">
      <c r="A4499" s="4" t="s">
        <v>10240</v>
      </c>
      <c r="B4499" s="4" t="s">
        <v>10241</v>
      </c>
      <c r="C4499" s="4" t="str">
        <f ca="1">IFERROR(__xludf.DUMMYFUNCTION("GOOGLETRANSLATE(D:D,""auto"",""en"")"),"Tong Yan Caesar dog food supplier in Korea")</f>
        <v>Tong Yan Caesar dog food supplier in Korea</v>
      </c>
      <c r="D4499" s="5" t="s">
        <v>10242</v>
      </c>
      <c r="E4499" s="4">
        <v>900222</v>
      </c>
    </row>
    <row r="4500" spans="1:6" ht="13.5" hidden="1" customHeight="1">
      <c r="A4500" s="4" t="s">
        <v>10243</v>
      </c>
      <c r="B4500" s="4" t="s">
        <v>10002</v>
      </c>
      <c r="C4500" s="4" t="str">
        <f ca="1">IFERROR(__xludf.DUMMYFUNCTION("GOOGLETRANSLATE(D:D,""auto"",""en"")"),"He Jiong, Xie Na Yi Xi smelt one thousand Chorus")</f>
        <v>He Jiong, Xie Na Yi Xi smelt one thousand Chorus</v>
      </c>
      <c r="D4500" s="5" t="s">
        <v>10244</v>
      </c>
      <c r="E4500" s="4">
        <v>897420</v>
      </c>
    </row>
    <row r="4501" spans="1:6" ht="13.5" hidden="1" customHeight="1">
      <c r="A4501" s="4" t="s">
        <v>10245</v>
      </c>
      <c r="B4501" s="4" t="s">
        <v>10246</v>
      </c>
      <c r="C4501" s="4" t="str">
        <f ca="1">IFERROR(__xludf.DUMMYFUNCTION("GOOGLETRANSLATE(D:D,""auto"",""en"")"),"snkrs")</f>
        <v>snkrs</v>
      </c>
      <c r="D4501" s="5" t="s">
        <v>10247</v>
      </c>
      <c r="E4501" s="4">
        <v>893731</v>
      </c>
    </row>
    <row r="4502" spans="1:6" ht="13.5" hidden="1" customHeight="1">
      <c r="A4502" s="4" t="s">
        <v>10248</v>
      </c>
      <c r="B4502" s="4" t="s">
        <v>10249</v>
      </c>
      <c r="C4502" s="4" t="str">
        <f ca="1">IFERROR(__xludf.DUMMYFUNCTION("GOOGLETRANSLATE(D:D,""auto"",""en"")"),"Xu Ye")</f>
        <v>Xu Ye</v>
      </c>
      <c r="D4502" s="5" t="s">
        <v>10250</v>
      </c>
      <c r="E4502" s="4">
        <v>892656</v>
      </c>
    </row>
    <row r="4503" spans="1:6" ht="13.5" customHeight="1">
      <c r="A4503" s="4" t="s">
        <v>6841</v>
      </c>
      <c r="B4503" s="4" t="s">
        <v>6842</v>
      </c>
      <c r="C4503" s="4" t="str">
        <f ca="1">IFERROR(__xludf.DUMMYFUNCTION("GOOGLETRANSLATE(D:D,""auto"",""en"")"),"Chinese doctors")</f>
        <v>Chinese doctors</v>
      </c>
      <c r="D4503" s="5" t="s">
        <v>6843</v>
      </c>
      <c r="E4503" s="4">
        <v>834877</v>
      </c>
      <c r="F4503">
        <v>1</v>
      </c>
    </row>
    <row r="4504" spans="1:6" ht="13.5" hidden="1" customHeight="1">
      <c r="A4504" s="4" t="s">
        <v>10251</v>
      </c>
      <c r="B4504" s="4" t="s">
        <v>10252</v>
      </c>
      <c r="C4504" s="4" t="str">
        <f ca="1">IFERROR(__xludf.DUMMYFUNCTION("GOOGLETRANSLATE(D:D,""auto"",""en"")"),"Shen Yu-lun")</f>
        <v>Shen Yu-lun</v>
      </c>
      <c r="D4504" s="5" t="s">
        <v>10253</v>
      </c>
      <c r="E4504" s="4">
        <v>807301</v>
      </c>
    </row>
    <row r="4505" spans="1:6" ht="13.5" customHeight="1">
      <c r="A4505" s="4" t="s">
        <v>10254</v>
      </c>
      <c r="B4505" s="4" t="s">
        <v>10225</v>
      </c>
      <c r="C4505" s="4" t="str">
        <f ca="1">IFERROR(__xludf.DUMMYFUNCTION("GOOGLETRANSLATE(D:D,""auto"",""en"")"),"Henan new new crown pneumonia 15 cases")</f>
        <v>Henan new new crown pneumonia 15 cases</v>
      </c>
      <c r="D4505" s="5" t="s">
        <v>10255</v>
      </c>
      <c r="E4505" s="4">
        <v>605581</v>
      </c>
      <c r="F4505">
        <v>1</v>
      </c>
    </row>
    <row r="4506" spans="1:6" ht="13.5" hidden="1" customHeight="1">
      <c r="A4506" s="4" t="s">
        <v>10256</v>
      </c>
      <c r="B4506" s="4" t="s">
        <v>10257</v>
      </c>
      <c r="C4506" s="4" t="str">
        <f ca="1">IFERROR(__xludf.DUMMYFUNCTION("GOOGLETRANSLATE(D:D,""auto"",""en"")"),"Valentine's circle of friends")</f>
        <v>Valentine's circle of friends</v>
      </c>
      <c r="D4506" s="5" t="s">
        <v>10258</v>
      </c>
      <c r="E4506" s="4">
        <v>581973</v>
      </c>
    </row>
    <row r="4507" spans="1:6" ht="13.5" hidden="1" customHeight="1">
      <c r="A4507" s="4" t="s">
        <v>10259</v>
      </c>
      <c r="B4507" s="4" t="s">
        <v>10260</v>
      </c>
      <c r="C4507" s="4" t="str">
        <f ca="1">IFERROR(__xludf.DUMMYFUNCTION("GOOGLETRANSLATE(D:D,""auto"",""en"")"),"Farewell My Concubine Korea Remapping")</f>
        <v>Farewell My Concubine Korea Remapping</v>
      </c>
      <c r="D4507" s="5" t="s">
        <v>10261</v>
      </c>
      <c r="E4507" s="4">
        <v>570894</v>
      </c>
    </row>
    <row r="4508" spans="1:6" ht="13.5" hidden="1" customHeight="1">
      <c r="A4508" s="4" t="s">
        <v>10262</v>
      </c>
      <c r="B4508" s="4" t="s">
        <v>10263</v>
      </c>
      <c r="C4508" s="4" t="str">
        <f ca="1">IFERROR(__xludf.DUMMYFUNCTION("GOOGLETRANSLATE(D:D,""auto"",""en"")"),"Not requiring teachers to teach in a normal rest time")</f>
        <v>Not requiring teachers to teach in a normal rest time</v>
      </c>
      <c r="D4508" s="5" t="s">
        <v>10264</v>
      </c>
      <c r="E4508" s="4">
        <v>540544</v>
      </c>
    </row>
    <row r="4509" spans="1:6" ht="13.5" customHeight="1">
      <c r="A4509" s="4" t="s">
        <v>10265</v>
      </c>
      <c r="B4509" s="4" t="s">
        <v>10266</v>
      </c>
      <c r="C4509" s="4" t="str">
        <f ca="1">IFERROR(__xludf.DUMMYFUNCTION("GOOGLETRANSLATE(D:D,""auto"",""en"")"),"Women Lianchuang three vaccination card points")</f>
        <v>Women Lianchuang three vaccination card points</v>
      </c>
      <c r="D4509" s="5" t="s">
        <v>10267</v>
      </c>
      <c r="E4509" s="4">
        <v>510328</v>
      </c>
      <c r="F4509">
        <v>1</v>
      </c>
    </row>
    <row r="4510" spans="1:6" ht="13.5" hidden="1" customHeight="1">
      <c r="A4510" s="4" t="s">
        <v>10268</v>
      </c>
      <c r="B4510" s="4" t="s">
        <v>10269</v>
      </c>
      <c r="C4510" s="4" t="str">
        <f ca="1">IFERROR(__xludf.DUMMYFUNCTION("GOOGLETRANSLATE(D:D,""auto"",""en"")"),"More than FireWire won the national grass-roots cadres promoted")</f>
        <v>More than FireWire won the national grass-roots cadres promoted</v>
      </c>
      <c r="D4510" s="5" t="s">
        <v>10270</v>
      </c>
      <c r="E4510" s="4">
        <v>478872</v>
      </c>
    </row>
    <row r="4511" spans="1:6" ht="13.5" customHeight="1">
      <c r="A4511" s="4" t="s">
        <v>10271</v>
      </c>
      <c r="B4511" s="4" t="s">
        <v>10085</v>
      </c>
      <c r="C4511" s="4" t="str">
        <f ca="1">IFERROR(__xludf.DUMMYFUNCTION("GOOGLETRANSLATE(D:D,""auto"",""en"")"),"Home-made fairy tea house")</f>
        <v>Home-made fairy tea house</v>
      </c>
      <c r="D4511" s="5" t="s">
        <v>10272</v>
      </c>
      <c r="E4511" s="4">
        <v>475090</v>
      </c>
      <c r="F4511">
        <v>1</v>
      </c>
    </row>
    <row r="4512" spans="1:6" ht="13.5" customHeight="1">
      <c r="A4512" s="4" t="s">
        <v>10273</v>
      </c>
      <c r="B4512" s="4" t="s">
        <v>10143</v>
      </c>
      <c r="C4512" s="4" t="str">
        <f ca="1">IFERROR(__xludf.DUMMYFUNCTION("GOOGLETRANSLATE(D:D,""auto"",""en"")"),"When love meets epidemic")</f>
        <v>When love meets epidemic</v>
      </c>
      <c r="D4512" s="5" t="s">
        <v>10274</v>
      </c>
      <c r="E4512" s="4">
        <v>426860</v>
      </c>
      <c r="F4512">
        <v>1</v>
      </c>
    </row>
    <row r="4513" spans="1:6" ht="13.5" customHeight="1">
      <c r="A4513" s="4" t="s">
        <v>10122</v>
      </c>
      <c r="B4513" s="4" t="s">
        <v>10275</v>
      </c>
      <c r="C4513" s="4" t="str">
        <f ca="1">IFERROR(__xludf.DUMMYFUNCTION("GOOGLETRANSLATE(D:D,""auto"",""en"")"),"The national total of 63,851 cases of pneumonia diagnosed with the new crown")</f>
        <v>The national total of 63,851 cases of pneumonia diagnosed with the new crown</v>
      </c>
      <c r="D4513" s="5" t="s">
        <v>10276</v>
      </c>
      <c r="E4513" s="4">
        <v>400204</v>
      </c>
      <c r="F4513">
        <v>1</v>
      </c>
    </row>
    <row r="4514" spans="1:6" ht="13.5" hidden="1" customHeight="1">
      <c r="A4514" s="4" t="s">
        <v>10122</v>
      </c>
      <c r="B4514" s="4" t="s">
        <v>10123</v>
      </c>
      <c r="C4514" s="4" t="str">
        <f ca="1">IFERROR(__xludf.DUMMYFUNCTION("GOOGLETRANSLATE(D:D,""auto"",""en"")"),"Kenny Shen")</f>
        <v>Kenny Shen</v>
      </c>
      <c r="D4514" s="5" t="s">
        <v>10124</v>
      </c>
      <c r="E4514" s="4">
        <v>395774</v>
      </c>
    </row>
    <row r="4515" spans="1:6" ht="13.5" hidden="1" customHeight="1">
      <c r="A4515" s="4" t="s">
        <v>10277</v>
      </c>
      <c r="B4515" s="4" t="s">
        <v>10278</v>
      </c>
      <c r="C4515" s="4" t="str">
        <f ca="1">IFERROR(__xludf.DUMMYFUNCTION("GOOGLETRANSLATE(D:D,""auto"",""en"")"),"Buffon")</f>
        <v>Buffon</v>
      </c>
      <c r="D4515" s="5" t="s">
        <v>10279</v>
      </c>
      <c r="E4515" s="4">
        <v>356149</v>
      </c>
    </row>
    <row r="4516" spans="1:6" ht="13.5" hidden="1" customHeight="1">
      <c r="A4516" s="4" t="s">
        <v>10131</v>
      </c>
      <c r="B4516" s="4" t="s">
        <v>10132</v>
      </c>
      <c r="C4516" s="4" t="str">
        <f ca="1">IFERROR(__xludf.DUMMYFUNCTION("GOOGLETRANSLATE(D:D,""auto"",""en"")"),"India, a large number of men molesting students break girls'")</f>
        <v>India, a large number of men molesting students break girls'</v>
      </c>
      <c r="D4516" s="5" t="s">
        <v>10133</v>
      </c>
      <c r="E4516" s="4">
        <v>334308</v>
      </c>
    </row>
    <row r="4517" spans="1:6" ht="13.5" customHeight="1">
      <c r="A4517" s="4" t="s">
        <v>10146</v>
      </c>
      <c r="B4517" s="4" t="s">
        <v>10147</v>
      </c>
      <c r="C4517" s="4" t="str">
        <f ca="1">IFERROR(__xludf.DUMMYFUNCTION("GOOGLETRANSLATE(D:D,""auto"",""en"")"),"Strengthen the work of guidance, Hubei and Wuhan discipline inspection")</f>
        <v>Strengthen the work of guidance, Hubei and Wuhan discipline inspection</v>
      </c>
      <c r="D4517" s="5" t="s">
        <v>10148</v>
      </c>
      <c r="E4517" s="4">
        <v>317128</v>
      </c>
      <c r="F4517">
        <v>1</v>
      </c>
    </row>
    <row r="4518" spans="1:6" ht="13.5" hidden="1" customHeight="1">
      <c r="A4518" s="4" t="s">
        <v>10227</v>
      </c>
      <c r="B4518" s="4" t="s">
        <v>10156</v>
      </c>
      <c r="C4518" s="4" t="str">
        <f ca="1">IFERROR(__xludf.DUMMYFUNCTION("GOOGLETRANSLATE(D:D,""auto"",""en"")"),"Like a Dream effects")</f>
        <v>Like a Dream effects</v>
      </c>
      <c r="D4518" s="5" t="s">
        <v>10280</v>
      </c>
      <c r="E4518" s="4">
        <v>315913</v>
      </c>
    </row>
    <row r="4519" spans="1:6" ht="13.5" hidden="1" customHeight="1">
      <c r="A4519" s="4" t="s">
        <v>10281</v>
      </c>
      <c r="B4519" s="4" t="s">
        <v>10263</v>
      </c>
      <c r="C4519" s="4" t="str">
        <f ca="1">IFERROR(__xludf.DUMMYFUNCTION("GOOGLETRANSLATE(D:D,""auto"",""en"")"),"Tianjin decided by fasting Wildlife")</f>
        <v>Tianjin decided by fasting Wildlife</v>
      </c>
      <c r="D4519" s="5" t="s">
        <v>10282</v>
      </c>
      <c r="E4519" s="4">
        <v>313186</v>
      </c>
    </row>
    <row r="4520" spans="1:6" ht="13.5" hidden="1" customHeight="1">
      <c r="A4520" s="4" t="s">
        <v>7500</v>
      </c>
      <c r="B4520" s="4" t="s">
        <v>7501</v>
      </c>
      <c r="C4520" s="4" t="str">
        <f ca="1">IFERROR(__xludf.DUMMYFUNCTION("GOOGLETRANSLATE(D:D,""auto"",""en"")"),"Beijing snow")</f>
        <v>Beijing snow</v>
      </c>
      <c r="D4520" s="5" t="s">
        <v>7502</v>
      </c>
      <c r="E4520" s="4">
        <v>306862</v>
      </c>
    </row>
    <row r="4521" spans="1:6" ht="13.5" hidden="1" customHeight="1">
      <c r="A4521" s="4" t="s">
        <v>10283</v>
      </c>
      <c r="B4521" s="4" t="s">
        <v>10228</v>
      </c>
      <c r="C4521" s="4" t="str">
        <f ca="1">IFERROR(__xludf.DUMMYFUNCTION("GOOGLETRANSLATE(D:D,""auto"",""en"")"),"Roll-site fitness at home")</f>
        <v>Roll-site fitness at home</v>
      </c>
      <c r="D4521" s="5" t="s">
        <v>10284</v>
      </c>
      <c r="E4521" s="4">
        <v>295602</v>
      </c>
    </row>
    <row r="4522" spans="1:6" ht="13.5" customHeight="1">
      <c r="A4522" s="4" t="s">
        <v>10285</v>
      </c>
      <c r="B4522" s="4" t="s">
        <v>10228</v>
      </c>
      <c r="C4522" s="4" t="str">
        <f ca="1">IFERROR(__xludf.DUMMYFUNCTION("GOOGLETRANSLATE(D:D,""auto"",""en"")"),"Suzhou nurse in Wuhan 25th birthday")</f>
        <v>Suzhou nurse in Wuhan 25th birthday</v>
      </c>
      <c r="D4522" s="5" t="s">
        <v>10286</v>
      </c>
      <c r="E4522" s="4">
        <v>294325</v>
      </c>
      <c r="F4522">
        <v>1</v>
      </c>
    </row>
    <row r="4523" spans="1:6" ht="13.5" customHeight="1">
      <c r="A4523" s="4" t="s">
        <v>10287</v>
      </c>
      <c r="B4523" s="4" t="s">
        <v>10288</v>
      </c>
      <c r="C4523" s="4" t="str">
        <f ca="1">IFERROR(__xludf.DUMMYFUNCTION("GOOGLETRANSLATE(D:D,""auto"",""en"")"),"Zhejiang 400 whites rush to the rescue Wuhan")</f>
        <v>Zhejiang 400 whites rush to the rescue Wuhan</v>
      </c>
      <c r="D4523" s="5" t="s">
        <v>10289</v>
      </c>
      <c r="E4523" s="4">
        <v>284907</v>
      </c>
      <c r="F4523">
        <v>1</v>
      </c>
    </row>
    <row r="4524" spans="1:6" ht="13.5" hidden="1" customHeight="1">
      <c r="A4524" s="4" t="s">
        <v>10290</v>
      </c>
      <c r="B4524" s="4" t="s">
        <v>10260</v>
      </c>
      <c r="C4524" s="4" t="str">
        <f ca="1">IFERROR(__xludf.DUMMYFUNCTION("GOOGLETRANSLATE(D:D,""auto"",""en"")"),"Is that the power of inertia it")</f>
        <v>Is that the power of inertia it</v>
      </c>
      <c r="D4524" s="5" t="s">
        <v>10291</v>
      </c>
      <c r="E4524" s="4">
        <v>274083</v>
      </c>
    </row>
    <row r="4525" spans="1:6" ht="13.5" customHeight="1">
      <c r="A4525" s="4" t="s">
        <v>10292</v>
      </c>
      <c r="B4525" s="4" t="s">
        <v>10293</v>
      </c>
      <c r="C4525" s="4" t="str">
        <f ca="1">IFERROR(__xludf.DUMMYFUNCTION("GOOGLETRANSLATE(D:D,""auto"",""en"")"),"Japan cheongsam girl Wuhan raise 500,000 yen")</f>
        <v>Japan cheongsam girl Wuhan raise 500,000 yen</v>
      </c>
      <c r="D4525" s="5" t="s">
        <v>10294</v>
      </c>
      <c r="E4525" s="4">
        <v>273879</v>
      </c>
      <c r="F4525">
        <v>1</v>
      </c>
    </row>
    <row r="4526" spans="1:6" ht="13.5" customHeight="1">
      <c r="A4526" s="4" t="s">
        <v>10295</v>
      </c>
      <c r="B4526" s="4" t="s">
        <v>10146</v>
      </c>
      <c r="C4526" s="4" t="str">
        <f ca="1">IFERROR(__xludf.DUMMYFUNCTION("GOOGLETRANSLATE(D:D,""auto"",""en"")"),"You most want on a network lesson")</f>
        <v>You most want on a network lesson</v>
      </c>
      <c r="D4526" s="5" t="s">
        <v>10296</v>
      </c>
      <c r="E4526" s="4">
        <v>271861</v>
      </c>
      <c r="F4526">
        <v>1</v>
      </c>
    </row>
    <row r="4527" spans="1:6" ht="13.5" hidden="1" customHeight="1">
      <c r="A4527" s="4" t="s">
        <v>10297</v>
      </c>
      <c r="B4527" s="4" t="s">
        <v>10146</v>
      </c>
      <c r="C4527" s="4" t="str">
        <f ca="1">IFERROR(__xludf.DUMMYFUNCTION("GOOGLETRANSLATE(D:D,""auto"",""en"")"),"Former vice governor of Hebei Province, Li Qian was decided to arrest")</f>
        <v>Former vice governor of Hebei Province, Li Qian was decided to arrest</v>
      </c>
      <c r="D4527" s="5" t="s">
        <v>10298</v>
      </c>
      <c r="E4527" s="4">
        <v>270123</v>
      </c>
    </row>
    <row r="4528" spans="1:6" ht="13.5" customHeight="1">
      <c r="A4528" s="4" t="s">
        <v>10299</v>
      </c>
      <c r="B4528" s="4" t="s">
        <v>10146</v>
      </c>
      <c r="C4528" s="4" t="str">
        <f ca="1">IFERROR(__xludf.DUMMYFUNCTION("GOOGLETRANSLATE(D:D,""auto"",""en"")"),"Contagion ordinary people in Wuhan")</f>
        <v>Contagion ordinary people in Wuhan</v>
      </c>
      <c r="D4528" s="5" t="s">
        <v>10300</v>
      </c>
      <c r="E4528" s="4">
        <v>268488</v>
      </c>
      <c r="F4528">
        <v>1</v>
      </c>
    </row>
    <row r="4529" spans="1:6" ht="13.5" hidden="1" customHeight="1">
      <c r="A4529" s="4" t="s">
        <v>10134</v>
      </c>
      <c r="B4529" s="4" t="s">
        <v>10132</v>
      </c>
      <c r="C4529" s="4" t="str">
        <f ca="1">IFERROR(__xludf.DUMMYFUNCTION("GOOGLETRANSLATE(D:D,""auto"",""en"")"),"Tung Wah Fung saw nine bathing")</f>
        <v>Tung Wah Fung saw nine bathing</v>
      </c>
      <c r="D4529" s="5" t="s">
        <v>10135</v>
      </c>
      <c r="E4529" s="4">
        <v>266687</v>
      </c>
    </row>
    <row r="4530" spans="1:6" ht="13.5" customHeight="1">
      <c r="A4530" s="4" t="s">
        <v>10227</v>
      </c>
      <c r="B4530" s="4" t="s">
        <v>10301</v>
      </c>
      <c r="C4530" s="4" t="str">
        <f ca="1">IFERROR(__xludf.DUMMYFUNCTION("GOOGLETRANSLATE(D:D,""auto"",""en"")"),"Russian newspaper full-page poster Wuhan refueling")</f>
        <v>Russian newspaper full-page poster Wuhan refueling</v>
      </c>
      <c r="D4530" s="5" t="s">
        <v>10302</v>
      </c>
      <c r="E4530" s="4">
        <v>263731</v>
      </c>
      <c r="F4530">
        <v>1</v>
      </c>
    </row>
    <row r="4531" spans="1:6" ht="13.5" customHeight="1">
      <c r="A4531" s="4" t="s">
        <v>10303</v>
      </c>
      <c r="B4531" s="4" t="s">
        <v>10304</v>
      </c>
      <c r="C4531" s="4" t="str">
        <f ca="1">IFERROR(__xludf.DUMMYFUNCTION("GOOGLETRANSLATE(D:D,""auto"",""en"")"),"Afghan boy collect 20,000 donated masks Wuhan")</f>
        <v>Afghan boy collect 20,000 donated masks Wuhan</v>
      </c>
      <c r="D4531" s="5" t="s">
        <v>10305</v>
      </c>
      <c r="E4531" s="4">
        <v>263381</v>
      </c>
      <c r="F4531">
        <v>1</v>
      </c>
    </row>
    <row r="4532" spans="1:6" ht="13.5" customHeight="1">
      <c r="A4532" s="4" t="s">
        <v>10306</v>
      </c>
      <c r="B4532" s="4" t="s">
        <v>10307</v>
      </c>
      <c r="C4532" s="4" t="str">
        <f ca="1">IFERROR(__xludf.DUMMYFUNCTION("GOOGLETRANSLATE(D:D,""auto"",""en"")"),"Hebei 18 new confirmed cases")</f>
        <v>Hebei 18 new confirmed cases</v>
      </c>
      <c r="D4532" s="5" t="s">
        <v>10308</v>
      </c>
      <c r="E4532" s="4">
        <v>204759</v>
      </c>
      <c r="F4532">
        <v>1</v>
      </c>
    </row>
    <row r="4533" spans="1:6" ht="13.5" hidden="1" customHeight="1">
      <c r="C4533" s="4" t="str">
        <f ca="1">IFERROR(__xludf.DUMMYFUNCTION("GOOGLETRANSLATE(D:D,""auto"",""en"")"),"#VALUE!")</f>
        <v>#VALUE!</v>
      </c>
    </row>
    <row r="4534" spans="1:6" ht="13.5" hidden="1" customHeight="1">
      <c r="A4534" s="4" t="s">
        <v>10309</v>
      </c>
      <c r="B4534" s="4" t="s">
        <v>10310</v>
      </c>
      <c r="C4534" s="4" t="str">
        <f ca="1">IFERROR(__xludf.DUMMYFUNCTION("GOOGLETRANSLATE(D:D,""auto"",""en"")"),"Mao is not easy to eliminate")</f>
        <v>Mao is not easy to eliminate</v>
      </c>
      <c r="D4534" s="4" t="s">
        <v>10311</v>
      </c>
      <c r="E4534" s="4">
        <v>4766314</v>
      </c>
    </row>
    <row r="4535" spans="1:6" ht="13.5" customHeight="1">
      <c r="A4535" s="4" t="s">
        <v>10312</v>
      </c>
      <c r="B4535" s="4" t="s">
        <v>10313</v>
      </c>
      <c r="C4535" s="4" t="str">
        <f ca="1">IFERROR(__xludf.DUMMYFUNCTION("GOOGLETRANSLATE(D:D,""auto"",""en"")"),"The new crown after eating Chinese medicine to ease anxiety in patients with pneumonia")</f>
        <v>The new crown after eating Chinese medicine to ease anxiety in patients with pneumonia</v>
      </c>
      <c r="D4535" s="5" t="s">
        <v>10314</v>
      </c>
      <c r="E4535" s="4">
        <v>2682883</v>
      </c>
      <c r="F4535">
        <v>1</v>
      </c>
    </row>
    <row r="4536" spans="1:6" ht="13.5" customHeight="1">
      <c r="A4536" s="4" t="s">
        <v>10315</v>
      </c>
      <c r="B4536" s="4" t="s">
        <v>10316</v>
      </c>
      <c r="C4536" s="4" t="str">
        <f ca="1">IFERROR(__xludf.DUMMYFUNCTION("GOOGLETRANSLATE(D:D,""auto"",""en"")"),"Hubei launched a major weather disaster response three")</f>
        <v>Hubei launched a major weather disaster response three</v>
      </c>
      <c r="D4536" s="5" t="s">
        <v>10317</v>
      </c>
      <c r="E4536" s="4">
        <v>2520702</v>
      </c>
      <c r="F4536">
        <v>1</v>
      </c>
    </row>
    <row r="4537" spans="1:6" ht="13.5" hidden="1" customHeight="1">
      <c r="A4537" s="4" t="s">
        <v>10318</v>
      </c>
      <c r="B4537" s="4" t="s">
        <v>10319</v>
      </c>
      <c r="C4537" s="4" t="str">
        <f ca="1">IFERROR(__xludf.DUMMYFUNCTION("GOOGLETRANSLATE(D:D,""auto"",""en"")"),"宋雪怀 pregnant")</f>
        <v>宋雪怀 pregnant</v>
      </c>
      <c r="D4537" s="5" t="s">
        <v>10320</v>
      </c>
      <c r="E4537" s="4">
        <v>2474858</v>
      </c>
    </row>
    <row r="4538" spans="1:6" ht="13.5" hidden="1" customHeight="1">
      <c r="A4538" s="4" t="s">
        <v>10321</v>
      </c>
      <c r="B4538" s="4" t="s">
        <v>10322</v>
      </c>
      <c r="C4538" s="4" t="str">
        <f ca="1">IFERROR(__xludf.DUMMYFUNCTION("GOOGLETRANSLATE(D:D,""auto"",""en"")"),"Huang Zaitao mother")</f>
        <v>Huang Zaitao mother</v>
      </c>
      <c r="D4538" s="5" t="s">
        <v>10323</v>
      </c>
      <c r="E4538" s="4">
        <v>2428819</v>
      </c>
    </row>
    <row r="4539" spans="1:6" ht="13.5" hidden="1" customHeight="1">
      <c r="A4539" s="4" t="s">
        <v>10324</v>
      </c>
      <c r="B4539" s="4" t="s">
        <v>10325</v>
      </c>
      <c r="C4539" s="4" t="str">
        <f ca="1">IFERROR(__xludf.DUMMYFUNCTION("GOOGLETRANSLATE(D:D,""auto"",""en"")"),"Liu Bo Xin surprise Huachen Yu")</f>
        <v>Liu Bo Xin surprise Huachen Yu</v>
      </c>
      <c r="D4539" s="5" t="s">
        <v>10326</v>
      </c>
      <c r="E4539" s="4">
        <v>2157541</v>
      </c>
    </row>
    <row r="4540" spans="1:6" ht="13.5" hidden="1" customHeight="1">
      <c r="A4540" s="4" t="s">
        <v>10327</v>
      </c>
      <c r="B4540" s="4" t="s">
        <v>10328</v>
      </c>
      <c r="C4540" s="4" t="str">
        <f ca="1">IFERROR(__xludf.DUMMYFUNCTION("GOOGLETRANSLATE(D:D,""auto"",""en"")"),"Haixia bow to read my statement")</f>
        <v>Haixia bow to read my statement</v>
      </c>
      <c r="D4540" s="5" t="s">
        <v>10329</v>
      </c>
      <c r="E4540" s="4">
        <v>2138683</v>
      </c>
    </row>
    <row r="4541" spans="1:6" ht="13.5" hidden="1" customHeight="1">
      <c r="A4541" s="4" t="s">
        <v>10330</v>
      </c>
      <c r="B4541" s="4" t="s">
        <v>10331</v>
      </c>
      <c r="C4541" s="4" t="str">
        <f ca="1">IFERROR(__xludf.DUMMYFUNCTION("GOOGLETRANSLATE(D:D,""auto"",""en"")"),"4 people have been receiving rehabilitation plasma therapy")</f>
        <v>4 people have been receiving rehabilitation plasma therapy</v>
      </c>
      <c r="D4541" s="5" t="s">
        <v>10332</v>
      </c>
      <c r="E4541" s="4">
        <v>2044901</v>
      </c>
    </row>
    <row r="4542" spans="1:6" ht="13.5" customHeight="1">
      <c r="A4542" s="4" t="s">
        <v>10333</v>
      </c>
      <c r="B4542" s="4" t="s">
        <v>10334</v>
      </c>
      <c r="C4542" s="4" t="str">
        <f ca="1">IFERROR(__xludf.DUMMYFUNCTION("GOOGLETRANSLATE(D:D,""auto"",""en"")"),"Battle of Wuhan, Hubei Battle comprehensive offensive")</f>
        <v>Battle of Wuhan, Hubei Battle comprehensive offensive</v>
      </c>
      <c r="D4542" s="5" t="s">
        <v>10335</v>
      </c>
      <c r="E4542" s="4">
        <v>1974130</v>
      </c>
      <c r="F4542">
        <v>1</v>
      </c>
    </row>
    <row r="4543" spans="1:6" ht="13.5" hidden="1" customHeight="1">
      <c r="A4543" s="4" t="s">
        <v>10336</v>
      </c>
      <c r="B4543" s="4" t="s">
        <v>10337</v>
      </c>
      <c r="C4543" s="4" t="str">
        <f ca="1">IFERROR(__xludf.DUMMYFUNCTION("GOOGLETRANSLATE(D:D,""auto"",""en"")"),"Gimhae")</f>
        <v>Gimhae</v>
      </c>
      <c r="D4543" s="5" t="s">
        <v>10338</v>
      </c>
      <c r="E4543" s="4">
        <v>1963195</v>
      </c>
    </row>
    <row r="4544" spans="1:6" ht="13.5" hidden="1" customHeight="1">
      <c r="A4544" s="4" t="s">
        <v>10339</v>
      </c>
      <c r="B4544" s="4" t="s">
        <v>10340</v>
      </c>
      <c r="C4544" s="4" t="str">
        <f ca="1">IFERROR(__xludf.DUMMYFUNCTION("GOOGLETRANSLATE(D:D,""auto"",""en"")"),"Zhou deep as one would like to have people")</f>
        <v>Zhou deep as one would like to have people</v>
      </c>
      <c r="D4544" s="5" t="s">
        <v>10341</v>
      </c>
      <c r="E4544" s="4">
        <v>1885330</v>
      </c>
    </row>
    <row r="4545" spans="1:6" ht="13.5" hidden="1" customHeight="1">
      <c r="A4545" s="4" t="s">
        <v>10342</v>
      </c>
      <c r="B4545" s="4" t="s">
        <v>10343</v>
      </c>
      <c r="C4545" s="4" t="str">
        <f ca="1">IFERROR(__xludf.DUMMYFUNCTION("GOOGLETRANSLATE(D:D,""auto"",""en"")"),"Headphone cable wrapped around the waist challenge")</f>
        <v>Headphone cable wrapped around the waist challenge</v>
      </c>
      <c r="D4545" s="5" t="s">
        <v>10344</v>
      </c>
      <c r="E4545" s="4">
        <v>1789392</v>
      </c>
    </row>
    <row r="4546" spans="1:6" ht="13.5" hidden="1" customHeight="1">
      <c r="A4546" s="4" t="s">
        <v>10345</v>
      </c>
      <c r="B4546" s="4" t="s">
        <v>10346</v>
      </c>
      <c r="C4546" s="4" t="str">
        <f ca="1">IFERROR(__xludf.DUMMYFUNCTION("GOOGLETRANSLATE(D:D,""auto"",""en"")"),"Home or back to Beijing personnel should focus observed for 14 days")</f>
        <v>Home or back to Beijing personnel should focus observed for 14 days</v>
      </c>
      <c r="D4546" s="5" t="s">
        <v>10347</v>
      </c>
      <c r="E4546" s="4">
        <v>1782238</v>
      </c>
    </row>
    <row r="4547" spans="1:6" ht="13.5" hidden="1" customHeight="1">
      <c r="A4547" s="4" t="s">
        <v>10348</v>
      </c>
      <c r="B4547" s="4" t="s">
        <v>10349</v>
      </c>
      <c r="C4547" s="4" t="str">
        <f ca="1">IFERROR(__xludf.DUMMYFUNCTION("GOOGLETRANSLATE(D:D,""auto"",""en"")"),"Zhang Dingyu mobilization wife plasma donations")</f>
        <v>Zhang Dingyu mobilization wife plasma donations</v>
      </c>
      <c r="D4547" s="5" t="s">
        <v>10350</v>
      </c>
      <c r="E4547" s="4">
        <v>1696989</v>
      </c>
    </row>
    <row r="4548" spans="1:6" ht="13.5" customHeight="1">
      <c r="A4548" s="4" t="s">
        <v>10351</v>
      </c>
      <c r="B4548" s="4" t="s">
        <v>10352</v>
      </c>
      <c r="C4548" s="4" t="str">
        <f ca="1">IFERROR(__xludf.DUMMYFUNCTION("GOOGLETRANSLATE(D:D,""auto"",""en"")"),"The Batman style")</f>
        <v>The Batman style</v>
      </c>
      <c r="D4548" s="5" t="s">
        <v>10353</v>
      </c>
      <c r="E4548" s="4">
        <v>1632147</v>
      </c>
      <c r="F4548">
        <v>1</v>
      </c>
    </row>
    <row r="4549" spans="1:6" ht="13.5" customHeight="1">
      <c r="A4549" s="4" t="s">
        <v>10354</v>
      </c>
      <c r="B4549" s="4" t="s">
        <v>10355</v>
      </c>
      <c r="C4549" s="4" t="str">
        <f ca="1">IFERROR(__xludf.DUMMYFUNCTION("GOOGLETRANSLATE(D:D,""auto"",""en"")"),"Jingdong masks")</f>
        <v>Jingdong masks</v>
      </c>
      <c r="D4549" s="5" t="s">
        <v>10356</v>
      </c>
      <c r="E4549" s="4">
        <v>1601541</v>
      </c>
      <c r="F4549">
        <v>1</v>
      </c>
    </row>
    <row r="4550" spans="1:6" ht="13.5" hidden="1" customHeight="1">
      <c r="A4550" s="4" t="s">
        <v>10357</v>
      </c>
      <c r="B4550" s="4" t="s">
        <v>10322</v>
      </c>
      <c r="C4550" s="4" t="str">
        <f ca="1">IFERROR(__xludf.DUMMYFUNCTION("GOOGLETRANSLATE(D:D,""auto"",""en"")"),"Prince Stephy")</f>
        <v>Prince Stephy</v>
      </c>
      <c r="D4550" s="5" t="s">
        <v>10358</v>
      </c>
      <c r="E4550" s="4">
        <v>1414354</v>
      </c>
    </row>
    <row r="4551" spans="1:6" ht="13.5" customHeight="1">
      <c r="A4551" s="4" t="s">
        <v>10359</v>
      </c>
      <c r="B4551" s="4" t="s">
        <v>10360</v>
      </c>
      <c r="C4551" s="4" t="str">
        <f ca="1">IFERROR(__xludf.DUMMYFUNCTION("GOOGLETRANSLATE(D:D,""auto"",""en"")"),"800 000 Surgical N95 masks shipped to Wuhan")</f>
        <v>800 000 Surgical N95 masks shipped to Wuhan</v>
      </c>
      <c r="D4551" s="5" t="s">
        <v>10361</v>
      </c>
      <c r="E4551" s="4">
        <v>1365533</v>
      </c>
      <c r="F4551">
        <v>1</v>
      </c>
    </row>
    <row r="4552" spans="1:6" ht="13.5" hidden="1" customHeight="1">
      <c r="A4552" s="4" t="s">
        <v>10362</v>
      </c>
      <c r="B4552" s="4" t="s">
        <v>10363</v>
      </c>
      <c r="C4552" s="4" t="str">
        <f ca="1">IFERROR(__xludf.DUMMYFUNCTION("GOOGLETRANSLATE(D:D,""auto"",""en"")"),"Valentine's Day is now Inner Mongolia, much of the magic day wonders")</f>
        <v>Valentine's Day is now Inner Mongolia, much of the magic day wonders</v>
      </c>
      <c r="D4552" s="5" t="s">
        <v>10364</v>
      </c>
      <c r="E4552" s="4">
        <v>976504</v>
      </c>
    </row>
    <row r="4553" spans="1:6" ht="13.5" customHeight="1">
      <c r="A4553" s="4" t="s">
        <v>10365</v>
      </c>
      <c r="B4553" s="4" t="s">
        <v>10366</v>
      </c>
      <c r="C4553" s="4" t="str">
        <f ca="1">IFERROR(__xludf.DUMMYFUNCTION("GOOGLETRANSLATE(D:D,""auto"",""en"")"),"Doctor night do 26 sit in a corner and fell asleep CT")</f>
        <v>Doctor night do 26 sit in a corner and fell asleep CT</v>
      </c>
      <c r="D4553" s="5" t="s">
        <v>10367</v>
      </c>
      <c r="E4553" s="4">
        <v>952211</v>
      </c>
      <c r="F4553">
        <v>1</v>
      </c>
    </row>
    <row r="4554" spans="1:6" ht="13.5" hidden="1" customHeight="1">
      <c r="A4554" s="4" t="s">
        <v>8757</v>
      </c>
      <c r="B4554" s="4" t="s">
        <v>8758</v>
      </c>
      <c r="C4554" s="4" t="str">
        <f ca="1">IFERROR(__xludf.DUMMYFUNCTION("GOOGLETRANSLATE(D:D,""auto"",""en"")"),"Vega mother")</f>
        <v>Vega mother</v>
      </c>
      <c r="D4554" s="5" t="s">
        <v>8759</v>
      </c>
      <c r="E4554" s="4">
        <v>945636</v>
      </c>
    </row>
    <row r="4555" spans="1:6" ht="13.5" hidden="1" customHeight="1">
      <c r="A4555" s="4" t="s">
        <v>10368</v>
      </c>
      <c r="B4555" s="4" t="s">
        <v>10369</v>
      </c>
      <c r="C4555" s="4" t="str">
        <f ca="1">IFERROR(__xludf.DUMMYFUNCTION("GOOGLETRANSLATE(D:D,""auto"",""en"")"),"singer")</f>
        <v>singer</v>
      </c>
      <c r="D4555" s="5" t="s">
        <v>10370</v>
      </c>
      <c r="E4555" s="4">
        <v>911575</v>
      </c>
    </row>
    <row r="4556" spans="1:6" ht="13.5" hidden="1" customHeight="1">
      <c r="A4556" s="4" t="s">
        <v>10371</v>
      </c>
      <c r="B4556" s="4" t="s">
        <v>10372</v>
      </c>
      <c r="C4556" s="4" t="str">
        <f ca="1">IFERROR(__xludf.DUMMYFUNCTION("GOOGLETRANSLATE(D:D,""auto"",""en"")"),"Sun Goddess eyewear")</f>
        <v>Sun Goddess eyewear</v>
      </c>
      <c r="D4556" s="5" t="s">
        <v>10373</v>
      </c>
      <c r="E4556" s="4">
        <v>843884</v>
      </c>
    </row>
    <row r="4557" spans="1:6" ht="13.5" hidden="1" customHeight="1">
      <c r="A4557" s="4" t="s">
        <v>10362</v>
      </c>
      <c r="B4557" s="4" t="s">
        <v>10374</v>
      </c>
      <c r="C4557" s="4" t="str">
        <f ca="1">IFERROR(__xludf.DUMMYFUNCTION("GOOGLETRANSLATE(D:D,""auto"",""en"")"),"Huangshan Scenic free of charge for one year to the National Health Care")</f>
        <v>Huangshan Scenic free of charge for one year to the National Health Care</v>
      </c>
      <c r="D4557" s="5" t="s">
        <v>10375</v>
      </c>
      <c r="E4557" s="4">
        <v>837991</v>
      </c>
    </row>
    <row r="4558" spans="1:6" ht="13.5" hidden="1" customHeight="1">
      <c r="A4558" s="4" t="s">
        <v>10376</v>
      </c>
      <c r="B4558" s="4" t="s">
        <v>10377</v>
      </c>
      <c r="C4558" s="4" t="str">
        <f ca="1">IFERROR(__xludf.DUMMYFUNCTION("GOOGLETRANSLATE(D:D,""auto"",""en"")"),"He made the stars Song Yuan back to friends")</f>
        <v>He made the stars Song Yuan back to friends</v>
      </c>
      <c r="D4558" s="5" t="s">
        <v>10378</v>
      </c>
      <c r="E4558" s="4">
        <v>834988</v>
      </c>
    </row>
    <row r="4559" spans="1:6" ht="13.5" hidden="1" customHeight="1">
      <c r="A4559" s="4" t="s">
        <v>10379</v>
      </c>
      <c r="B4559" s="4" t="s">
        <v>10380</v>
      </c>
      <c r="C4559" s="4" t="str">
        <f ca="1">IFERROR(__xludf.DUMMYFUNCTION("GOOGLETRANSLATE(D:D,""auto"",""en"")"),"CCTV girls")</f>
        <v>CCTV girls</v>
      </c>
      <c r="D4559" s="5" t="s">
        <v>10381</v>
      </c>
      <c r="E4559" s="4">
        <v>821926</v>
      </c>
    </row>
    <row r="4560" spans="1:6" ht="13.5" hidden="1" customHeight="1">
      <c r="A4560" s="4" t="s">
        <v>10382</v>
      </c>
      <c r="B4560" s="4" t="s">
        <v>10256</v>
      </c>
      <c r="C4560" s="4" t="str">
        <f ca="1">IFERROR(__xludf.DUMMYFUNCTION("GOOGLETRANSLATE(D:D,""auto"",""en"")"),"Bi books do get married")</f>
        <v>Bi books do get married</v>
      </c>
      <c r="D4560" s="5" t="s">
        <v>10383</v>
      </c>
      <c r="E4560" s="4">
        <v>738299</v>
      </c>
    </row>
    <row r="4561" spans="1:6" ht="13.5" hidden="1" customHeight="1">
      <c r="A4561" s="4" t="s">
        <v>10382</v>
      </c>
      <c r="B4561" s="4" t="s">
        <v>10384</v>
      </c>
      <c r="C4561" s="4" t="str">
        <f ca="1">IFERROR(__xludf.DUMMYFUNCTION("GOOGLETRANSLATE(D:D,""auto"",""en"")"),"Valentine Beijing thousands of new registration of marriage")</f>
        <v>Valentine Beijing thousands of new registration of marriage</v>
      </c>
      <c r="D4561" s="5" t="s">
        <v>10385</v>
      </c>
      <c r="E4561" s="4">
        <v>655620</v>
      </c>
    </row>
    <row r="4562" spans="1:6" ht="13.5" hidden="1" customHeight="1">
      <c r="A4562" s="4" t="s">
        <v>10336</v>
      </c>
      <c r="B4562" s="4" t="s">
        <v>10386</v>
      </c>
      <c r="C4562" s="4" t="str">
        <f ca="1">IFERROR(__xludf.DUMMYFUNCTION("GOOGLETRANSLATE(D:D,""auto"",""en"")"),"The Ministry of Education adjust the network learning resources")</f>
        <v>The Ministry of Education adjust the network learning resources</v>
      </c>
      <c r="D4562" s="5" t="s">
        <v>10387</v>
      </c>
      <c r="E4562" s="4">
        <v>651297</v>
      </c>
    </row>
    <row r="4563" spans="1:6" ht="13.5" hidden="1" customHeight="1">
      <c r="A4563" s="4" t="s">
        <v>10388</v>
      </c>
      <c r="B4563" s="4" t="s">
        <v>10389</v>
      </c>
      <c r="C4563" s="4" t="str">
        <f ca="1">IFERROR(__xludf.DUMMYFUNCTION("GOOGLETRANSLATE(D:D,""auto"",""en"")"),"Wang Yuan tender")</f>
        <v>Wang Yuan tender</v>
      </c>
      <c r="D4563" s="5" t="s">
        <v>10390</v>
      </c>
      <c r="E4563" s="4">
        <v>648547</v>
      </c>
    </row>
    <row r="4564" spans="1:6" ht="13.5" hidden="1" customHeight="1">
      <c r="A4564" s="4" t="s">
        <v>10391</v>
      </c>
      <c r="B4564" s="4" t="s">
        <v>10392</v>
      </c>
      <c r="C4564" s="4" t="str">
        <f ca="1">IFERROR(__xludf.DUMMYFUNCTION("GOOGLETRANSLATE(D:D,""auto"",""en"")"),"Valentine still open CP")</f>
        <v>Valentine still open CP</v>
      </c>
      <c r="D4564" s="5" t="s">
        <v>10393</v>
      </c>
      <c r="E4564" s="4">
        <v>601831</v>
      </c>
    </row>
    <row r="4565" spans="1:6" ht="13.5" customHeight="1">
      <c r="A4565" s="4" t="s">
        <v>10315</v>
      </c>
      <c r="B4565" s="4" t="s">
        <v>10380</v>
      </c>
      <c r="C4565" s="4" t="str">
        <f ca="1">IFERROR(__xludf.DUMMYFUNCTION("GOOGLETRANSLATE(D:D,""auto"",""en"")"),"Wuhan, Sichuan villagers to donate three tons folded ears")</f>
        <v>Wuhan, Sichuan villagers to donate three tons folded ears</v>
      </c>
      <c r="D4565" s="5" t="s">
        <v>10394</v>
      </c>
      <c r="E4565" s="4">
        <v>597672</v>
      </c>
      <c r="F4565">
        <v>1</v>
      </c>
    </row>
    <row r="4566" spans="1:6" ht="13.5" customHeight="1">
      <c r="A4566" s="4" t="s">
        <v>10395</v>
      </c>
      <c r="B4566" s="4" t="s">
        <v>10396</v>
      </c>
      <c r="C4566" s="4" t="str">
        <f ca="1">IFERROR(__xludf.DUMMYFUNCTION("GOOGLETRANSLATE(D:D,""auto"",""en"")"),"Wuchang District of Wuhan City five cadres to be held accountable")</f>
        <v>Wuchang District of Wuhan City five cadres to be held accountable</v>
      </c>
      <c r="D4566" s="5" t="s">
        <v>10397</v>
      </c>
      <c r="E4566" s="4">
        <v>540683</v>
      </c>
      <c r="F4566">
        <v>1</v>
      </c>
    </row>
    <row r="4567" spans="1:6" ht="13.5" hidden="1" customHeight="1">
      <c r="A4567" s="4" t="s">
        <v>10354</v>
      </c>
      <c r="B4567" s="4" t="s">
        <v>10398</v>
      </c>
      <c r="C4567" s="4" t="str">
        <f ca="1">IFERROR(__xludf.DUMMYFUNCTION("GOOGLETRANSLATE(D:D,""auto"",""en"")"),"Tai Chi Ba Duan Jin benefit to the patient")</f>
        <v>Tai Chi Ba Duan Jin benefit to the patient</v>
      </c>
      <c r="D4567" s="5" t="s">
        <v>10399</v>
      </c>
      <c r="E4567" s="4">
        <v>489186</v>
      </c>
    </row>
    <row r="4568" spans="1:6" ht="13.5" customHeight="1">
      <c r="A4568" s="4" t="s">
        <v>10400</v>
      </c>
      <c r="B4568" s="4" t="s">
        <v>10401</v>
      </c>
      <c r="C4568" s="4" t="str">
        <f ca="1">IFERROR(__xludf.DUMMYFUNCTION("GOOGLETRANSLATE(D:D,""auto"",""en"")"),"Vulcan Mountain doctor-patient communication group")</f>
        <v>Vulcan Mountain doctor-patient communication group</v>
      </c>
      <c r="D4568" s="5" t="s">
        <v>10402</v>
      </c>
      <c r="E4568" s="4">
        <v>465564</v>
      </c>
      <c r="F4568">
        <v>1</v>
      </c>
    </row>
    <row r="4569" spans="1:6" ht="13.5" hidden="1" customHeight="1">
      <c r="A4569" s="4" t="s">
        <v>10403</v>
      </c>
      <c r="B4569" s="4" t="s">
        <v>10404</v>
      </c>
      <c r="C4569" s="4" t="str">
        <f ca="1">IFERROR(__xludf.DUMMYFUNCTION("GOOGLETRANSLATE(D:D,""auto"",""en"")"),"Asteroid")</f>
        <v>Asteroid</v>
      </c>
      <c r="D4569" s="5" t="s">
        <v>10405</v>
      </c>
      <c r="E4569" s="4">
        <v>427122</v>
      </c>
    </row>
    <row r="4570" spans="1:6" ht="13.5" customHeight="1">
      <c r="A4570" s="4" t="s">
        <v>10406</v>
      </c>
      <c r="B4570" s="4" t="s">
        <v>10407</v>
      </c>
      <c r="C4570" s="4" t="str">
        <f ca="1">IFERROR(__xludf.DUMMYFUNCTION("GOOGLETRANSLATE(D:D,""auto"",""en"")"),"How to work hard to return to work after")</f>
        <v>How to work hard to return to work after</v>
      </c>
      <c r="D4570" s="5" t="s">
        <v>10408</v>
      </c>
      <c r="E4570" s="4">
        <v>423637</v>
      </c>
      <c r="F4570">
        <v>1</v>
      </c>
    </row>
    <row r="4571" spans="1:6" ht="13.5" hidden="1" customHeight="1">
      <c r="A4571" s="4" t="s">
        <v>10409</v>
      </c>
      <c r="B4571" s="4" t="s">
        <v>10410</v>
      </c>
      <c r="C4571" s="4" t="str">
        <f ca="1">IFERROR(__xludf.DUMMYFUNCTION("GOOGLETRANSLATE(D:D,""auto"",""en"")"),"Wear clothes to go to hospital, inflatable giraffe")</f>
        <v>Wear clothes to go to hospital, inflatable giraffe</v>
      </c>
      <c r="D4571" s="5" t="s">
        <v>10411</v>
      </c>
      <c r="E4571" s="4">
        <v>401060</v>
      </c>
    </row>
    <row r="4572" spans="1:6" ht="13.5" hidden="1" customHeight="1">
      <c r="A4572" s="4" t="s">
        <v>10412</v>
      </c>
      <c r="B4572" s="4" t="s">
        <v>10413</v>
      </c>
      <c r="C4572" s="4" t="str">
        <f ca="1">IFERROR(__xludf.DUMMYFUNCTION("GOOGLETRANSLATE(D:D,""auto"",""en"")"),"The true state of Valentine's Day 2020")</f>
        <v>The true state of Valentine's Day 2020</v>
      </c>
      <c r="D4572" s="5" t="s">
        <v>10414</v>
      </c>
      <c r="E4572" s="4">
        <v>386030</v>
      </c>
    </row>
    <row r="4573" spans="1:6" ht="13.5" customHeight="1">
      <c r="A4573" s="4" t="s">
        <v>10415</v>
      </c>
      <c r="B4573" s="4" t="s">
        <v>10416</v>
      </c>
      <c r="C4573" s="4" t="str">
        <f ca="1">IFERROR(__xludf.DUMMYFUNCTION("GOOGLETRANSLATE(D:D,""auto"",""en"")"),"Net group lesson class in the rollover scene")</f>
        <v>Net group lesson class in the rollover scene</v>
      </c>
      <c r="D4573" s="5" t="s">
        <v>10417</v>
      </c>
      <c r="E4573" s="4">
        <v>310795</v>
      </c>
      <c r="F4573">
        <v>1</v>
      </c>
    </row>
    <row r="4574" spans="1:6" ht="13.5" customHeight="1">
      <c r="A4574" s="4" t="s">
        <v>10418</v>
      </c>
      <c r="B4574" s="4" t="s">
        <v>10419</v>
      </c>
      <c r="C4574" s="4" t="str">
        <f ca="1">IFERROR(__xludf.DUMMYFUNCTION("GOOGLETRANSLATE(D:D,""auto"",""en"")"),"Life does not come to Wuhan cut hairstyle")</f>
        <v>Life does not come to Wuhan cut hairstyle</v>
      </c>
      <c r="D4574" s="5" t="s">
        <v>10420</v>
      </c>
      <c r="E4574" s="4">
        <v>309362</v>
      </c>
      <c r="F4574">
        <v>1</v>
      </c>
    </row>
    <row r="4575" spans="1:6" ht="13.5" hidden="1" customHeight="1">
      <c r="A4575" s="4" t="s">
        <v>10421</v>
      </c>
      <c r="B4575" s="4" t="s">
        <v>10422</v>
      </c>
      <c r="C4575" s="4" t="str">
        <f ca="1">IFERROR(__xludf.DUMMYFUNCTION("GOOGLETRANSLATE(D:D,""auto"",""en"")"),"Recent work a sense of ceremony")</f>
        <v>Recent work a sense of ceremony</v>
      </c>
      <c r="D4575" s="5" t="s">
        <v>10423</v>
      </c>
      <c r="E4575" s="4">
        <v>288166</v>
      </c>
    </row>
    <row r="4576" spans="1:6" ht="13.5" hidden="1" customHeight="1">
      <c r="A4576" s="4" t="s">
        <v>10424</v>
      </c>
      <c r="B4576" s="4" t="s">
        <v>10422</v>
      </c>
      <c r="C4576" s="4" t="str">
        <f ca="1">IFERROR(__xludf.DUMMYFUNCTION("GOOGLETRANSLATE(D:D,""auto"",""en"")"),"Reduce logistics costs for poor sales of agricultural products")</f>
        <v>Reduce logistics costs for poor sales of agricultural products</v>
      </c>
      <c r="D4576" s="5" t="s">
        <v>10425</v>
      </c>
      <c r="E4576" s="4">
        <v>282785</v>
      </c>
    </row>
    <row r="4577" spans="1:6" ht="13.5" customHeight="1">
      <c r="A4577" s="4" t="s">
        <v>10418</v>
      </c>
      <c r="B4577" s="4" t="s">
        <v>10426</v>
      </c>
      <c r="C4577" s="4" t="str">
        <f ca="1">IFERROR(__xludf.DUMMYFUNCTION("GOOGLETRANSLATE(D:D,""auto"",""en"")"),"Shelter hospital doctors to send flowers holidays")</f>
        <v>Shelter hospital doctors to send flowers holidays</v>
      </c>
      <c r="D4577" s="5" t="s">
        <v>10427</v>
      </c>
      <c r="E4577" s="4">
        <v>281513</v>
      </c>
      <c r="F4577">
        <v>1</v>
      </c>
    </row>
    <row r="4578" spans="1:6" ht="13.5" hidden="1" customHeight="1">
      <c r="A4578" s="4" t="s">
        <v>10418</v>
      </c>
      <c r="B4578" s="4" t="s">
        <v>10428</v>
      </c>
      <c r="C4578" s="4" t="str">
        <f ca="1">IFERROR(__xludf.DUMMYFUNCTION("GOOGLETRANSLATE(D:D,""auto"",""en"")"),"Or someone else's sweetest love")</f>
        <v>Or someone else's sweetest love</v>
      </c>
      <c r="D4578" s="5" t="s">
        <v>10429</v>
      </c>
      <c r="E4578" s="4">
        <v>281256</v>
      </c>
    </row>
    <row r="4579" spans="1:6" ht="13.5" customHeight="1">
      <c r="A4579" s="4" t="s">
        <v>10430</v>
      </c>
      <c r="B4579" s="4" t="s">
        <v>10398</v>
      </c>
      <c r="C4579" s="4" t="str">
        <f ca="1">IFERROR(__xludf.DUMMYFUNCTION("GOOGLETRANSLATE(D:D,""auto"",""en"")"),"Guoping donated 600,000 masks")</f>
        <v>Guoping donated 600,000 masks</v>
      </c>
      <c r="D4579" s="5" t="s">
        <v>10431</v>
      </c>
      <c r="E4579" s="4">
        <v>227599</v>
      </c>
      <c r="F4579">
        <v>1</v>
      </c>
    </row>
    <row r="4580" spans="1:6" ht="13.5" hidden="1" customHeight="1">
      <c r="A4580" s="4" t="s">
        <v>10432</v>
      </c>
      <c r="B4580" s="4" t="s">
        <v>10433</v>
      </c>
      <c r="C4580" s="4" t="str">
        <f ca="1">IFERROR(__xludf.DUMMYFUNCTION("GOOGLETRANSLATE(D:D,""auto"",""en"")"),"Liu Shi Bazaar Cover")</f>
        <v>Liu Shi Bazaar Cover</v>
      </c>
      <c r="D4580" s="5" t="s">
        <v>10434</v>
      </c>
      <c r="E4580" s="4">
        <v>207121</v>
      </c>
    </row>
    <row r="4581" spans="1:6" ht="13.5" hidden="1" customHeight="1">
      <c r="A4581" s="4" t="s">
        <v>10435</v>
      </c>
      <c r="B4581" s="4" t="s">
        <v>10436</v>
      </c>
      <c r="C4581" s="4" t="str">
        <f ca="1">IFERROR(__xludf.DUMMYFUNCTION("GOOGLETRANSLATE(D:D,""auto"",""en"")"),"Cai Chengyu live")</f>
        <v>Cai Chengyu live</v>
      </c>
      <c r="D4581" s="5" t="s">
        <v>10437</v>
      </c>
      <c r="E4581" s="4">
        <v>206978</v>
      </c>
    </row>
    <row r="4582" spans="1:6" ht="13.5" customHeight="1">
      <c r="A4582" s="4" t="s">
        <v>10438</v>
      </c>
      <c r="B4582" s="4" t="s">
        <v>10218</v>
      </c>
      <c r="C4582" s="4" t="str">
        <f ca="1">IFERROR(__xludf.DUMMYFUNCTION("GOOGLETRANSLATE(D:D,""auto"",""en"")"),"Valentine's Day next epidemic")</f>
        <v>Valentine's Day next epidemic</v>
      </c>
      <c r="D4582" s="5" t="s">
        <v>10439</v>
      </c>
      <c r="E4582" s="4">
        <v>201779</v>
      </c>
      <c r="F4582">
        <v>1</v>
      </c>
    </row>
    <row r="4583" spans="1:6" ht="13.5" hidden="1" customHeight="1">
      <c r="C4583" s="4" t="str">
        <f ca="1">IFERROR(__xludf.DUMMYFUNCTION("GOOGLETRANSLATE(D:D,""auto"",""en"")"),"#VALUE!")</f>
        <v>#VALUE!</v>
      </c>
    </row>
    <row r="4584" spans="1:6" ht="13.5" customHeight="1">
      <c r="A4584" s="4" t="s">
        <v>10440</v>
      </c>
      <c r="B4584" s="4" t="s">
        <v>10441</v>
      </c>
      <c r="C4584" s="4" t="str">
        <f ca="1">IFERROR(__xludf.DUMMYFUNCTION("GOOGLETRANSLATE(D:D,""auto"",""en"")"),"More than half of all confirmed cases in Hubei with traditional Chinese medicine")</f>
        <v>More than half of all confirmed cases in Hubei with traditional Chinese medicine</v>
      </c>
      <c r="D4584" s="4" t="s">
        <v>10442</v>
      </c>
      <c r="E4584" s="4">
        <v>4532975</v>
      </c>
      <c r="F4584">
        <v>1</v>
      </c>
    </row>
    <row r="4585" spans="1:6" ht="13.5" customHeight="1">
      <c r="A4585" s="4" t="s">
        <v>10443</v>
      </c>
      <c r="B4585" s="4" t="s">
        <v>10444</v>
      </c>
      <c r="C4585" s="4" t="str">
        <f ca="1">IFERROR(__xludf.DUMMYFUNCTION("GOOGLETRANSLATE(D:D,""auto"",""en"")"),"6 hair masks usually sell one yuan price a few cents")</f>
        <v>6 hair masks usually sell one yuan price a few cents</v>
      </c>
      <c r="D4585" s="5" t="s">
        <v>10445</v>
      </c>
      <c r="E4585" s="4">
        <v>2504153</v>
      </c>
      <c r="F4585">
        <v>1</v>
      </c>
    </row>
    <row r="4586" spans="1:6" ht="13.5" hidden="1" customHeight="1">
      <c r="A4586" s="4" t="s">
        <v>10446</v>
      </c>
      <c r="B4586" s="4" t="s">
        <v>10447</v>
      </c>
      <c r="C4586" s="4" t="str">
        <f ca="1">IFERROR(__xludf.DUMMYFUNCTION("GOOGLETRANSLATE(D:D,""auto"",""en"")"),"Chinese medicine has sent three national teams 2220 people")</f>
        <v>Chinese medicine has sent three national teams 2220 people</v>
      </c>
      <c r="D4586" s="5" t="s">
        <v>10448</v>
      </c>
      <c r="E4586" s="4">
        <v>1304172</v>
      </c>
    </row>
    <row r="4587" spans="1:6" ht="13.5" hidden="1" customHeight="1">
      <c r="A4587" s="4" t="s">
        <v>10449</v>
      </c>
      <c r="B4587" s="4" t="s">
        <v>10450</v>
      </c>
      <c r="C4587" s="4" t="str">
        <f ca="1">IFERROR(__xludf.DUMMYFUNCTION("GOOGLETRANSLATE(D:D,""auto"",""en"")"),"Ho ho apology")</f>
        <v>Ho ho apology</v>
      </c>
      <c r="D4587" s="5" t="s">
        <v>10451</v>
      </c>
      <c r="E4587" s="4">
        <v>1296849</v>
      </c>
    </row>
    <row r="4588" spans="1:6" ht="13.5" hidden="1" customHeight="1">
      <c r="A4588" s="4" t="s">
        <v>10452</v>
      </c>
      <c r="B4588" s="4" t="s">
        <v>10453</v>
      </c>
      <c r="C4588" s="4" t="str">
        <f ca="1">IFERROR(__xludf.DUMMYFUNCTION("GOOGLETRANSLATE(D:D,""auto"",""en"")"),"Mao is not easy issued")</f>
        <v>Mao is not easy issued</v>
      </c>
      <c r="D4588" s="5" t="s">
        <v>10454</v>
      </c>
      <c r="E4588" s="4">
        <v>1288479</v>
      </c>
    </row>
    <row r="4589" spans="1:6" ht="13.5" customHeight="1">
      <c r="A4589" s="4" t="s">
        <v>10455</v>
      </c>
      <c r="B4589" s="4" t="s">
        <v>10456</v>
      </c>
      <c r="C4589" s="4" t="str">
        <f ca="1">IFERROR(__xludf.DUMMYFUNCTION("GOOGLETRANSLATE(D:D,""auto"",""en"")"),"The central bank allocated 4 billion yuan banknotes to Wuhan")</f>
        <v>The central bank allocated 4 billion yuan banknotes to Wuhan</v>
      </c>
      <c r="D4589" s="5" t="s">
        <v>10457</v>
      </c>
      <c r="E4589" s="4">
        <v>1245699</v>
      </c>
      <c r="F4589">
        <v>1</v>
      </c>
    </row>
    <row r="4590" spans="1:6" ht="13.5" customHeight="1">
      <c r="A4590" s="4" t="s">
        <v>10458</v>
      </c>
      <c r="B4590" s="4" t="s">
        <v>10459</v>
      </c>
      <c r="C4590" s="4" t="str">
        <f ca="1">IFERROR(__xludf.DUMMYFUNCTION("GOOGLETRANSLATE(D:D,""auto"",""en"")"),"The new crown pneumonia first confirmed cases in the African continent")</f>
        <v>The new crown pneumonia first confirmed cases in the African continent</v>
      </c>
      <c r="D4590" s="5" t="s">
        <v>10460</v>
      </c>
      <c r="E4590" s="4">
        <v>1244296</v>
      </c>
      <c r="F4590">
        <v>1</v>
      </c>
    </row>
    <row r="4591" spans="1:6" ht="13.5" hidden="1" customHeight="1">
      <c r="A4591" s="4" t="s">
        <v>10327</v>
      </c>
      <c r="B4591" s="4" t="s">
        <v>10328</v>
      </c>
      <c r="C4591" s="4" t="str">
        <f ca="1">IFERROR(__xludf.DUMMYFUNCTION("GOOGLETRANSLATE(D:D,""auto"",""en"")"),"Haixia bow to read my statement")</f>
        <v>Haixia bow to read my statement</v>
      </c>
      <c r="D4591" s="5" t="s">
        <v>10329</v>
      </c>
      <c r="E4591" s="4">
        <v>1041534</v>
      </c>
    </row>
    <row r="4592" spans="1:6" ht="13.5" hidden="1" customHeight="1">
      <c r="A4592" s="4" t="s">
        <v>10461</v>
      </c>
      <c r="B4592" s="4" t="s">
        <v>10462</v>
      </c>
      <c r="C4592" s="4" t="str">
        <f ca="1">IFERROR(__xludf.DUMMYFUNCTION("GOOGLETRANSLATE(D:D,""auto"",""en"")"),"He Jiong make a cake")</f>
        <v>He Jiong make a cake</v>
      </c>
      <c r="D4592" s="5" t="s">
        <v>10463</v>
      </c>
      <c r="E4592" s="4">
        <v>971691</v>
      </c>
    </row>
    <row r="4593" spans="1:6" ht="13.5" customHeight="1">
      <c r="A4593" s="4" t="s">
        <v>10464</v>
      </c>
      <c r="B4593" s="4" t="s">
        <v>10465</v>
      </c>
      <c r="C4593" s="4" t="str">
        <f ca="1">IFERROR(__xludf.DUMMYFUNCTION("GOOGLETRANSLATE(D:D,""auto"",""en"")"),"Zhangjiajie CDC chief to hide the epidemic was dismissed")</f>
        <v>Zhangjiajie CDC chief to hide the epidemic was dismissed</v>
      </c>
      <c r="D4593" s="5" t="s">
        <v>10466</v>
      </c>
      <c r="E4593" s="4">
        <v>965795</v>
      </c>
      <c r="F4593">
        <v>1</v>
      </c>
    </row>
    <row r="4594" spans="1:6" ht="13.5" customHeight="1">
      <c r="A4594" s="4" t="s">
        <v>10467</v>
      </c>
      <c r="B4594" s="4" t="s">
        <v>10339</v>
      </c>
      <c r="C4594" s="4" t="str">
        <f ca="1">IFERROR(__xludf.DUMMYFUNCTION("GOOGLETRANSLATE(D:D,""auto"",""en"")"),"The national total of 66,492 cases of pneumonia diagnosed with the new crown")</f>
        <v>The national total of 66,492 cases of pneumonia diagnosed with the new crown</v>
      </c>
      <c r="D4594" s="5" t="s">
        <v>10468</v>
      </c>
      <c r="E4594" s="4">
        <v>958580</v>
      </c>
      <c r="F4594">
        <v>1</v>
      </c>
    </row>
    <row r="4595" spans="1:6" ht="13.5" hidden="1" customHeight="1">
      <c r="A4595" s="4" t="s">
        <v>5967</v>
      </c>
      <c r="B4595" s="4" t="s">
        <v>5968</v>
      </c>
      <c r="C4595" s="4" t="str">
        <f ca="1">IFERROR(__xludf.DUMMYFUNCTION("GOOGLETRANSLATE(D:D,""auto"",""en"")"),"Han")</f>
        <v>Han</v>
      </c>
      <c r="D4595" s="5" t="s">
        <v>5969</v>
      </c>
      <c r="E4595" s="4">
        <v>944452</v>
      </c>
    </row>
    <row r="4596" spans="1:6" ht="13.5" hidden="1" customHeight="1">
      <c r="A4596" s="4" t="s">
        <v>10357</v>
      </c>
      <c r="B4596" s="4" t="s">
        <v>10322</v>
      </c>
      <c r="C4596" s="4" t="str">
        <f ca="1">IFERROR(__xludf.DUMMYFUNCTION("GOOGLETRANSLATE(D:D,""auto"",""en"")"),"Prince Stephy")</f>
        <v>Prince Stephy</v>
      </c>
      <c r="D4596" s="5" t="s">
        <v>10358</v>
      </c>
      <c r="E4596" s="4">
        <v>937186</v>
      </c>
    </row>
    <row r="4597" spans="1:6" ht="13.5" customHeight="1">
      <c r="A4597" s="4" t="s">
        <v>10469</v>
      </c>
      <c r="B4597" s="4" t="s">
        <v>10441</v>
      </c>
      <c r="C4597" s="4" t="str">
        <f ca="1">IFERROR(__xludf.DUMMYFUNCTION("GOOGLETRANSLATE(D:D,""auto"",""en"")"),"Wuhan severe cases account for about 18% of cases diagnosed and hospitalized")</f>
        <v>Wuhan severe cases account for about 18% of cases diagnosed and hospitalized</v>
      </c>
      <c r="D4597" s="5" t="s">
        <v>10470</v>
      </c>
      <c r="E4597" s="4">
        <v>924749</v>
      </c>
      <c r="F4597">
        <v>1</v>
      </c>
    </row>
    <row r="4598" spans="1:6" ht="13.5" customHeight="1">
      <c r="A4598" s="4" t="s">
        <v>10471</v>
      </c>
      <c r="B4598" s="4" t="s">
        <v>10472</v>
      </c>
      <c r="C4598" s="4" t="str">
        <f ca="1">IFERROR(__xludf.DUMMYFUNCTION("GOOGLETRANSLATE(D:D,""auto"",""en"")"),"Zhong Nanshan guidance and develop a rapid detection kit")</f>
        <v>Zhong Nanshan guidance and develop a rapid detection kit</v>
      </c>
      <c r="D4598" s="5" t="s">
        <v>10473</v>
      </c>
      <c r="E4598" s="4">
        <v>909521</v>
      </c>
      <c r="F4598">
        <v>1</v>
      </c>
    </row>
    <row r="4599" spans="1:6" ht="13.5" hidden="1" customHeight="1">
      <c r="A4599" s="4" t="s">
        <v>10474</v>
      </c>
      <c r="B4599" s="4" t="s">
        <v>10475</v>
      </c>
      <c r="C4599" s="4" t="str">
        <f ca="1">IFERROR(__xludf.DUMMYFUNCTION("GOOGLETRANSLATE(D:D,""auto"",""en"")"),"Mercedes-Benz M")</f>
        <v>Mercedes-Benz M</v>
      </c>
      <c r="D4599" s="5" t="s">
        <v>10476</v>
      </c>
      <c r="E4599" s="4">
        <v>903421</v>
      </c>
    </row>
    <row r="4600" spans="1:6" ht="13.5" hidden="1" customHeight="1">
      <c r="A4600" s="4" t="s">
        <v>10477</v>
      </c>
      <c r="B4600" s="4" t="s">
        <v>10478</v>
      </c>
      <c r="C4600" s="4" t="str">
        <f ca="1">IFERROR(__xludf.DUMMYFUNCTION("GOOGLETRANSLATE(D:D,""auto"",""en"")"),"Liu Bo Xin Li Jiaqi is the cousin")</f>
        <v>Liu Bo Xin Li Jiaqi is the cousin</v>
      </c>
      <c r="D4600" s="5" t="s">
        <v>10479</v>
      </c>
      <c r="E4600" s="4">
        <v>896093</v>
      </c>
    </row>
    <row r="4601" spans="1:6" ht="13.5" hidden="1" customHeight="1">
      <c r="A4601" s="4" t="s">
        <v>10480</v>
      </c>
      <c r="B4601" s="4" t="s">
        <v>10481</v>
      </c>
      <c r="C4601" s="4" t="str">
        <f ca="1">IFERROR(__xludf.DUMMYFUNCTION("GOOGLETRANSLATE(D:D,""auto"",""en"")"),"Tokyo Marathon urge the Chinese players living out of the race")</f>
        <v>Tokyo Marathon urge the Chinese players living out of the race</v>
      </c>
      <c r="D4601" s="5" t="s">
        <v>10482</v>
      </c>
      <c r="E4601" s="4">
        <v>878824</v>
      </c>
    </row>
    <row r="4602" spans="1:6" ht="13.5" hidden="1" customHeight="1">
      <c r="A4602" s="4" t="s">
        <v>10483</v>
      </c>
      <c r="B4602" s="4" t="s">
        <v>10484</v>
      </c>
      <c r="C4602" s="4" t="str">
        <f ca="1">IFERROR(__xludf.DUMMYFUNCTION("GOOGLETRANSLATE(D:D,""auto"",""en"")"),"After the Spring Festival, the second batch of the central reserve of frozen pork to serve complete")</f>
        <v>After the Spring Festival, the second batch of the central reserve of frozen pork to serve complete</v>
      </c>
      <c r="D4602" s="5" t="s">
        <v>10485</v>
      </c>
      <c r="E4602" s="4">
        <v>874235</v>
      </c>
    </row>
    <row r="4603" spans="1:6" ht="13.5" hidden="1" customHeight="1">
      <c r="A4603" s="4" t="s">
        <v>10245</v>
      </c>
      <c r="B4603" s="4" t="s">
        <v>10246</v>
      </c>
      <c r="C4603" s="4" t="str">
        <f ca="1">IFERROR(__xludf.DUMMYFUNCTION("GOOGLETRANSLATE(D:D,""auto"",""en"")"),"snkrs")</f>
        <v>snkrs</v>
      </c>
      <c r="D4603" s="5" t="s">
        <v>10247</v>
      </c>
      <c r="E4603" s="4">
        <v>866681</v>
      </c>
    </row>
    <row r="4604" spans="1:6" ht="13.5" hidden="1" customHeight="1">
      <c r="A4604" s="4" t="s">
        <v>10486</v>
      </c>
      <c r="B4604" s="4" t="s">
        <v>10487</v>
      </c>
      <c r="C4604" s="4" t="str">
        <f ca="1">IFERROR(__xludf.DUMMYFUNCTION("GOOGLETRANSLATE(D:D,""auto"",""en"")"),"Bryant memorial service ticket sales will be donated")</f>
        <v>Bryant memorial service ticket sales will be donated</v>
      </c>
      <c r="D4604" s="5" t="s">
        <v>10488</v>
      </c>
      <c r="E4604" s="4">
        <v>866609</v>
      </c>
    </row>
    <row r="4605" spans="1:6" ht="13.5" customHeight="1">
      <c r="A4605" s="4" t="s">
        <v>10489</v>
      </c>
      <c r="B4605" s="4" t="s">
        <v>10490</v>
      </c>
      <c r="C4605" s="4" t="str">
        <f ca="1">IFERROR(__xludf.DUMMYFUNCTION("GOOGLETRANSLATE(D:D,""auto"",""en"")"),"The new virus microscope crown color photo")</f>
        <v>The new virus microscope crown color photo</v>
      </c>
      <c r="D4605" s="5" t="s">
        <v>10491</v>
      </c>
      <c r="E4605" s="4">
        <v>866174</v>
      </c>
      <c r="F4605">
        <v>1</v>
      </c>
    </row>
    <row r="4606" spans="1:6" ht="13.5" hidden="1" customHeight="1">
      <c r="A4606" s="4" t="s">
        <v>10492</v>
      </c>
      <c r="B4606" s="4" t="s">
        <v>10493</v>
      </c>
      <c r="C4606" s="4" t="str">
        <f ca="1">IFERROR(__xludf.DUMMYFUNCTION("GOOGLETRANSLATE(D:D,""auto"",""en"")"),"Even donated eggs are clearly detail records")</f>
        <v>Even donated eggs are clearly detail records</v>
      </c>
      <c r="D4606" s="5" t="s">
        <v>10494</v>
      </c>
      <c r="E4606" s="4">
        <v>835261</v>
      </c>
    </row>
    <row r="4607" spans="1:6" ht="13.5" hidden="1" customHeight="1">
      <c r="A4607" s="4" t="s">
        <v>10495</v>
      </c>
      <c r="B4607" s="4" t="s">
        <v>10496</v>
      </c>
      <c r="C4607" s="4" t="str">
        <f ca="1">IFERROR(__xludf.DUMMYFUNCTION("GOOGLETRANSLATE(D:D,""auto"",""en"")"),"In vitro heart can survive 24 hours of new equipment")</f>
        <v>In vitro heart can survive 24 hours of new equipment</v>
      </c>
      <c r="D4607" s="5" t="s">
        <v>10497</v>
      </c>
      <c r="E4607" s="4">
        <v>702314</v>
      </c>
    </row>
    <row r="4608" spans="1:6" ht="13.5" hidden="1" customHeight="1">
      <c r="A4608" s="4" t="s">
        <v>10458</v>
      </c>
      <c r="B4608" s="4" t="s">
        <v>10498</v>
      </c>
      <c r="C4608" s="4" t="str">
        <f ca="1">IFERROR(__xludf.DUMMYFUNCTION("GOOGLETRANSLATE(D:D,""auto"",""en"")"),"The boss really find the gems")</f>
        <v>The boss really find the gems</v>
      </c>
      <c r="D4608" s="5" t="s">
        <v>10499</v>
      </c>
      <c r="E4608" s="4">
        <v>665636</v>
      </c>
    </row>
    <row r="4609" spans="1:6" ht="13.5" hidden="1" customHeight="1">
      <c r="A4609" s="4" t="s">
        <v>10500</v>
      </c>
      <c r="B4609" s="4" t="s">
        <v>10365</v>
      </c>
      <c r="C4609" s="4" t="str">
        <f ca="1">IFERROR(__xludf.DUMMYFUNCTION("GOOGLETRANSLATE(D:D,""auto"",""en"")"),"He Lolo surnamed Xu")</f>
        <v>He Lolo surnamed Xu</v>
      </c>
      <c r="D4609" s="5" t="s">
        <v>10501</v>
      </c>
      <c r="E4609" s="4">
        <v>656865</v>
      </c>
    </row>
    <row r="4610" spans="1:6" ht="13.5" hidden="1" customHeight="1">
      <c r="A4610" s="4" t="s">
        <v>10502</v>
      </c>
      <c r="B4610" s="4" t="s">
        <v>10424</v>
      </c>
      <c r="C4610" s="4" t="str">
        <f ca="1">IFERROR(__xludf.DUMMYFUNCTION("GOOGLETRANSLATE(D:D,""auto"",""en"")"),"Gansu Exam")</f>
        <v>Gansu Exam</v>
      </c>
      <c r="D4610" s="5" t="s">
        <v>10503</v>
      </c>
      <c r="E4610" s="4">
        <v>597045</v>
      </c>
    </row>
    <row r="4611" spans="1:6" ht="13.5" customHeight="1">
      <c r="A4611" s="4" t="s">
        <v>10504</v>
      </c>
      <c r="B4611" s="4" t="s">
        <v>10505</v>
      </c>
      <c r="C4611" s="4" t="str">
        <f ca="1">IFERROR(__xludf.DUMMYFUNCTION("GOOGLETRANSLATE(D:D,""auto"",""en"")"),"Wuhan cliff-style cool")</f>
        <v>Wuhan cliff-style cool</v>
      </c>
      <c r="D4611" s="5" t="s">
        <v>10506</v>
      </c>
      <c r="E4611" s="4">
        <v>592078</v>
      </c>
      <c r="F4611">
        <v>1</v>
      </c>
    </row>
    <row r="4612" spans="1:6" ht="13.5" customHeight="1">
      <c r="A4612" s="4" t="s">
        <v>10507</v>
      </c>
      <c r="B4612" s="4" t="s">
        <v>10508</v>
      </c>
      <c r="C4612" s="4" t="str">
        <f ca="1">IFERROR(__xludf.DUMMYFUNCTION("GOOGLETRANSLATE(D:D,""auto"",""en"")"),"3000 people in southern India is isolated")</f>
        <v>3000 people in southern India is isolated</v>
      </c>
      <c r="D4612" s="5" t="s">
        <v>10509</v>
      </c>
      <c r="E4612" s="4">
        <v>560719</v>
      </c>
      <c r="F4612">
        <v>1</v>
      </c>
    </row>
    <row r="4613" spans="1:6" ht="13.5" hidden="1" customHeight="1">
      <c r="A4613" s="4" t="s">
        <v>9133</v>
      </c>
      <c r="B4613" s="4" t="s">
        <v>8901</v>
      </c>
      <c r="C4613" s="4" t="str">
        <f ca="1">IFERROR(__xludf.DUMMYFUNCTION("GOOGLETRANSLATE(D:D,""auto"",""en"")"),"Itaewon CLASS")</f>
        <v>Itaewon CLASS</v>
      </c>
      <c r="D4613" s="5" t="s">
        <v>9134</v>
      </c>
      <c r="E4613" s="4">
        <v>540106</v>
      </c>
    </row>
    <row r="4614" spans="1:6" ht="13.5" hidden="1" customHeight="1">
      <c r="A4614" s="4" t="s">
        <v>10510</v>
      </c>
      <c r="B4614" s="4" t="s">
        <v>10511</v>
      </c>
      <c r="C4614" s="4" t="str">
        <f ca="1">IFERROR(__xludf.DUMMYFUNCTION("GOOGLETRANSLATE(D:D,""auto"",""en"")"),"Zhao Yirui even more than a dozen fan slap in the face")</f>
        <v>Zhao Yirui even more than a dozen fan slap in the face</v>
      </c>
      <c r="D4614" s="5" t="s">
        <v>10512</v>
      </c>
      <c r="E4614" s="4">
        <v>539682</v>
      </c>
    </row>
    <row r="4615" spans="1:6" ht="13.5" hidden="1" customHeight="1">
      <c r="A4615" s="4" t="s">
        <v>10513</v>
      </c>
      <c r="B4615" s="4" t="s">
        <v>10514</v>
      </c>
      <c r="C4615" s="4" t="str">
        <f ca="1">IFERROR(__xludf.DUMMYFUNCTION("GOOGLETRANSLATE(D:D,""auto"",""en"")"),"Jingzhou")</f>
        <v>Jingzhou</v>
      </c>
      <c r="D4615" s="5" t="s">
        <v>10515</v>
      </c>
      <c r="E4615" s="4">
        <v>459931</v>
      </c>
    </row>
    <row r="4616" spans="1:6" ht="13.5" customHeight="1">
      <c r="A4616" s="4" t="s">
        <v>10516</v>
      </c>
      <c r="B4616" s="4" t="s">
        <v>10517</v>
      </c>
      <c r="C4616" s="4" t="str">
        <f ca="1">IFERROR(__xludf.DUMMYFUNCTION("GOOGLETRANSLATE(D:D,""auto"",""en"")"),"State Council Information Office press conference epidemic prevention and control")</f>
        <v>State Council Information Office press conference epidemic prevention and control</v>
      </c>
      <c r="D4616" s="5" t="s">
        <v>10518</v>
      </c>
      <c r="E4616" s="4">
        <v>444855</v>
      </c>
      <c r="F4616">
        <v>1</v>
      </c>
    </row>
    <row r="4617" spans="1:6" ht="13.5" hidden="1" customHeight="1">
      <c r="A4617" s="4" t="s">
        <v>10354</v>
      </c>
      <c r="B4617" s="4" t="s">
        <v>10398</v>
      </c>
      <c r="C4617" s="4" t="str">
        <f ca="1">IFERROR(__xludf.DUMMYFUNCTION("GOOGLETRANSLATE(D:D,""auto"",""en"")"),"Tai Chi Ba Duan Jin benefit to the patient")</f>
        <v>Tai Chi Ba Duan Jin benefit to the patient</v>
      </c>
      <c r="D4617" s="5" t="s">
        <v>10399</v>
      </c>
      <c r="E4617" s="4">
        <v>443041</v>
      </c>
    </row>
    <row r="4618" spans="1:6" ht="13.5" hidden="1" customHeight="1">
      <c r="A4618" s="4" t="s">
        <v>10471</v>
      </c>
      <c r="B4618" s="4" t="s">
        <v>10432</v>
      </c>
      <c r="C4618" s="4" t="str">
        <f ca="1">IFERROR(__xludf.DUMMYFUNCTION("GOOGLETRANSLATE(D:D,""auto"",""en"")"),"Sir Run Run Shaw Hospital")</f>
        <v>Sir Run Run Shaw Hospital</v>
      </c>
      <c r="D4618" s="5" t="s">
        <v>10519</v>
      </c>
      <c r="E4618" s="4">
        <v>441401</v>
      </c>
    </row>
    <row r="4619" spans="1:6" ht="13.5" hidden="1" customHeight="1">
      <c r="A4619" s="4" t="s">
        <v>10520</v>
      </c>
      <c r="B4619" s="4" t="s">
        <v>10521</v>
      </c>
      <c r="C4619" s="4" t="str">
        <f ca="1">IFERROR(__xludf.DUMMYFUNCTION("GOOGLETRANSLATE(D:D,""auto"",""en"")"),"Internet police responded the man said his father sent a car to pick Jingzhou")</f>
        <v>Internet police responded the man said his father sent a car to pick Jingzhou</v>
      </c>
      <c r="D4619" s="5" t="s">
        <v>10522</v>
      </c>
      <c r="E4619" s="4">
        <v>405791</v>
      </c>
    </row>
    <row r="4620" spans="1:6" ht="13.5" customHeight="1">
      <c r="A4620" s="4" t="s">
        <v>10455</v>
      </c>
      <c r="B4620" s="4" t="s">
        <v>10523</v>
      </c>
      <c r="C4620" s="4" t="str">
        <f ca="1">IFERROR(__xludf.DUMMYFUNCTION("GOOGLETRANSLATE(D:D,""auto"",""en"")"),"PubMed brother in the shelter hospital")</f>
        <v>PubMed brother in the shelter hospital</v>
      </c>
      <c r="D4620" s="5" t="s">
        <v>10524</v>
      </c>
      <c r="E4620" s="4">
        <v>405021</v>
      </c>
      <c r="F4620">
        <v>1</v>
      </c>
    </row>
    <row r="4621" spans="1:6" ht="13.5" customHeight="1">
      <c r="A4621" s="4" t="s">
        <v>10525</v>
      </c>
      <c r="B4621" s="4" t="s">
        <v>10526</v>
      </c>
      <c r="C4621" s="4" t="str">
        <f ca="1">IFERROR(__xludf.DUMMYFUNCTION("GOOGLETRANSLATE(D:D,""auto"",""en"")"),"Patients heading for Wuhan People's Liberation Army excited to say thank you")</f>
        <v>Patients heading for Wuhan People's Liberation Army excited to say thank you</v>
      </c>
      <c r="D4621" s="5" t="s">
        <v>10527</v>
      </c>
      <c r="E4621" s="4">
        <v>404864</v>
      </c>
      <c r="F4621">
        <v>1</v>
      </c>
    </row>
    <row r="4622" spans="1:6" ht="13.5" hidden="1" customHeight="1">
      <c r="A4622" s="4" t="s">
        <v>10528</v>
      </c>
      <c r="B4622" s="4" t="s">
        <v>10351</v>
      </c>
      <c r="C4622" s="4" t="str">
        <f ca="1">IFERROR(__xludf.DUMMYFUNCTION("GOOGLETRANSLATE(D:D,""auto"",""en"")"),"locust")</f>
        <v>locust</v>
      </c>
      <c r="D4622" s="5" t="s">
        <v>10529</v>
      </c>
      <c r="E4622" s="4">
        <v>398028</v>
      </c>
    </row>
    <row r="4623" spans="1:6" ht="13.5" hidden="1" customHeight="1">
      <c r="A4623" s="4" t="s">
        <v>10530</v>
      </c>
      <c r="B4623" s="4" t="s">
        <v>10531</v>
      </c>
      <c r="C4623" s="4" t="str">
        <f ca="1">IFERROR(__xludf.DUMMYFUNCTION("GOOGLETRANSLATE(D:D,""auto"",""en"")"),"Australia has been basically controlled fires")</f>
        <v>Australia has been basically controlled fires</v>
      </c>
      <c r="D4623" s="5" t="s">
        <v>10532</v>
      </c>
      <c r="E4623" s="4">
        <v>389353</v>
      </c>
    </row>
    <row r="4624" spans="1:6" ht="13.5" hidden="1" customHeight="1">
      <c r="A4624" s="4" t="s">
        <v>10533</v>
      </c>
      <c r="B4624" s="4" t="s">
        <v>10534</v>
      </c>
      <c r="C4624" s="4" t="str">
        <f ca="1">IFERROR(__xludf.DUMMYFUNCTION("GOOGLETRANSLATE(D:D,""auto"",""en"")"),"You are forced to eat dog food")</f>
        <v>You are forced to eat dog food</v>
      </c>
      <c r="D4624" s="5" t="s">
        <v>10535</v>
      </c>
      <c r="E4624" s="4">
        <v>381723</v>
      </c>
    </row>
    <row r="4625" spans="1:6" ht="13.5" customHeight="1">
      <c r="A4625" s="4" t="s">
        <v>10536</v>
      </c>
      <c r="B4625" s="4" t="s">
        <v>10345</v>
      </c>
      <c r="C4625" s="4" t="str">
        <f ca="1">IFERROR(__xludf.DUMMYFUNCTION("GOOGLETRANSLATE(D:D,""auto"",""en"")"),"11 new cases even lower than the Hubei")</f>
        <v>11 new cases even lower than the Hubei</v>
      </c>
      <c r="D4625" s="5" t="s">
        <v>10537</v>
      </c>
      <c r="E4625" s="4">
        <v>323871</v>
      </c>
      <c r="F4625">
        <v>1</v>
      </c>
    </row>
    <row r="4626" spans="1:6" ht="13.5" customHeight="1">
      <c r="A4626" s="4" t="s">
        <v>10538</v>
      </c>
      <c r="B4626" s="4" t="s">
        <v>10539</v>
      </c>
      <c r="C4626" s="4" t="str">
        <f ca="1">IFERROR(__xludf.DUMMYFUNCTION("GOOGLETRANSLATE(D:D,""auto"",""en"")"),"Wei health committee Hubei prevention and control work to tight most of the time")</f>
        <v>Wei health committee Hubei prevention and control work to tight most of the time</v>
      </c>
      <c r="D4626" s="5" t="s">
        <v>10540</v>
      </c>
      <c r="E4626" s="4">
        <v>320367</v>
      </c>
      <c r="F4626">
        <v>1</v>
      </c>
    </row>
    <row r="4627" spans="1:6" ht="13.5" hidden="1" customHeight="1">
      <c r="A4627" s="4" t="s">
        <v>10541</v>
      </c>
      <c r="B4627" s="4" t="s">
        <v>10542</v>
      </c>
      <c r="C4627" s="4" t="str">
        <f ca="1">IFERROR(__xludf.DUMMYFUNCTION("GOOGLETRANSLATE(D:D,""auto"",""en"")"),"Financial institutions to provide credit support over 537 billion yuan")</f>
        <v>Financial institutions to provide credit support over 537 billion yuan</v>
      </c>
      <c r="D4627" s="5" t="s">
        <v>10543</v>
      </c>
      <c r="E4627" s="4">
        <v>319985</v>
      </c>
    </row>
    <row r="4628" spans="1:6" ht="13.5" hidden="1" customHeight="1">
      <c r="A4628" s="4" t="s">
        <v>10544</v>
      </c>
      <c r="B4628" s="4" t="s">
        <v>10545</v>
      </c>
      <c r="C4628" s="4" t="str">
        <f ca="1">IFERROR(__xludf.DUMMYFUNCTION("GOOGLETRANSLATE(D:D,""auto"",""en"")"),"Snow")</f>
        <v>Snow</v>
      </c>
      <c r="D4628" s="5" t="s">
        <v>10546</v>
      </c>
      <c r="E4628" s="4">
        <v>319886</v>
      </c>
    </row>
    <row r="4629" spans="1:6" ht="13.5" hidden="1" customHeight="1">
      <c r="A4629" s="4" t="s">
        <v>10530</v>
      </c>
      <c r="B4629" s="4" t="s">
        <v>10351</v>
      </c>
      <c r="C4629" s="4" t="str">
        <f ca="1">IFERROR(__xludf.DUMMYFUNCTION("GOOGLETRANSLATE(D:D,""auto"",""en"")"),"Do not work in bed")</f>
        <v>Do not work in bed</v>
      </c>
      <c r="D4629" s="5" t="s">
        <v>10547</v>
      </c>
      <c r="E4629" s="4">
        <v>278707</v>
      </c>
    </row>
    <row r="4630" spans="1:6" ht="13.5" hidden="1" customHeight="1">
      <c r="A4630" s="4" t="s">
        <v>10321</v>
      </c>
      <c r="B4630" s="4" t="s">
        <v>10322</v>
      </c>
      <c r="C4630" s="4" t="str">
        <f ca="1">IFERROR(__xludf.DUMMYFUNCTION("GOOGLETRANSLATE(D:D,""auto"",""en"")"),"Huang Zaitao mother")</f>
        <v>Huang Zaitao mother</v>
      </c>
      <c r="D4630" s="5" t="s">
        <v>10323</v>
      </c>
      <c r="E4630" s="4">
        <v>224559</v>
      </c>
    </row>
    <row r="4631" spans="1:6" ht="13.5" hidden="1" customHeight="1">
      <c r="A4631" s="4" t="s">
        <v>10548</v>
      </c>
      <c r="B4631" s="4" t="s">
        <v>10549</v>
      </c>
      <c r="C4631" s="4" t="str">
        <f ca="1">IFERROR(__xludf.DUMMYFUNCTION("GOOGLETRANSLATE(D:D,""auto"",""en"")"),"The mobilization of medical aid response speed super earthquake")</f>
        <v>The mobilization of medical aid response speed super earthquake</v>
      </c>
      <c r="D4631" s="5" t="s">
        <v>10550</v>
      </c>
      <c r="E4631" s="4">
        <v>222969</v>
      </c>
    </row>
    <row r="4632" spans="1:6" ht="13.5" customHeight="1">
      <c r="A4632" s="4" t="s">
        <v>10354</v>
      </c>
      <c r="B4632" s="4" t="s">
        <v>10355</v>
      </c>
      <c r="C4632" s="4" t="str">
        <f ca="1">IFERROR(__xludf.DUMMYFUNCTION("GOOGLETRANSLATE(D:D,""auto"",""en"")"),"Jingdong masks")</f>
        <v>Jingdong masks</v>
      </c>
      <c r="D4632" s="5" t="s">
        <v>10356</v>
      </c>
      <c r="E4632" s="4">
        <v>219502</v>
      </c>
      <c r="F4632">
        <v>1</v>
      </c>
    </row>
    <row r="4633" spans="1:6" ht="13.5" hidden="1" customHeight="1">
      <c r="A4633" s="4" t="s">
        <v>10551</v>
      </c>
      <c r="B4633" s="4" t="s">
        <v>10552</v>
      </c>
      <c r="C4633" s="4" t="str">
        <f ca="1">IFERROR(__xludf.DUMMYFUNCTION("GOOGLETRANSLATE(D:D,""auto"",""en"")"),"2020 Basketball Hall of Fame shortlist")</f>
        <v>2020 Basketball Hall of Fame shortlist</v>
      </c>
      <c r="D4633" s="5" t="s">
        <v>10553</v>
      </c>
      <c r="E4633" s="4">
        <v>185379</v>
      </c>
    </row>
    <row r="4634" spans="1:6" ht="13.5" hidden="1" customHeight="1">
      <c r="C4634" s="4" t="str">
        <f ca="1">IFERROR(__xludf.DUMMYFUNCTION("GOOGLETRANSLATE(D:D,""auto"",""en"")"),"#VALUE!")</f>
        <v>#VALUE!</v>
      </c>
    </row>
    <row r="4635" spans="1:6" ht="13.5" customHeight="1">
      <c r="A4635" s="4" t="s">
        <v>10554</v>
      </c>
      <c r="B4635" s="4" t="s">
        <v>10555</v>
      </c>
      <c r="C4635" s="4" t="str">
        <f ca="1">IFERROR(__xludf.DUMMYFUNCTION("GOOGLETRANSLATE(D:D,""auto"",""en"")"),"The new crown pneumonia has become popular in Japan")</f>
        <v>The new crown pneumonia has become popular in Japan</v>
      </c>
      <c r="D4635" s="4" t="s">
        <v>10556</v>
      </c>
      <c r="E4635" s="4">
        <v>5941157</v>
      </c>
      <c r="F4635">
        <v>1</v>
      </c>
    </row>
    <row r="4636" spans="1:6" ht="13.5" customHeight="1">
      <c r="A4636" s="4" t="s">
        <v>10557</v>
      </c>
      <c r="B4636" s="4" t="s">
        <v>10558</v>
      </c>
      <c r="C4636" s="4" t="str">
        <f ca="1">IFERROR(__xludf.DUMMYFUNCTION("GOOGLETRANSLATE(D:D,""auto"",""en"")"),"More than 40 diagnosed guy in close contact with uninfected")</f>
        <v>More than 40 diagnosed guy in close contact with uninfected</v>
      </c>
      <c r="D4636" s="5" t="s">
        <v>10559</v>
      </c>
      <c r="E4636" s="4">
        <v>3988817</v>
      </c>
      <c r="F4636">
        <v>1</v>
      </c>
    </row>
    <row r="4637" spans="1:6" ht="13.5" customHeight="1">
      <c r="A4637" s="4" t="s">
        <v>10560</v>
      </c>
      <c r="B4637" s="4" t="s">
        <v>10561</v>
      </c>
      <c r="C4637" s="4" t="str">
        <f ca="1">IFERROR(__xludf.DUMMYFUNCTION("GOOGLETRANSLATE(D:D,""auto"",""en"")"),"Lotte Shopping will close three percent of stores")</f>
        <v>Lotte Shopping will close three percent of stores</v>
      </c>
      <c r="D4637" s="5" t="s">
        <v>10562</v>
      </c>
      <c r="E4637" s="4">
        <v>2776152</v>
      </c>
      <c r="F4637">
        <v>1</v>
      </c>
    </row>
    <row r="4638" spans="1:6" ht="13.5" hidden="1" customHeight="1">
      <c r="A4638" s="4" t="s">
        <v>10563</v>
      </c>
      <c r="B4638" s="4" t="s">
        <v>10564</v>
      </c>
      <c r="C4638" s="4" t="str">
        <f ca="1">IFERROR(__xludf.DUMMYFUNCTION("GOOGLETRANSLATE(D:D,""auto"",""en"")"),"Li Jiaqi cousin to the Assistant Amway")</f>
        <v>Li Jiaqi cousin to the Assistant Amway</v>
      </c>
      <c r="D4638" s="5" t="s">
        <v>10565</v>
      </c>
      <c r="E4638" s="4">
        <v>2761073</v>
      </c>
    </row>
    <row r="4639" spans="1:6" ht="13.5" hidden="1" customHeight="1">
      <c r="A4639" s="4" t="s">
        <v>10566</v>
      </c>
      <c r="B4639" s="4" t="s">
        <v>10567</v>
      </c>
      <c r="C4639" s="4" t="str">
        <f ca="1">IFERROR(__xludf.DUMMYFUNCTION("GOOGLETRANSLATE(D:D,""auto"",""en"")"),"It Is Xie Jia")</f>
        <v>It Is Xie Jia</v>
      </c>
      <c r="D4639" s="5" t="s">
        <v>10568</v>
      </c>
      <c r="E4639" s="4">
        <v>2005366</v>
      </c>
    </row>
    <row r="4640" spans="1:6" ht="13.5" hidden="1" customHeight="1">
      <c r="A4640" s="4" t="s">
        <v>10569</v>
      </c>
      <c r="B4640" s="4" t="s">
        <v>10570</v>
      </c>
      <c r="C4640" s="4" t="str">
        <f ca="1">IFERROR(__xludf.DUMMYFUNCTION("GOOGLETRANSLATE(D:D,""auto"",""en"")"),"Guo unicorn to Fan busy dubbing")</f>
        <v>Guo unicorn to Fan busy dubbing</v>
      </c>
      <c r="D4640" s="5" t="s">
        <v>10571</v>
      </c>
      <c r="E4640" s="4">
        <v>1834197</v>
      </c>
    </row>
    <row r="4641" spans="1:6" ht="13.5" hidden="1" customHeight="1">
      <c r="A4641" s="4" t="s">
        <v>10572</v>
      </c>
      <c r="B4641" s="4" t="s">
        <v>10573</v>
      </c>
      <c r="C4641" s="4" t="str">
        <f ca="1">IFERROR(__xludf.DUMMYFUNCTION("GOOGLETRANSLATE(D:D,""auto"",""en"")"),"They threatened another starry He Canyang")</f>
        <v>They threatened another starry He Canyang</v>
      </c>
      <c r="D4641" s="5" t="s">
        <v>10574</v>
      </c>
      <c r="E4641" s="4">
        <v>1713921</v>
      </c>
    </row>
    <row r="4642" spans="1:6" ht="13.5" hidden="1" customHeight="1">
      <c r="A4642" s="4" t="s">
        <v>1155</v>
      </c>
      <c r="B4642" s="4" t="s">
        <v>1156</v>
      </c>
      <c r="C4642" s="4" t="str">
        <f ca="1">IFERROR(__xludf.DUMMYFUNCTION("GOOGLETRANSLATE(D:D,""auto"",""en"")"),"Happy Camp")</f>
        <v>Happy Camp</v>
      </c>
      <c r="D4642" s="5" t="s">
        <v>1157</v>
      </c>
      <c r="E4642" s="4">
        <v>1488393</v>
      </c>
    </row>
    <row r="4643" spans="1:6" ht="13.5" hidden="1" customHeight="1">
      <c r="A4643" s="4" t="s">
        <v>10575</v>
      </c>
      <c r="B4643" s="4" t="s">
        <v>10576</v>
      </c>
      <c r="C4643" s="4" t="str">
        <f ca="1">IFERROR(__xludf.DUMMYFUNCTION("GOOGLETRANSLATE(D:D,""auto"",""en"")"),"Tan Desai refuted foreign media pick what questions even behind China")</f>
        <v>Tan Desai refuted foreign media pick what questions even behind China</v>
      </c>
      <c r="D4643" s="5" t="s">
        <v>10577</v>
      </c>
      <c r="E4643" s="4">
        <v>1228745</v>
      </c>
    </row>
    <row r="4644" spans="1:6" ht="13.5" hidden="1" customHeight="1">
      <c r="A4644" s="4" t="s">
        <v>10578</v>
      </c>
      <c r="B4644" s="4" t="s">
        <v>10579</v>
      </c>
      <c r="C4644" s="4" t="str">
        <f ca="1">IFERROR(__xludf.DUMMYFUNCTION("GOOGLETRANSLATE(D:D,""auto"",""en"")"),"Sa Dingding Ding Tai Shing reviews")</f>
        <v>Sa Dingding Ding Tai Shing reviews</v>
      </c>
      <c r="D4644" s="5" t="s">
        <v>10580</v>
      </c>
      <c r="E4644" s="4">
        <v>1151030</v>
      </c>
    </row>
    <row r="4645" spans="1:6" ht="13.5" hidden="1" customHeight="1">
      <c r="A4645" s="4" t="s">
        <v>2608</v>
      </c>
      <c r="B4645" s="4" t="s">
        <v>2609</v>
      </c>
      <c r="C4645" s="4" t="str">
        <f ca="1">IFERROR(__xludf.DUMMYFUNCTION("GOOGLETRANSLATE(D:D,""auto"",""en"")"),"Landing of love")</f>
        <v>Landing of love</v>
      </c>
      <c r="D4645" s="5" t="s">
        <v>2610</v>
      </c>
      <c r="E4645" s="4">
        <v>1077324</v>
      </c>
    </row>
    <row r="4646" spans="1:6" ht="13.5" customHeight="1">
      <c r="A4646" s="4" t="s">
        <v>10581</v>
      </c>
      <c r="B4646" s="4" t="s">
        <v>10582</v>
      </c>
      <c r="C4646" s="4" t="str">
        <f ca="1">IFERROR(__xludf.DUMMYFUNCTION("GOOGLETRANSLATE(D:D,""auto"",""en"")"),"The official response to the Vulcan Hill Hospital leak")</f>
        <v>The official response to the Vulcan Hill Hospital leak</v>
      </c>
      <c r="D4646" s="5" t="s">
        <v>10583</v>
      </c>
      <c r="E4646" s="4">
        <v>947219</v>
      </c>
      <c r="F4646">
        <v>1</v>
      </c>
    </row>
    <row r="4647" spans="1:6" ht="13.5" hidden="1" customHeight="1">
      <c r="A4647" s="4" t="s">
        <v>10584</v>
      </c>
      <c r="B4647" s="4" t="s">
        <v>10585</v>
      </c>
      <c r="C4647" s="4" t="str">
        <f ca="1">IFERROR(__xludf.DUMMYFUNCTION("GOOGLETRANSLATE(D:D,""auto"",""en"")"),"Antarctic temperatures of 20 degrees the first break")</f>
        <v>Antarctic temperatures of 20 degrees the first break</v>
      </c>
      <c r="D4647" s="5" t="s">
        <v>10586</v>
      </c>
      <c r="E4647" s="4">
        <v>723266</v>
      </c>
    </row>
    <row r="4648" spans="1:6" ht="13.5" hidden="1" customHeight="1">
      <c r="A4648" s="4" t="s">
        <v>10587</v>
      </c>
      <c r="B4648" s="4" t="s">
        <v>10588</v>
      </c>
      <c r="C4648" s="4" t="str">
        <f ca="1">IFERROR(__xludf.DUMMYFUNCTION("GOOGLETRANSLATE(D:D,""auto"",""en"")"),"Aaron Wang Su waterfall chorus")</f>
        <v>Aaron Wang Su waterfall chorus</v>
      </c>
      <c r="D4648" s="5" t="s">
        <v>10589</v>
      </c>
      <c r="E4648" s="4">
        <v>627853</v>
      </c>
    </row>
    <row r="4649" spans="1:6" ht="13.5" hidden="1" customHeight="1">
      <c r="A4649" s="4" t="s">
        <v>10590</v>
      </c>
      <c r="B4649" s="4" t="s">
        <v>10591</v>
      </c>
      <c r="C4649" s="4" t="str">
        <f ca="1">IFERROR(__xludf.DUMMYFUNCTION("GOOGLETRANSLATE(D:D,""auto"",""en"")"),"Chinese gymnastics team missed the World Cup in Melbourne")</f>
        <v>Chinese gymnastics team missed the World Cup in Melbourne</v>
      </c>
      <c r="D4649" s="5" t="s">
        <v>10592</v>
      </c>
      <c r="E4649" s="4">
        <v>563153</v>
      </c>
    </row>
    <row r="4650" spans="1:6" ht="13.5" hidden="1" customHeight="1">
      <c r="A4650" s="4" t="s">
        <v>8355</v>
      </c>
      <c r="B4650" s="4" t="s">
        <v>8356</v>
      </c>
      <c r="C4650" s="4" t="str">
        <f ca="1">IFERROR(__xludf.DUMMYFUNCTION("GOOGLETRANSLATE(D:D,""auto"",""en"")"),"Ronghao")</f>
        <v>Ronghao</v>
      </c>
      <c r="D4650" s="5" t="s">
        <v>8357</v>
      </c>
      <c r="E4650" s="4">
        <v>562751</v>
      </c>
    </row>
    <row r="4651" spans="1:6" ht="13.5" customHeight="1">
      <c r="A4651" s="4" t="s">
        <v>10560</v>
      </c>
      <c r="B4651" s="4" t="s">
        <v>10593</v>
      </c>
      <c r="C4651" s="4" t="str">
        <f ca="1">IFERROR(__xludf.DUMMYFUNCTION("GOOGLETRANSLATE(D:D,""auto"",""en"")"),"Except for not wearing masks temperature shall not enter into supermarkets")</f>
        <v>Except for not wearing masks temperature shall not enter into supermarkets</v>
      </c>
      <c r="D4651" s="5" t="s">
        <v>10594</v>
      </c>
      <c r="E4651" s="4">
        <v>561108</v>
      </c>
      <c r="F4651">
        <v>1</v>
      </c>
    </row>
    <row r="4652" spans="1:6" ht="13.5" hidden="1" customHeight="1">
      <c r="A4652" s="4" t="s">
        <v>10595</v>
      </c>
      <c r="B4652" s="4" t="s">
        <v>10596</v>
      </c>
      <c r="C4652" s="4" t="str">
        <f ca="1">IFERROR(__xludf.DUMMYFUNCTION("GOOGLETRANSLATE(D:D,""auto"",""en"")"),"Hao Wenjie hand success")</f>
        <v>Hao Wenjie hand success</v>
      </c>
      <c r="D4652" s="5" t="s">
        <v>10597</v>
      </c>
      <c r="E4652" s="4">
        <v>559974</v>
      </c>
    </row>
    <row r="4653" spans="1:6" ht="13.5" hidden="1" customHeight="1">
      <c r="A4653" s="4" t="s">
        <v>10598</v>
      </c>
      <c r="B4653" s="4" t="s">
        <v>10599</v>
      </c>
      <c r="C4653" s="4" t="str">
        <f ca="1">IFERROR(__xludf.DUMMYFUNCTION("GOOGLETRANSLATE(D:D,""auto"",""en"")"),"Circle of friends is where the greatest amount of snow")</f>
        <v>Circle of friends is where the greatest amount of snow</v>
      </c>
      <c r="D4653" s="5" t="s">
        <v>10600</v>
      </c>
      <c r="E4653" s="4">
        <v>559435</v>
      </c>
    </row>
    <row r="4654" spans="1:6" ht="13.5" hidden="1" customHeight="1">
      <c r="A4654" s="4" t="s">
        <v>10601</v>
      </c>
      <c r="B4654" s="4" t="s">
        <v>10602</v>
      </c>
      <c r="C4654" s="4" t="str">
        <f ca="1">IFERROR(__xludf.DUMMYFUNCTION("GOOGLETRANSLATE(D:D,""auto"",""en"")"),"Withstood hate Yan face value of the lens")</f>
        <v>Withstood hate Yan face value of the lens</v>
      </c>
      <c r="D4654" s="5" t="s">
        <v>10603</v>
      </c>
      <c r="E4654" s="4">
        <v>557339</v>
      </c>
    </row>
    <row r="4655" spans="1:6" ht="13.5" hidden="1" customHeight="1">
      <c r="A4655" s="4" t="s">
        <v>10604</v>
      </c>
      <c r="B4655" s="4" t="s">
        <v>10605</v>
      </c>
      <c r="C4655" s="4" t="str">
        <f ca="1">IFERROR(__xludf.DUMMYFUNCTION("GOOGLETRANSLATE(D:D,""auto"",""en"")"),"Alan send flowers Joe Chen")</f>
        <v>Alan send flowers Joe Chen</v>
      </c>
      <c r="D4655" s="5" t="s">
        <v>10606</v>
      </c>
      <c r="E4655" s="4">
        <v>557258</v>
      </c>
    </row>
    <row r="4656" spans="1:6" ht="13.5" customHeight="1">
      <c r="A4656" s="4" t="s">
        <v>10607</v>
      </c>
      <c r="B4656" s="4" t="s">
        <v>10608</v>
      </c>
      <c r="C4656" s="4" t="str">
        <f ca="1">IFERROR(__xludf.DUMMYFUNCTION("GOOGLETRANSLATE(D:D,""auto"",""en"")"),"During the epidemic train what changes")</f>
        <v>During the epidemic train what changes</v>
      </c>
      <c r="D4656" s="5" t="s">
        <v>10609</v>
      </c>
      <c r="E4656" s="4">
        <v>556147</v>
      </c>
      <c r="F4656">
        <v>1</v>
      </c>
    </row>
    <row r="4657" spans="1:6" ht="13.5" hidden="1" customHeight="1">
      <c r="A4657" s="4" t="s">
        <v>10610</v>
      </c>
      <c r="B4657" s="4" t="s">
        <v>10611</v>
      </c>
      <c r="C4657" s="4" t="str">
        <f ca="1">IFERROR(__xludf.DUMMYFUNCTION("GOOGLETRANSLATE(D:D,""auto"",""en"")"),"Liu dubbing end to end venom")</f>
        <v>Liu dubbing end to end venom</v>
      </c>
      <c r="D4657" s="5" t="s">
        <v>10612</v>
      </c>
      <c r="E4657" s="4">
        <v>538585</v>
      </c>
    </row>
    <row r="4658" spans="1:6" ht="13.5" customHeight="1">
      <c r="A4658" s="4" t="s">
        <v>10613</v>
      </c>
      <c r="B4658" s="4" t="s">
        <v>10614</v>
      </c>
      <c r="C4658" s="4" t="str">
        <f ca="1">IFERROR(__xludf.DUMMYFUNCTION("GOOGLETRANSLATE(D:D,""auto"",""en"")"),"Vulcan Hill Hospital ICU sleepless night")</f>
        <v>Vulcan Hill Hospital ICU sleepless night</v>
      </c>
      <c r="D4658" s="5" t="s">
        <v>10615</v>
      </c>
      <c r="E4658" s="4">
        <v>489428</v>
      </c>
      <c r="F4658">
        <v>1</v>
      </c>
    </row>
    <row r="4659" spans="1:6" ht="13.5" hidden="1" customHeight="1">
      <c r="A4659" s="4" t="s">
        <v>10616</v>
      </c>
      <c r="B4659" s="4" t="s">
        <v>10617</v>
      </c>
      <c r="C4659" s="4" t="str">
        <f ca="1">IFERROR(__xludf.DUMMYFUNCTION("GOOGLETRANSLATE(D:D,""auto"",""en"")"),"My mother told me to get up four steps")</f>
        <v>My mother told me to get up four steps</v>
      </c>
      <c r="D4659" s="5" t="s">
        <v>10618</v>
      </c>
      <c r="E4659" s="4">
        <v>427850</v>
      </c>
    </row>
    <row r="4660" spans="1:6" ht="13.5" hidden="1" customHeight="1">
      <c r="A4660" s="4" t="s">
        <v>10619</v>
      </c>
      <c r="B4660" s="4" t="s">
        <v>10620</v>
      </c>
      <c r="C4660" s="4" t="str">
        <f ca="1">IFERROR(__xludf.DUMMYFUNCTION("GOOGLETRANSLATE(D:D,""auto"",""en"")"),"Wang Yaoqing dubbing Legend of White Snake")</f>
        <v>Wang Yaoqing dubbing Legend of White Snake</v>
      </c>
      <c r="D4660" s="5" t="s">
        <v>10621</v>
      </c>
      <c r="E4660" s="4">
        <v>425353</v>
      </c>
    </row>
    <row r="4661" spans="1:6" ht="13.5" hidden="1" customHeight="1">
      <c r="A4661" s="4" t="s">
        <v>10622</v>
      </c>
      <c r="B4661" s="4" t="s">
        <v>10617</v>
      </c>
      <c r="C4661" s="4" t="str">
        <f ca="1">IFERROR(__xludf.DUMMYFUNCTION("GOOGLETRANSLATE(D:D,""auto"",""en"")"),"仝Shoku songs")</f>
        <v>仝Shoku songs</v>
      </c>
      <c r="D4661" s="5" t="s">
        <v>10623</v>
      </c>
      <c r="E4661" s="4">
        <v>423376</v>
      </c>
    </row>
    <row r="4662" spans="1:6" ht="13.5" hidden="1" customHeight="1">
      <c r="A4662" s="4" t="s">
        <v>10624</v>
      </c>
      <c r="B4662" s="4" t="s">
        <v>10625</v>
      </c>
      <c r="C4662" s="4" t="str">
        <f ca="1">IFERROR(__xludf.DUMMYFUNCTION("GOOGLETRANSLATE(D:D,""auto"",""en"")"),"Hangzhou snow")</f>
        <v>Hangzhou snow</v>
      </c>
      <c r="D4662" s="5" t="s">
        <v>10626</v>
      </c>
      <c r="E4662" s="4">
        <v>417568</v>
      </c>
    </row>
    <row r="4663" spans="1:6" ht="13.5" hidden="1" customHeight="1">
      <c r="A4663" s="4" t="s">
        <v>10627</v>
      </c>
      <c r="B4663" s="4" t="s">
        <v>10354</v>
      </c>
      <c r="C4663" s="4" t="str">
        <f ca="1">IFERROR(__xludf.DUMMYFUNCTION("GOOGLETRANSLATE(D:D,""auto"",""en"")"),"China does not appear massive inflation")</f>
        <v>China does not appear massive inflation</v>
      </c>
      <c r="D4663" s="5" t="s">
        <v>10628</v>
      </c>
      <c r="E4663" s="4">
        <v>417263</v>
      </c>
    </row>
    <row r="4664" spans="1:6" ht="13.5" hidden="1" customHeight="1">
      <c r="A4664" s="4" t="s">
        <v>10629</v>
      </c>
      <c r="B4664" s="4" t="s">
        <v>10630</v>
      </c>
      <c r="C4664" s="4" t="str">
        <f ca="1">IFERROR(__xludf.DUMMYFUNCTION("GOOGLETRANSLATE(D:D,""auto"",""en"")"),"Heaven-sent voice")</f>
        <v>Heaven-sent voice</v>
      </c>
      <c r="D4664" s="5" t="s">
        <v>10631</v>
      </c>
      <c r="E4664" s="4">
        <v>417202</v>
      </c>
    </row>
    <row r="4665" spans="1:6" ht="13.5" hidden="1" customHeight="1">
      <c r="A4665" s="4" t="s">
        <v>10632</v>
      </c>
      <c r="B4665" s="4" t="s">
        <v>10602</v>
      </c>
      <c r="C4665" s="4" t="str">
        <f ca="1">IFERROR(__xludf.DUMMYFUNCTION("GOOGLETRANSLATE(D:D,""auto"",""en"")"),"B broadcast station collapse")</f>
        <v>B broadcast station collapse</v>
      </c>
      <c r="D4665" s="5" t="s">
        <v>10633</v>
      </c>
      <c r="E4665" s="4">
        <v>417200</v>
      </c>
    </row>
    <row r="4666" spans="1:6" ht="13.5" hidden="1" customHeight="1">
      <c r="A4666" s="4" t="s">
        <v>10634</v>
      </c>
      <c r="B4666" s="4" t="s">
        <v>10635</v>
      </c>
      <c r="C4666" s="4" t="str">
        <f ca="1">IFERROR(__xludf.DUMMYFUNCTION("GOOGLETRANSLATE(D:D,""auto"",""en"")"),"Elva Huang Hao Valentine's Day blockbuster")</f>
        <v>Elva Huang Hao Valentine's Day blockbuster</v>
      </c>
      <c r="D4666" s="5" t="s">
        <v>10636</v>
      </c>
      <c r="E4666" s="4">
        <v>417134</v>
      </c>
    </row>
    <row r="4667" spans="1:6" ht="13.5" hidden="1" customHeight="1">
      <c r="A4667" s="4" t="s">
        <v>10637</v>
      </c>
      <c r="B4667" s="4" t="s">
        <v>10638</v>
      </c>
      <c r="C4667" s="4" t="str">
        <f ca="1">IFERROR(__xludf.DUMMYFUNCTION("GOOGLETRANSLATE(D:D,""auto"",""en"")"),"See you add a new ending shot")</f>
        <v>See you add a new ending shot</v>
      </c>
      <c r="D4667" s="5" t="s">
        <v>10639</v>
      </c>
      <c r="E4667" s="4">
        <v>407726</v>
      </c>
    </row>
    <row r="4668" spans="1:6" ht="13.5" hidden="1" customHeight="1">
      <c r="A4668" s="4" t="s">
        <v>8343</v>
      </c>
      <c r="B4668" s="4" t="s">
        <v>8344</v>
      </c>
      <c r="C4668" s="4" t="str">
        <f ca="1">IFERROR(__xludf.DUMMYFUNCTION("GOOGLETRANSLATE(D:D,""auto"",""en"")"),"The next stop is happy trailer")</f>
        <v>The next stop is happy trailer</v>
      </c>
      <c r="D4668" s="5" t="s">
        <v>8345</v>
      </c>
      <c r="E4668" s="4">
        <v>394969</v>
      </c>
    </row>
    <row r="4669" spans="1:6" ht="13.5" hidden="1" customHeight="1">
      <c r="A4669" s="4" t="s">
        <v>974</v>
      </c>
      <c r="B4669" s="4" t="s">
        <v>975</v>
      </c>
      <c r="C4669" s="4" t="str">
        <f ca="1">IFERROR(__xludf.DUMMYFUNCTION("GOOGLETRANSLATE(D:D,""auto"",""en"")"),"Sound clinical environment")</f>
        <v>Sound clinical environment</v>
      </c>
      <c r="D4669" s="5" t="s">
        <v>976</v>
      </c>
      <c r="E4669" s="4">
        <v>382660</v>
      </c>
    </row>
    <row r="4670" spans="1:6" ht="13.5" hidden="1" customHeight="1">
      <c r="A4670" s="4" t="s">
        <v>10640</v>
      </c>
      <c r="B4670" s="4" t="s">
        <v>10641</v>
      </c>
      <c r="C4670" s="4" t="str">
        <f ca="1">IFERROR(__xludf.DUMMYFUNCTION("GOOGLETRANSLATE(D:D,""auto"",""en"")"),"Stars at home get what new skills")</f>
        <v>Stars at home get what new skills</v>
      </c>
      <c r="D4670" s="5" t="s">
        <v>10642</v>
      </c>
      <c r="E4670" s="4">
        <v>379720</v>
      </c>
    </row>
    <row r="4671" spans="1:6" ht="13.5" hidden="1" customHeight="1">
      <c r="A4671" s="4" t="s">
        <v>10643</v>
      </c>
      <c r="B4671" s="4" t="s">
        <v>10644</v>
      </c>
      <c r="C4671" s="4" t="str">
        <f ca="1">IFERROR(__xludf.DUMMYFUNCTION("GOOGLETRANSLATE(D:D,""auto"",""en"")"),"Suzhou snow")</f>
        <v>Suzhou snow</v>
      </c>
      <c r="D4671" s="5" t="s">
        <v>10645</v>
      </c>
      <c r="E4671" s="4">
        <v>378680</v>
      </c>
    </row>
    <row r="4672" spans="1:6" ht="13.5" hidden="1" customHeight="1">
      <c r="A4672" s="4" t="s">
        <v>10646</v>
      </c>
      <c r="B4672" s="4" t="s">
        <v>10647</v>
      </c>
      <c r="C4672" s="4" t="str">
        <f ca="1">IFERROR(__xludf.DUMMYFUNCTION("GOOGLETRANSLATE(D:D,""auto"",""en"")"),"Small ears sense of justice")</f>
        <v>Small ears sense of justice</v>
      </c>
      <c r="D4672" s="5" t="s">
        <v>10648</v>
      </c>
      <c r="E4672" s="4">
        <v>378384</v>
      </c>
    </row>
    <row r="4673" spans="1:6" ht="13.5" hidden="1" customHeight="1">
      <c r="A4673" s="4" t="s">
        <v>10649</v>
      </c>
      <c r="B4673" s="4" t="s">
        <v>10611</v>
      </c>
      <c r="C4673" s="4" t="str">
        <f ca="1">IFERROR(__xludf.DUMMYFUNCTION("GOOGLETRANSLATE(D:D,""auto"",""en"")"),"CP name most with a sense of")</f>
        <v>CP name most with a sense of</v>
      </c>
      <c r="D4673" s="5" t="s">
        <v>10650</v>
      </c>
      <c r="E4673" s="4">
        <v>368987</v>
      </c>
    </row>
    <row r="4674" spans="1:6" ht="13.5" customHeight="1">
      <c r="A4674" s="4" t="s">
        <v>10634</v>
      </c>
      <c r="B4674" s="4" t="s">
        <v>10651</v>
      </c>
      <c r="C4674" s="4" t="str">
        <f ca="1">IFERROR(__xludf.DUMMYFUNCTION("GOOGLETRANSLATE(D:D,""auto"",""en"")"),"Family house instant noodles are bad play")</f>
        <v>Family house instant noodles are bad play</v>
      </c>
      <c r="D4674" s="5" t="s">
        <v>10652</v>
      </c>
      <c r="E4674" s="4">
        <v>313906</v>
      </c>
      <c r="F4674">
        <v>1</v>
      </c>
    </row>
    <row r="4675" spans="1:6" ht="13.5" hidden="1" customHeight="1">
      <c r="A4675" s="4" t="s">
        <v>10653</v>
      </c>
      <c r="B4675" s="4" t="s">
        <v>10654</v>
      </c>
      <c r="C4675" s="4" t="str">
        <f ca="1">IFERROR(__xludf.DUMMYFUNCTION("GOOGLETRANSLATE(D:D,""auto"",""en"")"),"Qiqihar Jianhua, Party Secretary was removed from office")</f>
        <v>Qiqihar Jianhua, Party Secretary was removed from office</v>
      </c>
      <c r="D4675" s="5" t="s">
        <v>10655</v>
      </c>
      <c r="E4675" s="4">
        <v>289290</v>
      </c>
    </row>
    <row r="4676" spans="1:6" ht="13.5" hidden="1" customHeight="1">
      <c r="A4676" s="4" t="s">
        <v>10584</v>
      </c>
      <c r="B4676" s="4" t="s">
        <v>10558</v>
      </c>
      <c r="C4676" s="4" t="str">
        <f ca="1">IFERROR(__xludf.DUMMYFUNCTION("GOOGLETRANSLATE(D:D,""auto"",""en"")"),"Think of this holiday had become so")</f>
        <v>Think of this holiday had become so</v>
      </c>
      <c r="D4676" s="5" t="s">
        <v>10656</v>
      </c>
      <c r="E4676" s="4">
        <v>288412</v>
      </c>
    </row>
    <row r="4677" spans="1:6" ht="13.5" hidden="1" customHeight="1">
      <c r="A4677" s="4" t="s">
        <v>10657</v>
      </c>
      <c r="B4677" s="4" t="s">
        <v>10443</v>
      </c>
      <c r="C4677" s="4" t="str">
        <f ca="1">IFERROR(__xludf.DUMMYFUNCTION("GOOGLETRANSLATE(D:D,""auto"",""en"")"),"Wizards named Sichuan")</f>
        <v>Wizards named Sichuan</v>
      </c>
      <c r="D4677" s="5" t="s">
        <v>10658</v>
      </c>
      <c r="E4677" s="4">
        <v>287654</v>
      </c>
    </row>
    <row r="4678" spans="1:6" ht="13.5" hidden="1" customHeight="1">
      <c r="A4678" s="4" t="s">
        <v>10659</v>
      </c>
      <c r="B4678" s="4" t="s">
        <v>10660</v>
      </c>
      <c r="C4678" s="4" t="str">
        <f ca="1">IFERROR(__xludf.DUMMYFUNCTION("GOOGLETRANSLATE(D:D,""auto"",""en"")"),"Gamma Knife inventor Duan Duan Cheng died academician")</f>
        <v>Gamma Knife inventor Duan Duan Cheng died academician</v>
      </c>
      <c r="D4678" s="5" t="s">
        <v>10661</v>
      </c>
      <c r="E4678" s="4">
        <v>256474</v>
      </c>
    </row>
    <row r="4679" spans="1:6" ht="13.5" hidden="1" customHeight="1">
      <c r="A4679" s="4" t="s">
        <v>10662</v>
      </c>
      <c r="B4679" s="4" t="s">
        <v>10489</v>
      </c>
      <c r="C4679" s="4" t="str">
        <f ca="1">IFERROR(__xludf.DUMMYFUNCTION("GOOGLETRANSLATE(D:D,""auto"",""en"")"),"IU love of landing OST")</f>
        <v>IU love of landing OST</v>
      </c>
      <c r="D4679" s="5" t="s">
        <v>10663</v>
      </c>
      <c r="E4679" s="4">
        <v>254373</v>
      </c>
    </row>
    <row r="4680" spans="1:6" ht="13.5" customHeight="1">
      <c r="A4680" s="4" t="s">
        <v>10657</v>
      </c>
      <c r="B4680" s="4" t="s">
        <v>10664</v>
      </c>
      <c r="C4680" s="4" t="str">
        <f ca="1">IFERROR(__xludf.DUMMYFUNCTION("GOOGLETRANSLATE(D:D,""auto"",""en"")"),"Vulcan mountain winds")</f>
        <v>Vulcan mountain winds</v>
      </c>
      <c r="D4680" s="5" t="s">
        <v>10665</v>
      </c>
      <c r="E4680" s="4">
        <v>241887</v>
      </c>
      <c r="F4680">
        <v>1</v>
      </c>
    </row>
    <row r="4681" spans="1:6" ht="13.5" hidden="1" customHeight="1">
      <c r="A4681" s="4" t="s">
        <v>10666</v>
      </c>
      <c r="B4681" s="4" t="s">
        <v>10667</v>
      </c>
      <c r="C4681" s="4" t="str">
        <f ca="1">IFERROR(__xludf.DUMMYFUNCTION("GOOGLETRANSLATE(D:D,""auto"",""en"")"),"Renzi Wei bronze")</f>
        <v>Renzi Wei bronze</v>
      </c>
      <c r="D4681" s="5" t="s">
        <v>10668</v>
      </c>
      <c r="E4681" s="4">
        <v>236016</v>
      </c>
    </row>
    <row r="4682" spans="1:6" ht="13.5" hidden="1" customHeight="1">
      <c r="A4682" s="4" t="s">
        <v>10669</v>
      </c>
      <c r="B4682" s="4" t="s">
        <v>10670</v>
      </c>
      <c r="C4682" s="4" t="str">
        <f ca="1">IFERROR(__xludf.DUMMYFUNCTION("GOOGLETRANSLATE(D:D,""auto"",""en"")"),"Old meter")</f>
        <v>Old meter</v>
      </c>
      <c r="D4682" s="5" t="s">
        <v>10671</v>
      </c>
      <c r="E4682" s="4">
        <v>232431</v>
      </c>
    </row>
    <row r="4683" spans="1:6" ht="13.5" customHeight="1">
      <c r="A4683" s="4" t="s">
        <v>10672</v>
      </c>
      <c r="B4683" s="4" t="s">
        <v>10673</v>
      </c>
      <c r="C4683" s="4" t="str">
        <f ca="1">IFERROR(__xludf.DUMMYFUNCTION("GOOGLETRANSLATE(D:D,""auto"",""en"")"),"Japan epidemic")</f>
        <v>Japan epidemic</v>
      </c>
      <c r="D4683" s="5" t="s">
        <v>10674</v>
      </c>
      <c r="E4683" s="4">
        <v>222271</v>
      </c>
      <c r="F4683">
        <v>1</v>
      </c>
    </row>
    <row r="4684" spans="1:6" ht="13.5" customHeight="1">
      <c r="A4684" s="4" t="s">
        <v>10675</v>
      </c>
      <c r="B4684" s="4" t="s">
        <v>10608</v>
      </c>
      <c r="C4684" s="4" t="str">
        <f ca="1">IFERROR(__xludf.DUMMYFUNCTION("GOOGLETRANSLATE(D:D,""auto"",""en"")"),"Yellowstone called on residents to turn in Mahjong reward masks")</f>
        <v>Yellowstone called on residents to turn in Mahjong reward masks</v>
      </c>
      <c r="D4684" s="5" t="s">
        <v>10676</v>
      </c>
      <c r="E4684" s="4">
        <v>185335</v>
      </c>
      <c r="F4684">
        <v>1</v>
      </c>
    </row>
    <row r="4685" spans="1:6" ht="13.5" hidden="1" customHeight="1">
      <c r="C4685" s="4" t="str">
        <f ca="1">IFERROR(__xludf.DUMMYFUNCTION("GOOGLETRANSLATE(D:D,""auto"",""en"")"),"#VALUE!")</f>
        <v>#VALUE!</v>
      </c>
    </row>
    <row r="4686" spans="1:6" ht="13.5" customHeight="1">
      <c r="A4686" s="4" t="s">
        <v>10677</v>
      </c>
      <c r="B4686" s="4" t="s">
        <v>10678</v>
      </c>
      <c r="C4686" s="4" t="str">
        <f ca="1">IFERROR(__xludf.DUMMYFUNCTION("GOOGLETRANSLATE(D:D,""auto"",""en"")"),"Production of medical masks to be resolved after 14 days")</f>
        <v>Production of medical masks to be resolved after 14 days</v>
      </c>
      <c r="D4686" s="4" t="s">
        <v>10679</v>
      </c>
      <c r="E4686" s="4">
        <v>3281262</v>
      </c>
      <c r="F4686">
        <v>1</v>
      </c>
    </row>
    <row r="4687" spans="1:6" ht="13.5" customHeight="1">
      <c r="A4687" s="4" t="s">
        <v>10680</v>
      </c>
      <c r="B4687" s="4" t="s">
        <v>10681</v>
      </c>
      <c r="C4687" s="4" t="str">
        <f ca="1">IFERROR(__xludf.DUMMYFUNCTION("GOOGLETRANSLATE(D:D,""auto"",""en"")"),"10 days after onset of release isolation Man")</f>
        <v>10 days after onset of release isolation Man</v>
      </c>
      <c r="D4687" s="5" t="s">
        <v>10682</v>
      </c>
      <c r="E4687" s="4">
        <v>3079688</v>
      </c>
      <c r="F4687">
        <v>1</v>
      </c>
    </row>
    <row r="4688" spans="1:6" ht="13.5" hidden="1" customHeight="1">
      <c r="A4688" s="4" t="s">
        <v>10683</v>
      </c>
      <c r="B4688" s="4" t="s">
        <v>10684</v>
      </c>
      <c r="C4688" s="4" t="str">
        <f ca="1">IFERROR(__xludf.DUMMYFUNCTION("GOOGLETRANSLATE(D:D,""auto"",""en"")"),"Duan Cheng died academician")</f>
        <v>Duan Cheng died academician</v>
      </c>
      <c r="D4688" s="5" t="s">
        <v>10685</v>
      </c>
      <c r="E4688" s="4">
        <v>2979374</v>
      </c>
    </row>
    <row r="4689" spans="1:6" ht="13.5" hidden="1" customHeight="1">
      <c r="A4689" s="4" t="s">
        <v>10686</v>
      </c>
      <c r="B4689" s="4" t="s">
        <v>10678</v>
      </c>
      <c r="C4689" s="4" t="str">
        <f ca="1">IFERROR(__xludf.DUMMYFUNCTION("GOOGLETRANSLATE(D:D,""auto"",""en"")"),"High 伟光 acting")</f>
        <v>High 伟光 acting</v>
      </c>
      <c r="D4689" s="5" t="s">
        <v>10687</v>
      </c>
      <c r="E4689" s="4">
        <v>2974369</v>
      </c>
    </row>
    <row r="4690" spans="1:6" ht="13.5" customHeight="1">
      <c r="A4690" s="4" t="s">
        <v>10688</v>
      </c>
      <c r="B4690" s="4" t="s">
        <v>10689</v>
      </c>
      <c r="C4690" s="4" t="str">
        <f ca="1">IFERROR(__xludf.DUMMYFUNCTION("GOOGLETRANSLATE(D:D,""auto"",""en"")"),"Wuhan Institute of Virology currently zero infection")</f>
        <v>Wuhan Institute of Virology currently zero infection</v>
      </c>
      <c r="D4690" s="5" t="s">
        <v>10690</v>
      </c>
      <c r="E4690" s="4">
        <v>2260147</v>
      </c>
      <c r="F4690">
        <v>1</v>
      </c>
    </row>
    <row r="4691" spans="1:6" ht="13.5" hidden="1" customHeight="1">
      <c r="A4691" s="4" t="s">
        <v>10691</v>
      </c>
      <c r="B4691" s="4" t="s">
        <v>10692</v>
      </c>
      <c r="C4691" s="4" t="str">
        <f ca="1">IFERROR(__xludf.DUMMYFUNCTION("GOOGLETRANSLATE(D:D,""auto"",""en"")"),"Yao Chen forwarding help information")</f>
        <v>Yao Chen forwarding help information</v>
      </c>
      <c r="D4691" s="5" t="s">
        <v>10693</v>
      </c>
      <c r="E4691" s="4">
        <v>1942157</v>
      </c>
    </row>
    <row r="4692" spans="1:6" ht="13.5" hidden="1" customHeight="1">
      <c r="A4692" s="4" t="s">
        <v>10694</v>
      </c>
      <c r="B4692" s="4" t="s">
        <v>10695</v>
      </c>
      <c r="C4692" s="4" t="str">
        <f ca="1">IFERROR(__xludf.DUMMYFUNCTION("GOOGLETRANSLATE(D:D,""auto"",""en"")"),"Plasma treatment")</f>
        <v>Plasma treatment</v>
      </c>
      <c r="D4692" s="5" t="s">
        <v>10696</v>
      </c>
      <c r="E4692" s="4">
        <v>1488213</v>
      </c>
    </row>
    <row r="4693" spans="1:6" ht="13.5" hidden="1" customHeight="1">
      <c r="A4693" s="4" t="s">
        <v>10697</v>
      </c>
      <c r="B4693" s="4" t="s">
        <v>10698</v>
      </c>
      <c r="C4693" s="4" t="str">
        <f ca="1">IFERROR(__xludf.DUMMYFUNCTION("GOOGLETRANSLATE(D:D,""auto"",""en"")"),"Love of landing men and two women inside")</f>
        <v>Love of landing men and two women inside</v>
      </c>
      <c r="D4693" s="5" t="s">
        <v>10699</v>
      </c>
      <c r="E4693" s="4">
        <v>1338159</v>
      </c>
    </row>
    <row r="4694" spans="1:6" ht="13.5" customHeight="1">
      <c r="A4694" s="4" t="s">
        <v>10700</v>
      </c>
      <c r="B4694" s="4" t="s">
        <v>10701</v>
      </c>
      <c r="C4694" s="4" t="str">
        <f ca="1">IFERROR(__xludf.DUMMYFUNCTION("GOOGLETRANSLATE(D:D,""auto"",""en"")"),"Hubei informed epidemic poor accountability from 6 to 8 people")</f>
        <v>Hubei informed epidemic poor accountability from 6 to 8 people</v>
      </c>
      <c r="D4694" s="5" t="s">
        <v>10702</v>
      </c>
      <c r="E4694" s="4">
        <v>1075472</v>
      </c>
      <c r="F4694">
        <v>1</v>
      </c>
    </row>
    <row r="4695" spans="1:6" ht="13.5" hidden="1" customHeight="1">
      <c r="A4695" s="4" t="s">
        <v>10703</v>
      </c>
      <c r="B4695" s="4" t="s">
        <v>10704</v>
      </c>
      <c r="C4695" s="4" t="str">
        <f ca="1">IFERROR(__xludf.DUMMYFUNCTION("GOOGLETRANSLATE(D:D,""auto"",""en"")"),"Finally, the death of a member of the Flying Tigers")</f>
        <v>Finally, the death of a member of the Flying Tigers</v>
      </c>
      <c r="D4695" s="5" t="s">
        <v>10705</v>
      </c>
      <c r="E4695" s="4">
        <v>1066480</v>
      </c>
    </row>
    <row r="4696" spans="1:6" ht="13.5" customHeight="1">
      <c r="A4696" s="4" t="s">
        <v>10706</v>
      </c>
      <c r="B4696" s="4" t="s">
        <v>10201</v>
      </c>
      <c r="C4696" s="4" t="str">
        <f ca="1">IFERROR(__xludf.DUMMYFUNCTION("GOOGLETRANSLATE(D:D,""auto"",""en"")"),"Doctors Jiangsu married the next day expedition")</f>
        <v>Doctors Jiangsu married the next day expedition</v>
      </c>
      <c r="D4696" s="5" t="s">
        <v>10707</v>
      </c>
      <c r="E4696" s="4">
        <v>1037481</v>
      </c>
      <c r="F4696">
        <v>1</v>
      </c>
    </row>
    <row r="4697" spans="1:6" ht="13.5" hidden="1" customHeight="1">
      <c r="A4697" s="4" t="s">
        <v>10708</v>
      </c>
      <c r="B4697" s="4" t="s">
        <v>10595</v>
      </c>
      <c r="C4697" s="4" t="str">
        <f ca="1">IFERROR(__xludf.DUMMYFUNCTION("GOOGLETRANSLATE(D:D,""auto"",""en"")"),"You want to see titles")</f>
        <v>You want to see titles</v>
      </c>
      <c r="D4697" s="5" t="s">
        <v>10709</v>
      </c>
      <c r="E4697" s="4">
        <v>878716</v>
      </c>
    </row>
    <row r="4698" spans="1:6" ht="13.5" hidden="1" customHeight="1">
      <c r="A4698" s="4" t="s">
        <v>10710</v>
      </c>
      <c r="B4698" s="4" t="s">
        <v>10711</v>
      </c>
      <c r="C4698" s="4" t="str">
        <f ca="1">IFERROR(__xludf.DUMMYFUNCTION("GOOGLETRANSLATE(D:D,""auto"",""en"")"),"All-Star MVP Kobe Bryant named MVP")</f>
        <v>All-Star MVP Kobe Bryant named MVP</v>
      </c>
      <c r="D4698" s="5" t="s">
        <v>10712</v>
      </c>
      <c r="E4698" s="4">
        <v>830167</v>
      </c>
    </row>
    <row r="4699" spans="1:6" ht="13.5" hidden="1" customHeight="1">
      <c r="A4699" s="4" t="s">
        <v>10713</v>
      </c>
      <c r="B4699" s="4" t="s">
        <v>10714</v>
      </c>
      <c r="C4699" s="4" t="str">
        <f ca="1">IFERROR(__xludf.DUMMYFUNCTION("GOOGLETRANSLATE(D:D,""auto"",""en"")"),"Gordon 50 points")</f>
        <v>Gordon 50 points</v>
      </c>
      <c r="D4699" s="5" t="s">
        <v>10715</v>
      </c>
      <c r="E4699" s="4">
        <v>710099</v>
      </c>
    </row>
    <row r="4700" spans="1:6" ht="13.5" customHeight="1">
      <c r="A4700" s="4" t="s">
        <v>10554</v>
      </c>
      <c r="B4700" s="4" t="s">
        <v>10555</v>
      </c>
      <c r="C4700" s="4" t="str">
        <f ca="1">IFERROR(__xludf.DUMMYFUNCTION("GOOGLETRANSLATE(D:D,""auto"",""en"")"),"The new crown pneumonia has become popular in Japan")</f>
        <v>The new crown pneumonia has become popular in Japan</v>
      </c>
      <c r="D4700" s="5" t="s">
        <v>10556</v>
      </c>
      <c r="E4700" s="4">
        <v>669139</v>
      </c>
      <c r="F4700">
        <v>1</v>
      </c>
    </row>
    <row r="4701" spans="1:6" ht="13.5" hidden="1" customHeight="1">
      <c r="A4701" s="4" t="s">
        <v>10716</v>
      </c>
      <c r="B4701" s="4" t="s">
        <v>10711</v>
      </c>
      <c r="C4701" s="4" t="str">
        <f ca="1">IFERROR(__xludf.DUMMYFUNCTION("GOOGLETRANSLATE(D:D,""auto"",""en"")"),"Or locust June soared to 500 times")</f>
        <v>Or locust June soared to 500 times</v>
      </c>
      <c r="D4701" s="5" t="s">
        <v>10717</v>
      </c>
      <c r="E4701" s="4">
        <v>661402</v>
      </c>
    </row>
    <row r="4702" spans="1:6" ht="13.5" hidden="1" customHeight="1">
      <c r="A4702" s="4" t="s">
        <v>10718</v>
      </c>
      <c r="B4702" s="4" t="s">
        <v>10719</v>
      </c>
      <c r="C4702" s="4" t="str">
        <f ca="1">IFERROR(__xludf.DUMMYFUNCTION("GOOGLETRANSLATE(D:D,""auto"",""en"")"),"Documentary chicken fight locusts")</f>
        <v>Documentary chicken fight locusts</v>
      </c>
      <c r="D4702" s="5" t="s">
        <v>10720</v>
      </c>
      <c r="E4702" s="4">
        <v>658470</v>
      </c>
    </row>
    <row r="4703" spans="1:6" ht="13.5" hidden="1" customHeight="1">
      <c r="A4703" s="4" t="s">
        <v>10721</v>
      </c>
      <c r="B4703" s="4" t="s">
        <v>10722</v>
      </c>
      <c r="C4703" s="4" t="str">
        <f ca="1">IFERROR(__xludf.DUMMYFUNCTION("GOOGLETRANSLATE(D:D,""auto"",""en"")"),"Chalk mold test")</f>
        <v>Chalk mold test</v>
      </c>
      <c r="D4703" s="5" t="s">
        <v>10723</v>
      </c>
      <c r="E4703" s="4">
        <v>656803</v>
      </c>
    </row>
    <row r="4704" spans="1:6" ht="13.5" hidden="1" customHeight="1">
      <c r="A4704" s="4" t="s">
        <v>10724</v>
      </c>
      <c r="B4704" s="4" t="s">
        <v>10725</v>
      </c>
      <c r="C4704" s="4" t="str">
        <f ca="1">IFERROR(__xludf.DUMMYFUNCTION("GOOGLETRANSLATE(D:D,""auto"",""en"")"),"Australia image display fire smoke has spread worldwide")</f>
        <v>Australia image display fire smoke has spread worldwide</v>
      </c>
      <c r="D4704" s="5" t="s">
        <v>10726</v>
      </c>
      <c r="E4704" s="4">
        <v>651790</v>
      </c>
    </row>
    <row r="4705" spans="1:6" ht="13.5" customHeight="1">
      <c r="A4705" s="4" t="s">
        <v>10727</v>
      </c>
      <c r="B4705" s="4" t="s">
        <v>10728</v>
      </c>
      <c r="C4705" s="4" t="str">
        <f ca="1">IFERROR(__xludf.DUMMYFUNCTION("GOOGLETRANSLATE(D:D,""auto"",""en"")"),"Heilongjiang new 20 cases of pneumonia new crown")</f>
        <v>Heilongjiang new 20 cases of pneumonia new crown</v>
      </c>
      <c r="D4705" s="5" t="s">
        <v>10729</v>
      </c>
      <c r="E4705" s="4">
        <v>634688</v>
      </c>
      <c r="F4705">
        <v>1</v>
      </c>
    </row>
    <row r="4706" spans="1:6" ht="13.5" hidden="1" customHeight="1">
      <c r="A4706" s="4" t="s">
        <v>10730</v>
      </c>
      <c r="B4706" s="4" t="s">
        <v>10578</v>
      </c>
      <c r="C4706" s="4" t="str">
        <f ca="1">IFERROR(__xludf.DUMMYFUNCTION("GOOGLETRANSLATE(D:D,""auto"",""en"")"),"Son Ye Jin Hyun Bin good with")</f>
        <v>Son Ye Jin Hyun Bin good with</v>
      </c>
      <c r="D4706" s="5" t="s">
        <v>10731</v>
      </c>
      <c r="E4706" s="4">
        <v>611017</v>
      </c>
    </row>
    <row r="4707" spans="1:6" ht="13.5" hidden="1" customHeight="1">
      <c r="A4707" s="4" t="s">
        <v>10732</v>
      </c>
      <c r="B4707" s="4" t="s">
        <v>10733</v>
      </c>
      <c r="C4707" s="4" t="str">
        <f ca="1">IFERROR(__xludf.DUMMYFUNCTION("GOOGLETRANSLATE(D:D,""auto"",""en"")"),"earthquake")</f>
        <v>earthquake</v>
      </c>
      <c r="D4707" s="5" t="s">
        <v>10734</v>
      </c>
      <c r="E4707" s="4">
        <v>571710</v>
      </c>
    </row>
    <row r="4708" spans="1:6" ht="13.5" hidden="1" customHeight="1">
      <c r="A4708" s="4" t="s">
        <v>10735</v>
      </c>
      <c r="B4708" s="4" t="s">
        <v>10736</v>
      </c>
      <c r="C4708" s="4" t="str">
        <f ca="1">IFERROR(__xludf.DUMMYFUNCTION("GOOGLETRANSLATE(D:D,""auto"",""en"")"),"Semporna")</f>
        <v>Semporna</v>
      </c>
      <c r="D4708" s="5" t="s">
        <v>10737</v>
      </c>
      <c r="E4708" s="4">
        <v>538601</v>
      </c>
    </row>
    <row r="4709" spans="1:6" ht="13.5" hidden="1" customHeight="1">
      <c r="A4709" s="4" t="s">
        <v>10738</v>
      </c>
      <c r="B4709" s="4" t="s">
        <v>10622</v>
      </c>
      <c r="C4709" s="4" t="str">
        <f ca="1">IFERROR(__xludf.DUMMYFUNCTION("GOOGLETRANSLATE(D:D,""auto"",""en"")"),"Dunk contest")</f>
        <v>Dunk contest</v>
      </c>
      <c r="D4709" s="5" t="s">
        <v>10739</v>
      </c>
      <c r="E4709" s="4">
        <v>534304</v>
      </c>
    </row>
    <row r="4710" spans="1:6" ht="13.5" hidden="1" customHeight="1">
      <c r="A4710" s="4" t="s">
        <v>10735</v>
      </c>
      <c r="B4710" s="4" t="s">
        <v>10740</v>
      </c>
      <c r="C4710" s="4" t="str">
        <f ca="1">IFERROR(__xludf.DUMMYFUNCTION("GOOGLETRANSLATE(D:D,""auto"",""en"")"),"Wade Bryant led the whole tribute")</f>
        <v>Wade Bryant led the whole tribute</v>
      </c>
      <c r="D4710" s="5" t="s">
        <v>10741</v>
      </c>
      <c r="E4710" s="4">
        <v>501622</v>
      </c>
    </row>
    <row r="4711" spans="1:6" ht="13.5" customHeight="1">
      <c r="A4711" s="4" t="s">
        <v>10742</v>
      </c>
      <c r="B4711" s="4" t="s">
        <v>10689</v>
      </c>
      <c r="C4711" s="4" t="str">
        <f ca="1">IFERROR(__xludf.DUMMYFUNCTION("GOOGLETRANSLATE(D:D,""auto"",""en"")"),"Plant masks at epidemic")</f>
        <v>Plant masks at epidemic</v>
      </c>
      <c r="D4711" s="5" t="s">
        <v>10743</v>
      </c>
      <c r="E4711" s="4">
        <v>474220</v>
      </c>
      <c r="F4711">
        <v>1</v>
      </c>
    </row>
    <row r="4712" spans="1:6" ht="13.5" hidden="1" customHeight="1">
      <c r="A4712" s="4" t="s">
        <v>10744</v>
      </c>
      <c r="B4712" s="4" t="s">
        <v>10622</v>
      </c>
      <c r="C4712" s="4" t="str">
        <f ca="1">IFERROR(__xludf.DUMMYFUNCTION("GOOGLETRANSLATE(D:D,""auto"",""en"")"),"Cook rollover site Awards")</f>
        <v>Cook rollover site Awards</v>
      </c>
      <c r="D4712" s="5" t="s">
        <v>10745</v>
      </c>
      <c r="E4712" s="4">
        <v>463328</v>
      </c>
    </row>
    <row r="4713" spans="1:6" ht="13.5" customHeight="1">
      <c r="A4713" s="4" t="s">
        <v>10746</v>
      </c>
      <c r="B4713" s="4" t="s">
        <v>10747</v>
      </c>
      <c r="C4713" s="4" t="str">
        <f ca="1">IFERROR(__xludf.DUMMYFUNCTION("GOOGLETRANSLATE(D:D,""auto"",""en"")"),"Diamond Princess newly diagnosed 70 cases of pneumonia new crown")</f>
        <v>Diamond Princess newly diagnosed 70 cases of pneumonia new crown</v>
      </c>
      <c r="D4713" s="5" t="s">
        <v>10748</v>
      </c>
      <c r="E4713" s="4">
        <v>435864</v>
      </c>
      <c r="F4713">
        <v>1</v>
      </c>
    </row>
    <row r="4714" spans="1:6" ht="13.5" customHeight="1">
      <c r="A4714" s="4" t="s">
        <v>10749</v>
      </c>
      <c r="B4714" s="4" t="s">
        <v>10750</v>
      </c>
      <c r="C4714" s="4" t="str">
        <f ca="1">IFERROR(__xludf.DUMMYFUNCTION("GOOGLETRANSLATE(D:D,""auto"",""en"")"),"12 new confirmed cases even lower than the Hubei")</f>
        <v>12 new confirmed cases even lower than the Hubei</v>
      </c>
      <c r="D4714" s="5" t="s">
        <v>10751</v>
      </c>
      <c r="E4714" s="4">
        <v>364188</v>
      </c>
      <c r="F4714">
        <v>1</v>
      </c>
    </row>
    <row r="4715" spans="1:6" ht="13.5" customHeight="1">
      <c r="A4715" s="4" t="s">
        <v>8343</v>
      </c>
      <c r="B4715" s="4" t="s">
        <v>10752</v>
      </c>
      <c r="C4715" s="4" t="str">
        <f ca="1">IFERROR(__xludf.DUMMYFUNCTION("GOOGLETRANSLATE(D:D,""auto"",""en"")"),"The national total of 68,500 cases of pneumonia diagnosed with the new crown")</f>
        <v>The national total of 68,500 cases of pneumonia diagnosed with the new crown</v>
      </c>
      <c r="D4715" s="5" t="s">
        <v>10753</v>
      </c>
      <c r="E4715" s="4">
        <v>355164</v>
      </c>
      <c r="F4715">
        <v>1</v>
      </c>
    </row>
    <row r="4716" spans="1:6" ht="13.5" customHeight="1">
      <c r="A4716" s="4" t="s">
        <v>10754</v>
      </c>
      <c r="B4716" s="4" t="s">
        <v>10755</v>
      </c>
      <c r="C4716" s="4" t="str">
        <f ca="1">IFERROR(__xludf.DUMMYFUNCTION("GOOGLETRANSLATE(D:D,""auto"",""en"")"),"Mount Emei Scenic free and open to the national health care workers")</f>
        <v>Mount Emei Scenic free and open to the national health care workers</v>
      </c>
      <c r="D4716" s="5" t="s">
        <v>10756</v>
      </c>
      <c r="E4716" s="4">
        <v>342810</v>
      </c>
      <c r="F4716">
        <v>1</v>
      </c>
    </row>
    <row r="4717" spans="1:6" ht="13.5" hidden="1" customHeight="1">
      <c r="A4717" s="4" t="s">
        <v>8343</v>
      </c>
      <c r="B4717" s="4" t="s">
        <v>10757</v>
      </c>
      <c r="C4717" s="4" t="str">
        <f ca="1">IFERROR(__xludf.DUMMYFUNCTION("GOOGLETRANSLATE(D:D,""auto"",""en"")"),"Barcelona solidarity with China")</f>
        <v>Barcelona solidarity with China</v>
      </c>
      <c r="D4717" s="5" t="s">
        <v>10758</v>
      </c>
      <c r="E4717" s="4">
        <v>294130</v>
      </c>
    </row>
    <row r="4718" spans="1:6" ht="13.5" hidden="1" customHeight="1">
      <c r="A4718" s="4" t="s">
        <v>10759</v>
      </c>
      <c r="B4718" s="4" t="s">
        <v>10719</v>
      </c>
      <c r="C4718" s="4" t="str">
        <f ca="1">IFERROR(__xludf.DUMMYFUNCTION("GOOGLETRANSLATE(D:D,""auto"",""en"")"),"Howard Superman No. 24")</f>
        <v>Howard Superman No. 24</v>
      </c>
      <c r="D4718" s="5" t="s">
        <v>10760</v>
      </c>
      <c r="E4718" s="4">
        <v>290791</v>
      </c>
    </row>
    <row r="4719" spans="1:6" ht="13.5" hidden="1" customHeight="1">
      <c r="A4719" s="4" t="s">
        <v>10575</v>
      </c>
      <c r="B4719" s="4" t="s">
        <v>10576</v>
      </c>
      <c r="C4719" s="4" t="str">
        <f ca="1">IFERROR(__xludf.DUMMYFUNCTION("GOOGLETRANSLATE(D:D,""auto"",""en"")"),"Tan Desai refuted foreign media pick what questions even behind China")</f>
        <v>Tan Desai refuted foreign media pick what questions even behind China</v>
      </c>
      <c r="D4719" s="5" t="s">
        <v>10577</v>
      </c>
      <c r="E4719" s="4">
        <v>290354</v>
      </c>
    </row>
    <row r="4720" spans="1:6" ht="13.5" hidden="1" customHeight="1">
      <c r="A4720" s="4" t="s">
        <v>10759</v>
      </c>
      <c r="B4720" s="4" t="s">
        <v>10761</v>
      </c>
      <c r="C4720" s="4" t="str">
        <f ca="1">IFERROR(__xludf.DUMMYFUNCTION("GOOGLETRANSLATE(D:D,""auto"",""en"")"),"US embassy in Iraq was more than rocket attacks")</f>
        <v>US embassy in Iraq was more than rocket attacks</v>
      </c>
      <c r="D4720" s="5" t="s">
        <v>10762</v>
      </c>
      <c r="E4720" s="4">
        <v>290326</v>
      </c>
    </row>
    <row r="4721" spans="1:6" ht="13.5" hidden="1" customHeight="1">
      <c r="A4721" s="4" t="s">
        <v>10763</v>
      </c>
      <c r="B4721" s="4" t="s">
        <v>10764</v>
      </c>
      <c r="C4721" s="4" t="str">
        <f ca="1">IFERROR(__xludf.DUMMYFUNCTION("GOOGLETRANSLATE(D:D,""auto"",""en"")"),"4 consecutive days cured over a thousand")</f>
        <v>4 consecutive days cured over a thousand</v>
      </c>
      <c r="D4721" s="5" t="s">
        <v>10765</v>
      </c>
      <c r="E4721" s="4">
        <v>277174</v>
      </c>
    </row>
    <row r="4722" spans="1:6" ht="13.5" customHeight="1">
      <c r="A4722" s="4" t="s">
        <v>10766</v>
      </c>
      <c r="B4722" s="4" t="s">
        <v>10767</v>
      </c>
      <c r="C4722" s="4" t="str">
        <f ca="1">IFERROR(__xludf.DUMMYFUNCTION("GOOGLETRANSLATE(D:D,""auto"",""en"")"),"Qinghai 10 consecutive days without new cases")</f>
        <v>Qinghai 10 consecutive days without new cases</v>
      </c>
      <c r="D4722" s="5" t="s">
        <v>10768</v>
      </c>
      <c r="E4722" s="4">
        <v>276201</v>
      </c>
      <c r="F4722">
        <v>1</v>
      </c>
    </row>
    <row r="4723" spans="1:6" ht="13.5" hidden="1" customHeight="1">
      <c r="A4723" s="4" t="s">
        <v>8343</v>
      </c>
      <c r="B4723" s="4" t="s">
        <v>8344</v>
      </c>
      <c r="C4723" s="4" t="str">
        <f ca="1">IFERROR(__xludf.DUMMYFUNCTION("GOOGLETRANSLATE(D:D,""auto"",""en"")"),"The next stop is happy trailer")</f>
        <v>The next stop is happy trailer</v>
      </c>
      <c r="D4723" s="5" t="s">
        <v>8345</v>
      </c>
      <c r="E4723" s="4">
        <v>258888</v>
      </c>
    </row>
    <row r="4724" spans="1:6" ht="13.5" customHeight="1">
      <c r="A4724" s="4" t="s">
        <v>10769</v>
      </c>
      <c r="B4724" s="4" t="s">
        <v>10659</v>
      </c>
      <c r="C4724" s="4" t="str">
        <f ca="1">IFERROR(__xludf.DUMMYFUNCTION("GOOGLETRANSLATE(D:D,""auto"",""en"")"),"Auxiliary fight against SARS frontline fighting killed 18 days")</f>
        <v>Auxiliary fight against SARS frontline fighting killed 18 days</v>
      </c>
      <c r="D4724" s="5" t="s">
        <v>10770</v>
      </c>
      <c r="E4724" s="4">
        <v>256697</v>
      </c>
      <c r="F4724">
        <v>1</v>
      </c>
    </row>
    <row r="4725" spans="1:6" ht="13.5" hidden="1" customHeight="1">
      <c r="A4725" s="4" t="s">
        <v>10575</v>
      </c>
      <c r="B4725" s="4" t="s">
        <v>10771</v>
      </c>
      <c r="C4725" s="4" t="str">
        <f ca="1">IFERROR(__xludf.DUMMYFUNCTION("GOOGLETRANSLATE(D:D,""auto"",""en"")"),"Huang Yanling")</f>
        <v>Huang Yanling</v>
      </c>
      <c r="D4725" s="5" t="s">
        <v>10772</v>
      </c>
      <c r="E4725" s="4">
        <v>254416</v>
      </c>
    </row>
    <row r="4726" spans="1:6" ht="13.5" hidden="1" customHeight="1">
      <c r="A4726" s="4" t="s">
        <v>10604</v>
      </c>
      <c r="B4726" s="4" t="s">
        <v>10605</v>
      </c>
      <c r="C4726" s="4" t="str">
        <f ca="1">IFERROR(__xludf.DUMMYFUNCTION("GOOGLETRANSLATE(D:D,""auto"",""en"")"),"Alan send flowers Joe Chen")</f>
        <v>Alan send flowers Joe Chen</v>
      </c>
      <c r="D4726" s="5" t="s">
        <v>10606</v>
      </c>
      <c r="E4726" s="4">
        <v>238670</v>
      </c>
    </row>
    <row r="4727" spans="1:6" ht="13.5" hidden="1" customHeight="1">
      <c r="A4727" s="4" t="s">
        <v>10763</v>
      </c>
      <c r="B4727" s="4" t="s">
        <v>10773</v>
      </c>
      <c r="C4727" s="4" t="str">
        <f ca="1">IFERROR(__xludf.DUMMYFUNCTION("GOOGLETRANSLATE(D:D,""auto"",""en"")"),"Cure the patient left on a poem kit")</f>
        <v>Cure the patient left on a poem kit</v>
      </c>
      <c r="D4727" s="5" t="s">
        <v>10774</v>
      </c>
      <c r="E4727" s="4">
        <v>207308</v>
      </c>
    </row>
    <row r="4728" spans="1:6" ht="13.5" hidden="1" customHeight="1">
      <c r="A4728" s="4" t="s">
        <v>10775</v>
      </c>
      <c r="B4728" s="4" t="s">
        <v>10776</v>
      </c>
      <c r="C4728" s="4" t="str">
        <f ca="1">IFERROR(__xludf.DUMMYFUNCTION("GOOGLETRANSLATE(D:D,""auto"",""en"")"),"Gordon uncrowned king")</f>
        <v>Gordon uncrowned king</v>
      </c>
      <c r="D4728" s="5" t="s">
        <v>10777</v>
      </c>
      <c r="E4728" s="4">
        <v>206444</v>
      </c>
    </row>
    <row r="4729" spans="1:6" ht="13.5" customHeight="1">
      <c r="A4729" s="4" t="s">
        <v>2608</v>
      </c>
      <c r="B4729" s="4" t="s">
        <v>10778</v>
      </c>
      <c r="C4729" s="4" t="str">
        <f ca="1">IFERROR(__xludf.DUMMYFUNCTION("GOOGLETRANSLATE(D:D,""auto"",""en"")"),"Hubei new crown the new 1843 cases of pneumonia")</f>
        <v>Hubei new crown the new 1843 cases of pneumonia</v>
      </c>
      <c r="D4729" s="5" t="s">
        <v>10779</v>
      </c>
      <c r="E4729" s="4">
        <v>206417</v>
      </c>
      <c r="F4729">
        <v>1</v>
      </c>
    </row>
    <row r="4730" spans="1:6" ht="13.5" hidden="1" customHeight="1">
      <c r="A4730" s="4" t="s">
        <v>10780</v>
      </c>
      <c r="B4730" s="4" t="s">
        <v>10776</v>
      </c>
      <c r="C4730" s="4" t="str">
        <f ca="1">IFERROR(__xludf.DUMMYFUNCTION("GOOGLETRANSLATE(D:D,""auto"",""en"")"),"Jones dunk champion")</f>
        <v>Jones dunk champion</v>
      </c>
      <c r="D4730" s="5" t="s">
        <v>10781</v>
      </c>
      <c r="E4730" s="4">
        <v>204742</v>
      </c>
    </row>
    <row r="4731" spans="1:6" ht="13.5" hidden="1" customHeight="1">
      <c r="A4731" s="4" t="s">
        <v>10569</v>
      </c>
      <c r="B4731" s="4" t="s">
        <v>10570</v>
      </c>
      <c r="C4731" s="4" t="str">
        <f ca="1">IFERROR(__xludf.DUMMYFUNCTION("GOOGLETRANSLATE(D:D,""auto"",""en"")"),"Guo unicorn to Fan busy dubbing")</f>
        <v>Guo unicorn to Fan busy dubbing</v>
      </c>
      <c r="D4731" s="5" t="s">
        <v>10571</v>
      </c>
      <c r="E4731" s="4">
        <v>203884</v>
      </c>
    </row>
    <row r="4732" spans="1:6" ht="13.5" hidden="1" customHeight="1">
      <c r="A4732" s="4" t="s">
        <v>10782</v>
      </c>
      <c r="B4732" s="4" t="s">
        <v>10643</v>
      </c>
      <c r="C4732" s="4" t="str">
        <f ca="1">IFERROR(__xludf.DUMMYFUNCTION("GOOGLETRANSLATE(D:D,""auto"",""en"")"),"American in Paris")</f>
        <v>American in Paris</v>
      </c>
      <c r="D4732" s="5" t="s">
        <v>10783</v>
      </c>
      <c r="E4732" s="4">
        <v>202190</v>
      </c>
    </row>
    <row r="4733" spans="1:6" ht="13.5" hidden="1" customHeight="1">
      <c r="A4733" s="4" t="s">
        <v>2608</v>
      </c>
      <c r="B4733" s="4" t="s">
        <v>2609</v>
      </c>
      <c r="C4733" s="4" t="str">
        <f ca="1">IFERROR(__xludf.DUMMYFUNCTION("GOOGLETRANSLATE(D:D,""auto"",""en"")"),"Landing of love")</f>
        <v>Landing of love</v>
      </c>
      <c r="D4733" s="5" t="s">
        <v>2610</v>
      </c>
      <c r="E4733" s="4">
        <v>200576</v>
      </c>
    </row>
    <row r="4734" spans="1:6" ht="13.5" hidden="1" customHeight="1">
      <c r="A4734" s="4" t="s">
        <v>10782</v>
      </c>
      <c r="B4734" s="4" t="s">
        <v>10613</v>
      </c>
      <c r="C4734" s="4" t="str">
        <f ca="1">IFERROR(__xludf.DUMMYFUNCTION("GOOGLETRANSLATE(D:D,""auto"",""en"")"),"Woman waiting room")</f>
        <v>Woman waiting room</v>
      </c>
      <c r="D4734" s="5" t="s">
        <v>10784</v>
      </c>
      <c r="E4734" s="4">
        <v>167616</v>
      </c>
    </row>
    <row r="4735" spans="1:6" ht="13.5" hidden="1" customHeight="1">
      <c r="A4735" s="4" t="s">
        <v>10785</v>
      </c>
      <c r="B4735" s="4" t="s">
        <v>10786</v>
      </c>
      <c r="C4735" s="4" t="str">
        <f ca="1">IFERROR(__xludf.DUMMYFUNCTION("GOOGLETRANSLATE(D:D,""auto"",""en"")"),"Live cloud disco")</f>
        <v>Live cloud disco</v>
      </c>
      <c r="D4735" s="5" t="s">
        <v>10787</v>
      </c>
      <c r="E4735" s="4">
        <v>160565</v>
      </c>
    </row>
    <row r="4736" spans="1:6" ht="13.5" hidden="1" customHeight="1">
      <c r="C4736" s="4" t="str">
        <f ca="1">IFERROR(__xludf.DUMMYFUNCTION("GOOGLETRANSLATE(D:D,""auto"",""en"")"),"#VALUE!")</f>
        <v>#VALUE!</v>
      </c>
    </row>
    <row r="4737" spans="1:6" ht="13.5" customHeight="1">
      <c r="A4737" s="4" t="s">
        <v>10788</v>
      </c>
      <c r="B4737" s="4" t="s">
        <v>10789</v>
      </c>
      <c r="C4737" s="4" t="str">
        <f ca="1">IFERROR(__xludf.DUMMYFUNCTION("GOOGLETRANSLATE(D:D,""auto"",""en"")"),"The first example of a new national crown died of pneumonia in patients with anatomical body")</f>
        <v>The first example of a new national crown died of pneumonia in patients with anatomical body</v>
      </c>
      <c r="D4737" s="4" t="s">
        <v>10790</v>
      </c>
      <c r="E4737" s="4">
        <v>4293602</v>
      </c>
      <c r="F4737">
        <v>1</v>
      </c>
    </row>
    <row r="4738" spans="1:6" ht="13.5" hidden="1" customHeight="1">
      <c r="A4738" s="4" t="s">
        <v>10791</v>
      </c>
      <c r="B4738" s="4" t="s">
        <v>10792</v>
      </c>
      <c r="C4738" s="4" t="str">
        <f ca="1">IFERROR(__xludf.DUMMYFUNCTION("GOOGLETRANSLATE(D:D,""auto"",""en"")"),"You want to see finale")</f>
        <v>You want to see finale</v>
      </c>
      <c r="D4738" s="5" t="s">
        <v>10793</v>
      </c>
      <c r="E4738" s="4">
        <v>2271392</v>
      </c>
    </row>
    <row r="4739" spans="1:6" ht="13.5" customHeight="1">
      <c r="A4739" s="4" t="s">
        <v>10794</v>
      </c>
      <c r="B4739" s="4" t="s">
        <v>10795</v>
      </c>
      <c r="C4739" s="4" t="str">
        <f ca="1">IFERROR(__xludf.DUMMYFUNCTION("GOOGLETRANSLATE(D:D,""auto"",""en"")"),"Guangdong reports of norovirus outbreaks school together")</f>
        <v>Guangdong reports of norovirus outbreaks school together</v>
      </c>
      <c r="D4739" s="5" t="s">
        <v>10796</v>
      </c>
      <c r="E4739" s="4">
        <v>2218903</v>
      </c>
      <c r="F4739">
        <v>1</v>
      </c>
    </row>
    <row r="4740" spans="1:6" ht="13.5" hidden="1" customHeight="1">
      <c r="A4740" s="4" t="s">
        <v>10797</v>
      </c>
      <c r="B4740" s="4" t="s">
        <v>10795</v>
      </c>
      <c r="C4740" s="4" t="str">
        <f ca="1">IFERROR(__xludf.DUMMYFUNCTION("GOOGLETRANSLATE(D:D,""auto"",""en"")"),"IQIYI collapse")</f>
        <v>IQIYI collapse</v>
      </c>
      <c r="D4740" s="5" t="s">
        <v>10798</v>
      </c>
      <c r="E4740" s="4">
        <v>2215247</v>
      </c>
    </row>
    <row r="4741" spans="1:6" ht="13.5" hidden="1" customHeight="1">
      <c r="A4741" s="4" t="s">
        <v>7408</v>
      </c>
      <c r="B4741" s="4" t="s">
        <v>7378</v>
      </c>
      <c r="C4741" s="4" t="str">
        <f ca="1">IFERROR(__xludf.DUMMYFUNCTION("GOOGLETRANSLATE(D:D,""auto"",""en"")"),"Korean TV collapse")</f>
        <v>Korean TV collapse</v>
      </c>
      <c r="D4741" s="5" t="s">
        <v>7409</v>
      </c>
      <c r="E4741" s="4">
        <v>2203542</v>
      </c>
    </row>
    <row r="4742" spans="1:6" ht="13.5" hidden="1" customHeight="1">
      <c r="A4742" s="4" t="s">
        <v>10799</v>
      </c>
      <c r="B4742" s="4" t="s">
        <v>10800</v>
      </c>
      <c r="C4742" s="4" t="str">
        <f ca="1">IFERROR(__xludf.DUMMYFUNCTION("GOOGLETRANSLATE(D:D,""auto"",""en"")"),"Millet TV collapse")</f>
        <v>Millet TV collapse</v>
      </c>
      <c r="D4742" s="5" t="s">
        <v>10801</v>
      </c>
      <c r="E4742" s="4">
        <v>1735118</v>
      </c>
    </row>
    <row r="4743" spans="1:6" ht="13.5" hidden="1" customHeight="1">
      <c r="A4743" s="4" t="s">
        <v>10802</v>
      </c>
      <c r="B4743" s="4" t="s">
        <v>10800</v>
      </c>
      <c r="C4743" s="4" t="str">
        <f ca="1">IFERROR(__xludf.DUMMYFUNCTION("GOOGLETRANSLATE(D:D,""auto"",""en"")"),"Song Yuan Ye Luming father threatened to take the money")</f>
        <v>Song Yuan Ye Luming father threatened to take the money</v>
      </c>
      <c r="D4743" s="5" t="s">
        <v>10803</v>
      </c>
      <c r="E4743" s="4">
        <v>1401904</v>
      </c>
    </row>
    <row r="4744" spans="1:6" ht="13.5" customHeight="1">
      <c r="A4744" s="4" t="s">
        <v>10804</v>
      </c>
      <c r="B4744" s="4" t="s">
        <v>10805</v>
      </c>
      <c r="C4744" s="4" t="str">
        <f ca="1">IFERROR(__xludf.DUMMYFUNCTION("GOOGLETRANSLATE(D:D,""auto"",""en"")"),"Hill said the president of Raytheon epidemic turning point has come")</f>
        <v>Hill said the president of Raytheon epidemic turning point has come</v>
      </c>
      <c r="D4744" s="5" t="s">
        <v>10806</v>
      </c>
      <c r="E4744" s="4">
        <v>1399172</v>
      </c>
      <c r="F4744">
        <v>1</v>
      </c>
    </row>
    <row r="4745" spans="1:6" ht="13.5" hidden="1" customHeight="1">
      <c r="A4745" s="4" t="s">
        <v>1095</v>
      </c>
      <c r="B4745" s="4" t="s">
        <v>1048</v>
      </c>
      <c r="C4745" s="4" t="str">
        <f ca="1">IFERROR(__xludf.DUMMYFUNCTION("GOOGLETRANSLATE(D:D,""auto"",""en"")"),"Wu Lei goals")</f>
        <v>Wu Lei goals</v>
      </c>
      <c r="D4745" s="5" t="s">
        <v>1096</v>
      </c>
      <c r="E4745" s="4">
        <v>1382648</v>
      </c>
    </row>
    <row r="4746" spans="1:6" ht="13.5" hidden="1" customHeight="1">
      <c r="A4746" s="4" t="s">
        <v>10807</v>
      </c>
      <c r="B4746" s="4" t="s">
        <v>10808</v>
      </c>
      <c r="C4746" s="4" t="str">
        <f ca="1">IFERROR(__xludf.DUMMYFUNCTION("GOOGLETRANSLATE(D:D,""auto"",""en"")"),"Landing of love finale")</f>
        <v>Landing of love finale</v>
      </c>
      <c r="D4746" s="5" t="s">
        <v>10809</v>
      </c>
      <c r="E4746" s="4">
        <v>1381133</v>
      </c>
    </row>
    <row r="4747" spans="1:6" ht="13.5" hidden="1" customHeight="1">
      <c r="A4747" s="4" t="s">
        <v>10810</v>
      </c>
      <c r="B4747" s="4" t="s">
        <v>10811</v>
      </c>
      <c r="C4747" s="4" t="str">
        <f ca="1">IFERROR(__xludf.DUMMYFUNCTION("GOOGLETRANSLATE(D:D,""auto"",""en"")"),"Huang Zhibo sister issued")</f>
        <v>Huang Zhibo sister issued</v>
      </c>
      <c r="D4747" s="5" t="s">
        <v>10812</v>
      </c>
      <c r="E4747" s="4">
        <v>1369859</v>
      </c>
    </row>
    <row r="4748" spans="1:6" ht="13.5" hidden="1" customHeight="1">
      <c r="A4748" s="4" t="s">
        <v>10804</v>
      </c>
      <c r="B4748" s="4" t="s">
        <v>10813</v>
      </c>
      <c r="C4748" s="4" t="str">
        <f ca="1">IFERROR(__xludf.DUMMYFUNCTION("GOOGLETRANSLATE(D:D,""auto"",""en"")"),"He Hecan Yang Cai Minmin mother found love")</f>
        <v>He Hecan Yang Cai Minmin mother found love</v>
      </c>
      <c r="D4748" s="5" t="s">
        <v>10814</v>
      </c>
      <c r="E4748" s="4">
        <v>1350823</v>
      </c>
    </row>
    <row r="4749" spans="1:6" ht="13.5" hidden="1" customHeight="1">
      <c r="A4749" s="4" t="s">
        <v>10815</v>
      </c>
      <c r="B4749" s="4" t="s">
        <v>10816</v>
      </c>
      <c r="C4749" s="4" t="str">
        <f ca="1">IFERROR(__xludf.DUMMYFUNCTION("GOOGLETRANSLATE(D:D,""auto"",""en"")"),"Dan Xu Shengjun with child")</f>
        <v>Dan Xu Shengjun with child</v>
      </c>
      <c r="D4749" s="5" t="s">
        <v>10817</v>
      </c>
      <c r="E4749" s="4">
        <v>1342282</v>
      </c>
    </row>
    <row r="4750" spans="1:6" ht="13.5" hidden="1" customHeight="1">
      <c r="A4750" s="4" t="s">
        <v>10818</v>
      </c>
      <c r="B4750" s="4" t="s">
        <v>10819</v>
      </c>
      <c r="C4750" s="4" t="str">
        <f ca="1">IFERROR(__xludf.DUMMYFUNCTION("GOOGLETRANSLATE(D:D,""auto"",""en"")"),"Jiangxi two pure Chinese medicine treatment of patients discharged from hospital")</f>
        <v>Jiangxi two pure Chinese medicine treatment of patients discharged from hospital</v>
      </c>
      <c r="D4750" s="5" t="s">
        <v>10820</v>
      </c>
      <c r="E4750" s="4">
        <v>1334995</v>
      </c>
    </row>
    <row r="4751" spans="1:6" ht="13.5" hidden="1" customHeight="1">
      <c r="A4751" s="4" t="s">
        <v>10821</v>
      </c>
      <c r="B4751" s="4" t="s">
        <v>10822</v>
      </c>
      <c r="C4751" s="4" t="str">
        <f ca="1">IFERROR(__xludf.DUMMYFUNCTION("GOOGLETRANSLATE(D:D,""auto"",""en"")"),"Distressed Mo Junjie")</f>
        <v>Distressed Mo Junjie</v>
      </c>
      <c r="D4751" s="5" t="s">
        <v>10823</v>
      </c>
      <c r="E4751" s="4">
        <v>1325731</v>
      </c>
    </row>
    <row r="4752" spans="1:6" ht="13.5" customHeight="1">
      <c r="A4752" s="4" t="s">
        <v>10824</v>
      </c>
      <c r="B4752" s="4" t="s">
        <v>10825</v>
      </c>
      <c r="C4752" s="4" t="str">
        <f ca="1">IFERROR(__xludf.DUMMYFUNCTION("GOOGLETRANSLATE(D:D,""auto"",""en"")"),"Funeral car chase mom crying girl home quarantine")</f>
        <v>Funeral car chase mom crying girl home quarantine</v>
      </c>
      <c r="D4752" s="5" t="s">
        <v>10826</v>
      </c>
      <c r="E4752" s="4">
        <v>1313039</v>
      </c>
      <c r="F4752">
        <v>1</v>
      </c>
    </row>
    <row r="4753" spans="1:6" ht="13.5" hidden="1" customHeight="1">
      <c r="A4753" s="4" t="s">
        <v>10827</v>
      </c>
      <c r="B4753" s="4" t="s">
        <v>10811</v>
      </c>
      <c r="C4753" s="4" t="str">
        <f ca="1">IFERROR(__xludf.DUMMYFUNCTION("GOOGLETRANSLATE(D:D,""auto"",""en"")"),"House prices")</f>
        <v>House prices</v>
      </c>
      <c r="D4753" s="5" t="s">
        <v>10828</v>
      </c>
      <c r="E4753" s="4">
        <v>1308035</v>
      </c>
    </row>
    <row r="4754" spans="1:6" ht="13.5" hidden="1" customHeight="1">
      <c r="A4754" s="4" t="s">
        <v>10829</v>
      </c>
      <c r="B4754" s="4" t="s">
        <v>10830</v>
      </c>
      <c r="C4754" s="4" t="str">
        <f ca="1">IFERROR(__xludf.DUMMYFUNCTION("GOOGLETRANSLATE(D:D,""auto"",""en"")"),"Guizhou province full restoration of traffic")</f>
        <v>Guizhou province full restoration of traffic</v>
      </c>
      <c r="D4754" s="5" t="s">
        <v>10831</v>
      </c>
      <c r="E4754" s="4">
        <v>1299126</v>
      </c>
    </row>
    <row r="4755" spans="1:6" ht="13.5" hidden="1" customHeight="1">
      <c r="A4755" s="4" t="s">
        <v>10832</v>
      </c>
      <c r="B4755" s="4" t="s">
        <v>10833</v>
      </c>
      <c r="C4755" s="4" t="str">
        <f ca="1">IFERROR(__xludf.DUMMYFUNCTION("GOOGLETRANSLATE(D:D,""auto"",""en"")"),"Yiyangqianxi ins updated")</f>
        <v>Yiyangqianxi ins updated</v>
      </c>
      <c r="D4755" s="5" t="s">
        <v>10834</v>
      </c>
      <c r="E4755" s="4">
        <v>1190230</v>
      </c>
    </row>
    <row r="4756" spans="1:6" ht="13.5" hidden="1" customHeight="1">
      <c r="A4756" s="4" t="s">
        <v>10835</v>
      </c>
      <c r="B4756" s="4" t="s">
        <v>7595</v>
      </c>
      <c r="C4756" s="4" t="str">
        <f ca="1">IFERROR(__xludf.DUMMYFUNCTION("GOOGLETRANSLATE(D:D,""auto"",""en"")"),"Raincoat sister")</f>
        <v>Raincoat sister</v>
      </c>
      <c r="D4756" s="5" t="s">
        <v>10836</v>
      </c>
      <c r="E4756" s="4">
        <v>1084133</v>
      </c>
    </row>
    <row r="4757" spans="1:6" ht="13.5" hidden="1" customHeight="1">
      <c r="A4757" s="4" t="s">
        <v>10837</v>
      </c>
      <c r="B4757" s="4" t="s">
        <v>10838</v>
      </c>
      <c r="C4757" s="4" t="str">
        <f ca="1">IFERROR(__xludf.DUMMYFUNCTION("GOOGLETRANSLATE(D:D,""auto"",""en"")"),"Beijing powder blue sky")</f>
        <v>Beijing powder blue sky</v>
      </c>
      <c r="D4757" s="5" t="s">
        <v>10839</v>
      </c>
      <c r="E4757" s="4">
        <v>899908</v>
      </c>
    </row>
    <row r="4758" spans="1:6" ht="13.5" customHeight="1">
      <c r="A4758" s="4" t="s">
        <v>10840</v>
      </c>
      <c r="B4758" s="4" t="s">
        <v>10841</v>
      </c>
      <c r="C4758" s="4" t="str">
        <f ca="1">IFERROR(__xludf.DUMMYFUNCTION("GOOGLETRANSLATE(D:D,""auto"",""en"")"),"Xiaogan upgrade control measures")</f>
        <v>Xiaogan upgrade control measures</v>
      </c>
      <c r="D4758" s="5" t="s">
        <v>10842</v>
      </c>
      <c r="E4758" s="4">
        <v>848351</v>
      </c>
      <c r="F4758">
        <v>1</v>
      </c>
    </row>
    <row r="4759" spans="1:6" ht="13.5" hidden="1" customHeight="1">
      <c r="A4759" s="4" t="s">
        <v>10843</v>
      </c>
      <c r="B4759" s="4" t="s">
        <v>10844</v>
      </c>
      <c r="C4759" s="4" t="str">
        <f ca="1">IFERROR(__xludf.DUMMYFUNCTION("GOOGLETRANSLATE(D:D,""auto"",""en"")"),"Hengda 75% off Sellers")</f>
        <v>Hengda 75% off Sellers</v>
      </c>
      <c r="D4759" s="5" t="s">
        <v>10845</v>
      </c>
      <c r="E4759" s="4">
        <v>830223</v>
      </c>
    </row>
    <row r="4760" spans="1:6" ht="13.5" hidden="1" customHeight="1">
      <c r="A4760" s="4" t="s">
        <v>10846</v>
      </c>
      <c r="B4760" s="4" t="s">
        <v>10847</v>
      </c>
      <c r="C4760" s="4" t="str">
        <f ca="1">IFERROR(__xludf.DUMMYFUNCTION("GOOGLETRANSLATE(D:D,""auto"",""en"")"),"In reality dumplings Lee handsome")</f>
        <v>In reality dumplings Lee handsome</v>
      </c>
      <c r="D4760" s="5" t="s">
        <v>10848</v>
      </c>
      <c r="E4760" s="4">
        <v>708432</v>
      </c>
    </row>
    <row r="4761" spans="1:6" ht="13.5" hidden="1" customHeight="1">
      <c r="A4761" s="4" t="s">
        <v>10849</v>
      </c>
      <c r="B4761" s="4" t="s">
        <v>10833</v>
      </c>
      <c r="C4761" s="4" t="str">
        <f ca="1">IFERROR(__xludf.DUMMYFUNCTION("GOOGLETRANSLATE(D:D,""auto"",""en"")"),"Longgang")</f>
        <v>Longgang</v>
      </c>
      <c r="D4761" s="5" t="s">
        <v>10850</v>
      </c>
      <c r="E4761" s="4">
        <v>706358</v>
      </c>
    </row>
    <row r="4762" spans="1:6" ht="13.5" hidden="1" customHeight="1">
      <c r="A4762" s="4" t="s">
        <v>10794</v>
      </c>
      <c r="B4762" s="4" t="s">
        <v>10851</v>
      </c>
      <c r="C4762" s="4" t="str">
        <f ca="1">IFERROR(__xludf.DUMMYFUNCTION("GOOGLETRANSLATE(D:D,""auto"",""en"")"),"Japan 500 000 ginseng marathon")</f>
        <v>Japan 500 000 ginseng marathon</v>
      </c>
      <c r="D4762" s="5" t="s">
        <v>10852</v>
      </c>
      <c r="E4762" s="4">
        <v>699269</v>
      </c>
    </row>
    <row r="4763" spans="1:6" ht="13.5" hidden="1" customHeight="1">
      <c r="A4763" s="4" t="s">
        <v>10853</v>
      </c>
      <c r="B4763" s="4" t="s">
        <v>10854</v>
      </c>
      <c r="C4763" s="4" t="str">
        <f ca="1">IFERROR(__xludf.DUMMYFUNCTION("GOOGLETRANSLATE(D:D,""auto"",""en"")"),"He stars jealous")</f>
        <v>He stars jealous</v>
      </c>
      <c r="D4763" s="5" t="s">
        <v>10855</v>
      </c>
      <c r="E4763" s="4">
        <v>608894</v>
      </c>
    </row>
    <row r="4764" spans="1:6" ht="13.5" hidden="1" customHeight="1">
      <c r="A4764" s="4" t="s">
        <v>10856</v>
      </c>
      <c r="B4764" s="4" t="s">
        <v>10857</v>
      </c>
      <c r="C4764" s="4" t="str">
        <f ca="1">IFERROR(__xludf.DUMMYFUNCTION("GOOGLETRANSLATE(D:D,""auto"",""en"")"),"After 05 chat")</f>
        <v>After 05 chat</v>
      </c>
      <c r="D4764" s="5" t="s">
        <v>10858</v>
      </c>
      <c r="E4764" s="4">
        <v>606994</v>
      </c>
    </row>
    <row r="4765" spans="1:6" ht="13.5" customHeight="1">
      <c r="A4765" s="4" t="s">
        <v>10859</v>
      </c>
      <c r="B4765" s="4" t="s">
        <v>10860</v>
      </c>
      <c r="C4765" s="4" t="str">
        <f ca="1">IFERROR(__xludf.DUMMYFUNCTION("GOOGLETRANSLATE(D:D,""auto"",""en"")"),"Wei Jian Commission clearly to reduce the burden on the grassroots medical personnel")</f>
        <v>Wei Jian Commission clearly to reduce the burden on the grassroots medical personnel</v>
      </c>
      <c r="D4765" s="5" t="s">
        <v>10861</v>
      </c>
      <c r="E4765" s="4">
        <v>583309</v>
      </c>
      <c r="F4765">
        <v>1</v>
      </c>
    </row>
    <row r="4766" spans="1:6" ht="13.5" hidden="1" customHeight="1">
      <c r="A4766" s="4" t="s">
        <v>1209</v>
      </c>
      <c r="B4766" s="4" t="s">
        <v>1210</v>
      </c>
      <c r="C4766" s="4" t="str">
        <f ca="1">IFERROR(__xludf.DUMMYFUNCTION("GOOGLETRANSLATE(D:D,""auto"",""en"")"),"Every day")</f>
        <v>Every day</v>
      </c>
      <c r="D4766" s="5" t="s">
        <v>1211</v>
      </c>
      <c r="E4766" s="4">
        <v>582220</v>
      </c>
    </row>
    <row r="4767" spans="1:6" ht="13.5" hidden="1" customHeight="1">
      <c r="A4767" s="4" t="s">
        <v>10840</v>
      </c>
      <c r="B4767" s="4" t="s">
        <v>10847</v>
      </c>
      <c r="C4767" s="4" t="str">
        <f ca="1">IFERROR(__xludf.DUMMYFUNCTION("GOOGLETRANSLATE(D:D,""auto"",""en"")"),"Zheng Shuang Comfort photo")</f>
        <v>Zheng Shuang Comfort photo</v>
      </c>
      <c r="D4767" s="5" t="s">
        <v>10862</v>
      </c>
      <c r="E4767" s="4">
        <v>517507</v>
      </c>
    </row>
    <row r="4768" spans="1:6" ht="13.5" hidden="1" customHeight="1">
      <c r="A4768" s="4" t="s">
        <v>10863</v>
      </c>
      <c r="B4768" s="4" t="s">
        <v>10864</v>
      </c>
      <c r="C4768" s="4" t="str">
        <f ca="1">IFERROR(__xludf.DUMMYFUNCTION("GOOGLETRANSLATE(D:D,""auto"",""en"")"),"Straight men do not point to open this effect")</f>
        <v>Straight men do not point to open this effect</v>
      </c>
      <c r="D4768" s="5" t="s">
        <v>10865</v>
      </c>
      <c r="E4768" s="4">
        <v>496499</v>
      </c>
    </row>
    <row r="4769" spans="1:6" ht="13.5" hidden="1" customHeight="1">
      <c r="A4769" s="4" t="s">
        <v>10866</v>
      </c>
      <c r="B4769" s="4" t="s">
        <v>10867</v>
      </c>
      <c r="C4769" s="4" t="str">
        <f ca="1">IFERROR(__xludf.DUMMYFUNCTION("GOOGLETRANSLATE(D:D,""auto"",""en"")"),"Jintai Heng replies photo")</f>
        <v>Jintai Heng replies photo</v>
      </c>
      <c r="D4769" s="5" t="s">
        <v>10868</v>
      </c>
      <c r="E4769" s="4">
        <v>489329</v>
      </c>
    </row>
    <row r="4770" spans="1:6" ht="13.5" customHeight="1">
      <c r="A4770" s="4" t="s">
        <v>10869</v>
      </c>
      <c r="B4770" s="4" t="s">
        <v>10870</v>
      </c>
      <c r="C4770" s="4" t="str">
        <f ca="1">IFERROR(__xludf.DUMMYFUNCTION("GOOGLETRANSLATE(D:D,""auto"",""en"")"),"Xiamen disinfection")</f>
        <v>Xiamen disinfection</v>
      </c>
      <c r="D4770" s="5" t="s">
        <v>10871</v>
      </c>
      <c r="E4770" s="4">
        <v>455485</v>
      </c>
      <c r="F4770">
        <v>1</v>
      </c>
    </row>
    <row r="4771" spans="1:6" ht="13.5" customHeight="1">
      <c r="A4771" s="4" t="s">
        <v>10872</v>
      </c>
      <c r="B4771" s="4" t="s">
        <v>10873</v>
      </c>
      <c r="C4771" s="4" t="str">
        <f ca="1">IFERROR(__xludf.DUMMYFUNCTION("GOOGLETRANSLATE(D:D,""auto"",""en"")"),"Dr Gan Wuhan wishful return line in 4 days and 3 nights")</f>
        <v>Dr Gan Wuhan wishful return line in 4 days and 3 nights</v>
      </c>
      <c r="D4771" s="5" t="s">
        <v>10874</v>
      </c>
      <c r="E4771" s="4">
        <v>443759</v>
      </c>
      <c r="F4771">
        <v>1</v>
      </c>
    </row>
    <row r="4772" spans="1:6" ht="13.5" hidden="1" customHeight="1">
      <c r="A4772" s="4" t="s">
        <v>10875</v>
      </c>
      <c r="B4772" s="4" t="s">
        <v>10876</v>
      </c>
      <c r="C4772" s="4" t="str">
        <f ca="1">IFERROR(__xludf.DUMMYFUNCTION("GOOGLETRANSLATE(D:D,""auto"",""en"")"),"See you eggs")</f>
        <v>See you eggs</v>
      </c>
      <c r="D4772" s="5" t="s">
        <v>10877</v>
      </c>
      <c r="E4772" s="4">
        <v>439796</v>
      </c>
    </row>
    <row r="4773" spans="1:6" ht="13.5" hidden="1" customHeight="1">
      <c r="A4773" s="4" t="s">
        <v>10878</v>
      </c>
      <c r="B4773" s="4" t="s">
        <v>10879</v>
      </c>
      <c r="C4773" s="4" t="str">
        <f ca="1">IFERROR(__xludf.DUMMYFUNCTION("GOOGLETRANSLATE(D:D,""auto"",""en"")"),"Liu Bo Xin imitate Taiwanese accent")</f>
        <v>Liu Bo Xin imitate Taiwanese accent</v>
      </c>
      <c r="D4773" s="5" t="s">
        <v>10880</v>
      </c>
      <c r="E4773" s="4">
        <v>406172</v>
      </c>
    </row>
    <row r="4774" spans="1:6" ht="13.5" hidden="1" customHeight="1">
      <c r="A4774" s="4" t="s">
        <v>10815</v>
      </c>
      <c r="B4774" s="4" t="s">
        <v>10881</v>
      </c>
      <c r="C4774" s="4" t="str">
        <f ca="1">IFERROR(__xludf.DUMMYFUNCTION("GOOGLETRANSLATE(D:D,""auto"",""en"")"),"Girls like when sleeping")</f>
        <v>Girls like when sleeping</v>
      </c>
      <c r="D4774" s="5" t="s">
        <v>10882</v>
      </c>
      <c r="E4774" s="4">
        <v>380825</v>
      </c>
    </row>
    <row r="4775" spans="1:6" ht="13.5" hidden="1" customHeight="1">
      <c r="A4775" s="4" t="s">
        <v>10829</v>
      </c>
      <c r="B4775" s="4" t="s">
        <v>10883</v>
      </c>
      <c r="C4775" s="4" t="str">
        <f ca="1">IFERROR(__xludf.DUMMYFUNCTION("GOOGLETRANSLATE(D:D,""auto"",""en"")"),"I escaped unharmed poverty")</f>
        <v>I escaped unharmed poverty</v>
      </c>
      <c r="D4775" s="5" t="s">
        <v>10884</v>
      </c>
      <c r="E4775" s="4">
        <v>377532</v>
      </c>
    </row>
    <row r="4776" spans="1:6" ht="13.5" customHeight="1">
      <c r="A4776" s="4" t="s">
        <v>10885</v>
      </c>
      <c r="B4776" s="4" t="s">
        <v>10886</v>
      </c>
      <c r="C4776" s="4" t="str">
        <f ca="1">IFERROR(__xludf.DUMMYFUNCTION("GOOGLETRANSLATE(D:D,""auto"",""en"")"),"Hubei new crown studios often Kain died of pneumonia")</f>
        <v>Hubei new crown studios often Kain died of pneumonia</v>
      </c>
      <c r="D4776" s="5" t="s">
        <v>10887</v>
      </c>
      <c r="E4776" s="4">
        <v>353470</v>
      </c>
      <c r="F4776">
        <v>1</v>
      </c>
    </row>
    <row r="4777" spans="1:6" ht="13.5" customHeight="1">
      <c r="A4777" s="4" t="s">
        <v>10888</v>
      </c>
      <c r="B4777" s="4" t="s">
        <v>10889</v>
      </c>
      <c r="C4777" s="4" t="str">
        <f ca="1">IFERROR(__xludf.DUMMYFUNCTION("GOOGLETRANSLATE(D:D,""auto"",""en"")"),"The first potential treatment for pneumonia approved the listing of new drugs crown")</f>
        <v>The first potential treatment for pneumonia approved the listing of new drugs crown</v>
      </c>
      <c r="D4777" s="5" t="s">
        <v>10890</v>
      </c>
      <c r="E4777" s="4">
        <v>348535</v>
      </c>
      <c r="F4777">
        <v>1</v>
      </c>
    </row>
    <row r="4778" spans="1:6" ht="13.5" hidden="1" customHeight="1">
      <c r="A4778" s="4" t="s">
        <v>10891</v>
      </c>
      <c r="B4778" s="4" t="s">
        <v>10892</v>
      </c>
      <c r="C4778" s="4" t="str">
        <f ca="1">IFERROR(__xludf.DUMMYFUNCTION("GOOGLETRANSLATE(D:D,""auto"",""en"")"),"Chen Northern")</f>
        <v>Chen Northern</v>
      </c>
      <c r="D4778" s="5" t="s">
        <v>10893</v>
      </c>
      <c r="E4778" s="4">
        <v>335032</v>
      </c>
    </row>
    <row r="4779" spans="1:6" ht="13.5" hidden="1" customHeight="1">
      <c r="A4779" s="4" t="s">
        <v>10894</v>
      </c>
      <c r="B4779" s="4" t="s">
        <v>10895</v>
      </c>
      <c r="C4779" s="4" t="str">
        <f ca="1">IFERROR(__xludf.DUMMYFUNCTION("GOOGLETRANSLATE(D:D,""auto"",""en"")"),"Happy Birthday child Vigo")</f>
        <v>Happy Birthday child Vigo</v>
      </c>
      <c r="D4779" s="5" t="s">
        <v>10896</v>
      </c>
      <c r="E4779" s="4">
        <v>331201</v>
      </c>
    </row>
    <row r="4780" spans="1:6" ht="13.5" hidden="1" customHeight="1">
      <c r="A4780" s="4" t="s">
        <v>10897</v>
      </c>
      <c r="B4780" s="4" t="s">
        <v>10898</v>
      </c>
      <c r="C4780" s="4" t="str">
        <f ca="1">IFERROR(__xludf.DUMMYFUNCTION("GOOGLETRANSLATE(D:D,""auto"",""en"")"),"See you Screenwriter")</f>
        <v>See you Screenwriter</v>
      </c>
      <c r="D4780" s="5" t="s">
        <v>10899</v>
      </c>
      <c r="E4780" s="4">
        <v>331147</v>
      </c>
    </row>
    <row r="4781" spans="1:6" ht="13.5" hidden="1" customHeight="1">
      <c r="A4781" s="4" t="s">
        <v>10900</v>
      </c>
      <c r="B4781" s="4" t="s">
        <v>7595</v>
      </c>
      <c r="C4781" s="4" t="str">
        <f ca="1">IFERROR(__xludf.DUMMYFUNCTION("GOOGLETRANSLATE(D:D,""auto"",""en"")"),"BTS Sia songs and Cooperation")</f>
        <v>BTS Sia songs and Cooperation</v>
      </c>
      <c r="D4781" s="5" t="s">
        <v>10901</v>
      </c>
      <c r="E4781" s="4">
        <v>331077</v>
      </c>
    </row>
    <row r="4782" spans="1:6" ht="13.5" hidden="1" customHeight="1">
      <c r="A4782" s="4" t="s">
        <v>10902</v>
      </c>
      <c r="B4782" s="4" t="s">
        <v>10903</v>
      </c>
      <c r="C4782" s="4" t="str">
        <f ca="1">IFERROR(__xludf.DUMMYFUNCTION("GOOGLETRANSLATE(D:D,""auto"",""en"")"),"Zheng He Shi Li Ruishi reunion")</f>
        <v>Zheng He Shi Li Ruishi reunion</v>
      </c>
      <c r="D4782" s="5" t="s">
        <v>10904</v>
      </c>
      <c r="E4782" s="4">
        <v>327794</v>
      </c>
    </row>
    <row r="4783" spans="1:6" ht="13.5" hidden="1" customHeight="1">
      <c r="A4783" s="4" t="s">
        <v>10829</v>
      </c>
      <c r="B4783" s="4" t="s">
        <v>10905</v>
      </c>
      <c r="C4783" s="4" t="str">
        <f ca="1">IFERROR(__xludf.DUMMYFUNCTION("GOOGLETRANSLATE(D:D,""auto"",""en"")"),"A 18th century European women dress")</f>
        <v>A 18th century European women dress</v>
      </c>
      <c r="D4783" s="5" t="s">
        <v>10906</v>
      </c>
      <c r="E4783" s="4">
        <v>326309</v>
      </c>
    </row>
    <row r="4784" spans="1:6" ht="13.5" hidden="1" customHeight="1">
      <c r="A4784" s="4" t="s">
        <v>10907</v>
      </c>
      <c r="B4784" s="4" t="s">
        <v>10908</v>
      </c>
      <c r="C4784" s="4" t="str">
        <f ca="1">IFERROR(__xludf.DUMMYFUNCTION("GOOGLETRANSLATE(D:D,""auto"",""en"")"),"Tianjin college entrance examination in English for the first time extension")</f>
        <v>Tianjin college entrance examination in English for the first time extension</v>
      </c>
      <c r="D4784" s="5" t="s">
        <v>10909</v>
      </c>
      <c r="E4784" s="4">
        <v>326212</v>
      </c>
    </row>
    <row r="4785" spans="1:6" ht="13.5" customHeight="1">
      <c r="A4785" s="4" t="s">
        <v>10885</v>
      </c>
      <c r="B4785" s="4" t="s">
        <v>10910</v>
      </c>
      <c r="C4785" s="4" t="str">
        <f ca="1">IFERROR(__xludf.DUMMYFUNCTION("GOOGLETRANSLATE(D:D,""auto"",""en"")"),"How reassuring military materials warehouse")</f>
        <v>How reassuring military materials warehouse</v>
      </c>
      <c r="D4785" s="5" t="s">
        <v>10911</v>
      </c>
      <c r="E4785" s="4">
        <v>326125</v>
      </c>
      <c r="F4785">
        <v>1</v>
      </c>
    </row>
    <row r="4786" spans="1:6" ht="13.5" hidden="1" customHeight="1">
      <c r="A4786" s="4" t="s">
        <v>10912</v>
      </c>
      <c r="B4786" s="4" t="s">
        <v>10913</v>
      </c>
      <c r="C4786" s="4" t="str">
        <f ca="1">IFERROR(__xludf.DUMMYFUNCTION("GOOGLETRANSLATE(D:D,""auto"",""en"")"),"Locust nemesis guinea fowl")</f>
        <v>Locust nemesis guinea fowl</v>
      </c>
      <c r="D4786" s="5" t="s">
        <v>10914</v>
      </c>
      <c r="E4786" s="4">
        <v>294678</v>
      </c>
    </row>
    <row r="4787" spans="1:6" ht="13.5" hidden="1" customHeight="1">
      <c r="C4787" s="4" t="str">
        <f ca="1">IFERROR(__xludf.DUMMYFUNCTION("GOOGLETRANSLATE(D:D,""auto"",""en"")"),"#VALUE!")</f>
        <v>#VALUE!</v>
      </c>
    </row>
    <row r="4788" spans="1:6" ht="13.5" hidden="1" customHeight="1">
      <c r="A4788" s="4" t="s">
        <v>10915</v>
      </c>
      <c r="B4788" s="4" t="s">
        <v>10916</v>
      </c>
      <c r="C4788" s="4" t="str">
        <f ca="1">IFERROR(__xludf.DUMMYFUNCTION("GOOGLETRANSLATE(D:D,""auto"",""en"")"),"Xinyang, Henan appear two cases of extraordinary cases")</f>
        <v>Xinyang, Henan appear two cases of extraordinary cases</v>
      </c>
      <c r="D4788" s="4" t="s">
        <v>10917</v>
      </c>
      <c r="E4788" s="4">
        <v>3668672</v>
      </c>
    </row>
    <row r="4789" spans="1:6" ht="13.5" customHeight="1">
      <c r="A4789" s="4" t="s">
        <v>10918</v>
      </c>
      <c r="B4789" s="4" t="s">
        <v>10919</v>
      </c>
      <c r="C4789" s="4" t="str">
        <f ca="1">IFERROR(__xludf.DUMMYFUNCTION("GOOGLETRANSLATE(D:D,""auto"",""en"")"),"Diamond Princess 40 Americans diagnosed with infection")</f>
        <v>Diamond Princess 40 Americans diagnosed with infection</v>
      </c>
      <c r="D4789" s="5" t="s">
        <v>10920</v>
      </c>
      <c r="E4789" s="4">
        <v>1463714</v>
      </c>
      <c r="F4789">
        <v>1</v>
      </c>
    </row>
    <row r="4790" spans="1:6" ht="13.5" customHeight="1">
      <c r="A4790" s="4" t="s">
        <v>10921</v>
      </c>
      <c r="B4790" s="4" t="s">
        <v>10922</v>
      </c>
      <c r="C4790" s="4" t="str">
        <f ca="1">IFERROR(__xludf.DUMMYFUNCTION("GOOGLETRANSLATE(D:D,""auto"",""en"")"),"Hubei patient suspected nucleic acid detection requires clear day")</f>
        <v>Hubei patient suspected nucleic acid detection requires clear day</v>
      </c>
      <c r="D4790" s="5" t="s">
        <v>10923</v>
      </c>
      <c r="E4790" s="4">
        <v>1292324</v>
      </c>
      <c r="F4790">
        <v>1</v>
      </c>
    </row>
    <row r="4791" spans="1:6" ht="13.5" hidden="1" customHeight="1">
      <c r="A4791" s="4" t="s">
        <v>10924</v>
      </c>
      <c r="B4791" s="4" t="s">
        <v>10925</v>
      </c>
      <c r="C4791" s="4" t="str">
        <f ca="1">IFERROR(__xludf.DUMMYFUNCTION("GOOGLETRANSLATE(D:D,""auto"",""en"")"),"Angelababy wizard style")</f>
        <v>Angelababy wizard style</v>
      </c>
      <c r="D4791" s="5" t="s">
        <v>10926</v>
      </c>
      <c r="E4791" s="4">
        <v>1276058</v>
      </c>
    </row>
    <row r="4792" spans="1:6" ht="13.5" customHeight="1">
      <c r="A4792" s="4" t="s">
        <v>10927</v>
      </c>
      <c r="B4792" s="4" t="s">
        <v>10928</v>
      </c>
      <c r="C4792" s="4" t="str">
        <f ca="1">IFERROR(__xludf.DUMMYFUNCTION("GOOGLETRANSLATE(D:D,""auto"",""en"")"),"Wuhan must open public spaces into a scan code")</f>
        <v>Wuhan must open public spaces into a scan code</v>
      </c>
      <c r="D4792" s="5" t="s">
        <v>10929</v>
      </c>
      <c r="E4792" s="4">
        <v>1248178</v>
      </c>
      <c r="F4792">
        <v>1</v>
      </c>
    </row>
    <row r="4793" spans="1:6" ht="13.5" hidden="1" customHeight="1">
      <c r="A4793" s="4" t="s">
        <v>10930</v>
      </c>
      <c r="B4793" s="4" t="s">
        <v>10931</v>
      </c>
      <c r="C4793" s="4" t="str">
        <f ca="1">IFERROR(__xludf.DUMMYFUNCTION("GOOGLETRANSLATE(D:D,""auto"",""en"")"),"Learning through collapse")</f>
        <v>Learning through collapse</v>
      </c>
      <c r="D4793" s="5" t="s">
        <v>10932</v>
      </c>
      <c r="E4793" s="4">
        <v>1084561</v>
      </c>
    </row>
    <row r="4794" spans="1:6" ht="13.5" hidden="1" customHeight="1">
      <c r="A4794" s="4" t="s">
        <v>10933</v>
      </c>
      <c r="B4794" s="4" t="s">
        <v>10934</v>
      </c>
      <c r="C4794" s="4" t="str">
        <f ca="1">IFERROR(__xludf.DUMMYFUNCTION("GOOGLETRANSLATE(D:D,""auto"",""en"")"),"Poke Lord Bangtan Boys cooperation")</f>
        <v>Poke Lord Bangtan Boys cooperation</v>
      </c>
      <c r="D4794" s="5" t="s">
        <v>10935</v>
      </c>
      <c r="E4794" s="4">
        <v>988676</v>
      </c>
    </row>
    <row r="4795" spans="1:6" ht="13.5" hidden="1" customHeight="1">
      <c r="A4795" s="4" t="s">
        <v>10933</v>
      </c>
      <c r="B4795" s="4" t="s">
        <v>10936</v>
      </c>
      <c r="C4795" s="4" t="str">
        <f ca="1">IFERROR(__xludf.DUMMYFUNCTION("GOOGLETRANSLATE(D:D,""auto"",""en"")"),"See you develop a system")</f>
        <v>See you develop a system</v>
      </c>
      <c r="D4795" s="5" t="s">
        <v>10937</v>
      </c>
      <c r="E4795" s="4">
        <v>843635</v>
      </c>
    </row>
    <row r="4796" spans="1:6" ht="13.5" customHeight="1">
      <c r="A4796" s="4" t="s">
        <v>10938</v>
      </c>
      <c r="B4796" s="4" t="s">
        <v>10939</v>
      </c>
      <c r="C4796" s="4" t="str">
        <f ca="1">IFERROR(__xludf.DUMMYFUNCTION("GOOGLETRANSLATE(D:D,""auto"",""en"")"),"The national total of 70,548 cases of pneumonia diagnosed with the new crown")</f>
        <v>The national total of 70,548 cases of pneumonia diagnosed with the new crown</v>
      </c>
      <c r="D4796" s="5" t="s">
        <v>10940</v>
      </c>
      <c r="E4796" s="4">
        <v>789323</v>
      </c>
      <c r="F4796">
        <v>1</v>
      </c>
    </row>
    <row r="4797" spans="1:6" ht="13.5" hidden="1" customHeight="1">
      <c r="A4797" s="4" t="s">
        <v>10941</v>
      </c>
      <c r="B4797" s="4" t="s">
        <v>10928</v>
      </c>
      <c r="C4797" s="4" t="str">
        <f ca="1">IFERROR(__xludf.DUMMYFUNCTION("GOOGLETRANSLATE(D:D,""auto"",""en"")"),"Chang Huan Cong laugh together")</f>
        <v>Chang Huan Cong laugh together</v>
      </c>
      <c r="D4797" s="5" t="s">
        <v>10942</v>
      </c>
      <c r="E4797" s="4">
        <v>619780</v>
      </c>
    </row>
    <row r="4798" spans="1:6" ht="13.5" hidden="1" customHeight="1">
      <c r="A4798" s="4" t="s">
        <v>10943</v>
      </c>
      <c r="B4798" s="4" t="s">
        <v>10856</v>
      </c>
      <c r="C4798" s="4" t="str">
        <f ca="1">IFERROR(__xludf.DUMMYFUNCTION("GOOGLETRANSLATE(D:D,""auto"",""en"")"),"There are three versions to see you eggs")</f>
        <v>There are three versions to see you eggs</v>
      </c>
      <c r="D4798" s="5" t="s">
        <v>10944</v>
      </c>
      <c r="E4798" s="4">
        <v>562787</v>
      </c>
    </row>
    <row r="4799" spans="1:6" ht="13.5" customHeight="1">
      <c r="A4799" s="4" t="s">
        <v>10945</v>
      </c>
      <c r="B4799" s="4" t="s">
        <v>10946</v>
      </c>
      <c r="C4799" s="4" t="str">
        <f ca="1">IFERROR(__xludf.DUMMYFUNCTION("GOOGLETRANSLATE(D:D,""auto"",""en"")"),"Wuhan 20 rehabilitation staff donated blood plasma")</f>
        <v>Wuhan 20 rehabilitation staff donated blood plasma</v>
      </c>
      <c r="D4799" s="5" t="s">
        <v>10947</v>
      </c>
      <c r="E4799" s="4">
        <v>513330</v>
      </c>
      <c r="F4799">
        <v>1</v>
      </c>
    </row>
    <row r="4800" spans="1:6" ht="13.5" customHeight="1">
      <c r="A4800" s="4" t="s">
        <v>10948</v>
      </c>
      <c r="B4800" s="4" t="s">
        <v>10916</v>
      </c>
      <c r="C4800" s="4" t="str">
        <f ca="1">IFERROR(__xludf.DUMMYFUNCTION("GOOGLETRANSLATE(D:D,""auto"",""en"")"),"First class school")</f>
        <v>First class school</v>
      </c>
      <c r="D4800" s="5" t="s">
        <v>10949</v>
      </c>
      <c r="E4800" s="4">
        <v>439572</v>
      </c>
      <c r="F4800">
        <v>1</v>
      </c>
    </row>
    <row r="4801" spans="1:6" ht="13.5" customHeight="1">
      <c r="A4801" s="4" t="s">
        <v>10950</v>
      </c>
      <c r="B4801" s="4" t="s">
        <v>10951</v>
      </c>
      <c r="C4801" s="4" t="str">
        <f ca="1">IFERROR(__xludf.DUMMYFUNCTION("GOOGLETRANSLATE(D:D,""auto"",""en"")"),"Henan enterprises to develop new isolation cap")</f>
        <v>Henan enterprises to develop new isolation cap</v>
      </c>
      <c r="D4801" s="5" t="s">
        <v>10952</v>
      </c>
      <c r="E4801" s="4">
        <v>422315</v>
      </c>
      <c r="F4801">
        <v>1</v>
      </c>
    </row>
    <row r="4802" spans="1:6" ht="13.5" hidden="1" customHeight="1">
      <c r="A4802" s="4" t="s">
        <v>10953</v>
      </c>
      <c r="B4802" s="4" t="s">
        <v>10954</v>
      </c>
      <c r="C4802" s="4" t="str">
        <f ca="1">IFERROR(__xludf.DUMMYFUNCTION("GOOGLETRANSLATE(D:D,""auto"",""en"")"),"Tokyo organizers say Games will be held as scheduled")</f>
        <v>Tokyo organizers say Games will be held as scheduled</v>
      </c>
      <c r="D4802" s="5" t="s">
        <v>10955</v>
      </c>
      <c r="E4802" s="4">
        <v>361680</v>
      </c>
    </row>
    <row r="4803" spans="1:6" ht="13.5" hidden="1" customHeight="1">
      <c r="A4803" s="4" t="s">
        <v>10956</v>
      </c>
      <c r="B4803" s="4" t="s">
        <v>10925</v>
      </c>
      <c r="C4803" s="4" t="str">
        <f ca="1">IFERROR(__xludf.DUMMYFUNCTION("GOOGLETRANSLATE(D:D,""auto"",""en"")"),"Zhang Liang Jing Kou same back to the villa")</f>
        <v>Zhang Liang Jing Kou same back to the villa</v>
      </c>
      <c r="D4803" s="5" t="s">
        <v>10957</v>
      </c>
      <c r="E4803" s="4">
        <v>358835</v>
      </c>
    </row>
    <row r="4804" spans="1:6" ht="13.5" hidden="1" customHeight="1">
      <c r="A4804" s="4" t="s">
        <v>10958</v>
      </c>
      <c r="B4804" s="4" t="s">
        <v>10804</v>
      </c>
      <c r="C4804" s="4" t="str">
        <f ca="1">IFERROR(__xludf.DUMMYFUNCTION("GOOGLETRANSLATE(D:D,""auto"",""en"")"),"trr")</f>
        <v>trr</v>
      </c>
      <c r="D4804" s="5" t="s">
        <v>10959</v>
      </c>
      <c r="E4804" s="4">
        <v>354691</v>
      </c>
    </row>
    <row r="4805" spans="1:6" ht="13.5" customHeight="1">
      <c r="A4805" s="4" t="s">
        <v>10960</v>
      </c>
      <c r="B4805" s="4" t="s">
        <v>10961</v>
      </c>
      <c r="C4805" s="4" t="str">
        <f ca="1">IFERROR(__xludf.DUMMYFUNCTION("GOOGLETRANSLATE(D:D,""auto"",""en"")"),"Nails")</f>
        <v>Nails</v>
      </c>
      <c r="D4805" s="5" t="s">
        <v>10962</v>
      </c>
      <c r="E4805" s="4">
        <v>345473</v>
      </c>
      <c r="F4805">
        <v>1</v>
      </c>
    </row>
    <row r="4806" spans="1:6" ht="13.5" hidden="1" customHeight="1">
      <c r="A4806" s="4" t="s">
        <v>10963</v>
      </c>
      <c r="B4806" s="4" t="s">
        <v>10964</v>
      </c>
      <c r="C4806" s="4" t="str">
        <f ca="1">IFERROR(__xludf.DUMMYFUNCTION("GOOGLETRANSLATE(D:D,""auto"",""en"")"),"Beyond Yang Guo")</f>
        <v>Beyond Yang Guo</v>
      </c>
      <c r="D4806" s="5" t="s">
        <v>10965</v>
      </c>
      <c r="E4806" s="4">
        <v>342993</v>
      </c>
    </row>
    <row r="4807" spans="1:6" ht="13.5" hidden="1" customHeight="1">
      <c r="A4807" s="4" t="s">
        <v>10966</v>
      </c>
      <c r="B4807" s="4" t="s">
        <v>10967</v>
      </c>
      <c r="C4807" s="4" t="str">
        <f ca="1">IFERROR(__xludf.DUMMYFUNCTION("GOOGLETRANSLATE(D:D,""auto"",""en"")"),"Take express comparable to spy war drama")</f>
        <v>Take express comparable to spy war drama</v>
      </c>
      <c r="D4807" s="5" t="s">
        <v>10968</v>
      </c>
      <c r="E4807" s="4">
        <v>336747</v>
      </c>
    </row>
    <row r="4808" spans="1:6" ht="13.5" hidden="1" customHeight="1">
      <c r="A4808" s="4" t="s">
        <v>10528</v>
      </c>
      <c r="B4808" s="4" t="s">
        <v>10351</v>
      </c>
      <c r="C4808" s="4" t="str">
        <f ca="1">IFERROR(__xludf.DUMMYFUNCTION("GOOGLETRANSLATE(D:D,""auto"",""en"")"),"locust")</f>
        <v>locust</v>
      </c>
      <c r="D4808" s="5" t="s">
        <v>10529</v>
      </c>
      <c r="E4808" s="4">
        <v>329810</v>
      </c>
    </row>
    <row r="4809" spans="1:6" ht="13.5" hidden="1" customHeight="1">
      <c r="A4809" s="4" t="s">
        <v>10969</v>
      </c>
      <c r="B4809" s="4" t="s">
        <v>10856</v>
      </c>
      <c r="C4809" s="4" t="str">
        <f ca="1">IFERROR(__xludf.DUMMYFUNCTION("GOOGLETRANSLATE(D:D,""auto"",""en"")"),"Dogs with hanging pole oncoming food supplying water to")</f>
        <v>Dogs with hanging pole oncoming food supplying water to</v>
      </c>
      <c r="D4809" s="5" t="s">
        <v>10970</v>
      </c>
      <c r="E4809" s="4">
        <v>322271</v>
      </c>
    </row>
    <row r="4810" spans="1:6" ht="13.5" customHeight="1">
      <c r="A4810" s="4" t="s">
        <v>10948</v>
      </c>
      <c r="B4810" s="4" t="s">
        <v>10971</v>
      </c>
      <c r="C4810" s="4" t="str">
        <f ca="1">IFERROR(__xludf.DUMMYFUNCTION("GOOGLETRANSLATE(D:D,""auto"",""en"")"),"Shanghai take the bus must wear masks")</f>
        <v>Shanghai take the bus must wear masks</v>
      </c>
      <c r="D4810" s="5" t="s">
        <v>10972</v>
      </c>
      <c r="E4810" s="4">
        <v>316900</v>
      </c>
      <c r="F4810">
        <v>1</v>
      </c>
    </row>
    <row r="4811" spans="1:6" ht="13.5" customHeight="1">
      <c r="A4811" s="4" t="s">
        <v>10973</v>
      </c>
      <c r="B4811" s="4" t="s">
        <v>10974</v>
      </c>
      <c r="C4811" s="4" t="str">
        <f ca="1">IFERROR(__xludf.DUMMYFUNCTION("GOOGLETRANSLATE(D:D,""auto"",""en"")"),"A fall of 13 new cases outside Hubei")</f>
        <v>A fall of 13 new cases outside Hubei</v>
      </c>
      <c r="D4811" s="5" t="s">
        <v>10975</v>
      </c>
      <c r="E4811" s="4">
        <v>315900</v>
      </c>
      <c r="F4811">
        <v>1</v>
      </c>
    </row>
    <row r="4812" spans="1:6" ht="13.5" hidden="1" customHeight="1">
      <c r="A4812" s="4" t="s">
        <v>7742</v>
      </c>
      <c r="B4812" s="4" t="s">
        <v>7743</v>
      </c>
      <c r="C4812" s="4" t="str">
        <f ca="1">IFERROR(__xludf.DUMMYFUNCTION("GOOGLETRANSLATE(D:D,""auto"",""en"")"),"Beijing subway")</f>
        <v>Beijing subway</v>
      </c>
      <c r="D4812" s="5" t="s">
        <v>7744</v>
      </c>
      <c r="E4812" s="4">
        <v>312700</v>
      </c>
    </row>
    <row r="4813" spans="1:6" ht="13.5" customHeight="1">
      <c r="A4813" s="4" t="s">
        <v>10976</v>
      </c>
      <c r="B4813" s="4" t="s">
        <v>10977</v>
      </c>
      <c r="C4813" s="4" t="str">
        <f ca="1">IFERROR(__xludf.DUMMYFUNCTION("GOOGLETRANSLATE(D:D,""auto"",""en"")"),"National Panel members decryption Shanghai medication fight against SARS")</f>
        <v>National Panel members decryption Shanghai medication fight against SARS</v>
      </c>
      <c r="D4813" s="5" t="s">
        <v>10978</v>
      </c>
      <c r="E4813" s="4">
        <v>311313</v>
      </c>
      <c r="F4813">
        <v>1</v>
      </c>
    </row>
    <row r="4814" spans="1:6" ht="13.5" hidden="1" customHeight="1">
      <c r="A4814" s="4" t="s">
        <v>10979</v>
      </c>
      <c r="B4814" s="4" t="s">
        <v>10878</v>
      </c>
      <c r="C4814" s="4" t="str">
        <f ca="1">IFERROR(__xludf.DUMMYFUNCTION("GOOGLETRANSLATE(D:D,""auto"",""en"")"),"I taught at home forced")</f>
        <v>I taught at home forced</v>
      </c>
      <c r="D4814" s="5" t="s">
        <v>10980</v>
      </c>
      <c r="E4814" s="4">
        <v>311017</v>
      </c>
    </row>
    <row r="4815" spans="1:6" ht="13.5" hidden="1" customHeight="1">
      <c r="A4815" s="4" t="s">
        <v>10894</v>
      </c>
      <c r="B4815" s="4" t="s">
        <v>10895</v>
      </c>
      <c r="C4815" s="4" t="str">
        <f ca="1">IFERROR(__xludf.DUMMYFUNCTION("GOOGLETRANSLATE(D:D,""auto"",""en"")"),"Happy Birthday child Vigo")</f>
        <v>Happy Birthday child Vigo</v>
      </c>
      <c r="D4815" s="5" t="s">
        <v>10896</v>
      </c>
      <c r="E4815" s="4">
        <v>308747</v>
      </c>
    </row>
    <row r="4816" spans="1:6" ht="13.5" hidden="1" customHeight="1">
      <c r="A4816" s="4" t="s">
        <v>10981</v>
      </c>
      <c r="B4816" s="4" t="s">
        <v>10964</v>
      </c>
      <c r="C4816" s="4" t="str">
        <f ca="1">IFERROR(__xludf.DUMMYFUNCTION("GOOGLETRANSLATE(D:D,""auto"",""en"")"),"Xu Guanghan acting")</f>
        <v>Xu Guanghan acting</v>
      </c>
      <c r="D4816" s="5" t="s">
        <v>10982</v>
      </c>
      <c r="E4816" s="4">
        <v>300791</v>
      </c>
    </row>
    <row r="4817" spans="1:6" ht="13.5" hidden="1" customHeight="1">
      <c r="A4817" s="4" t="s">
        <v>10983</v>
      </c>
      <c r="B4817" s="4" t="s">
        <v>10984</v>
      </c>
      <c r="C4817" s="4" t="str">
        <f ca="1">IFERROR(__xludf.DUMMYFUNCTION("GOOGLETRANSLATE(D:D,""auto"",""en"")"),"Iverson wearing a Kobe Bryant jersey")</f>
        <v>Iverson wearing a Kobe Bryant jersey</v>
      </c>
      <c r="D4817" s="5" t="s">
        <v>10985</v>
      </c>
      <c r="E4817" s="4">
        <v>298203</v>
      </c>
    </row>
    <row r="4818" spans="1:6" ht="13.5" hidden="1" customHeight="1">
      <c r="A4818" s="4" t="s">
        <v>10986</v>
      </c>
      <c r="B4818" s="4" t="s">
        <v>10967</v>
      </c>
      <c r="C4818" s="4" t="str">
        <f ca="1">IFERROR(__xludf.DUMMYFUNCTION("GOOGLETRANSLATE(D:D,""auto"",""en"")"),"White gold open")</f>
        <v>White gold open</v>
      </c>
      <c r="D4818" s="5" t="s">
        <v>10987</v>
      </c>
      <c r="E4818" s="4">
        <v>295028</v>
      </c>
    </row>
    <row r="4819" spans="1:6" ht="13.5" hidden="1" customHeight="1">
      <c r="A4819" s="4" t="s">
        <v>10988</v>
      </c>
      <c r="B4819" s="4" t="s">
        <v>10916</v>
      </c>
      <c r="C4819" s="4" t="str">
        <f ca="1">IFERROR(__xludf.DUMMYFUNCTION("GOOGLETRANSLATE(D:D,""auto"",""en"")"),"20 tickets shipped tribute medical worker")</f>
        <v>20 tickets shipped tribute medical worker</v>
      </c>
      <c r="D4819" s="5" t="s">
        <v>10989</v>
      </c>
      <c r="E4819" s="4">
        <v>239322</v>
      </c>
    </row>
    <row r="4820" spans="1:6" ht="13.5" customHeight="1">
      <c r="A4820" s="4" t="s">
        <v>10788</v>
      </c>
      <c r="B4820" s="4" t="s">
        <v>10789</v>
      </c>
      <c r="C4820" s="4" t="str">
        <f ca="1">IFERROR(__xludf.DUMMYFUNCTION("GOOGLETRANSLATE(D:D,""auto"",""en"")"),"The first example of a new national crown died of pneumonia in patients with anatomical body")</f>
        <v>The first example of a new national crown died of pneumonia in patients with anatomical body</v>
      </c>
      <c r="D4820" s="5" t="s">
        <v>10790</v>
      </c>
      <c r="E4820" s="4">
        <v>230323</v>
      </c>
      <c r="F4820">
        <v>1</v>
      </c>
    </row>
    <row r="4821" spans="1:6" ht="13.5" customHeight="1">
      <c r="A4821" s="4" t="s">
        <v>10859</v>
      </c>
      <c r="B4821" s="4" t="s">
        <v>10860</v>
      </c>
      <c r="C4821" s="4" t="str">
        <f ca="1">IFERROR(__xludf.DUMMYFUNCTION("GOOGLETRANSLATE(D:D,""auto"",""en"")"),"Wei Jian Commission clearly to reduce the burden on the grassroots medical personnel")</f>
        <v>Wei Jian Commission clearly to reduce the burden on the grassroots medical personnel</v>
      </c>
      <c r="D4821" s="5" t="s">
        <v>10861</v>
      </c>
      <c r="E4821" s="4">
        <v>227897</v>
      </c>
      <c r="F4821">
        <v>1</v>
      </c>
    </row>
    <row r="4822" spans="1:6" ht="13.5" hidden="1" customHeight="1">
      <c r="A4822" s="4" t="s">
        <v>10990</v>
      </c>
      <c r="B4822" s="4" t="s">
        <v>10991</v>
      </c>
      <c r="C4822" s="4" t="str">
        <f ca="1">IFERROR(__xludf.DUMMYFUNCTION("GOOGLETRANSLATE(D:D,""auto"",""en"")"),"Paul dunk")</f>
        <v>Paul dunk</v>
      </c>
      <c r="D4822" s="5" t="s">
        <v>10992</v>
      </c>
      <c r="E4822" s="4">
        <v>227577</v>
      </c>
    </row>
    <row r="4823" spans="1:6" ht="13.5" customHeight="1">
      <c r="A4823" s="4" t="s">
        <v>10837</v>
      </c>
      <c r="B4823" s="4" t="s">
        <v>10907</v>
      </c>
      <c r="C4823" s="4" t="str">
        <f ca="1">IFERROR(__xludf.DUMMYFUNCTION("GOOGLETRANSLATE(D:D,""auto"",""en"")"),"Hubei new crown the new 1933 cases of pneumonia")</f>
        <v>Hubei new crown the new 1933 cases of pneumonia</v>
      </c>
      <c r="D4823" s="5" t="s">
        <v>10993</v>
      </c>
      <c r="E4823" s="4">
        <v>227537</v>
      </c>
      <c r="F4823">
        <v>1</v>
      </c>
    </row>
    <row r="4824" spans="1:6" ht="13.5" hidden="1" customHeight="1">
      <c r="A4824" s="4" t="s">
        <v>10827</v>
      </c>
      <c r="B4824" s="4" t="s">
        <v>10811</v>
      </c>
      <c r="C4824" s="4" t="str">
        <f ca="1">IFERROR(__xludf.DUMMYFUNCTION("GOOGLETRANSLATE(D:D,""auto"",""en"")"),"House prices")</f>
        <v>House prices</v>
      </c>
      <c r="D4824" s="5" t="s">
        <v>10828</v>
      </c>
      <c r="E4824" s="4">
        <v>221053</v>
      </c>
    </row>
    <row r="4825" spans="1:6" ht="13.5" hidden="1" customHeight="1">
      <c r="A4825" s="4" t="s">
        <v>10810</v>
      </c>
      <c r="B4825" s="4" t="s">
        <v>10811</v>
      </c>
      <c r="C4825" s="4" t="str">
        <f ca="1">IFERROR(__xludf.DUMMYFUNCTION("GOOGLETRANSLATE(D:D,""auto"",""en"")"),"Huang Zhibo sister issued")</f>
        <v>Huang Zhibo sister issued</v>
      </c>
      <c r="D4825" s="5" t="s">
        <v>10812</v>
      </c>
      <c r="E4825" s="4">
        <v>207859</v>
      </c>
    </row>
    <row r="4826" spans="1:6" ht="13.5" customHeight="1">
      <c r="A4826" s="4" t="s">
        <v>10994</v>
      </c>
      <c r="B4826" s="4" t="s">
        <v>10967</v>
      </c>
      <c r="C4826" s="4" t="str">
        <f ca="1">IFERROR(__xludf.DUMMYFUNCTION("GOOGLETRANSLATE(D:D,""auto"",""en"")"),"Health care workers send more troops arrived in 2600 in Wuhan")</f>
        <v>Health care workers send more troops arrived in 2600 in Wuhan</v>
      </c>
      <c r="D4826" s="5" t="s">
        <v>10995</v>
      </c>
      <c r="E4826" s="4">
        <v>205765</v>
      </c>
      <c r="F4826">
        <v>1</v>
      </c>
    </row>
    <row r="4827" spans="1:6" ht="13.5" hidden="1" customHeight="1">
      <c r="A4827" s="4" t="s">
        <v>10810</v>
      </c>
      <c r="B4827" s="4" t="s">
        <v>10936</v>
      </c>
      <c r="C4827" s="4" t="str">
        <f ca="1">IFERROR(__xludf.DUMMYFUNCTION("GOOGLETRANSLATE(D:D,""auto"",""en"")"),"Huanggang medical staff commentary priority job promotion")</f>
        <v>Huanggang medical staff commentary priority job promotion</v>
      </c>
      <c r="D4827" s="5" t="s">
        <v>10996</v>
      </c>
      <c r="E4827" s="4">
        <v>199613</v>
      </c>
    </row>
    <row r="4828" spans="1:6" ht="13.5" hidden="1" customHeight="1">
      <c r="A4828" s="4" t="s">
        <v>10791</v>
      </c>
      <c r="B4828" s="4" t="s">
        <v>10792</v>
      </c>
      <c r="C4828" s="4" t="str">
        <f ca="1">IFERROR(__xludf.DUMMYFUNCTION("GOOGLETRANSLATE(D:D,""auto"",""en"")"),"You want to see finale")</f>
        <v>You want to see finale</v>
      </c>
      <c r="D4828" s="5" t="s">
        <v>10793</v>
      </c>
      <c r="E4828" s="4">
        <v>190551</v>
      </c>
    </row>
    <row r="4829" spans="1:6" ht="13.5" customHeight="1">
      <c r="A4829" s="4" t="s">
        <v>10997</v>
      </c>
      <c r="B4829" s="4" t="s">
        <v>10998</v>
      </c>
      <c r="C4829" s="4" t="str">
        <f ca="1">IFERROR(__xludf.DUMMYFUNCTION("GOOGLETRANSLATE(D:D,""auto"",""en"")"),"Posthumously awarded the fight against SARS expense of police Wang Spring two heroes")</f>
        <v>Posthumously awarded the fight against SARS expense of police Wang Spring two heroes</v>
      </c>
      <c r="D4829" s="5" t="s">
        <v>10999</v>
      </c>
      <c r="E4829" s="4">
        <v>186723</v>
      </c>
      <c r="F4829">
        <v>1</v>
      </c>
    </row>
    <row r="4830" spans="1:6" ht="13.5" hidden="1" customHeight="1">
      <c r="A4830" s="4" t="s">
        <v>10837</v>
      </c>
      <c r="B4830" s="4" t="s">
        <v>10838</v>
      </c>
      <c r="C4830" s="4" t="str">
        <f ca="1">IFERROR(__xludf.DUMMYFUNCTION("GOOGLETRANSLATE(D:D,""auto"",""en"")"),"Beijing powder blue sky")</f>
        <v>Beijing powder blue sky</v>
      </c>
      <c r="D4830" s="5" t="s">
        <v>10839</v>
      </c>
      <c r="E4830" s="4">
        <v>186131</v>
      </c>
    </row>
    <row r="4831" spans="1:6" ht="13.5" customHeight="1">
      <c r="A4831" s="4" t="s">
        <v>11000</v>
      </c>
      <c r="B4831" s="4" t="s">
        <v>11001</v>
      </c>
      <c r="C4831" s="4" t="str">
        <f ca="1">IFERROR(__xludf.DUMMYFUNCTION("GOOGLETRANSLATE(D:D,""auto"",""en"")"),"Production and marketing of medical masks maximum sentence to life issues")</f>
        <v>Production and marketing of medical masks maximum sentence to life issues</v>
      </c>
      <c r="D4831" s="5" t="s">
        <v>11002</v>
      </c>
      <c r="E4831" s="4">
        <v>179415</v>
      </c>
      <c r="F4831">
        <v>1</v>
      </c>
    </row>
    <row r="4832" spans="1:6" ht="13.5" hidden="1" customHeight="1">
      <c r="A4832" s="4" t="s">
        <v>11003</v>
      </c>
      <c r="B4832" s="4" t="s">
        <v>10971</v>
      </c>
      <c r="C4832" s="4" t="str">
        <f ca="1">IFERROR(__xludf.DUMMYFUNCTION("GOOGLETRANSLATE(D:D,""auto"",""en"")"),"Storm Dennis")</f>
        <v>Storm Dennis</v>
      </c>
      <c r="D4832" s="5" t="s">
        <v>11004</v>
      </c>
      <c r="E4832" s="4">
        <v>176305</v>
      </c>
    </row>
    <row r="4833" spans="1:6" ht="13.5" hidden="1" customHeight="1">
      <c r="A4833" s="4" t="s">
        <v>10807</v>
      </c>
      <c r="B4833" s="4" t="s">
        <v>10808</v>
      </c>
      <c r="C4833" s="4" t="str">
        <f ca="1">IFERROR(__xludf.DUMMYFUNCTION("GOOGLETRANSLATE(D:D,""auto"",""en"")"),"Landing of love finale")</f>
        <v>Landing of love finale</v>
      </c>
      <c r="D4833" s="5" t="s">
        <v>10809</v>
      </c>
      <c r="E4833" s="4">
        <v>173908</v>
      </c>
    </row>
    <row r="4834" spans="1:6" ht="13.5" customHeight="1">
      <c r="A4834" s="4" t="s">
        <v>10824</v>
      </c>
      <c r="B4834" s="4" t="s">
        <v>10825</v>
      </c>
      <c r="C4834" s="4" t="str">
        <f ca="1">IFERROR(__xludf.DUMMYFUNCTION("GOOGLETRANSLATE(D:D,""auto"",""en"")"),"Funeral car chase mom crying girl home quarantine")</f>
        <v>Funeral car chase mom crying girl home quarantine</v>
      </c>
      <c r="D4834" s="5" t="s">
        <v>10826</v>
      </c>
      <c r="E4834" s="4">
        <v>164916</v>
      </c>
      <c r="F4834">
        <v>1</v>
      </c>
    </row>
    <row r="4835" spans="1:6" ht="13.5" hidden="1" customHeight="1">
      <c r="A4835" s="4" t="s">
        <v>11005</v>
      </c>
      <c r="B4835" s="4" t="s">
        <v>10919</v>
      </c>
      <c r="C4835" s="4" t="str">
        <f ca="1">IFERROR(__xludf.DUMMYFUNCTION("GOOGLETRANSLATE(D:D,""auto"",""en"")"),"Magic tribute Bryant")</f>
        <v>Magic tribute Bryant</v>
      </c>
      <c r="D4835" s="5" t="s">
        <v>11006</v>
      </c>
      <c r="E4835" s="4">
        <v>162030</v>
      </c>
    </row>
    <row r="4836" spans="1:6" ht="13.5" hidden="1" customHeight="1">
      <c r="A4836" s="4" t="s">
        <v>10832</v>
      </c>
      <c r="B4836" s="4" t="s">
        <v>10833</v>
      </c>
      <c r="C4836" s="4" t="str">
        <f ca="1">IFERROR(__xludf.DUMMYFUNCTION("GOOGLETRANSLATE(D:D,""auto"",""en"")"),"Yiyangqianxi ins updated")</f>
        <v>Yiyangqianxi ins updated</v>
      </c>
      <c r="D4836" s="5" t="s">
        <v>10834</v>
      </c>
      <c r="E4836" s="4">
        <v>156166</v>
      </c>
    </row>
    <row r="4837" spans="1:6" ht="13.5" hidden="1" customHeight="1">
      <c r="A4837" s="4" t="s">
        <v>11007</v>
      </c>
      <c r="B4837" s="4" t="s">
        <v>10869</v>
      </c>
      <c r="C4837" s="4" t="str">
        <f ca="1">IFERROR(__xludf.DUMMYFUNCTION("GOOGLETRANSLATE(D:D,""auto"",""en"")"),"Of the total cases were cured broken million")</f>
        <v>Of the total cases were cured broken million</v>
      </c>
      <c r="D4837" s="5" t="s">
        <v>11008</v>
      </c>
      <c r="E4837" s="4">
        <v>132000</v>
      </c>
    </row>
    <row r="4838" spans="1:6" ht="13.5" hidden="1" customHeight="1">
      <c r="C4838" s="4" t="str">
        <f ca="1">IFERROR(__xludf.DUMMYFUNCTION("GOOGLETRANSLATE(D:D,""auto"",""en"")"),"#VALUE!")</f>
        <v>#VALUE!</v>
      </c>
    </row>
    <row r="4839" spans="1:6" ht="13.5" customHeight="1">
      <c r="A4839" s="4" t="s">
        <v>11009</v>
      </c>
      <c r="B4839" s="4" t="s">
        <v>11010</v>
      </c>
      <c r="C4839" s="4" t="str">
        <f ca="1">IFERROR(__xludf.DUMMYFUNCTION("GOOGLETRANSLATE(D:D,""auto"",""en"")"),"Wuhan to build 10 shelters hospital")</f>
        <v>Wuhan to build 10 shelters hospital</v>
      </c>
      <c r="D4839" s="4" t="s">
        <v>11011</v>
      </c>
      <c r="E4839" s="4">
        <v>2450153</v>
      </c>
      <c r="F4839">
        <v>1</v>
      </c>
    </row>
    <row r="4840" spans="1:6" ht="13.5" customHeight="1">
      <c r="A4840" s="4" t="s">
        <v>11012</v>
      </c>
      <c r="B4840" s="4" t="s">
        <v>11013</v>
      </c>
      <c r="C4840" s="4" t="str">
        <f ca="1">IFERROR(__xludf.DUMMYFUNCTION("GOOGLETRANSLATE(D:D,""auto"",""en"")"),"The new crown pneumonia infection because of the public should be assessed as a martyr who died")</f>
        <v>The new crown pneumonia infection because of the public should be assessed as a martyr who died</v>
      </c>
      <c r="D4840" s="5" t="s">
        <v>11014</v>
      </c>
      <c r="E4840" s="4">
        <v>1980342</v>
      </c>
      <c r="F4840">
        <v>1</v>
      </c>
    </row>
    <row r="4841" spans="1:6" ht="13.5" customHeight="1">
      <c r="A4841" s="4" t="s">
        <v>11015</v>
      </c>
      <c r="B4841" s="4" t="s">
        <v>11016</v>
      </c>
      <c r="C4841" s="4" t="str">
        <f ca="1">IFERROR(__xludf.DUMMYFUNCTION("GOOGLETRANSLATE(D:D,""auto"",""en"")"),"Hubei's first confirmed cases to be cleared")</f>
        <v>Hubei's first confirmed cases to be cleared</v>
      </c>
      <c r="D4841" s="5" t="s">
        <v>11017</v>
      </c>
      <c r="E4841" s="4">
        <v>1848113</v>
      </c>
      <c r="F4841">
        <v>1</v>
      </c>
    </row>
    <row r="4842" spans="1:6" ht="13.5" hidden="1" customHeight="1">
      <c r="A4842" s="4" t="s">
        <v>11018</v>
      </c>
      <c r="B4842" s="4" t="s">
        <v>11019</v>
      </c>
      <c r="C4842" s="4" t="str">
        <f ca="1">IFERROR(__xludf.DUMMYFUNCTION("GOOGLETRANSLATE(D:D,""auto"",""en"")"),"It stars to marry Song Yuan")</f>
        <v>It stars to marry Song Yuan</v>
      </c>
      <c r="D4842" s="5" t="s">
        <v>11020</v>
      </c>
      <c r="E4842" s="4">
        <v>1837983</v>
      </c>
    </row>
    <row r="4843" spans="1:6" ht="13.5" hidden="1" customHeight="1">
      <c r="A4843" s="4" t="s">
        <v>11021</v>
      </c>
      <c r="B4843" s="4" t="s">
        <v>11022</v>
      </c>
      <c r="C4843" s="4" t="str">
        <f ca="1">IFERROR(__xludf.DUMMYFUNCTION("GOOGLETRANSLATE(D:D,""auto"",""en"")"),"Tie Lin is mad")</f>
        <v>Tie Lin is mad</v>
      </c>
      <c r="D4843" s="5" t="s">
        <v>11023</v>
      </c>
      <c r="E4843" s="4">
        <v>1449559</v>
      </c>
    </row>
    <row r="4844" spans="1:6" ht="13.5" hidden="1" customHeight="1">
      <c r="A4844" s="4" t="s">
        <v>11024</v>
      </c>
      <c r="B4844" s="4" t="s">
        <v>11025</v>
      </c>
      <c r="C4844" s="4" t="str">
        <f ca="1">IFERROR(__xludf.DUMMYFUNCTION("GOOGLETRANSLATE(D:D,""auto"",""en"")"),"Huanggang City choking thanks Hunan teams")</f>
        <v>Huanggang City choking thanks Hunan teams</v>
      </c>
      <c r="D4844" s="5" t="s">
        <v>11026</v>
      </c>
      <c r="E4844" s="4">
        <v>1025414</v>
      </c>
    </row>
    <row r="4845" spans="1:6" ht="13.5" customHeight="1">
      <c r="A4845" s="4" t="s">
        <v>11027</v>
      </c>
      <c r="B4845" s="4" t="s">
        <v>11028</v>
      </c>
      <c r="C4845" s="4" t="str">
        <f ca="1">IFERROR(__xludf.DUMMYFUNCTION("GOOGLETRANSLATE(D:D,""auto"",""en"")"),"Over three thousand new medical crown virus infection")</f>
        <v>Over three thousand new medical crown virus infection</v>
      </c>
      <c r="D4845" s="5" t="s">
        <v>11029</v>
      </c>
      <c r="E4845" s="4">
        <v>935886</v>
      </c>
      <c r="F4845">
        <v>1</v>
      </c>
    </row>
    <row r="4846" spans="1:6" ht="13.5" hidden="1" customHeight="1">
      <c r="A4846" s="4" t="s">
        <v>11030</v>
      </c>
      <c r="B4846" s="4" t="s">
        <v>11031</v>
      </c>
      <c r="C4846" s="4" t="str">
        <f ca="1">IFERROR(__xludf.DUMMYFUNCTION("GOOGLETRANSLATE(D:D,""auto"",""en"")"),"Forensic Heroes 4")</f>
        <v>Forensic Heroes 4</v>
      </c>
      <c r="D4846" s="5" t="s">
        <v>11032</v>
      </c>
      <c r="E4846" s="4">
        <v>919948</v>
      </c>
    </row>
    <row r="4847" spans="1:6" ht="13.5" hidden="1" customHeight="1">
      <c r="A4847" s="4" t="s">
        <v>11033</v>
      </c>
      <c r="B4847" s="4" t="s">
        <v>11034</v>
      </c>
      <c r="C4847" s="4" t="str">
        <f ca="1">IFERROR(__xludf.DUMMYFUNCTION("GOOGLETRANSLATE(D:D,""auto"",""en"")"),"Whisk homemade")</f>
        <v>Whisk homemade</v>
      </c>
      <c r="D4847" s="5" t="s">
        <v>11035</v>
      </c>
      <c r="E4847" s="4">
        <v>799311</v>
      </c>
    </row>
    <row r="4848" spans="1:6" ht="13.5" hidden="1" customHeight="1">
      <c r="A4848" s="4" t="s">
        <v>6108</v>
      </c>
      <c r="B4848" s="4" t="s">
        <v>6109</v>
      </c>
      <c r="C4848" s="4" t="str">
        <f ca="1">IFERROR(__xludf.DUMMYFUNCTION("GOOGLETRANSLATE(D:D,""auto"",""en"")"),"The next stop is happy")</f>
        <v>The next stop is happy</v>
      </c>
      <c r="D4848" s="5" t="s">
        <v>6110</v>
      </c>
      <c r="E4848" s="4">
        <v>750923</v>
      </c>
    </row>
    <row r="4849" spans="1:6" ht="13.5" hidden="1" customHeight="1">
      <c r="A4849" s="4" t="s">
        <v>11027</v>
      </c>
      <c r="B4849" s="4" t="s">
        <v>11036</v>
      </c>
      <c r="C4849" s="4" t="str">
        <f ca="1">IFERROR(__xludf.DUMMYFUNCTION("GOOGLETRANSLATE(D:D,""auto"",""en"")"),"You want to see young people agree")</f>
        <v>You want to see young people agree</v>
      </c>
      <c r="D4849" s="5" t="s">
        <v>11037</v>
      </c>
      <c r="E4849" s="4">
        <v>625141</v>
      </c>
    </row>
    <row r="4850" spans="1:6" ht="13.5" customHeight="1">
      <c r="A4850" s="4" t="s">
        <v>11038</v>
      </c>
      <c r="B4850" s="4" t="s">
        <v>10921</v>
      </c>
      <c r="C4850" s="4" t="str">
        <f ca="1">IFERROR(__xludf.DUMMYFUNCTION("GOOGLETRANSLATE(D:D,""auto"",""en"")"),"Huang Zhibo been arrested on suspicion of fraud masks")</f>
        <v>Huang Zhibo been arrested on suspicion of fraud masks</v>
      </c>
      <c r="D4850" s="5" t="s">
        <v>11039</v>
      </c>
      <c r="E4850" s="4">
        <v>624934</v>
      </c>
      <c r="F4850">
        <v>1</v>
      </c>
    </row>
    <row r="4851" spans="1:6" ht="13.5" customHeight="1">
      <c r="A4851" s="4" t="s">
        <v>11040</v>
      </c>
      <c r="B4851" s="4" t="s">
        <v>11041</v>
      </c>
      <c r="C4851" s="4" t="str">
        <f ca="1">IFERROR(__xludf.DUMMYFUNCTION("GOOGLETRANSLATE(D:D,""auto"",""en"")"),"February tax declaration deadline is extended to February 28")</f>
        <v>February tax declaration deadline is extended to February 28</v>
      </c>
      <c r="D4851" s="5" t="s">
        <v>11042</v>
      </c>
      <c r="E4851" s="4">
        <v>623235</v>
      </c>
      <c r="F4851">
        <v>1</v>
      </c>
    </row>
    <row r="4852" spans="1:6" ht="13.5" customHeight="1">
      <c r="A4852" s="4" t="s">
        <v>11043</v>
      </c>
      <c r="B4852" s="4" t="s">
        <v>11044</v>
      </c>
      <c r="C4852" s="4" t="str">
        <f ca="1">IFERROR(__xludf.DUMMYFUNCTION("GOOGLETRANSLATE(D:D,""auto"",""en"")"),"Wuhan Institute of Virology Chen Jiao full statement")</f>
        <v>Wuhan Institute of Virology Chen Jiao full statement</v>
      </c>
      <c r="D4852" s="5" t="s">
        <v>11045</v>
      </c>
      <c r="E4852" s="4">
        <v>621214</v>
      </c>
      <c r="F4852">
        <v>1</v>
      </c>
    </row>
    <row r="4853" spans="1:6" ht="13.5" customHeight="1">
      <c r="A4853" s="4" t="s">
        <v>11046</v>
      </c>
      <c r="B4853" s="4" t="s">
        <v>11047</v>
      </c>
      <c r="C4853" s="4" t="str">
        <f ca="1">IFERROR(__xludf.DUMMYFUNCTION("GOOGLETRANSLATE(D:D,""auto"",""en"")"),"All e-mail sent to Beijing's Hubei spray disinfection")</f>
        <v>All e-mail sent to Beijing's Hubei spray disinfection</v>
      </c>
      <c r="D4853" s="5" t="s">
        <v>11048</v>
      </c>
      <c r="E4853" s="4">
        <v>619800</v>
      </c>
      <c r="F4853">
        <v>1</v>
      </c>
    </row>
    <row r="4854" spans="1:6" ht="13.5" hidden="1" customHeight="1">
      <c r="A4854" s="4" t="s">
        <v>11049</v>
      </c>
      <c r="B4854" s="4" t="s">
        <v>11050</v>
      </c>
      <c r="C4854" s="4" t="str">
        <f ca="1">IFERROR(__xludf.DUMMYFUNCTION("GOOGLETRANSLATE(D:D,""auto"",""en"")"),"Ask for help dumplings")</f>
        <v>Ask for help dumplings</v>
      </c>
      <c r="D4854" s="5" t="s">
        <v>11051</v>
      </c>
      <c r="E4854" s="4">
        <v>618790</v>
      </c>
    </row>
    <row r="4855" spans="1:6" ht="13.5" customHeight="1">
      <c r="A4855" s="4" t="s">
        <v>11052</v>
      </c>
      <c r="B4855" s="4" t="s">
        <v>11053</v>
      </c>
      <c r="C4855" s="4" t="str">
        <f ca="1">IFERROR(__xludf.DUMMYFUNCTION("GOOGLETRANSLATE(D:D,""auto"",""en"")"),"Quadruplets named homophonic Neonatal Contagion")</f>
        <v>Quadruplets named homophonic Neonatal Contagion</v>
      </c>
      <c r="D4855" s="5" t="s">
        <v>11054</v>
      </c>
      <c r="E4855" s="4">
        <v>616500</v>
      </c>
      <c r="F4855">
        <v>1</v>
      </c>
    </row>
    <row r="4856" spans="1:6" ht="13.5" hidden="1" customHeight="1">
      <c r="A4856" s="4" t="s">
        <v>11055</v>
      </c>
      <c r="B4856" s="4" t="s">
        <v>11056</v>
      </c>
      <c r="C4856" s="4" t="str">
        <f ca="1">IFERROR(__xludf.DUMMYFUNCTION("GOOGLETRANSLATE(D:D,""auto"",""en"")"),"Hu Bing 50 years old")</f>
        <v>Hu Bing 50 years old</v>
      </c>
      <c r="D4856" s="5" t="s">
        <v>11057</v>
      </c>
      <c r="E4856" s="4">
        <v>614951</v>
      </c>
    </row>
    <row r="4857" spans="1:6" ht="13.5" hidden="1" customHeight="1">
      <c r="A4857" s="4" t="s">
        <v>11058</v>
      </c>
      <c r="B4857" s="4" t="s">
        <v>11059</v>
      </c>
      <c r="C4857" s="4" t="str">
        <f ca="1">IFERROR(__xludf.DUMMYFUNCTION("GOOGLETRANSLATE(D:D,""auto"",""en"")"),"He Canyang against the stars Song and Yuan together")</f>
        <v>He Canyang against the stars Song and Yuan together</v>
      </c>
      <c r="D4857" s="5" t="s">
        <v>11060</v>
      </c>
      <c r="E4857" s="4">
        <v>614087</v>
      </c>
    </row>
    <row r="4858" spans="1:6" ht="13.5" hidden="1" customHeight="1">
      <c r="A4858" s="4" t="s">
        <v>11061</v>
      </c>
      <c r="B4858" s="4" t="s">
        <v>11062</v>
      </c>
      <c r="C4858" s="4" t="str">
        <f ca="1">IFERROR(__xludf.DUMMYFUNCTION("GOOGLETRANSLATE(D:D,""auto"",""en"")"),"India's current plague of locusts has been completed")</f>
        <v>India's current plague of locusts has been completed</v>
      </c>
      <c r="D4858" s="5" t="s">
        <v>11063</v>
      </c>
      <c r="E4858" s="4">
        <v>613014</v>
      </c>
    </row>
    <row r="4859" spans="1:6" ht="13.5" hidden="1" customHeight="1">
      <c r="A4859" s="4" t="s">
        <v>11064</v>
      </c>
      <c r="B4859" s="4" t="s">
        <v>10960</v>
      </c>
      <c r="C4859" s="4" t="str">
        <f ca="1">IFERROR(__xludf.DUMMYFUNCTION("GOOGLETRANSLATE(D:D,""auto"",""en"")"),"Fairy-tale world is no longer willing rapper")</f>
        <v>Fairy-tale world is no longer willing rapper</v>
      </c>
      <c r="D4859" s="5" t="s">
        <v>11065</v>
      </c>
      <c r="E4859" s="4">
        <v>611132</v>
      </c>
    </row>
    <row r="4860" spans="1:6" ht="13.5" hidden="1" customHeight="1">
      <c r="A4860" s="4" t="s">
        <v>11066</v>
      </c>
      <c r="B4860" s="4" t="s">
        <v>11067</v>
      </c>
      <c r="C4860" s="4" t="str">
        <f ca="1">IFERROR(__xludf.DUMMYFUNCTION("GOOGLETRANSLATE(D:D,""auto"",""en"")"),"Let the girls are the envy of the body")</f>
        <v>Let the girls are the envy of the body</v>
      </c>
      <c r="D4860" s="5" t="s">
        <v>11068</v>
      </c>
      <c r="E4860" s="4">
        <v>610028</v>
      </c>
    </row>
    <row r="4861" spans="1:6" ht="13.5" hidden="1" customHeight="1">
      <c r="A4861" s="4" t="s">
        <v>11069</v>
      </c>
      <c r="B4861" s="4" t="s">
        <v>11070</v>
      </c>
      <c r="C4861" s="4" t="str">
        <f ca="1">IFERROR(__xludf.DUMMYFUNCTION("GOOGLETRANSLATE(D:D,""auto"",""en"")"),"Myopia daily")</f>
        <v>Myopia daily</v>
      </c>
      <c r="D4861" s="5" t="s">
        <v>11071</v>
      </c>
      <c r="E4861" s="4">
        <v>541277</v>
      </c>
    </row>
    <row r="4862" spans="1:6" ht="13.5" hidden="1" customHeight="1">
      <c r="A4862" s="4" t="s">
        <v>11072</v>
      </c>
      <c r="B4862" s="4" t="s">
        <v>11073</v>
      </c>
      <c r="C4862" s="4" t="str">
        <f ca="1">IFERROR(__xludf.DUMMYFUNCTION("GOOGLETRANSLATE(D:D,""auto"",""en"")"),"Japan Hadakasai")</f>
        <v>Japan Hadakasai</v>
      </c>
      <c r="D4862" s="5" t="s">
        <v>11074</v>
      </c>
      <c r="E4862" s="4">
        <v>466944</v>
      </c>
    </row>
    <row r="4863" spans="1:6" ht="13.5" hidden="1" customHeight="1">
      <c r="A4863" s="4" t="s">
        <v>11075</v>
      </c>
      <c r="B4863" s="4" t="s">
        <v>11076</v>
      </c>
      <c r="C4863" s="4" t="str">
        <f ca="1">IFERROR(__xludf.DUMMYFUNCTION("GOOGLETRANSLATE(D:D,""auto"",""en"")"),"Rate cut")</f>
        <v>Rate cut</v>
      </c>
      <c r="D4863" s="5" t="s">
        <v>11077</v>
      </c>
      <c r="E4863" s="4">
        <v>430222</v>
      </c>
    </row>
    <row r="4864" spans="1:6" ht="13.5" hidden="1" customHeight="1">
      <c r="A4864" s="4" t="s">
        <v>11078</v>
      </c>
      <c r="B4864" s="4" t="s">
        <v>11079</v>
      </c>
      <c r="C4864" s="4" t="str">
        <f ca="1">IFERROR(__xludf.DUMMYFUNCTION("GOOGLETRANSLATE(D:D,""auto"",""en"")"),"Hyun Bin filter under beauty")</f>
        <v>Hyun Bin filter under beauty</v>
      </c>
      <c r="D4864" s="5" t="s">
        <v>11080</v>
      </c>
      <c r="E4864" s="4">
        <v>424511</v>
      </c>
    </row>
    <row r="4865" spans="1:6" ht="13.5" hidden="1" customHeight="1">
      <c r="A4865" s="4" t="s">
        <v>11081</v>
      </c>
      <c r="B4865" s="4" t="s">
        <v>11062</v>
      </c>
      <c r="C4865" s="4" t="str">
        <f ca="1">IFERROR(__xludf.DUMMYFUNCTION("GOOGLETRANSLATE(D:D,""auto"",""en"")"),"He broke up the stars Ye Luming")</f>
        <v>He broke up the stars Ye Luming</v>
      </c>
      <c r="D4865" s="5" t="s">
        <v>11082</v>
      </c>
      <c r="E4865" s="4">
        <v>421537</v>
      </c>
    </row>
    <row r="4866" spans="1:6" ht="13.5" hidden="1" customHeight="1">
      <c r="A4866" s="4" t="s">
        <v>11083</v>
      </c>
      <c r="B4866" s="4" t="s">
        <v>11084</v>
      </c>
      <c r="C4866" s="4" t="str">
        <f ca="1">IFERROR(__xludf.DUMMYFUNCTION("GOOGLETRANSLATE(D:D,""auto"",""en"")"),"Gary Jiang son of musical talent")</f>
        <v>Gary Jiang son of musical talent</v>
      </c>
      <c r="D4866" s="5" t="s">
        <v>11085</v>
      </c>
      <c r="E4866" s="4">
        <v>407168</v>
      </c>
    </row>
    <row r="4867" spans="1:6" ht="13.5" customHeight="1">
      <c r="A4867" s="4" t="s">
        <v>11086</v>
      </c>
      <c r="B4867" s="4" t="s">
        <v>11087</v>
      </c>
      <c r="C4867" s="4" t="str">
        <f ca="1">IFERROR(__xludf.DUMMYFUNCTION("GOOGLETRANSLATE(D:D,""auto"",""en"")"),"The number of diagnosed patients in Japan exceeded 500 people")</f>
        <v>The number of diagnosed patients in Japan exceeded 500 people</v>
      </c>
      <c r="D4867" s="5" t="s">
        <v>11088</v>
      </c>
      <c r="E4867" s="4">
        <v>395698</v>
      </c>
      <c r="F4867">
        <v>1</v>
      </c>
    </row>
    <row r="4868" spans="1:6" ht="13.5" hidden="1" customHeight="1">
      <c r="A4868" s="4" t="s">
        <v>11089</v>
      </c>
      <c r="B4868" s="4" t="s">
        <v>11090</v>
      </c>
      <c r="C4868" s="4" t="str">
        <f ca="1">IFERROR(__xludf.DUMMYFUNCTION("GOOGLETRANSLATE(D:D,""auto"",""en"")"),"Chinese locust army out of chicken")</f>
        <v>Chinese locust army out of chicken</v>
      </c>
      <c r="D4868" s="5" t="s">
        <v>11091</v>
      </c>
      <c r="E4868" s="4">
        <v>394142</v>
      </c>
    </row>
    <row r="4869" spans="1:6" ht="13.5" hidden="1" customHeight="1">
      <c r="A4869" s="4" t="s">
        <v>11092</v>
      </c>
      <c r="B4869" s="4" t="s">
        <v>11093</v>
      </c>
      <c r="C4869" s="4" t="str">
        <f ca="1">IFERROR(__xludf.DUMMYFUNCTION("GOOGLETRANSLATE(D:D,""auto"",""en"")"),"Lottery sales fell for 11 consecutive months")</f>
        <v>Lottery sales fell for 11 consecutive months</v>
      </c>
      <c r="D4869" s="5" t="s">
        <v>11094</v>
      </c>
      <c r="E4869" s="4">
        <v>384087</v>
      </c>
    </row>
    <row r="4870" spans="1:6" ht="13.5" hidden="1" customHeight="1">
      <c r="A4870" s="4" t="s">
        <v>11095</v>
      </c>
      <c r="B4870" s="4" t="s">
        <v>10966</v>
      </c>
      <c r="C4870" s="4" t="str">
        <f ca="1">IFERROR(__xludf.DUMMYFUNCTION("GOOGLETRANSLATE(D:D,""auto"",""en"")"),"There are multiple comparisons boys heart")</f>
        <v>There are multiple comparisons boys heart</v>
      </c>
      <c r="D4870" s="5" t="s">
        <v>11096</v>
      </c>
      <c r="E4870" s="4">
        <v>366642</v>
      </c>
    </row>
    <row r="4871" spans="1:6" ht="13.5" hidden="1" customHeight="1">
      <c r="A4871" s="4" t="s">
        <v>11097</v>
      </c>
      <c r="B4871" s="4" t="s">
        <v>10788</v>
      </c>
      <c r="C4871" s="4" t="str">
        <f ca="1">IFERROR(__xludf.DUMMYFUNCTION("GOOGLETRANSLATE(D:D,""auto"",""en"")"),"The draft decision to postpone the Third Session of the Thirteenth National People's Congress")</f>
        <v>The draft decision to postpone the Third Session of the Thirteenth National People's Congress</v>
      </c>
      <c r="D4871" s="5" t="s">
        <v>11098</v>
      </c>
      <c r="E4871" s="4">
        <v>366153</v>
      </c>
    </row>
    <row r="4872" spans="1:6" ht="13.5" hidden="1" customHeight="1">
      <c r="A4872" s="4" t="s">
        <v>11099</v>
      </c>
      <c r="B4872" s="4" t="s">
        <v>11100</v>
      </c>
      <c r="C4872" s="4" t="str">
        <f ca="1">IFERROR(__xludf.DUMMYFUNCTION("GOOGLETRANSLATE(D:D,""auto"",""en"")"),"The Japanese government called for telecommuting wrong peak attendance")</f>
        <v>The Japanese government called for telecommuting wrong peak attendance</v>
      </c>
      <c r="D4872" s="5" t="s">
        <v>11101</v>
      </c>
      <c r="E4872" s="4">
        <v>366142</v>
      </c>
    </row>
    <row r="4873" spans="1:6" ht="13.5" customHeight="1">
      <c r="A4873" s="4" t="s">
        <v>11102</v>
      </c>
      <c r="B4873" s="4" t="s">
        <v>11103</v>
      </c>
      <c r="C4873" s="4" t="str">
        <f ca="1">IFERROR(__xludf.DUMMYFUNCTION("GOOGLETRANSLATE(D:D,""auto"",""en"")"),"Wuhan send condolences to Kim diagnosed medical staff")</f>
        <v>Wuhan send condolences to Kim diagnosed medical staff</v>
      </c>
      <c r="D4873" s="5" t="s">
        <v>11104</v>
      </c>
      <c r="E4873" s="4">
        <v>366138</v>
      </c>
      <c r="F4873">
        <v>1</v>
      </c>
    </row>
    <row r="4874" spans="1:6" ht="13.5" customHeight="1">
      <c r="A4874" s="4" t="s">
        <v>11105</v>
      </c>
      <c r="B4874" s="4" t="s">
        <v>11106</v>
      </c>
      <c r="C4874" s="4" t="str">
        <f ca="1">IFERROR(__xludf.DUMMYFUNCTION("GOOGLETRANSLATE(D:D,""auto"",""en"")"),"Ethiopia and more cholera outbreak")</f>
        <v>Ethiopia and more cholera outbreak</v>
      </c>
      <c r="D4874" s="5" t="s">
        <v>11107</v>
      </c>
      <c r="E4874" s="4">
        <v>355092</v>
      </c>
      <c r="F4874">
        <v>1</v>
      </c>
    </row>
    <row r="4875" spans="1:6" ht="13.5" customHeight="1">
      <c r="A4875" s="4" t="s">
        <v>11108</v>
      </c>
      <c r="B4875" s="4" t="s">
        <v>11019</v>
      </c>
      <c r="C4875" s="4" t="str">
        <f ca="1">IFERROR(__xludf.DUMMYFUNCTION("GOOGLETRANSLATE(D:D,""auto"",""en"")"),"Poor college grants class network traffic charges")</f>
        <v>Poor college grants class network traffic charges</v>
      </c>
      <c r="D4875" s="5" t="s">
        <v>11109</v>
      </c>
      <c r="E4875" s="4">
        <v>348015</v>
      </c>
      <c r="F4875">
        <v>1</v>
      </c>
    </row>
    <row r="4876" spans="1:6" ht="13.5" customHeight="1">
      <c r="A4876" s="4" t="s">
        <v>11110</v>
      </c>
      <c r="B4876" s="4" t="s">
        <v>11111</v>
      </c>
      <c r="C4876" s="4" t="str">
        <f ca="1">IFERROR(__xludf.DUMMYFUNCTION("GOOGLETRANSLATE(D:D,""auto"",""en"")"),"Wuhan delivery reception point set noncontact")</f>
        <v>Wuhan delivery reception point set noncontact</v>
      </c>
      <c r="D4876" s="5" t="s">
        <v>11112</v>
      </c>
      <c r="E4876" s="4">
        <v>295424</v>
      </c>
      <c r="F4876">
        <v>1</v>
      </c>
    </row>
    <row r="4877" spans="1:6" ht="13.5" hidden="1" customHeight="1">
      <c r="A4877" s="4" t="s">
        <v>11113</v>
      </c>
      <c r="B4877" s="4" t="s">
        <v>11114</v>
      </c>
      <c r="C4877" s="4" t="str">
        <f ca="1">IFERROR(__xludf.DUMMYFUNCTION("GOOGLETRANSLATE(D:D,""auto"",""en"")"),"Qingyu in Hong Kong version of the trailer")</f>
        <v>Qingyu in Hong Kong version of the trailer</v>
      </c>
      <c r="D4877" s="5" t="s">
        <v>11115</v>
      </c>
      <c r="E4877" s="4">
        <v>281604</v>
      </c>
    </row>
    <row r="4878" spans="1:6" ht="13.5" customHeight="1">
      <c r="A4878" s="4" t="s">
        <v>11116</v>
      </c>
      <c r="B4878" s="4" t="s">
        <v>11117</v>
      </c>
      <c r="C4878" s="4" t="str">
        <f ca="1">IFERROR(__xludf.DUMMYFUNCTION("GOOGLETRANSLATE(D:D,""auto"",""en"")"),"Hong Kong 3 men armed with knives robbed a supermarket 600 rolls of toilet paper")</f>
        <v>Hong Kong 3 men armed with knives robbed a supermarket 600 rolls of toilet paper</v>
      </c>
      <c r="D4878" s="5" t="s">
        <v>11118</v>
      </c>
      <c r="E4878" s="4">
        <v>266023</v>
      </c>
      <c r="F4878">
        <v>1</v>
      </c>
    </row>
    <row r="4879" spans="1:6" ht="13.5" customHeight="1">
      <c r="A4879" s="4" t="s">
        <v>11119</v>
      </c>
      <c r="B4879" s="4" t="s">
        <v>11120</v>
      </c>
      <c r="C4879" s="4" t="str">
        <f ca="1">IFERROR(__xludf.DUMMYFUNCTION("GOOGLETRANSLATE(D:D,""auto"",""en"")"),"Wuhan citizens bathtub fish")</f>
        <v>Wuhan citizens bathtub fish</v>
      </c>
      <c r="D4879" s="5" t="s">
        <v>11121</v>
      </c>
      <c r="E4879" s="4">
        <v>254502</v>
      </c>
      <c r="F4879">
        <v>1</v>
      </c>
    </row>
    <row r="4880" spans="1:6" ht="13.5" hidden="1" customHeight="1">
      <c r="A4880" s="4" t="s">
        <v>11122</v>
      </c>
      <c r="B4880" s="4" t="s">
        <v>11123</v>
      </c>
      <c r="C4880" s="4" t="str">
        <f ca="1">IFERROR(__xludf.DUMMYFUNCTION("GOOGLETRANSLATE(D:D,""auto"",""en"")"),"Gimhae offline")</f>
        <v>Gimhae offline</v>
      </c>
      <c r="D4880" s="5" t="s">
        <v>11124</v>
      </c>
      <c r="E4880" s="4">
        <v>254337</v>
      </c>
    </row>
    <row r="4881" spans="1:6" ht="13.5" hidden="1" customHeight="1">
      <c r="A4881" s="4" t="s">
        <v>11125</v>
      </c>
      <c r="B4881" s="4" t="s">
        <v>11126</v>
      </c>
      <c r="C4881" s="4" t="str">
        <f ca="1">IFERROR(__xludf.DUMMYFUNCTION("GOOGLETRANSLATE(D:D,""auto"",""en"")"),"Xu Tian Tian Dan confession")</f>
        <v>Xu Tian Tian Dan confession</v>
      </c>
      <c r="D4881" s="5" t="s">
        <v>11127</v>
      </c>
      <c r="E4881" s="4">
        <v>245108</v>
      </c>
    </row>
    <row r="4882" spans="1:6" ht="13.5" customHeight="1">
      <c r="A4882" s="4" t="s">
        <v>11128</v>
      </c>
      <c r="B4882" s="4" t="s">
        <v>11129</v>
      </c>
      <c r="C4882" s="4" t="str">
        <f ca="1">IFERROR(__xludf.DUMMYFUNCTION("GOOGLETRANSLATE(D:D,""auto"",""en"")"),"Face ID can unlock masks")</f>
        <v>Face ID can unlock masks</v>
      </c>
      <c r="D4882" s="5" t="s">
        <v>11130</v>
      </c>
      <c r="E4882" s="4">
        <v>232716</v>
      </c>
      <c r="F4882">
        <v>1</v>
      </c>
    </row>
    <row r="4883" spans="1:6" ht="13.5" hidden="1" customHeight="1">
      <c r="A4883" s="4" t="s">
        <v>11131</v>
      </c>
      <c r="B4883" s="4" t="s">
        <v>11132</v>
      </c>
      <c r="C4883" s="4" t="str">
        <f ca="1">IFERROR(__xludf.DUMMYFUNCTION("GOOGLETRANSLATE(D:D,""auto"",""en"")"),"The first experience making a cake")</f>
        <v>The first experience making a cake</v>
      </c>
      <c r="D4883" s="5" t="s">
        <v>11133</v>
      </c>
      <c r="E4883" s="4">
        <v>230738</v>
      </c>
    </row>
    <row r="4884" spans="1:6" ht="13.5" hidden="1" customHeight="1">
      <c r="A4884" s="4" t="s">
        <v>11134</v>
      </c>
      <c r="B4884" s="4" t="s">
        <v>11036</v>
      </c>
      <c r="C4884" s="4" t="str">
        <f ca="1">IFERROR(__xludf.DUMMYFUNCTION("GOOGLETRANSLATE(D:D,""auto"",""en"")"),"Rumors researcher real name account from abroad")</f>
        <v>Rumors researcher real name account from abroad</v>
      </c>
      <c r="D4884" s="5" t="s">
        <v>11135</v>
      </c>
      <c r="E4884" s="4">
        <v>217478</v>
      </c>
    </row>
    <row r="4885" spans="1:6" ht="13.5" customHeight="1">
      <c r="A4885" s="4" t="s">
        <v>11136</v>
      </c>
      <c r="B4885" s="4" t="s">
        <v>10956</v>
      </c>
      <c r="C4885" s="4" t="str">
        <f ca="1">IFERROR(__xludf.DUMMYFUNCTION("GOOGLETRANSLATE(D:D,""auto"",""en"")"),"Taiwan compatriots on the mainland confirmed all cured")</f>
        <v>Taiwan compatriots on the mainland confirmed all cured</v>
      </c>
      <c r="D4885" s="5" t="s">
        <v>11137</v>
      </c>
      <c r="E4885" s="4">
        <v>193087</v>
      </c>
      <c r="F4885">
        <v>1</v>
      </c>
    </row>
    <row r="4886" spans="1:6" ht="13.5" customHeight="1">
      <c r="A4886" s="4" t="s">
        <v>11138</v>
      </c>
      <c r="B4886" s="4" t="s">
        <v>11139</v>
      </c>
      <c r="C4886" s="4" t="str">
        <f ca="1">IFERROR(__xludf.DUMMYFUNCTION("GOOGLETRANSLATE(D:D,""auto"",""en"")"),"Zhejiang epidemic prevention work with a cadres are not checked")</f>
        <v>Zhejiang epidemic prevention work with a cadres are not checked</v>
      </c>
      <c r="D4886" s="5" t="s">
        <v>11140</v>
      </c>
      <c r="E4886" s="4">
        <v>176053</v>
      </c>
      <c r="F4886">
        <v>1</v>
      </c>
    </row>
    <row r="4887" spans="1:6" ht="13.5" hidden="1" customHeight="1">
      <c r="A4887" s="4" t="s">
        <v>11141</v>
      </c>
      <c r="B4887" s="4" t="s">
        <v>11142</v>
      </c>
      <c r="C4887" s="4" t="str">
        <f ca="1">IFERROR(__xludf.DUMMYFUNCTION("GOOGLETRANSLATE(D:D,""auto"",""en"")"),"The thief was caught pretending to cough jingfangxingju")</f>
        <v>The thief was caught pretending to cough jingfangxingju</v>
      </c>
      <c r="D4887" s="5" t="s">
        <v>11143</v>
      </c>
      <c r="E4887" s="4">
        <v>173739</v>
      </c>
    </row>
    <row r="4888" spans="1:6" ht="13.5" hidden="1" customHeight="1">
      <c r="A4888" s="4" t="s">
        <v>11134</v>
      </c>
      <c r="B4888" s="4" t="s">
        <v>11059</v>
      </c>
      <c r="C4888" s="4" t="str">
        <f ca="1">IFERROR(__xludf.DUMMYFUNCTION("GOOGLETRANSLATE(D:D,""auto"",""en"")"),"Let the children how hard it back poetry")</f>
        <v>Let the children how hard it back poetry</v>
      </c>
      <c r="D4888" s="5" t="s">
        <v>11144</v>
      </c>
      <c r="E4888" s="4">
        <v>141329</v>
      </c>
    </row>
    <row r="4889" spans="1:6" ht="13.5" hidden="1" customHeight="1">
      <c r="C4889" s="4" t="str">
        <f ca="1">IFERROR(__xludf.DUMMYFUNCTION("GOOGLETRANSLATE(D:D,""auto"",""en"")"),"#VALUE!")</f>
        <v>#VALUE!</v>
      </c>
    </row>
    <row r="4890" spans="1:6" ht="13.5" customHeight="1">
      <c r="A4890" s="4" t="s">
        <v>11145</v>
      </c>
      <c r="B4890" s="4" t="s">
        <v>9240</v>
      </c>
      <c r="C4890" s="4" t="str">
        <f ca="1">IFERROR(__xludf.DUMMYFUNCTION("GOOGLETRANSLATE(D:D,""auto"",""en"")"),"Zhong Nanshan talk about the new crown pneumonia epidemic peak")</f>
        <v>Zhong Nanshan talk about the new crown pneumonia epidemic peak</v>
      </c>
      <c r="D4890" s="4" t="s">
        <v>11146</v>
      </c>
      <c r="E4890" s="4">
        <v>2811882</v>
      </c>
      <c r="F4890">
        <v>1</v>
      </c>
    </row>
    <row r="4891" spans="1:6" ht="13.5" customHeight="1">
      <c r="A4891" s="4" t="s">
        <v>11147</v>
      </c>
      <c r="B4891" s="4" t="s">
        <v>11148</v>
      </c>
      <c r="C4891" s="4" t="str">
        <f ca="1">IFERROR(__xludf.DUMMYFUNCTION("GOOGLETRANSLATE(D:D,""auto"",""en"")"),"Beijing customized bus to return to work individual units")</f>
        <v>Beijing customized bus to return to work individual units</v>
      </c>
      <c r="D4891" s="5" t="s">
        <v>11149</v>
      </c>
      <c r="E4891" s="4">
        <v>1556752</v>
      </c>
      <c r="F4891">
        <v>1</v>
      </c>
    </row>
    <row r="4892" spans="1:6" ht="13.5" customHeight="1">
      <c r="A4892" s="4" t="s">
        <v>11150</v>
      </c>
      <c r="B4892" s="4" t="s">
        <v>11151</v>
      </c>
      <c r="C4892" s="4" t="str">
        <f ca="1">IFERROR(__xludf.DUMMYFUNCTION("GOOGLETRANSLATE(D:D,""auto"",""en"")"),"WHO does not increase the risk of a global epidemic level")</f>
        <v>WHO does not increase the risk of a global epidemic level</v>
      </c>
      <c r="D4892" s="5" t="s">
        <v>11152</v>
      </c>
      <c r="E4892" s="4">
        <v>1097094</v>
      </c>
      <c r="F4892">
        <v>1</v>
      </c>
    </row>
    <row r="4893" spans="1:6" ht="13.5" hidden="1" customHeight="1">
      <c r="A4893" s="4" t="s">
        <v>11153</v>
      </c>
      <c r="B4893" s="4" t="s">
        <v>11154</v>
      </c>
      <c r="C4893" s="4" t="str">
        <f ca="1">IFERROR(__xludf.DUMMYFUNCTION("GOOGLETRANSLATE(D:D,""auto"",""en"")"),"Mold mildew Zhuangshan Bai Zhantang")</f>
        <v>Mold mildew Zhuangshan Bai Zhantang</v>
      </c>
      <c r="D4893" s="5" t="s">
        <v>11155</v>
      </c>
      <c r="E4893" s="4">
        <v>1094182</v>
      </c>
    </row>
    <row r="4894" spans="1:6" ht="13.5" customHeight="1">
      <c r="A4894" s="4" t="s">
        <v>11156</v>
      </c>
      <c r="B4894" s="4" t="s">
        <v>11157</v>
      </c>
      <c r="C4894" s="4" t="str">
        <f ca="1">IFERROR(__xludf.DUMMYFUNCTION("GOOGLETRANSLATE(D:D,""auto"",""en"")"),"Zhejiang first patient diagnosed due to broken ribs")</f>
        <v>Zhejiang first patient diagnosed due to broken ribs</v>
      </c>
      <c r="D4894" s="5" t="s">
        <v>11158</v>
      </c>
      <c r="E4894" s="4">
        <v>1092930</v>
      </c>
      <c r="F4894">
        <v>1</v>
      </c>
    </row>
    <row r="4895" spans="1:6" ht="13.5" customHeight="1">
      <c r="A4895" s="4" t="s">
        <v>11159</v>
      </c>
      <c r="B4895" s="4" t="s">
        <v>11160</v>
      </c>
      <c r="C4895" s="4" t="str">
        <f ca="1">IFERROR(__xludf.DUMMYFUNCTION("GOOGLETRANSLATE(D:D,""auto"",""en"")"),"Hubei Hubei grain storage inventory to meet the needs of more than six months")</f>
        <v>Hubei Hubei grain storage inventory to meet the needs of more than six months</v>
      </c>
      <c r="D4895" s="5" t="s">
        <v>11161</v>
      </c>
      <c r="E4895" s="4">
        <v>1049341</v>
      </c>
      <c r="F4895">
        <v>1</v>
      </c>
    </row>
    <row r="4896" spans="1:6" ht="13.5" customHeight="1">
      <c r="A4896" s="4" t="s">
        <v>11162</v>
      </c>
      <c r="B4896" s="4" t="s">
        <v>11119</v>
      </c>
      <c r="C4896" s="4" t="str">
        <f ca="1">IFERROR(__xludf.DUMMYFUNCTION("GOOGLETRANSLATE(D:D,""auto"",""en"")"),"Wuhan pet rescue paused on-site feeding")</f>
        <v>Wuhan pet rescue paused on-site feeding</v>
      </c>
      <c r="D4896" s="5" t="s">
        <v>11163</v>
      </c>
      <c r="E4896" s="4">
        <v>1003428</v>
      </c>
      <c r="F4896">
        <v>1</v>
      </c>
    </row>
    <row r="4897" spans="1:6" ht="13.5" hidden="1" customHeight="1">
      <c r="A4897" s="4" t="s">
        <v>11164</v>
      </c>
      <c r="B4897" s="4" t="s">
        <v>11099</v>
      </c>
      <c r="C4897" s="4" t="str">
        <f ca="1">IFERROR(__xludf.DUMMYFUNCTION("GOOGLETRANSLATE(D:D,""auto"",""en"")"),"Jiao Yahui")</f>
        <v>Jiao Yahui</v>
      </c>
      <c r="D4897" s="5" t="s">
        <v>11165</v>
      </c>
      <c r="E4897" s="4">
        <v>964619</v>
      </c>
    </row>
    <row r="4898" spans="1:6" ht="13.5" hidden="1" customHeight="1">
      <c r="A4898" s="4" t="s">
        <v>11166</v>
      </c>
      <c r="B4898" s="4" t="s">
        <v>11167</v>
      </c>
      <c r="C4898" s="4" t="str">
        <f ca="1">IFERROR(__xludf.DUMMYFUNCTION("GOOGLETRANSLATE(D:D,""auto"",""en"")"),"Honglei acting")</f>
        <v>Honglei acting</v>
      </c>
      <c r="D4898" s="5" t="s">
        <v>11168</v>
      </c>
      <c r="E4898" s="4">
        <v>929019</v>
      </c>
    </row>
    <row r="4899" spans="1:6" ht="13.5" hidden="1" customHeight="1">
      <c r="A4899" s="4" t="s">
        <v>11018</v>
      </c>
      <c r="B4899" s="4" t="s">
        <v>11019</v>
      </c>
      <c r="C4899" s="4" t="str">
        <f ca="1">IFERROR(__xludf.DUMMYFUNCTION("GOOGLETRANSLATE(D:D,""auto"",""en"")"),"It stars to marry Song Yuan")</f>
        <v>It stars to marry Song Yuan</v>
      </c>
      <c r="D4899" s="5" t="s">
        <v>11020</v>
      </c>
      <c r="E4899" s="4">
        <v>675087</v>
      </c>
    </row>
    <row r="4900" spans="1:6" ht="13.5" hidden="1" customHeight="1">
      <c r="A4900" s="4" t="s">
        <v>11169</v>
      </c>
      <c r="B4900" s="4" t="s">
        <v>11170</v>
      </c>
      <c r="C4900" s="4" t="str">
        <f ca="1">IFERROR(__xludf.DUMMYFUNCTION("GOOGLETRANSLATE(D:D,""auto"",""en"")"),"Diamond Princess All personnel sample provision")</f>
        <v>Diamond Princess All personnel sample provision</v>
      </c>
      <c r="D4900" s="5" t="s">
        <v>11171</v>
      </c>
      <c r="E4900" s="4">
        <v>571757</v>
      </c>
    </row>
    <row r="4901" spans="1:6" ht="13.5" customHeight="1">
      <c r="A4901" s="4" t="s">
        <v>11172</v>
      </c>
      <c r="B4901" s="4" t="s">
        <v>11173</v>
      </c>
      <c r="C4901" s="4" t="str">
        <f ca="1">IFERROR(__xludf.DUMMYFUNCTION("GOOGLETRANSLATE(D:D,""auto"",""en"")"),"Wuhan informed 4 from the epidemic prevention disciplinary problems")</f>
        <v>Wuhan informed 4 from the epidemic prevention disciplinary problems</v>
      </c>
      <c r="D4901" s="5" t="s">
        <v>11174</v>
      </c>
      <c r="E4901" s="4">
        <v>481322</v>
      </c>
      <c r="F4901">
        <v>1</v>
      </c>
    </row>
    <row r="4902" spans="1:6" ht="13.5" hidden="1" customHeight="1">
      <c r="A4902" s="4" t="s">
        <v>11175</v>
      </c>
      <c r="B4902" s="4" t="s">
        <v>11176</v>
      </c>
      <c r="C4902" s="4" t="str">
        <f ca="1">IFERROR(__xludf.DUMMYFUNCTION("GOOGLETRANSLATE(D:D,""auto"",""en"")"),"Central enterprises has donated more than 2.5 billion yuan")</f>
        <v>Central enterprises has donated more than 2.5 billion yuan</v>
      </c>
      <c r="D4902" s="5" t="s">
        <v>11177</v>
      </c>
      <c r="E4902" s="4">
        <v>480398</v>
      </c>
    </row>
    <row r="4903" spans="1:6" ht="13.5" customHeight="1">
      <c r="A4903" s="4" t="s">
        <v>11178</v>
      </c>
      <c r="B4903" s="4" t="s">
        <v>11179</v>
      </c>
      <c r="C4903" s="4" t="str">
        <f ca="1">IFERROR(__xludf.DUMMYFUNCTION("GOOGLETRANSLATE(D:D,""auto"",""en"")"),"Xiaogan lack of N95 protective clothing noninvasive ventilator")</f>
        <v>Xiaogan lack of N95 protective clothing noninvasive ventilator</v>
      </c>
      <c r="D4903" s="5" t="s">
        <v>11180</v>
      </c>
      <c r="E4903" s="4">
        <v>385189</v>
      </c>
      <c r="F4903">
        <v>1</v>
      </c>
    </row>
    <row r="4904" spans="1:6" ht="13.5" customHeight="1">
      <c r="A4904" s="4" t="s">
        <v>11181</v>
      </c>
      <c r="B4904" s="4" t="s">
        <v>11182</v>
      </c>
      <c r="C4904" s="4" t="str">
        <f ca="1">IFERROR(__xludf.DUMMYFUNCTION("GOOGLETRANSLATE(D:D,""auto"",""en"")"),"The national total of 72,436 cases of pneumonia diagnosed with the new crown")</f>
        <v>The national total of 72,436 cases of pneumonia diagnosed with the new crown</v>
      </c>
      <c r="D4904" s="5" t="s">
        <v>11183</v>
      </c>
      <c r="E4904" s="4">
        <v>354440</v>
      </c>
      <c r="F4904">
        <v>1</v>
      </c>
    </row>
    <row r="4905" spans="1:6" ht="13.5" hidden="1" customHeight="1">
      <c r="A4905" s="4" t="s">
        <v>11184</v>
      </c>
      <c r="B4905" s="4" t="s">
        <v>11185</v>
      </c>
      <c r="C4905" s="4" t="str">
        <f ca="1">IFERROR(__xludf.DUMMYFUNCTION("GOOGLETRANSLATE(D:D,""auto"",""en"")"),"None of the boys are innocent")</f>
        <v>None of the boys are innocent</v>
      </c>
      <c r="D4905" s="5" t="s">
        <v>11186</v>
      </c>
      <c r="E4905" s="4">
        <v>353416</v>
      </c>
    </row>
    <row r="4906" spans="1:6" ht="13.5" hidden="1" customHeight="1">
      <c r="A4906" s="4" t="s">
        <v>11187</v>
      </c>
      <c r="B4906" s="4" t="s">
        <v>11160</v>
      </c>
      <c r="C4906" s="4" t="str">
        <f ca="1">IFERROR(__xludf.DUMMYFUNCTION("GOOGLETRANSLATE(D:D,""auto"",""en"")"),"Zhoushan cargo ship sinking")</f>
        <v>Zhoushan cargo ship sinking</v>
      </c>
      <c r="D4906" s="5" t="s">
        <v>11188</v>
      </c>
      <c r="E4906" s="4">
        <v>346308</v>
      </c>
    </row>
    <row r="4907" spans="1:6" ht="13.5" hidden="1" customHeight="1">
      <c r="A4907" s="4" t="s">
        <v>11189</v>
      </c>
      <c r="B4907" s="4" t="s">
        <v>11190</v>
      </c>
      <c r="C4907" s="4" t="str">
        <f ca="1">IFERROR(__xludf.DUMMYFUNCTION("GOOGLETRANSLATE(D:D,""auto"",""en"")"),"Yiwu chartered to pick up employees across the country")</f>
        <v>Yiwu chartered to pick up employees across the country</v>
      </c>
      <c r="D4907" s="5" t="s">
        <v>11191</v>
      </c>
      <c r="E4907" s="4">
        <v>339928</v>
      </c>
    </row>
    <row r="4908" spans="1:6" ht="13.5" hidden="1" customHeight="1">
      <c r="A4908" s="4" t="s">
        <v>11169</v>
      </c>
      <c r="B4908" s="4" t="s">
        <v>11192</v>
      </c>
      <c r="C4908" s="4" t="str">
        <f ca="1">IFERROR(__xludf.DUMMYFUNCTION("GOOGLETRANSLATE(D:D,""auto"",""en"")"),"Faker become shareholders T1")</f>
        <v>Faker become shareholders T1</v>
      </c>
      <c r="D4908" s="5" t="s">
        <v>11193</v>
      </c>
      <c r="E4908" s="4">
        <v>333842</v>
      </c>
    </row>
    <row r="4909" spans="1:6" ht="13.5" hidden="1" customHeight="1">
      <c r="A4909" s="4" t="s">
        <v>11145</v>
      </c>
      <c r="B4909" s="4" t="s">
        <v>11192</v>
      </c>
      <c r="C4909" s="4" t="str">
        <f ca="1">IFERROR(__xludf.DUMMYFUNCTION("GOOGLETRANSLATE(D:D,""auto"",""en"")"),"rapper small bottle")</f>
        <v>rapper small bottle</v>
      </c>
      <c r="D4909" s="5" t="s">
        <v>11194</v>
      </c>
      <c r="E4909" s="4">
        <v>332568</v>
      </c>
    </row>
    <row r="4910" spans="1:6" ht="13.5" hidden="1" customHeight="1">
      <c r="A4910" s="4" t="s">
        <v>11195</v>
      </c>
      <c r="B4910" s="4" t="s">
        <v>11196</v>
      </c>
      <c r="C4910" s="4" t="str">
        <f ca="1">IFERROR(__xludf.DUMMYFUNCTION("GOOGLETRANSLATE(D:D,""auto"",""en"")"),"South Korea to send presidential plane then went overseas Diamond Princess")</f>
        <v>South Korea to send presidential plane then went overseas Diamond Princess</v>
      </c>
      <c r="D4910" s="5" t="s">
        <v>11197</v>
      </c>
      <c r="E4910" s="4">
        <v>323151</v>
      </c>
    </row>
    <row r="4911" spans="1:6" ht="13.5" customHeight="1">
      <c r="A4911" s="4" t="s">
        <v>11198</v>
      </c>
      <c r="B4911" s="4" t="s">
        <v>11119</v>
      </c>
      <c r="C4911" s="4" t="str">
        <f ca="1">IFERROR(__xludf.DUMMYFUNCTION("GOOGLETRANSLATE(D:D,""auto"",""en"")"),"The new crown was told diagnosed with pneumonia in an interview with Japanese driver")</f>
        <v>The new crown was told diagnosed with pneumonia in an interview with Japanese driver</v>
      </c>
      <c r="D4911" s="5" t="s">
        <v>11199</v>
      </c>
      <c r="E4911" s="4">
        <v>322436</v>
      </c>
      <c r="F4911">
        <v>1</v>
      </c>
    </row>
    <row r="4912" spans="1:6" ht="13.5" hidden="1" customHeight="1">
      <c r="A4912" s="4" t="s">
        <v>11200</v>
      </c>
      <c r="B4912" s="4" t="s">
        <v>11201</v>
      </c>
      <c r="C4912" s="4" t="str">
        <f ca="1">IFERROR(__xludf.DUMMYFUNCTION("GOOGLETRANSLATE(D:D,""auto"",""en"")"),"Cassock raincoat")</f>
        <v>Cassock raincoat</v>
      </c>
      <c r="D4912" s="5" t="s">
        <v>11202</v>
      </c>
      <c r="E4912" s="4">
        <v>317371</v>
      </c>
    </row>
    <row r="4913" spans="1:6" ht="13.5" hidden="1" customHeight="1">
      <c r="A4913" s="4" t="s">
        <v>11203</v>
      </c>
      <c r="B4913" s="4" t="s">
        <v>11204</v>
      </c>
      <c r="C4913" s="4" t="str">
        <f ca="1">IFERROR(__xludf.DUMMYFUNCTION("GOOGLETRANSLATE(D:D,""auto"",""en"")"),"Lawrence Awards memory of Bryant")</f>
        <v>Lawrence Awards memory of Bryant</v>
      </c>
      <c r="D4913" s="5" t="s">
        <v>11205</v>
      </c>
      <c r="E4913" s="4">
        <v>314592</v>
      </c>
    </row>
    <row r="4914" spans="1:6" ht="13.5" customHeight="1">
      <c r="A4914" s="4" t="s">
        <v>11206</v>
      </c>
      <c r="B4914" s="4" t="s">
        <v>11207</v>
      </c>
      <c r="C4914" s="4" t="str">
        <f ca="1">IFERROR(__xludf.DUMMYFUNCTION("GOOGLETRANSLATE(D:D,""auto"",""en"")"),"Wuhan citizens now how to shop")</f>
        <v>Wuhan citizens now how to shop</v>
      </c>
      <c r="D4914" s="5" t="s">
        <v>11208</v>
      </c>
      <c r="E4914" s="4">
        <v>314565</v>
      </c>
      <c r="F4914">
        <v>1</v>
      </c>
    </row>
    <row r="4915" spans="1:6" ht="13.5" hidden="1" customHeight="1">
      <c r="A4915" s="4" t="s">
        <v>11209</v>
      </c>
      <c r="B4915" s="4" t="s">
        <v>11210</v>
      </c>
      <c r="C4915" s="4" t="str">
        <f ca="1">IFERROR(__xludf.DUMMYFUNCTION("GOOGLETRANSLATE(D:D,""auto"",""en"")"),"Liu Zhiming")</f>
        <v>Liu Zhiming</v>
      </c>
      <c r="D4915" s="5" t="s">
        <v>11211</v>
      </c>
      <c r="E4915" s="4">
        <v>313786</v>
      </c>
    </row>
    <row r="4916" spans="1:6" ht="13.5" hidden="1" customHeight="1">
      <c r="A4916" s="4" t="s">
        <v>11033</v>
      </c>
      <c r="B4916" s="4" t="s">
        <v>11034</v>
      </c>
      <c r="C4916" s="4" t="str">
        <f ca="1">IFERROR(__xludf.DUMMYFUNCTION("GOOGLETRANSLATE(D:D,""auto"",""en"")"),"Whisk homemade")</f>
        <v>Whisk homemade</v>
      </c>
      <c r="D4916" s="5" t="s">
        <v>11035</v>
      </c>
      <c r="E4916" s="4">
        <v>310996</v>
      </c>
    </row>
    <row r="4917" spans="1:6" ht="13.5" customHeight="1">
      <c r="A4917" s="4" t="s">
        <v>11212</v>
      </c>
      <c r="B4917" s="4" t="s">
        <v>11213</v>
      </c>
      <c r="C4917" s="4" t="str">
        <f ca="1">IFERROR(__xludf.DUMMYFUNCTION("GOOGLETRANSLATE(D:D,""auto"",""en"")"),"Heilongjiang epidemic strict implementation of nine key areas")</f>
        <v>Heilongjiang epidemic strict implementation of nine key areas</v>
      </c>
      <c r="D4917" s="5" t="s">
        <v>11214</v>
      </c>
      <c r="E4917" s="4">
        <v>264317</v>
      </c>
      <c r="F4917">
        <v>1</v>
      </c>
    </row>
    <row r="4918" spans="1:6" ht="13.5" customHeight="1">
      <c r="A4918" s="4" t="s">
        <v>11215</v>
      </c>
      <c r="B4918" s="4" t="s">
        <v>11216</v>
      </c>
      <c r="C4918" s="4" t="str">
        <f ca="1">IFERROR(__xludf.DUMMYFUNCTION("GOOGLETRANSLATE(D:D,""auto"",""en"")"),"Food Factory hardcore quarantine return to work")</f>
        <v>Food Factory hardcore quarantine return to work</v>
      </c>
      <c r="D4918" s="5" t="s">
        <v>11217</v>
      </c>
      <c r="E4918" s="4">
        <v>264083</v>
      </c>
      <c r="F4918">
        <v>1</v>
      </c>
    </row>
    <row r="4919" spans="1:6" ht="13.5" hidden="1" customHeight="1">
      <c r="A4919" s="4" t="s">
        <v>11055</v>
      </c>
      <c r="B4919" s="4" t="s">
        <v>11056</v>
      </c>
      <c r="C4919" s="4" t="str">
        <f ca="1">IFERROR(__xludf.DUMMYFUNCTION("GOOGLETRANSLATE(D:D,""auto"",""en"")"),"Hu Bing 50 years old")</f>
        <v>Hu Bing 50 years old</v>
      </c>
      <c r="D4919" s="5" t="s">
        <v>11057</v>
      </c>
      <c r="E4919" s="4">
        <v>254638</v>
      </c>
    </row>
    <row r="4920" spans="1:6" ht="13.5" hidden="1" customHeight="1">
      <c r="A4920" s="4" t="s">
        <v>11218</v>
      </c>
      <c r="B4920" s="4" t="s">
        <v>11219</v>
      </c>
      <c r="C4920" s="4" t="str">
        <f ca="1">IFERROR(__xludf.DUMMYFUNCTION("GOOGLETRANSLATE(D:D,""auto"",""en"")"),"PLF aircraft utilization rate dropped by nearly half")</f>
        <v>PLF aircraft utilization rate dropped by nearly half</v>
      </c>
      <c r="D4920" s="5" t="s">
        <v>11220</v>
      </c>
      <c r="E4920" s="4">
        <v>245439</v>
      </c>
    </row>
    <row r="4921" spans="1:6" ht="13.5" customHeight="1">
      <c r="A4921" s="4" t="s">
        <v>11221</v>
      </c>
      <c r="B4921" s="4" t="s">
        <v>11222</v>
      </c>
      <c r="C4921" s="4" t="str">
        <f ca="1">IFERROR(__xludf.DUMMYFUNCTION("GOOGLETRANSLATE(D:D,""auto"",""en"")"),"Wuhan epidemic prevention and control can be particularly excellent exceptional promotion")</f>
        <v>Wuhan epidemic prevention and control can be particularly excellent exceptional promotion</v>
      </c>
      <c r="D4921" s="5" t="s">
        <v>11223</v>
      </c>
      <c r="E4921" s="4">
        <v>198561</v>
      </c>
      <c r="F4921">
        <v>1</v>
      </c>
    </row>
    <row r="4922" spans="1:6" ht="13.5" customHeight="1">
      <c r="A4922" s="4" t="s">
        <v>11224</v>
      </c>
      <c r="B4922" s="4" t="s">
        <v>11225</v>
      </c>
      <c r="C4922" s="4" t="str">
        <f ca="1">IFERROR(__xludf.DUMMYFUNCTION("GOOGLETRANSLATE(D:D,""auto"",""en"")"),"14 new cases even lower than the Hubei")</f>
        <v>14 new cases even lower than the Hubei</v>
      </c>
      <c r="D4922" s="5" t="s">
        <v>11226</v>
      </c>
      <c r="E4922" s="4">
        <v>193262</v>
      </c>
      <c r="F4922">
        <v>1</v>
      </c>
    </row>
    <row r="4923" spans="1:6" ht="13.5" customHeight="1">
      <c r="A4923" s="4" t="s">
        <v>11012</v>
      </c>
      <c r="B4923" s="4" t="s">
        <v>11013</v>
      </c>
      <c r="C4923" s="4" t="str">
        <f ca="1">IFERROR(__xludf.DUMMYFUNCTION("GOOGLETRANSLATE(D:D,""auto"",""en"")"),"The new crown pneumonia infection because of the public should be assessed as a martyr who died")</f>
        <v>The new crown pneumonia infection because of the public should be assessed as a martyr who died</v>
      </c>
      <c r="D4923" s="5" t="s">
        <v>11014</v>
      </c>
      <c r="E4923" s="4">
        <v>192933</v>
      </c>
      <c r="F4923">
        <v>1</v>
      </c>
    </row>
    <row r="4924" spans="1:6" ht="13.5" customHeight="1">
      <c r="A4924" s="4" t="s">
        <v>11203</v>
      </c>
      <c r="B4924" s="4" t="s">
        <v>11227</v>
      </c>
      <c r="C4924" s="4" t="str">
        <f ca="1">IFERROR(__xludf.DUMMYFUNCTION("GOOGLETRANSLATE(D:D,""auto"",""en"")"),"Hubei new crown the new 1807 cases of pneumonia")</f>
        <v>Hubei new crown the new 1807 cases of pneumonia</v>
      </c>
      <c r="D4924" s="5" t="s">
        <v>11228</v>
      </c>
      <c r="E4924" s="4">
        <v>192920</v>
      </c>
      <c r="F4924">
        <v>1</v>
      </c>
    </row>
    <row r="4925" spans="1:6" ht="13.5" hidden="1" customHeight="1">
      <c r="A4925" s="4" t="s">
        <v>11049</v>
      </c>
      <c r="B4925" s="4" t="s">
        <v>11050</v>
      </c>
      <c r="C4925" s="4" t="str">
        <f ca="1">IFERROR(__xludf.DUMMYFUNCTION("GOOGLETRANSLATE(D:D,""auto"",""en"")"),"Ask for help dumplings")</f>
        <v>Ask for help dumplings</v>
      </c>
      <c r="D4925" s="5" t="s">
        <v>11051</v>
      </c>
      <c r="E4925" s="4">
        <v>192264</v>
      </c>
    </row>
    <row r="4926" spans="1:6" ht="13.5" hidden="1" customHeight="1">
      <c r="A4926" s="4" t="s">
        <v>6108</v>
      </c>
      <c r="B4926" s="4" t="s">
        <v>6109</v>
      </c>
      <c r="C4926" s="4" t="str">
        <f ca="1">IFERROR(__xludf.DUMMYFUNCTION("GOOGLETRANSLATE(D:D,""auto"",""en"")"),"The next stop is happy")</f>
        <v>The next stop is happy</v>
      </c>
      <c r="D4926" s="5" t="s">
        <v>6110</v>
      </c>
      <c r="E4926" s="4">
        <v>191711</v>
      </c>
    </row>
    <row r="4927" spans="1:6" ht="13.5" hidden="1" customHeight="1">
      <c r="A4927" s="4" t="s">
        <v>11229</v>
      </c>
      <c r="B4927" s="4" t="s">
        <v>11230</v>
      </c>
      <c r="C4927" s="4" t="str">
        <f ca="1">IFERROR(__xludf.DUMMYFUNCTION("GOOGLETRANSLATE(D:D,""auto"",""en"")"),"Fried rice cake")</f>
        <v>Fried rice cake</v>
      </c>
      <c r="D4927" s="5" t="s">
        <v>11231</v>
      </c>
      <c r="E4927" s="4">
        <v>187370</v>
      </c>
    </row>
    <row r="4928" spans="1:6" ht="13.5" customHeight="1">
      <c r="A4928" s="4" t="s">
        <v>11232</v>
      </c>
      <c r="B4928" s="4" t="s">
        <v>11233</v>
      </c>
      <c r="C4928" s="4" t="str">
        <f ca="1">IFERROR(__xludf.DUMMYFUNCTION("GOOGLETRANSLATE(D:D,""auto"",""en"")"),"Guangdong, Hubei medical aid team won 10,000 grant")</f>
        <v>Guangdong, Hubei medical aid team won 10,000 grant</v>
      </c>
      <c r="D4928" s="5" t="s">
        <v>11234</v>
      </c>
      <c r="E4928" s="4">
        <v>182330</v>
      </c>
      <c r="F4928">
        <v>1</v>
      </c>
    </row>
    <row r="4929" spans="1:6" ht="13.5" hidden="1" customHeight="1">
      <c r="A4929" s="4" t="s">
        <v>11235</v>
      </c>
      <c r="B4929" s="4" t="s">
        <v>11213</v>
      </c>
      <c r="C4929" s="4" t="str">
        <f ca="1">IFERROR(__xludf.DUMMYFUNCTION("GOOGLETRANSLATE(D:D,""auto"",""en"")"),"6 consecutive days cured over a thousand")</f>
        <v>6 consecutive days cured over a thousand</v>
      </c>
      <c r="D4929" s="5" t="s">
        <v>11236</v>
      </c>
      <c r="E4929" s="4">
        <v>174039</v>
      </c>
    </row>
    <row r="4930" spans="1:6" ht="13.5" hidden="1" customHeight="1">
      <c r="A4930" s="4" t="s">
        <v>11061</v>
      </c>
      <c r="B4930" s="4" t="s">
        <v>11062</v>
      </c>
      <c r="C4930" s="4" t="str">
        <f ca="1">IFERROR(__xludf.DUMMYFUNCTION("GOOGLETRANSLATE(D:D,""auto"",""en"")"),"India's current plague of locusts has been completed")</f>
        <v>India's current plague of locusts has been completed</v>
      </c>
      <c r="D4930" s="5" t="s">
        <v>11063</v>
      </c>
      <c r="E4930" s="4">
        <v>165671</v>
      </c>
    </row>
    <row r="4931" spans="1:6" ht="13.5" customHeight="1">
      <c r="A4931" s="4" t="s">
        <v>11181</v>
      </c>
      <c r="B4931" s="4" t="s">
        <v>11237</v>
      </c>
      <c r="C4931" s="4" t="str">
        <f ca="1">IFERROR(__xludf.DUMMYFUNCTION("GOOGLETRANSLATE(D:D,""auto"",""en"")"),"The central enterprises being involved in drug vaccine research and development of new crown")</f>
        <v>The central enterprises being involved in drug vaccine research and development of new crown</v>
      </c>
      <c r="D4931" s="5" t="s">
        <v>11238</v>
      </c>
      <c r="E4931" s="4">
        <v>162323</v>
      </c>
      <c r="F4931">
        <v>1</v>
      </c>
    </row>
    <row r="4932" spans="1:6" ht="13.5" hidden="1" customHeight="1">
      <c r="A4932" s="4" t="s">
        <v>11239</v>
      </c>
      <c r="B4932" s="4" t="s">
        <v>11240</v>
      </c>
      <c r="C4932" s="4" t="str">
        <f ca="1">IFERROR(__xludf.DUMMYFUNCTION("GOOGLETRANSLATE(D:D,""auto"",""en"")"),"Of course support SMEs")</f>
        <v>Of course support SMEs</v>
      </c>
      <c r="D4932" s="5" t="s">
        <v>11241</v>
      </c>
      <c r="E4932" s="4">
        <v>161421</v>
      </c>
    </row>
    <row r="4933" spans="1:6" ht="13.5" hidden="1" customHeight="1">
      <c r="A4933" s="4" t="s">
        <v>11242</v>
      </c>
      <c r="B4933" s="4" t="s">
        <v>11216</v>
      </c>
      <c r="C4933" s="4" t="str">
        <f ca="1">IFERROR(__xludf.DUMMYFUNCTION("GOOGLETRANSLATE(D:D,""auto"",""en"")"),"Cold fire machine")</f>
        <v>Cold fire machine</v>
      </c>
      <c r="D4933" s="5" t="s">
        <v>11243</v>
      </c>
      <c r="E4933" s="4">
        <v>160558</v>
      </c>
    </row>
    <row r="4934" spans="1:6" ht="13.5" hidden="1" customHeight="1">
      <c r="A4934" s="4" t="s">
        <v>11244</v>
      </c>
      <c r="B4934" s="4" t="s">
        <v>11075</v>
      </c>
      <c r="C4934" s="4" t="str">
        <f ca="1">IFERROR(__xludf.DUMMYFUNCTION("GOOGLETRANSLATE(D:D,""auto"",""en"")"),"Macy Hamilton won the Lawrence Award")</f>
        <v>Macy Hamilton won the Lawrence Award</v>
      </c>
      <c r="D4934" s="5" t="s">
        <v>11245</v>
      </c>
      <c r="E4934" s="4">
        <v>156799</v>
      </c>
    </row>
    <row r="4935" spans="1:6" ht="13.5" hidden="1" customHeight="1">
      <c r="A4935" s="4" t="s">
        <v>11069</v>
      </c>
      <c r="B4935" s="4" t="s">
        <v>11070</v>
      </c>
      <c r="C4935" s="4" t="str">
        <f ca="1">IFERROR(__xludf.DUMMYFUNCTION("GOOGLETRANSLATE(D:D,""auto"",""en"")"),"Myopia daily")</f>
        <v>Myopia daily</v>
      </c>
      <c r="D4935" s="5" t="s">
        <v>11071</v>
      </c>
      <c r="E4935" s="4">
        <v>156058</v>
      </c>
    </row>
    <row r="4936" spans="1:6" ht="13.5" hidden="1" customHeight="1">
      <c r="A4936" s="4" t="s">
        <v>11246</v>
      </c>
      <c r="B4936" s="4" t="s">
        <v>11247</v>
      </c>
      <c r="C4936" s="4" t="str">
        <f ca="1">IFERROR(__xludf.DUMMYFUNCTION("GOOGLETRANSLATE(D:D,""auto"",""en"")"),"Circle of friends a few steps contempt chain")</f>
        <v>Circle of friends a few steps contempt chain</v>
      </c>
      <c r="D4936" s="5" t="s">
        <v>11248</v>
      </c>
      <c r="E4936" s="4">
        <v>128009</v>
      </c>
    </row>
    <row r="4937" spans="1:6" ht="13.5" customHeight="1">
      <c r="A4937" s="4" t="s">
        <v>11064</v>
      </c>
      <c r="B4937" s="4" t="s">
        <v>11249</v>
      </c>
      <c r="C4937" s="4" t="str">
        <f ca="1">IFERROR(__xludf.DUMMYFUNCTION("GOOGLETRANSLATE(D:D,""auto"",""en"")"),"Routine medical Hubei outside the region can not shut up")</f>
        <v>Routine medical Hubei outside the region can not shut up</v>
      </c>
      <c r="D4937" s="5" t="s">
        <v>11250</v>
      </c>
      <c r="E4937" s="4">
        <v>117082</v>
      </c>
      <c r="F4937">
        <v>1</v>
      </c>
    </row>
    <row r="4938" spans="1:6" ht="13.5" hidden="1" customHeight="1">
      <c r="A4938" s="4" t="s">
        <v>11064</v>
      </c>
      <c r="B4938" s="4" t="s">
        <v>10960</v>
      </c>
      <c r="C4938" s="4" t="str">
        <f ca="1">IFERROR(__xludf.DUMMYFUNCTION("GOOGLETRANSLATE(D:D,""auto"",""en"")"),"Fairy-tale world is no longer willing rapper")</f>
        <v>Fairy-tale world is no longer willing rapper</v>
      </c>
      <c r="D4938" s="5" t="s">
        <v>11065</v>
      </c>
      <c r="E4938" s="4">
        <v>113483</v>
      </c>
    </row>
    <row r="4939" spans="1:6" ht="13.5" hidden="1" customHeight="1">
      <c r="C4939" s="4" t="str">
        <f ca="1">IFERROR(__xludf.DUMMYFUNCTION("GOOGLETRANSLATE(D:D,""auto"",""en"")"),"#VALUE!")</f>
        <v>#VALUE!</v>
      </c>
    </row>
    <row r="4940" spans="1:6" ht="13.5" customHeight="1">
      <c r="A4940" s="4" t="s">
        <v>11251</v>
      </c>
      <c r="B4940" s="4" t="s">
        <v>11252</v>
      </c>
      <c r="C4940" s="4" t="str">
        <f ca="1">IFERROR(__xludf.DUMMYFUNCTION("GOOGLETRANSLATE(D:D,""auto"",""en"")"),"323 newly diagnosed patients with severe mental disorders crown pneumonia")</f>
        <v>323 newly diagnosed patients with severe mental disorders crown pneumonia</v>
      </c>
      <c r="D4940" s="4" t="s">
        <v>11253</v>
      </c>
      <c r="E4940" s="4">
        <v>3480337</v>
      </c>
      <c r="F4940">
        <v>1</v>
      </c>
    </row>
    <row r="4941" spans="1:6" ht="13.5" customHeight="1">
      <c r="A4941" s="4" t="s">
        <v>11254</v>
      </c>
      <c r="B4941" s="4" t="s">
        <v>11255</v>
      </c>
      <c r="C4941" s="4" t="str">
        <f ca="1">IFERROR(__xludf.DUMMYFUNCTION("GOOGLETRANSLATE(D:D,""auto"",""en"")"),"Nearly 40,000 packages of sanitary napkins arrived in Wuhan")</f>
        <v>Nearly 40,000 packages of sanitary napkins arrived in Wuhan</v>
      </c>
      <c r="D4941" s="5" t="s">
        <v>11256</v>
      </c>
      <c r="E4941" s="4">
        <v>3016603</v>
      </c>
      <c r="F4941">
        <v>1</v>
      </c>
    </row>
    <row r="4942" spans="1:6" ht="13.5" hidden="1" customHeight="1">
      <c r="A4942" s="4" t="s">
        <v>11257</v>
      </c>
      <c r="B4942" s="4" t="s">
        <v>11258</v>
      </c>
      <c r="C4942" s="4" t="str">
        <f ca="1">IFERROR(__xludf.DUMMYFUNCTION("GOOGLETRANSLATE(D:D,""auto"",""en"")"),"The next stop is a happy finale")</f>
        <v>The next stop is a happy finale</v>
      </c>
      <c r="D4942" s="5" t="s">
        <v>11259</v>
      </c>
      <c r="E4942" s="4">
        <v>2956041</v>
      </c>
    </row>
    <row r="4943" spans="1:6" ht="13.5" hidden="1" customHeight="1">
      <c r="A4943" s="4" t="s">
        <v>11260</v>
      </c>
      <c r="B4943" s="4" t="s">
        <v>11261</v>
      </c>
      <c r="C4943" s="4" t="str">
        <f ca="1">IFERROR(__xludf.DUMMYFUNCTION("GOOGLETRANSLATE(D:D,""auto"",""en"")"),"never and sister playing up")</f>
        <v>never and sister playing up</v>
      </c>
      <c r="D4943" s="5" t="s">
        <v>11262</v>
      </c>
      <c r="E4943" s="4">
        <v>2954288</v>
      </c>
    </row>
    <row r="4944" spans="1:6" ht="13.5" hidden="1" customHeight="1">
      <c r="A4944" s="4" t="s">
        <v>11263</v>
      </c>
      <c r="B4944" s="4" t="s">
        <v>11264</v>
      </c>
      <c r="C4944" s="4" t="str">
        <f ca="1">IFERROR(__xludf.DUMMYFUNCTION("GOOGLETRANSLATE(D:D,""auto"",""en"")"),"Abe")</f>
        <v>Abe</v>
      </c>
      <c r="D4944" s="5" t="s">
        <v>11265</v>
      </c>
      <c r="E4944" s="4">
        <v>1621485</v>
      </c>
    </row>
    <row r="4945" spans="1:6" ht="13.5" hidden="1" customHeight="1">
      <c r="A4945" s="4" t="s">
        <v>11266</v>
      </c>
      <c r="B4945" s="4" t="s">
        <v>11267</v>
      </c>
      <c r="C4945" s="4" t="str">
        <f ca="1">IFERROR(__xludf.DUMMYFUNCTION("GOOGLETRANSLATE(D:D,""auto"",""en"")"),"Chen number of gas field")</f>
        <v>Chen number of gas field</v>
      </c>
      <c r="D4945" s="5" t="s">
        <v>11268</v>
      </c>
      <c r="E4945" s="4">
        <v>1568686</v>
      </c>
    </row>
    <row r="4946" spans="1:6" ht="13.5" hidden="1" customHeight="1">
      <c r="A4946" s="4" t="s">
        <v>11269</v>
      </c>
      <c r="B4946" s="4" t="s">
        <v>11270</v>
      </c>
      <c r="C4946" s="4" t="str">
        <f ca="1">IFERROR(__xludf.DUMMYFUNCTION("GOOGLETRANSLATE(D:D,""auto"",""en"")"),"About 500 people to leave tomorrow Diamond Princess")</f>
        <v>About 500 people to leave tomorrow Diamond Princess</v>
      </c>
      <c r="D4946" s="5" t="s">
        <v>11271</v>
      </c>
      <c r="E4946" s="4">
        <v>1542196</v>
      </c>
    </row>
    <row r="4947" spans="1:6" ht="13.5" hidden="1" customHeight="1">
      <c r="A4947" s="4" t="s">
        <v>11272</v>
      </c>
      <c r="B4947" s="4" t="s">
        <v>11273</v>
      </c>
      <c r="C4947" s="4" t="str">
        <f ca="1">IFERROR(__xludf.DUMMYFUNCTION("GOOGLETRANSLATE(D:D,""auto"",""en"")"),"Yang Song Xuedong married")</f>
        <v>Yang Song Xuedong married</v>
      </c>
      <c r="D4947" s="5" t="s">
        <v>11274</v>
      </c>
      <c r="E4947" s="4">
        <v>1367483</v>
      </c>
    </row>
    <row r="4948" spans="1:6" ht="13.5" hidden="1" customHeight="1">
      <c r="A4948" s="4" t="s">
        <v>11275</v>
      </c>
      <c r="B4948" s="4" t="s">
        <v>11276</v>
      </c>
      <c r="C4948" s="4" t="str">
        <f ca="1">IFERROR(__xludf.DUMMYFUNCTION("GOOGLETRANSLATE(D:D,""auto"",""en"")"),"Spicy Milk")</f>
        <v>Spicy Milk</v>
      </c>
      <c r="D4948" s="5" t="s">
        <v>11277</v>
      </c>
      <c r="E4948" s="4">
        <v>1277361</v>
      </c>
    </row>
    <row r="4949" spans="1:6" ht="13.5" hidden="1" customHeight="1">
      <c r="A4949" s="4" t="s">
        <v>11278</v>
      </c>
      <c r="B4949" s="4" t="s">
        <v>11279</v>
      </c>
      <c r="C4949" s="4" t="str">
        <f ca="1">IFERROR(__xludf.DUMMYFUNCTION("GOOGLETRANSLATE(D:D,""auto"",""en"")"),"First contact with the earthquake Jinan")</f>
        <v>First contact with the earthquake Jinan</v>
      </c>
      <c r="D4949" s="5" t="s">
        <v>11280</v>
      </c>
      <c r="E4949" s="4">
        <v>934728</v>
      </c>
    </row>
    <row r="4950" spans="1:6" ht="13.5" hidden="1" customHeight="1">
      <c r="A4950" s="4" t="s">
        <v>11281</v>
      </c>
      <c r="B4950" s="4" t="s">
        <v>11270</v>
      </c>
      <c r="C4950" s="4" t="str">
        <f ca="1">IFERROR(__xludf.DUMMYFUNCTION("GOOGLETRANSLATE(D:D,""auto"",""en"")"),"Song Weilong PW")</f>
        <v>Song Weilong PW</v>
      </c>
      <c r="D4950" s="5" t="s">
        <v>11282</v>
      </c>
      <c r="E4950" s="4">
        <v>753581</v>
      </c>
    </row>
    <row r="4951" spans="1:6" ht="13.5" customHeight="1">
      <c r="A4951" s="4" t="s">
        <v>11283</v>
      </c>
      <c r="B4951" s="4" t="s">
        <v>11284</v>
      </c>
      <c r="C4951" s="4" t="str">
        <f ca="1">IFERROR(__xludf.DUMMYFUNCTION("GOOGLETRANSLATE(D:D,""auto"",""en"")"),"6000 Japanese hospital masks stolen")</f>
        <v>6000 Japanese hospital masks stolen</v>
      </c>
      <c r="D4951" s="5" t="s">
        <v>11285</v>
      </c>
      <c r="E4951" s="4">
        <v>726208</v>
      </c>
      <c r="F4951">
        <v>1</v>
      </c>
    </row>
    <row r="4952" spans="1:6" ht="13.5" hidden="1" customHeight="1">
      <c r="A4952" s="4" t="s">
        <v>11286</v>
      </c>
      <c r="B4952" s="4" t="s">
        <v>11287</v>
      </c>
      <c r="C4952" s="4" t="str">
        <f ca="1">IFERROR(__xludf.DUMMYFUNCTION("GOOGLETRANSLATE(D:D,""auto"",""en"")"),"Chinese Center for Disease Control latest heavyweight paper")</f>
        <v>Chinese Center for Disease Control latest heavyweight paper</v>
      </c>
      <c r="D4952" s="5" t="s">
        <v>11288</v>
      </c>
      <c r="E4952" s="4">
        <v>642419</v>
      </c>
    </row>
    <row r="4953" spans="1:6" ht="13.5" hidden="1" customHeight="1">
      <c r="A4953" s="4" t="s">
        <v>11289</v>
      </c>
      <c r="B4953" s="4" t="s">
        <v>11290</v>
      </c>
      <c r="C4953" s="4" t="str">
        <f ca="1">IFERROR(__xludf.DUMMYFUNCTION("GOOGLETRANSLATE(D:D,""auto"",""en"")"),"After the Spring Festival pork wholesale price of 50 yuan per kilogram")</f>
        <v>After the Spring Festival pork wholesale price of 50 yuan per kilogram</v>
      </c>
      <c r="D4953" s="5" t="s">
        <v>11291</v>
      </c>
      <c r="E4953" s="4">
        <v>613490</v>
      </c>
    </row>
    <row r="4954" spans="1:6" ht="13.5" customHeight="1">
      <c r="A4954" s="4" t="s">
        <v>11292</v>
      </c>
      <c r="B4954" s="4" t="s">
        <v>11293</v>
      </c>
      <c r="C4954" s="4" t="str">
        <f ca="1">IFERROR(__xludf.DUMMYFUNCTION("GOOGLETRANSLATE(D:D,""auto"",""en"")"),"A total of 616 cases diagnosed in Japan")</f>
        <v>A total of 616 cases diagnosed in Japan</v>
      </c>
      <c r="D4954" s="5" t="s">
        <v>11294</v>
      </c>
      <c r="E4954" s="4">
        <v>585132</v>
      </c>
      <c r="F4954">
        <v>1</v>
      </c>
    </row>
    <row r="4955" spans="1:6" ht="13.5" hidden="1" customHeight="1">
      <c r="A4955" s="4" t="s">
        <v>11295</v>
      </c>
      <c r="B4955" s="4" t="s">
        <v>11296</v>
      </c>
      <c r="C4955" s="4" t="str">
        <f ca="1">IFERROR(__xludf.DUMMYFUNCTION("GOOGLETRANSLATE(D:D,""auto"",""en"")"),"Cao Yun Kim")</f>
        <v>Cao Yun Kim</v>
      </c>
      <c r="D4955" s="5" t="s">
        <v>11297</v>
      </c>
      <c r="E4955" s="4">
        <v>584195</v>
      </c>
    </row>
    <row r="4956" spans="1:6" ht="13.5" customHeight="1">
      <c r="A4956" s="4" t="s">
        <v>11298</v>
      </c>
      <c r="B4956" s="4" t="s">
        <v>11299</v>
      </c>
      <c r="C4956" s="4" t="str">
        <f ca="1">IFERROR(__xludf.DUMMYFUNCTION("GOOGLETRANSLATE(D:D,""auto"",""en"")"),"Wuhan University")</f>
        <v>Wuhan University</v>
      </c>
      <c r="D4956" s="5" t="s">
        <v>11300</v>
      </c>
      <c r="E4956" s="4">
        <v>583075</v>
      </c>
      <c r="F4956">
        <v>1</v>
      </c>
    </row>
    <row r="4957" spans="1:6" ht="13.5" hidden="1" customHeight="1">
      <c r="A4957" s="4" t="s">
        <v>11301</v>
      </c>
      <c r="B4957" s="4" t="s">
        <v>11302</v>
      </c>
      <c r="C4957" s="4" t="str">
        <f ca="1">IFERROR(__xludf.DUMMYFUNCTION("GOOGLETRANSLATE(D:D,""auto"",""en"")"),"Shawn fat")</f>
        <v>Shawn fat</v>
      </c>
      <c r="D4957" s="5" t="s">
        <v>11303</v>
      </c>
      <c r="E4957" s="4">
        <v>579465</v>
      </c>
    </row>
    <row r="4958" spans="1:6" ht="13.5" hidden="1" customHeight="1">
      <c r="A4958" s="4" t="s">
        <v>11304</v>
      </c>
      <c r="B4958" s="4" t="s">
        <v>11305</v>
      </c>
      <c r="C4958" s="4" t="str">
        <f ca="1">IFERROR(__xludf.DUMMYFUNCTION("GOOGLETRANSLATE(D:D,""auto"",""en"")"),"Wu Lei gentian violet eyes")</f>
        <v>Wu Lei gentian violet eyes</v>
      </c>
      <c r="D4958" s="5" t="s">
        <v>11306</v>
      </c>
      <c r="E4958" s="4">
        <v>578825</v>
      </c>
    </row>
    <row r="4959" spans="1:6" ht="13.5" hidden="1" customHeight="1">
      <c r="A4959" s="4" t="s">
        <v>11301</v>
      </c>
      <c r="B4959" s="4" t="s">
        <v>11307</v>
      </c>
      <c r="C4959" s="4" t="str">
        <f ca="1">IFERROR(__xludf.DUMMYFUNCTION("GOOGLETRANSLATE(D:D,""auto"",""en"")"),"Xiaogan play mahjong discouraged events mayor door to apologize")</f>
        <v>Xiaogan play mahjong discouraged events mayor door to apologize</v>
      </c>
      <c r="D4959" s="5" t="s">
        <v>11308</v>
      </c>
      <c r="E4959" s="4">
        <v>575737</v>
      </c>
    </row>
    <row r="4960" spans="1:6" ht="13.5" hidden="1" customHeight="1">
      <c r="A4960" s="4" t="s">
        <v>11309</v>
      </c>
      <c r="B4960" s="4" t="s">
        <v>11310</v>
      </c>
      <c r="C4960" s="4" t="str">
        <f ca="1">IFERROR(__xludf.DUMMYFUNCTION("GOOGLETRANSLATE(D:D,""auto"",""en"")"),"Zhang Yixing fans onmyouji")</f>
        <v>Zhang Yixing fans onmyouji</v>
      </c>
      <c r="D4960" s="5" t="s">
        <v>11311</v>
      </c>
      <c r="E4960" s="4">
        <v>573942</v>
      </c>
    </row>
    <row r="4961" spans="1:6" ht="13.5" hidden="1" customHeight="1">
      <c r="A4961" s="4" t="s">
        <v>11312</v>
      </c>
      <c r="B4961" s="4" t="s">
        <v>11313</v>
      </c>
      <c r="C4961" s="4" t="str">
        <f ca="1">IFERROR(__xludf.DUMMYFUNCTION("GOOGLETRANSLATE(D:D,""auto"",""en"")"),"Cai Minmin He Canyang sweet")</f>
        <v>Cai Minmin He Canyang sweet</v>
      </c>
      <c r="D4961" s="5" t="s">
        <v>11314</v>
      </c>
      <c r="E4961" s="4">
        <v>572915</v>
      </c>
    </row>
    <row r="4962" spans="1:6" ht="13.5" hidden="1" customHeight="1">
      <c r="A4962" s="4" t="s">
        <v>11315</v>
      </c>
      <c r="B4962" s="4" t="s">
        <v>11316</v>
      </c>
      <c r="C4962" s="4" t="str">
        <f ca="1">IFERROR(__xludf.DUMMYFUNCTION("GOOGLETRANSLATE(D:D,""auto"",""en"")"),"Ducks locust")</f>
        <v>Ducks locust</v>
      </c>
      <c r="D4962" s="5" t="s">
        <v>11317</v>
      </c>
      <c r="E4962" s="4">
        <v>569603</v>
      </c>
    </row>
    <row r="4963" spans="1:6" ht="13.5" customHeight="1">
      <c r="A4963" s="4" t="s">
        <v>11318</v>
      </c>
      <c r="B4963" s="4" t="s">
        <v>11319</v>
      </c>
      <c r="C4963" s="4" t="str">
        <f ca="1">IFERROR(__xludf.DUMMYFUNCTION("GOOGLETRANSLATE(D:D,""auto"",""en"")"),"Zhong Nanshan sewer emphasize keeping open vital")</f>
        <v>Zhong Nanshan sewer emphasize keeping open vital</v>
      </c>
      <c r="D4963" s="5" t="s">
        <v>11320</v>
      </c>
      <c r="E4963" s="4">
        <v>568857</v>
      </c>
      <c r="F4963">
        <v>1</v>
      </c>
    </row>
    <row r="4964" spans="1:6" ht="13.5" hidden="1" customHeight="1">
      <c r="A4964" s="4" t="s">
        <v>11251</v>
      </c>
      <c r="B4964" s="4" t="s">
        <v>11321</v>
      </c>
      <c r="C4964" s="4" t="str">
        <f ca="1">IFERROR(__xludf.DUMMYFUNCTION("GOOGLETRANSLATE(D:D,""auto"",""en"")"),"Chengdu in the end how beautiful")</f>
        <v>Chengdu in the end how beautiful</v>
      </c>
      <c r="D4964" s="5" t="s">
        <v>11322</v>
      </c>
      <c r="E4964" s="4">
        <v>472366</v>
      </c>
    </row>
    <row r="4965" spans="1:6" ht="13.5" customHeight="1">
      <c r="A4965" s="4" t="s">
        <v>11323</v>
      </c>
      <c r="B4965" s="4" t="s">
        <v>11324</v>
      </c>
      <c r="C4965" s="4" t="str">
        <f ca="1">IFERROR(__xludf.DUMMYFUNCTION("GOOGLETRANSLATE(D:D,""auto"",""en"")"),"Xiaozhan love will not be isolated")</f>
        <v>Xiaozhan love will not be isolated</v>
      </c>
      <c r="D4965" s="5" t="s">
        <v>11325</v>
      </c>
      <c r="E4965" s="4">
        <v>470016</v>
      </c>
      <c r="F4965">
        <v>1</v>
      </c>
    </row>
    <row r="4966" spans="1:6" ht="13.5" hidden="1" customHeight="1">
      <c r="A4966" s="4" t="s">
        <v>11326</v>
      </c>
      <c r="B4966" s="4" t="s">
        <v>11296</v>
      </c>
      <c r="C4966" s="4" t="str">
        <f ca="1">IFERROR(__xludf.DUMMYFUNCTION("GOOGLETRANSLATE(D:D,""auto"",""en"")"),"Yellow 轩演 skills")</f>
        <v>Yellow 轩演 skills</v>
      </c>
      <c r="D4966" s="5" t="s">
        <v>11327</v>
      </c>
      <c r="E4966" s="4">
        <v>441499</v>
      </c>
    </row>
    <row r="4967" spans="1:6" ht="13.5" hidden="1" customHeight="1">
      <c r="A4967" s="4" t="s">
        <v>11328</v>
      </c>
      <c r="B4967" s="4" t="s">
        <v>11329</v>
      </c>
      <c r="C4967" s="4" t="str">
        <f ca="1">IFERROR(__xludf.DUMMYFUNCTION("GOOGLETRANSLATE(D:D,""auto"",""en"")"),"Youth have you two quadruplets")</f>
        <v>Youth have you two quadruplets</v>
      </c>
      <c r="D4967" s="5" t="s">
        <v>11330</v>
      </c>
      <c r="E4967" s="4">
        <v>401860</v>
      </c>
    </row>
    <row r="4968" spans="1:6" ht="13.5" hidden="1" customHeight="1">
      <c r="A4968" s="4" t="s">
        <v>11331</v>
      </c>
      <c r="B4968" s="4" t="s">
        <v>11319</v>
      </c>
      <c r="C4968" s="4" t="str">
        <f ca="1">IFERROR(__xludf.DUMMYFUNCTION("GOOGLETRANSLATE(D:D,""auto"",""en"")"),"The State Council decided phased reduction of corporate social security charges")</f>
        <v>The State Council decided phased reduction of corporate social security charges</v>
      </c>
      <c r="D4968" s="5" t="s">
        <v>11332</v>
      </c>
      <c r="E4968" s="4">
        <v>396487</v>
      </c>
    </row>
    <row r="4969" spans="1:6" ht="13.5" hidden="1" customHeight="1">
      <c r="A4969" s="4" t="s">
        <v>11333</v>
      </c>
      <c r="B4969" s="4" t="s">
        <v>11287</v>
      </c>
      <c r="C4969" s="4" t="str">
        <f ca="1">IFERROR(__xludf.DUMMYFUNCTION("GOOGLETRANSLATE(D:D,""auto"",""en"")"),"Just how difficult Hokkien")</f>
        <v>Just how difficult Hokkien</v>
      </c>
      <c r="D4969" s="5" t="s">
        <v>11334</v>
      </c>
      <c r="E4969" s="4">
        <v>391349</v>
      </c>
    </row>
    <row r="4970" spans="1:6" ht="13.5" hidden="1" customHeight="1">
      <c r="A4970" s="4" t="s">
        <v>11335</v>
      </c>
      <c r="B4970" s="4" t="s">
        <v>11336</v>
      </c>
      <c r="C4970" s="4" t="str">
        <f ca="1">IFERROR(__xludf.DUMMYFUNCTION("GOOGLETRANSLATE(D:D,""auto"",""en"")"),"Xiaotong filter off under beauty")</f>
        <v>Xiaotong filter off under beauty</v>
      </c>
      <c r="D4970" s="5" t="s">
        <v>11337</v>
      </c>
      <c r="E4970" s="4">
        <v>391060</v>
      </c>
    </row>
    <row r="4971" spans="1:6" ht="13.5" customHeight="1">
      <c r="A4971" s="4" t="s">
        <v>11338</v>
      </c>
      <c r="B4971" s="4" t="s">
        <v>11284</v>
      </c>
      <c r="C4971" s="4" t="str">
        <f ca="1">IFERROR(__xludf.DUMMYFUNCTION("GOOGLETRANSLATE(D:D,""auto"",""en"")"),"The first approval workers who")</f>
        <v>The first approval workers who</v>
      </c>
      <c r="D4971" s="5" t="s">
        <v>11339</v>
      </c>
      <c r="E4971" s="4">
        <v>383464</v>
      </c>
      <c r="F4971">
        <v>1</v>
      </c>
    </row>
    <row r="4972" spans="1:6" ht="13.5" customHeight="1">
      <c r="A4972" s="4" t="s">
        <v>11340</v>
      </c>
      <c r="B4972" s="4" t="s">
        <v>11341</v>
      </c>
      <c r="C4972" s="4" t="str">
        <f ca="1">IFERROR(__xludf.DUMMYFUNCTION("GOOGLETRANSLATE(D:D,""auto"",""en"")"),"Epidemic first appeared three")</f>
        <v>Epidemic first appeared three</v>
      </c>
      <c r="D4972" s="5" t="s">
        <v>11342</v>
      </c>
      <c r="E4972" s="4">
        <v>380801</v>
      </c>
      <c r="F4972">
        <v>1</v>
      </c>
    </row>
    <row r="4973" spans="1:6" ht="13.5" hidden="1" customHeight="1">
      <c r="A4973" s="4" t="s">
        <v>11343</v>
      </c>
      <c r="B4973" s="4" t="s">
        <v>11344</v>
      </c>
      <c r="C4973" s="4" t="str">
        <f ca="1">IFERROR(__xludf.DUMMYFUNCTION("GOOGLETRANSLATE(D:D,""auto"",""en"")"),"A Bangkok shopping center shooting incident")</f>
        <v>A Bangkok shopping center shooting incident</v>
      </c>
      <c r="D4973" s="5" t="s">
        <v>11345</v>
      </c>
      <c r="E4973" s="4">
        <v>373976</v>
      </c>
    </row>
    <row r="4974" spans="1:6" ht="13.5" customHeight="1">
      <c r="A4974" s="4" t="s">
        <v>11346</v>
      </c>
      <c r="B4974" s="4" t="s">
        <v>11347</v>
      </c>
      <c r="C4974" s="4" t="str">
        <f ca="1">IFERROR(__xludf.DUMMYFUNCTION("GOOGLETRANSLATE(D:D,""auto"",""en"")"),"Zhong Nanshan represents Wuhan has not stopped human transmission")</f>
        <v>Zhong Nanshan represents Wuhan has not stopped human transmission</v>
      </c>
      <c r="D4974" s="5" t="s">
        <v>11348</v>
      </c>
      <c r="E4974" s="4">
        <v>372697</v>
      </c>
      <c r="F4974">
        <v>1</v>
      </c>
    </row>
    <row r="4975" spans="1:6" ht="13.5" hidden="1" customHeight="1">
      <c r="A4975" s="4" t="s">
        <v>11349</v>
      </c>
      <c r="B4975" s="4" t="s">
        <v>11290</v>
      </c>
      <c r="C4975" s="4" t="str">
        <f ca="1">IFERROR(__xludf.DUMMYFUNCTION("GOOGLETRANSLATE(D:D,""auto"",""en"")"),"Ultra King of Ghosts")</f>
        <v>Ultra King of Ghosts</v>
      </c>
      <c r="D4975" s="5" t="s">
        <v>11350</v>
      </c>
      <c r="E4975" s="4">
        <v>368349</v>
      </c>
    </row>
    <row r="4976" spans="1:6" ht="13.5" hidden="1" customHeight="1">
      <c r="A4976" s="4" t="s">
        <v>11351</v>
      </c>
      <c r="B4976" s="4" t="s">
        <v>11352</v>
      </c>
      <c r="C4976" s="4" t="str">
        <f ca="1">IFERROR(__xludf.DUMMYFUNCTION("GOOGLETRANSLATE(D:D,""auto"",""en"")"),"Easy Yangqianxilu cat")</f>
        <v>Easy Yangqianxilu cat</v>
      </c>
      <c r="D4976" s="5" t="s">
        <v>11353</v>
      </c>
      <c r="E4976" s="4">
        <v>322256</v>
      </c>
    </row>
    <row r="4977" spans="1:6" ht="13.5" customHeight="1">
      <c r="A4977" s="4" t="s">
        <v>9485</v>
      </c>
      <c r="B4977" s="4" t="s">
        <v>11354</v>
      </c>
      <c r="C4977" s="4" t="str">
        <f ca="1">IFERROR(__xludf.DUMMYFUNCTION("GOOGLETRANSLATE(D:D,""auto"",""en"")"),"Masks cake")</f>
        <v>Masks cake</v>
      </c>
      <c r="D4977" s="5" t="s">
        <v>11355</v>
      </c>
      <c r="E4977" s="4">
        <v>311378</v>
      </c>
      <c r="F4977">
        <v>1</v>
      </c>
    </row>
    <row r="4978" spans="1:6" ht="13.5" customHeight="1">
      <c r="A4978" s="4" t="s">
        <v>11356</v>
      </c>
      <c r="B4978" s="4" t="s">
        <v>11357</v>
      </c>
      <c r="C4978" s="4" t="str">
        <f ca="1">IFERROR(__xludf.DUMMYFUNCTION("GOOGLETRANSLATE(D:D,""auto"",""en"")"),"Seen the most down to earth slogan of the fight against SARS")</f>
        <v>Seen the most down to earth slogan of the fight against SARS</v>
      </c>
      <c r="D4978" s="5" t="s">
        <v>11358</v>
      </c>
      <c r="E4978" s="4">
        <v>296943</v>
      </c>
      <c r="F4978">
        <v>1</v>
      </c>
    </row>
    <row r="4979" spans="1:6" ht="13.5" hidden="1" customHeight="1">
      <c r="A4979" s="4" t="s">
        <v>11359</v>
      </c>
      <c r="B4979" s="4" t="s">
        <v>11360</v>
      </c>
      <c r="C4979" s="4" t="str">
        <f ca="1">IFERROR(__xludf.DUMMYFUNCTION("GOOGLETRANSLATE(D:D,""auto"",""en"")"),"Zhou deep back to the white walls and live play competition")</f>
        <v>Zhou deep back to the white walls and live play competition</v>
      </c>
      <c r="D4979" s="5" t="s">
        <v>11361</v>
      </c>
      <c r="E4979" s="4">
        <v>268810</v>
      </c>
    </row>
    <row r="4980" spans="1:6" ht="13.5" hidden="1" customHeight="1">
      <c r="A4980" s="4" t="s">
        <v>11362</v>
      </c>
      <c r="B4980" s="4" t="s">
        <v>11187</v>
      </c>
      <c r="C4980" s="4" t="str">
        <f ca="1">IFERROR(__xludf.DUMMYFUNCTION("GOOGLETRANSLATE(D:D,""auto"",""en"")"),"Lisa black long curly hair")</f>
        <v>Lisa black long curly hair</v>
      </c>
      <c r="D4980" s="5" t="s">
        <v>11363</v>
      </c>
      <c r="E4980" s="4">
        <v>268575</v>
      </c>
    </row>
    <row r="4981" spans="1:6" ht="13.5" hidden="1" customHeight="1">
      <c r="A4981" s="4" t="s">
        <v>11346</v>
      </c>
      <c r="B4981" s="4" t="s">
        <v>11364</v>
      </c>
      <c r="C4981" s="4" t="str">
        <f ca="1">IFERROR(__xludf.DUMMYFUNCTION("GOOGLETRANSLATE(D:D,""auto"",""en"")"),"India-Pakistan border locusts")</f>
        <v>India-Pakistan border locusts</v>
      </c>
      <c r="D4981" s="5" t="s">
        <v>11365</v>
      </c>
      <c r="E4981" s="4">
        <v>267466</v>
      </c>
    </row>
    <row r="4982" spans="1:6" ht="13.5" hidden="1" customHeight="1">
      <c r="A4982" s="4" t="s">
        <v>11366</v>
      </c>
      <c r="B4982" s="4" t="s">
        <v>11321</v>
      </c>
      <c r="C4982" s="4" t="str">
        <f ca="1">IFERROR(__xludf.DUMMYFUNCTION("GOOGLETRANSLATE(D:D,""auto"",""en"")"),"Mother of God the same logic")</f>
        <v>Mother of God the same logic</v>
      </c>
      <c r="D4982" s="5" t="s">
        <v>11367</v>
      </c>
      <c r="E4982" s="4">
        <v>266908</v>
      </c>
    </row>
    <row r="4983" spans="1:6" ht="13.5" hidden="1" customHeight="1">
      <c r="A4983" s="4" t="s">
        <v>11368</v>
      </c>
      <c r="B4983" s="4" t="s">
        <v>11369</v>
      </c>
      <c r="C4983" s="4" t="str">
        <f ca="1">IFERROR(__xludf.DUMMYFUNCTION("GOOGLETRANSLATE(D:D,""auto"",""en"")"),"Self-control Imo圆")</f>
        <v>Self-control Imo圆</v>
      </c>
      <c r="D4983" s="5" t="s">
        <v>11370</v>
      </c>
      <c r="E4983" s="4">
        <v>266840</v>
      </c>
    </row>
    <row r="4984" spans="1:6" ht="13.5" hidden="1" customHeight="1">
      <c r="A4984" s="4" t="s">
        <v>11371</v>
      </c>
      <c r="B4984" s="4" t="s">
        <v>11372</v>
      </c>
      <c r="C4984" s="4" t="str">
        <f ca="1">IFERROR(__xludf.DUMMYFUNCTION("GOOGLETRANSLATE(D:D,""auto"",""en"")"),"Butterfly Wings heels")</f>
        <v>Butterfly Wings heels</v>
      </c>
      <c r="D4984" s="5" t="s">
        <v>11373</v>
      </c>
      <c r="E4984" s="4">
        <v>259447</v>
      </c>
    </row>
    <row r="4985" spans="1:6" ht="13.5" hidden="1" customHeight="1">
      <c r="A4985" s="4" t="s">
        <v>11374</v>
      </c>
      <c r="B4985" s="4" t="s">
        <v>11352</v>
      </c>
      <c r="C4985" s="4" t="str">
        <f ca="1">IFERROR(__xludf.DUMMYFUNCTION("GOOGLETRANSLATE(D:D,""auto"",""en"")"),"Ha Jung-woo party denies drug use")</f>
        <v>Ha Jung-woo party denies drug use</v>
      </c>
      <c r="D4985" s="5" t="s">
        <v>11375</v>
      </c>
      <c r="E4985" s="4">
        <v>253326</v>
      </c>
    </row>
    <row r="4986" spans="1:6" ht="13.5" customHeight="1">
      <c r="A4986" s="4" t="s">
        <v>11376</v>
      </c>
      <c r="B4986" s="4" t="s">
        <v>11287</v>
      </c>
      <c r="C4986" s="4" t="str">
        <f ca="1">IFERROR(__xludf.DUMMYFUNCTION("GOOGLETRANSLATE(D:D,""auto"",""en"")"),"These are criminal acts during the fight against SARS")</f>
        <v>These are criminal acts during the fight against SARS</v>
      </c>
      <c r="D4986" s="5" t="s">
        <v>11377</v>
      </c>
      <c r="E4986" s="4">
        <v>234722</v>
      </c>
      <c r="F4986">
        <v>1</v>
      </c>
    </row>
    <row r="4987" spans="1:6" ht="13.5" customHeight="1">
      <c r="A4987" s="4" t="s">
        <v>10672</v>
      </c>
      <c r="B4987" s="4" t="s">
        <v>10673</v>
      </c>
      <c r="C4987" s="4" t="str">
        <f ca="1">IFERROR(__xludf.DUMMYFUNCTION("GOOGLETRANSLATE(D:D,""auto"",""en"")"),"Japan epidemic")</f>
        <v>Japan epidemic</v>
      </c>
      <c r="D4987" s="5" t="s">
        <v>10674</v>
      </c>
      <c r="E4987" s="4">
        <v>230448</v>
      </c>
      <c r="F4987">
        <v>1</v>
      </c>
    </row>
    <row r="4988" spans="1:6" ht="13.5" hidden="1" customHeight="1">
      <c r="A4988" s="4" t="s">
        <v>11378</v>
      </c>
      <c r="B4988" s="4" t="s">
        <v>11379</v>
      </c>
      <c r="C4988" s="4" t="str">
        <f ca="1">IFERROR(__xludf.DUMMYFUNCTION("GOOGLETRANSLATE(D:D,""auto"",""en"")"),"Perfect relationship")</f>
        <v>Perfect relationship</v>
      </c>
      <c r="D4988" s="5" t="s">
        <v>11380</v>
      </c>
      <c r="E4988" s="4">
        <v>207632</v>
      </c>
    </row>
    <row r="4989" spans="1:6" ht="13.5" hidden="1" customHeight="1">
      <c r="C4989" s="4" t="str">
        <f ca="1">IFERROR(__xludf.DUMMYFUNCTION("GOOGLETRANSLATE(D:D,""auto"",""en"")"),"#VALUE!")</f>
        <v>#VALUE!</v>
      </c>
    </row>
    <row r="4990" spans="1:6" ht="13.5" customHeight="1">
      <c r="A4990" s="4" t="s">
        <v>11381</v>
      </c>
      <c r="B4990" s="4" t="s">
        <v>11272</v>
      </c>
      <c r="C4990" s="4" t="str">
        <f ca="1">IFERROR(__xludf.DUMMYFUNCTION("GOOGLETRANSLATE(D:D,""auto"",""en"")"),"West Lake in Hangzhou for managing the orderly opening")</f>
        <v>West Lake in Hangzhou for managing the orderly opening</v>
      </c>
      <c r="D4990" s="4" t="s">
        <v>11382</v>
      </c>
      <c r="E4990" s="4">
        <v>2788473</v>
      </c>
      <c r="F4990">
        <v>1</v>
      </c>
    </row>
    <row r="4991" spans="1:6" ht="13.5" customHeight="1">
      <c r="A4991" s="4" t="s">
        <v>11383</v>
      </c>
      <c r="B4991" s="4" t="s">
        <v>11384</v>
      </c>
      <c r="C4991" s="4" t="str">
        <f ca="1">IFERROR(__xludf.DUMMYFUNCTION("GOOGLETRANSLATE(D:D,""auto"",""en"")"),"2 tested negative after hospital discharge diagnosis")</f>
        <v>2 tested negative after hospital discharge diagnosis</v>
      </c>
      <c r="D4991" s="5" t="s">
        <v>11385</v>
      </c>
      <c r="E4991" s="4">
        <v>1789725</v>
      </c>
      <c r="F4991">
        <v>1</v>
      </c>
    </row>
    <row r="4992" spans="1:6" ht="13.5" customHeight="1">
      <c r="A4992" s="4" t="s">
        <v>11386</v>
      </c>
      <c r="B4992" s="4" t="s">
        <v>11387</v>
      </c>
      <c r="C4992" s="4" t="str">
        <f ca="1">IFERROR(__xludf.DUMMYFUNCTION("GOOGLETRANSLATE(D:D,""auto"",""en"")"),"South Korean new new 15 cases of pneumonia")</f>
        <v>South Korean new new 15 cases of pneumonia</v>
      </c>
      <c r="D4992" s="5" t="s">
        <v>11388</v>
      </c>
      <c r="E4992" s="4">
        <v>1596474</v>
      </c>
      <c r="F4992">
        <v>1</v>
      </c>
    </row>
    <row r="4993" spans="1:6" ht="13.5" hidden="1" customHeight="1">
      <c r="A4993" s="4" t="s">
        <v>11389</v>
      </c>
      <c r="B4993" s="4" t="s">
        <v>11390</v>
      </c>
      <c r="C4993" s="4" t="str">
        <f ca="1">IFERROR(__xludf.DUMMYFUNCTION("GOOGLETRANSLATE(D:D,""auto"",""en"")"),"Yang Mi Weight")</f>
        <v>Yang Mi Weight</v>
      </c>
      <c r="D4993" s="5" t="s">
        <v>11391</v>
      </c>
      <c r="E4993" s="4">
        <v>1581303</v>
      </c>
    </row>
    <row r="4994" spans="1:6" ht="13.5" hidden="1" customHeight="1">
      <c r="A4994" s="4" t="s">
        <v>11392</v>
      </c>
      <c r="B4994" s="4" t="s">
        <v>11393</v>
      </c>
      <c r="C4994" s="4" t="str">
        <f ca="1">IFERROR(__xludf.DUMMYFUNCTION("GOOGLETRANSLATE(D:D,""auto"",""en"")"),"Update consecutive years Warm Goat posts")</f>
        <v>Update consecutive years Warm Goat posts</v>
      </c>
      <c r="D4994" s="5" t="s">
        <v>11394</v>
      </c>
      <c r="E4994" s="4">
        <v>1476523</v>
      </c>
    </row>
    <row r="4995" spans="1:6" ht="13.5" hidden="1" customHeight="1">
      <c r="A4995" s="4" t="s">
        <v>11395</v>
      </c>
      <c r="B4995" s="4" t="s">
        <v>11396</v>
      </c>
      <c r="C4995" s="4" t="str">
        <f ca="1">IFERROR(__xludf.DUMMYFUNCTION("GOOGLETRANSLATE(D:D,""auto"",""en"")"),"Song Weilong sister")</f>
        <v>Song Weilong sister</v>
      </c>
      <c r="D4995" s="5" t="s">
        <v>11397</v>
      </c>
      <c r="E4995" s="4">
        <v>1236493</v>
      </c>
    </row>
    <row r="4996" spans="1:6" ht="13.5" hidden="1" customHeight="1">
      <c r="A4996" s="4" t="s">
        <v>11398</v>
      </c>
      <c r="B4996" s="4" t="s">
        <v>11399</v>
      </c>
      <c r="C4996" s="4" t="str">
        <f ca="1">IFERROR(__xludf.DUMMYFUNCTION("GOOGLETRANSLATE(D:D,""auto"",""en"")"),"Zhejiang many charter flights take workers back to free Gang")</f>
        <v>Zhejiang many charter flights take workers back to free Gang</v>
      </c>
      <c r="D4996" s="5" t="s">
        <v>11400</v>
      </c>
      <c r="E4996" s="4">
        <v>932403</v>
      </c>
    </row>
    <row r="4997" spans="1:6" ht="13.5" hidden="1" customHeight="1">
      <c r="A4997" s="4" t="s">
        <v>11401</v>
      </c>
      <c r="B4997" s="4" t="s">
        <v>11402</v>
      </c>
      <c r="C4997" s="4" t="str">
        <f ca="1">IFERROR(__xludf.DUMMYFUNCTION("GOOGLETRANSLATE(D:D,""auto"",""en"")"),"3-year-old Syrian refugee hear laughter bombing")</f>
        <v>3-year-old Syrian refugee hear laughter bombing</v>
      </c>
      <c r="D4997" s="5" t="s">
        <v>11403</v>
      </c>
      <c r="E4997" s="4">
        <v>869130</v>
      </c>
    </row>
    <row r="4998" spans="1:6" ht="13.5" customHeight="1">
      <c r="A4998" s="4" t="s">
        <v>11404</v>
      </c>
      <c r="B4998" s="4" t="s">
        <v>11405</v>
      </c>
      <c r="C4998" s="4" t="str">
        <f ca="1">IFERROR(__xludf.DUMMYFUNCTION("GOOGLETRANSLATE(D:D,""auto"",""en"")"),"Wuhan diagnosed patients will again find home Accountability")</f>
        <v>Wuhan diagnosed patients will again find home Accountability</v>
      </c>
      <c r="D4998" s="5" t="s">
        <v>11406</v>
      </c>
      <c r="E4998" s="4">
        <v>868967</v>
      </c>
      <c r="F4998">
        <v>1</v>
      </c>
    </row>
    <row r="4999" spans="1:6" ht="13.5" hidden="1" customHeight="1">
      <c r="A4999" s="4" t="s">
        <v>11407</v>
      </c>
      <c r="B4999" s="4" t="s">
        <v>11408</v>
      </c>
      <c r="C4999" s="4" t="str">
        <f ca="1">IFERROR(__xludf.DUMMYFUNCTION("GOOGLETRANSLATE(D:D,""auto"",""en"")"),"Abs abs preferably silver car JYP")</f>
        <v>Abs abs preferably silver car JYP</v>
      </c>
      <c r="D4999" s="5" t="s">
        <v>11409</v>
      </c>
      <c r="E4999" s="4">
        <v>868195</v>
      </c>
    </row>
    <row r="5000" spans="1:6" ht="13.5" customHeight="1">
      <c r="A5000" s="4" t="s">
        <v>11410</v>
      </c>
      <c r="B5000" s="4" t="s">
        <v>11411</v>
      </c>
      <c r="C5000" s="4" t="str">
        <f ca="1">IFERROR(__xludf.DUMMYFUNCTION("GOOGLETRANSLATE(D:D,""auto"",""en"")"),"600 free ride high-speed rail workers return to work")</f>
        <v>600 free ride high-speed rail workers return to work</v>
      </c>
      <c r="D5000" s="5" t="s">
        <v>11412</v>
      </c>
      <c r="E5000" s="4">
        <v>867829</v>
      </c>
      <c r="F5000">
        <v>1</v>
      </c>
    </row>
    <row r="5001" spans="1:6" ht="13.5" hidden="1" customHeight="1">
      <c r="A5001" s="4" t="s">
        <v>11260</v>
      </c>
      <c r="B5001" s="4" t="s">
        <v>11261</v>
      </c>
      <c r="C5001" s="4" t="str">
        <f ca="1">IFERROR(__xludf.DUMMYFUNCTION("GOOGLETRANSLATE(D:D,""auto"",""en"")"),"never and sister playing up")</f>
        <v>never and sister playing up</v>
      </c>
      <c r="D5001" s="5" t="s">
        <v>11262</v>
      </c>
      <c r="E5001" s="4">
        <v>867131</v>
      </c>
    </row>
    <row r="5002" spans="1:6" ht="13.5" hidden="1" customHeight="1">
      <c r="A5002" s="4" t="s">
        <v>11413</v>
      </c>
      <c r="B5002" s="4" t="s">
        <v>11414</v>
      </c>
      <c r="C5002" s="4" t="str">
        <f ca="1">IFERROR(__xludf.DUMMYFUNCTION("GOOGLETRANSLATE(D:D,""auto"",""en"")"),"PubMed published more first test results tomorrow")</f>
        <v>PubMed published more first test results tomorrow</v>
      </c>
      <c r="D5002" s="5" t="s">
        <v>11415</v>
      </c>
      <c r="E5002" s="4">
        <v>866938</v>
      </c>
    </row>
    <row r="5003" spans="1:6" ht="13.5" customHeight="1">
      <c r="A5003" s="4" t="s">
        <v>11416</v>
      </c>
      <c r="B5003" s="4" t="s">
        <v>11346</v>
      </c>
      <c r="C5003" s="4" t="str">
        <f ca="1">IFERROR(__xludf.DUMMYFUNCTION("GOOGLETRANSLATE(D:D,""auto"",""en"")"),"The national total of 74,185 cases of pneumonia diagnosed with the new crown")</f>
        <v>The national total of 74,185 cases of pneumonia diagnosed with the new crown</v>
      </c>
      <c r="D5003" s="5" t="s">
        <v>11417</v>
      </c>
      <c r="E5003" s="4">
        <v>866078</v>
      </c>
      <c r="F5003">
        <v>1</v>
      </c>
    </row>
    <row r="5004" spans="1:6" ht="13.5" hidden="1" customHeight="1">
      <c r="A5004" s="4" t="s">
        <v>11418</v>
      </c>
      <c r="B5004" s="4" t="s">
        <v>11349</v>
      </c>
      <c r="C5004" s="4" t="str">
        <f ca="1">IFERROR(__xludf.DUMMYFUNCTION("GOOGLETRANSLATE(D:D,""auto"",""en"")"),"rainwater")</f>
        <v>rainwater</v>
      </c>
      <c r="D5004" s="5" t="s">
        <v>11419</v>
      </c>
      <c r="E5004" s="4">
        <v>865917</v>
      </c>
    </row>
    <row r="5005" spans="1:6" ht="13.5" hidden="1" customHeight="1">
      <c r="A5005" s="4" t="s">
        <v>11420</v>
      </c>
      <c r="B5005" s="4" t="s">
        <v>11421</v>
      </c>
      <c r="C5005" s="4" t="str">
        <f ca="1">IFERROR(__xludf.DUMMYFUNCTION("GOOGLETRANSLATE(D:D,""auto"",""en"")"),"Henry Huo yawn dislocated jaw")</f>
        <v>Henry Huo yawn dislocated jaw</v>
      </c>
      <c r="D5005" s="5" t="s">
        <v>11422</v>
      </c>
      <c r="E5005" s="4">
        <v>865402</v>
      </c>
    </row>
    <row r="5006" spans="1:6" ht="13.5" hidden="1" customHeight="1">
      <c r="A5006" s="4" t="s">
        <v>11423</v>
      </c>
      <c r="B5006" s="4" t="s">
        <v>11390</v>
      </c>
      <c r="C5006" s="4" t="str">
        <f ca="1">IFERROR(__xludf.DUMMYFUNCTION("GOOGLETRANSLATE(D:D,""auto"",""en"")"),"High dew temperament")</f>
        <v>High dew temperament</v>
      </c>
      <c r="D5006" s="5" t="s">
        <v>11424</v>
      </c>
      <c r="E5006" s="4">
        <v>864773</v>
      </c>
    </row>
    <row r="5007" spans="1:6" ht="13.5" customHeight="1">
      <c r="A5007" s="4" t="s">
        <v>11425</v>
      </c>
      <c r="B5007" s="4" t="s">
        <v>11272</v>
      </c>
      <c r="C5007" s="4" t="str">
        <f ca="1">IFERROR(__xludf.DUMMYFUNCTION("GOOGLETRANSLATE(D:D,""auto"",""en"")"),"Students to wear uniforms teacher formal dress online courses")</f>
        <v>Students to wear uniforms teacher formal dress online courses</v>
      </c>
      <c r="D5007" s="5" t="s">
        <v>11426</v>
      </c>
      <c r="E5007" s="4">
        <v>864129</v>
      </c>
      <c r="F5007">
        <v>1</v>
      </c>
    </row>
    <row r="5008" spans="1:6" ht="13.5" customHeight="1">
      <c r="A5008" s="4" t="s">
        <v>11427</v>
      </c>
      <c r="B5008" s="4" t="s">
        <v>11356</v>
      </c>
      <c r="C5008" s="4" t="str">
        <f ca="1">IFERROR(__xludf.DUMMYFUNCTION("GOOGLETRANSLATE(D:D,""auto"",""en"")"),"Beijing add new six cases of pneumonia")</f>
        <v>Beijing add new six cases of pneumonia</v>
      </c>
      <c r="D5008" s="5" t="s">
        <v>11428</v>
      </c>
      <c r="E5008" s="4">
        <v>864019</v>
      </c>
      <c r="F5008">
        <v>1</v>
      </c>
    </row>
    <row r="5009" spans="1:6" ht="13.5" hidden="1" customHeight="1">
      <c r="A5009" s="4" t="s">
        <v>11429</v>
      </c>
      <c r="B5009" s="4" t="s">
        <v>11430</v>
      </c>
      <c r="C5009" s="4" t="str">
        <f ca="1">IFERROR(__xludf.DUMMYFUNCTION("GOOGLETRANSLATE(D:D,""auto"",""en"")"),"The difference between you and other people stay up all night")</f>
        <v>The difference between you and other people stay up all night</v>
      </c>
      <c r="D5009" s="5" t="s">
        <v>11431</v>
      </c>
      <c r="E5009" s="4">
        <v>863920</v>
      </c>
    </row>
    <row r="5010" spans="1:6" ht="13.5" customHeight="1">
      <c r="A5010" s="4" t="s">
        <v>11432</v>
      </c>
      <c r="B5010" s="4" t="s">
        <v>11433</v>
      </c>
      <c r="C5010" s="4" t="str">
        <f ca="1">IFERROR(__xludf.DUMMYFUNCTION("GOOGLETRANSLATE(D:D,""auto"",""en"")"),"Hubei Ji Zhongshan University students to send condolences to Kim")</f>
        <v>Hubei Ji Zhongshan University students to send condolences to Kim</v>
      </c>
      <c r="D5010" s="5" t="s">
        <v>11434</v>
      </c>
      <c r="E5010" s="4">
        <v>863430</v>
      </c>
      <c r="F5010">
        <v>1</v>
      </c>
    </row>
    <row r="5011" spans="1:6" ht="13.5" customHeight="1">
      <c r="A5011" s="4" t="s">
        <v>11435</v>
      </c>
      <c r="B5011" s="4" t="s">
        <v>11430</v>
      </c>
      <c r="C5011" s="4" t="str">
        <f ca="1">IFERROR(__xludf.DUMMYFUNCTION("GOOGLETRANSLATE(D:D,""auto"",""en"")"),"4 Hebei City by rental real-name registration")</f>
        <v>4 Hebei City by rental real-name registration</v>
      </c>
      <c r="D5011" s="5" t="s">
        <v>11436</v>
      </c>
      <c r="E5011" s="4">
        <v>760144</v>
      </c>
      <c r="F5011">
        <v>1</v>
      </c>
    </row>
    <row r="5012" spans="1:6" ht="13.5" hidden="1" customHeight="1">
      <c r="A5012" s="4" t="s">
        <v>11432</v>
      </c>
      <c r="B5012" s="4" t="s">
        <v>11437</v>
      </c>
      <c r="C5012" s="4" t="str">
        <f ca="1">IFERROR(__xludf.DUMMYFUNCTION("GOOGLETRANSLATE(D:D,""auto"",""en"")"),"Boy Scouts of America filed for bankruptcy")</f>
        <v>Boy Scouts of America filed for bankruptcy</v>
      </c>
      <c r="D5012" s="5" t="s">
        <v>11438</v>
      </c>
      <c r="E5012" s="4">
        <v>634507</v>
      </c>
    </row>
    <row r="5013" spans="1:6" ht="13.5" hidden="1" customHeight="1">
      <c r="A5013" s="4" t="s">
        <v>11439</v>
      </c>
      <c r="B5013" s="4" t="s">
        <v>11440</v>
      </c>
      <c r="C5013" s="4" t="str">
        <f ca="1">IFERROR(__xludf.DUMMYFUNCTION("GOOGLETRANSLATE(D:D,""auto"",""en"")"),"Honghua Hui captain original shell when dad")</f>
        <v>Honghua Hui captain original shell when dad</v>
      </c>
      <c r="D5013" s="5" t="s">
        <v>11441</v>
      </c>
      <c r="E5013" s="4">
        <v>608457</v>
      </c>
    </row>
    <row r="5014" spans="1:6" ht="13.5" customHeight="1">
      <c r="A5014" s="4" t="s">
        <v>11442</v>
      </c>
      <c r="B5014" s="4" t="s">
        <v>11443</v>
      </c>
      <c r="C5014" s="4" t="str">
        <f ca="1">IFERROR(__xludf.DUMMYFUNCTION("GOOGLETRANSLATE(D:D,""auto"",""en"")"),"I went online class status")</f>
        <v>I went online class status</v>
      </c>
      <c r="D5014" s="5" t="s">
        <v>11444</v>
      </c>
      <c r="E5014" s="4">
        <v>461069</v>
      </c>
      <c r="F5014">
        <v>1</v>
      </c>
    </row>
    <row r="5015" spans="1:6" ht="13.5" customHeight="1">
      <c r="A5015" s="4" t="s">
        <v>11445</v>
      </c>
      <c r="B5015" s="4" t="s">
        <v>11446</v>
      </c>
      <c r="C5015" s="4" t="str">
        <f ca="1">IFERROR(__xludf.DUMMYFUNCTION("GOOGLETRANSLATE(D:D,""auto"",""en"")"),"The new crown pneumonia and discharged girls dancing thanks to health care")</f>
        <v>The new crown pneumonia and discharged girls dancing thanks to health care</v>
      </c>
      <c r="D5015" s="5" t="s">
        <v>11447</v>
      </c>
      <c r="E5015" s="4">
        <v>448033</v>
      </c>
      <c r="F5015">
        <v>1</v>
      </c>
    </row>
    <row r="5016" spans="1:6" ht="13.5" customHeight="1">
      <c r="A5016" s="4" t="s">
        <v>11448</v>
      </c>
      <c r="B5016" s="4" t="s">
        <v>11449</v>
      </c>
      <c r="C5016" s="4" t="str">
        <f ca="1">IFERROR(__xludf.DUMMYFUNCTION("GOOGLETRANSLATE(D:D,""auto"",""en"")"),"Singapore punish those who violate home quarantine system")</f>
        <v>Singapore punish those who violate home quarantine system</v>
      </c>
      <c r="D5016" s="5" t="s">
        <v>11450</v>
      </c>
      <c r="E5016" s="4">
        <v>374074</v>
      </c>
      <c r="F5016">
        <v>1</v>
      </c>
    </row>
    <row r="5017" spans="1:6" ht="13.5" hidden="1" customHeight="1">
      <c r="A5017" s="4" t="s">
        <v>11451</v>
      </c>
      <c r="B5017" s="4" t="s">
        <v>11340</v>
      </c>
      <c r="C5017" s="4" t="str">
        <f ca="1">IFERROR(__xludf.DUMMYFUNCTION("GOOGLETRANSLATE(D:D,""auto"",""en"")"),"Potato salad")</f>
        <v>Potato salad</v>
      </c>
      <c r="D5017" s="5" t="s">
        <v>11452</v>
      </c>
      <c r="E5017" s="4">
        <v>364384</v>
      </c>
    </row>
    <row r="5018" spans="1:6" ht="13.5" hidden="1" customHeight="1">
      <c r="A5018" s="4" t="s">
        <v>11263</v>
      </c>
      <c r="B5018" s="4" t="s">
        <v>11264</v>
      </c>
      <c r="C5018" s="4" t="str">
        <f ca="1">IFERROR(__xludf.DUMMYFUNCTION("GOOGLETRANSLATE(D:D,""auto"",""en"")"),"Abe")</f>
        <v>Abe</v>
      </c>
      <c r="D5018" s="5" t="s">
        <v>11265</v>
      </c>
      <c r="E5018" s="4">
        <v>364315</v>
      </c>
    </row>
    <row r="5019" spans="1:6" ht="13.5" hidden="1" customHeight="1">
      <c r="A5019" s="4" t="s">
        <v>11295</v>
      </c>
      <c r="B5019" s="4" t="s">
        <v>11296</v>
      </c>
      <c r="C5019" s="4" t="str">
        <f ca="1">IFERROR(__xludf.DUMMYFUNCTION("GOOGLETRANSLATE(D:D,""auto"",""en"")"),"Cao Yun Kim")</f>
        <v>Cao Yun Kim</v>
      </c>
      <c r="D5019" s="5" t="s">
        <v>11297</v>
      </c>
      <c r="E5019" s="4">
        <v>364309</v>
      </c>
    </row>
    <row r="5020" spans="1:6" ht="13.5" customHeight="1">
      <c r="A5020" s="4" t="s">
        <v>11453</v>
      </c>
      <c r="B5020" s="4" t="s">
        <v>11454</v>
      </c>
      <c r="C5020" s="4" t="str">
        <f ca="1">IFERROR(__xludf.DUMMYFUNCTION("GOOGLETRANSLATE(D:D,""auto"",""en"")"),"Foxconn Zhengzhou probe real return to work")</f>
        <v>Foxconn Zhengzhou probe real return to work</v>
      </c>
      <c r="D5020" s="5" t="s">
        <v>11455</v>
      </c>
      <c r="E5020" s="4">
        <v>347377</v>
      </c>
      <c r="F5020">
        <v>1</v>
      </c>
    </row>
    <row r="5021" spans="1:6" ht="13.5" hidden="1" customHeight="1">
      <c r="A5021" s="4" t="s">
        <v>11266</v>
      </c>
      <c r="B5021" s="4" t="s">
        <v>11267</v>
      </c>
      <c r="C5021" s="4" t="str">
        <f ca="1">IFERROR(__xludf.DUMMYFUNCTION("GOOGLETRANSLATE(D:D,""auto"",""en"")"),"Chen number of gas field")</f>
        <v>Chen number of gas field</v>
      </c>
      <c r="D5021" s="5" t="s">
        <v>11268</v>
      </c>
      <c r="E5021" s="4">
        <v>338050</v>
      </c>
    </row>
    <row r="5022" spans="1:6" ht="13.5" hidden="1" customHeight="1">
      <c r="A5022" s="4" t="s">
        <v>11456</v>
      </c>
      <c r="B5022" s="4" t="s">
        <v>11457</v>
      </c>
      <c r="C5022" s="4" t="str">
        <f ca="1">IFERROR(__xludf.DUMMYFUNCTION("GOOGLETRANSLATE(D:D,""auto"",""en"")"),"Professional Committee of breeding frogs revoked")</f>
        <v>Professional Committee of breeding frogs revoked</v>
      </c>
      <c r="D5022" s="5" t="s">
        <v>11458</v>
      </c>
      <c r="E5022" s="4">
        <v>323944</v>
      </c>
    </row>
    <row r="5023" spans="1:6" ht="13.5" hidden="1" customHeight="1">
      <c r="A5023" s="4" t="s">
        <v>11331</v>
      </c>
      <c r="B5023" s="4" t="s">
        <v>11319</v>
      </c>
      <c r="C5023" s="4" t="str">
        <f ca="1">IFERROR(__xludf.DUMMYFUNCTION("GOOGLETRANSLATE(D:D,""auto"",""en"")"),"The State Council decided phased reduction of corporate social security charges")</f>
        <v>The State Council decided phased reduction of corporate social security charges</v>
      </c>
      <c r="D5023" s="5" t="s">
        <v>11332</v>
      </c>
      <c r="E5023" s="4">
        <v>314532</v>
      </c>
    </row>
    <row r="5024" spans="1:6" ht="13.5" hidden="1" customHeight="1">
      <c r="A5024" s="4" t="s">
        <v>11459</v>
      </c>
      <c r="B5024" s="4" t="s">
        <v>11362</v>
      </c>
      <c r="C5024" s="4" t="str">
        <f ca="1">IFERROR(__xludf.DUMMYFUNCTION("GOOGLETRANSLATE(D:D,""auto"",""en"")"),"Southerners winter sleep process")</f>
        <v>Southerners winter sleep process</v>
      </c>
      <c r="D5024" s="5" t="s">
        <v>11460</v>
      </c>
      <c r="E5024" s="4">
        <v>308960</v>
      </c>
    </row>
    <row r="5025" spans="1:6" ht="13.5" customHeight="1">
      <c r="A5025" s="4" t="s">
        <v>11298</v>
      </c>
      <c r="B5025" s="4" t="s">
        <v>11299</v>
      </c>
      <c r="C5025" s="4" t="str">
        <f ca="1">IFERROR(__xludf.DUMMYFUNCTION("GOOGLETRANSLATE(D:D,""auto"",""en"")"),"Wuhan University")</f>
        <v>Wuhan University</v>
      </c>
      <c r="D5025" s="5" t="s">
        <v>11300</v>
      </c>
      <c r="E5025" s="4">
        <v>293050</v>
      </c>
      <c r="F5025">
        <v>1</v>
      </c>
    </row>
    <row r="5026" spans="1:6" ht="13.5" hidden="1" customHeight="1">
      <c r="A5026" s="4" t="s">
        <v>11461</v>
      </c>
      <c r="B5026" s="4" t="s">
        <v>11362</v>
      </c>
      <c r="C5026" s="4" t="str">
        <f ca="1">IFERROR(__xludf.DUMMYFUNCTION("GOOGLETRANSLATE(D:D,""auto"",""en"")"),"Gansu forest fires")</f>
        <v>Gansu forest fires</v>
      </c>
      <c r="D5026" s="5" t="s">
        <v>11462</v>
      </c>
      <c r="E5026" s="4">
        <v>283379</v>
      </c>
    </row>
    <row r="5027" spans="1:6" ht="13.5" customHeight="1">
      <c r="A5027" s="4" t="s">
        <v>11463</v>
      </c>
      <c r="B5027" s="4" t="s">
        <v>11351</v>
      </c>
      <c r="C5027" s="4" t="str">
        <f ca="1">IFERROR(__xludf.DUMMYFUNCTION("GOOGLETRANSLATE(D:D,""auto"",""en"")"),"Zhong Nanshan as having physical work adhere to fitness")</f>
        <v>Zhong Nanshan as having physical work adhere to fitness</v>
      </c>
      <c r="D5027" s="5" t="s">
        <v>11464</v>
      </c>
      <c r="E5027" s="4">
        <v>274067</v>
      </c>
      <c r="F5027">
        <v>1</v>
      </c>
    </row>
    <row r="5028" spans="1:6" ht="13.5" customHeight="1">
      <c r="A5028" s="4" t="s">
        <v>11432</v>
      </c>
      <c r="B5028" s="4" t="s">
        <v>11433</v>
      </c>
      <c r="C5028" s="4" t="str">
        <f ca="1">IFERROR(__xludf.DUMMYFUNCTION("GOOGLETRANSLATE(D:D,""auto"",""en"")"),"Diamond Princess first batch of about 500 passengers disembark")</f>
        <v>Diamond Princess first batch of about 500 passengers disembark</v>
      </c>
      <c r="D5028" s="5" t="s">
        <v>11465</v>
      </c>
      <c r="E5028" s="4">
        <v>270350</v>
      </c>
      <c r="F5028">
        <v>1</v>
      </c>
    </row>
    <row r="5029" spans="1:6" ht="13.5" hidden="1" customHeight="1">
      <c r="A5029" s="4" t="s">
        <v>11466</v>
      </c>
      <c r="B5029" s="4" t="s">
        <v>11467</v>
      </c>
      <c r="C5029" s="4" t="str">
        <f ca="1">IFERROR(__xludf.DUMMYFUNCTION("GOOGLETRANSLATE(D:D,""auto"",""en"")"),"What is sensitive experience")</f>
        <v>What is sensitive experience</v>
      </c>
      <c r="D5029" s="5" t="s">
        <v>11468</v>
      </c>
      <c r="E5029" s="4">
        <v>254010</v>
      </c>
    </row>
    <row r="5030" spans="1:6" ht="13.5" hidden="1" customHeight="1">
      <c r="A5030" s="4" t="s">
        <v>11304</v>
      </c>
      <c r="B5030" s="4" t="s">
        <v>11305</v>
      </c>
      <c r="C5030" s="4" t="str">
        <f ca="1">IFERROR(__xludf.DUMMYFUNCTION("GOOGLETRANSLATE(D:D,""auto"",""en"")"),"Wu Lei gentian violet eyes")</f>
        <v>Wu Lei gentian violet eyes</v>
      </c>
      <c r="D5030" s="5" t="s">
        <v>11306</v>
      </c>
      <c r="E5030" s="4">
        <v>235475</v>
      </c>
    </row>
    <row r="5031" spans="1:6" ht="13.5" customHeight="1">
      <c r="A5031" s="4" t="s">
        <v>11469</v>
      </c>
      <c r="B5031" s="4" t="s">
        <v>11387</v>
      </c>
      <c r="C5031" s="4" t="str">
        <f ca="1">IFERROR(__xludf.DUMMYFUNCTION("GOOGLETRANSLATE(D:D,""auto"",""en"")"),"Epidemic prevention and control non-excessive law enforcement brutal law enforcement")</f>
        <v>Epidemic prevention and control non-excessive law enforcement brutal law enforcement</v>
      </c>
      <c r="D5031" s="5" t="s">
        <v>11470</v>
      </c>
      <c r="E5031" s="4">
        <v>179594</v>
      </c>
      <c r="F5031">
        <v>1</v>
      </c>
    </row>
    <row r="5032" spans="1:6" ht="13.5" hidden="1" customHeight="1">
      <c r="A5032" s="4" t="s">
        <v>11471</v>
      </c>
      <c r="B5032" s="4" t="s">
        <v>11472</v>
      </c>
      <c r="C5032" s="4" t="str">
        <f ca="1">IFERROR(__xludf.DUMMYFUNCTION("GOOGLETRANSLATE(D:D,""auto"",""en"")"),"Ha volume looting")</f>
        <v>Ha volume looting</v>
      </c>
      <c r="D5032" s="5" t="s">
        <v>11473</v>
      </c>
      <c r="E5032" s="4">
        <v>178208</v>
      </c>
    </row>
    <row r="5033" spans="1:6" ht="13.5" customHeight="1">
      <c r="A5033" s="4" t="s">
        <v>11292</v>
      </c>
      <c r="B5033" s="4" t="s">
        <v>11293</v>
      </c>
      <c r="C5033" s="4" t="str">
        <f ca="1">IFERROR(__xludf.DUMMYFUNCTION("GOOGLETRANSLATE(D:D,""auto"",""en"")"),"A total of 616 cases diagnosed in Japan")</f>
        <v>A total of 616 cases diagnosed in Japan</v>
      </c>
      <c r="D5033" s="5" t="s">
        <v>11294</v>
      </c>
      <c r="E5033" s="4">
        <v>172824</v>
      </c>
      <c r="F5033">
        <v>1</v>
      </c>
    </row>
    <row r="5034" spans="1:6" ht="13.5" customHeight="1">
      <c r="A5034" s="4" t="s">
        <v>11474</v>
      </c>
      <c r="B5034" s="4" t="s">
        <v>11475</v>
      </c>
      <c r="C5034" s="4" t="str">
        <f ca="1">IFERROR(__xludf.DUMMYFUNCTION("GOOGLETRANSLATE(D:D,""auto"",""en"")"),"Hubei new crown the new 1693 cases of pneumonia")</f>
        <v>Hubei new crown the new 1693 cases of pneumonia</v>
      </c>
      <c r="D5034" s="5" t="s">
        <v>11476</v>
      </c>
      <c r="E5034" s="4">
        <v>172300</v>
      </c>
      <c r="F5034">
        <v>1</v>
      </c>
    </row>
    <row r="5035" spans="1:6" ht="13.5" hidden="1" customHeight="1">
      <c r="A5035" s="4" t="s">
        <v>11266</v>
      </c>
      <c r="B5035" s="4" t="s">
        <v>11477</v>
      </c>
      <c r="C5035" s="4" t="str">
        <f ca="1">IFERROR(__xludf.DUMMYFUNCTION("GOOGLETRANSLATE(D:D,""auto"",""en"")"),"Gansu forest fires have been put out fire")</f>
        <v>Gansu forest fires have been put out fire</v>
      </c>
      <c r="D5035" s="5" t="s">
        <v>11478</v>
      </c>
      <c r="E5035" s="4">
        <v>170174</v>
      </c>
    </row>
    <row r="5036" spans="1:6" ht="13.5" customHeight="1">
      <c r="A5036" s="4" t="s">
        <v>11479</v>
      </c>
      <c r="B5036" s="4" t="s">
        <v>11414</v>
      </c>
      <c r="C5036" s="4" t="str">
        <f ca="1">IFERROR(__xludf.DUMMYFUNCTION("GOOGLETRANSLATE(D:D,""auto"",""en"")"),"Wuhan crown new special non-treatment of patients with pneumonia hospital list")</f>
        <v>Wuhan crown new special non-treatment of patients with pneumonia hospital list</v>
      </c>
      <c r="D5036" s="5" t="s">
        <v>11480</v>
      </c>
      <c r="E5036" s="4">
        <v>168202</v>
      </c>
      <c r="F5036">
        <v>1</v>
      </c>
    </row>
    <row r="5037" spans="1:6" ht="13.5" hidden="1" customHeight="1">
      <c r="A5037" s="4" t="s">
        <v>11331</v>
      </c>
      <c r="B5037" s="4" t="s">
        <v>11481</v>
      </c>
      <c r="C5037" s="4" t="str">
        <f ca="1">IFERROR(__xludf.DUMMYFUNCTION("GOOGLETRANSLATE(D:D,""auto"",""en"")"),"Reggie Jackson joined the Clippers")</f>
        <v>Reggie Jackson joined the Clippers</v>
      </c>
      <c r="D5037" s="5" t="s">
        <v>11482</v>
      </c>
      <c r="E5037" s="4">
        <v>159088</v>
      </c>
    </row>
    <row r="5038" spans="1:6" ht="13.5" hidden="1" customHeight="1">
      <c r="A5038" s="4" t="s">
        <v>11312</v>
      </c>
      <c r="B5038" s="4" t="s">
        <v>11313</v>
      </c>
      <c r="C5038" s="4" t="str">
        <f ca="1">IFERROR(__xludf.DUMMYFUNCTION("GOOGLETRANSLATE(D:D,""auto"",""en"")"),"Cai Minmin He Canyang sweet")</f>
        <v>Cai Minmin He Canyang sweet</v>
      </c>
      <c r="D5038" s="5" t="s">
        <v>11314</v>
      </c>
      <c r="E5038" s="4">
        <v>157415</v>
      </c>
    </row>
    <row r="5039" spans="1:6" ht="13.5" customHeight="1">
      <c r="A5039" s="4" t="s">
        <v>11312</v>
      </c>
      <c r="B5039" s="4" t="s">
        <v>11384</v>
      </c>
      <c r="C5039" s="4" t="str">
        <f ca="1">IFERROR(__xludf.DUMMYFUNCTION("GOOGLETRANSLATE(D:D,""auto"",""en"")"),"Zhejiang launched the medicine to prevent the disease recommender")</f>
        <v>Zhejiang launched the medicine to prevent the disease recommender</v>
      </c>
      <c r="D5039" s="5" t="s">
        <v>11483</v>
      </c>
      <c r="E5039" s="4">
        <v>152665</v>
      </c>
      <c r="F5039">
        <v>1</v>
      </c>
    </row>
    <row r="5040" spans="1:6" ht="13.5" hidden="1" customHeight="1">
      <c r="C5040" s="4" t="str">
        <f ca="1">IFERROR(__xludf.DUMMYFUNCTION("GOOGLETRANSLATE(D:D,""auto"",""en"")"),"#VALUE!")</f>
        <v>#VALUE!</v>
      </c>
    </row>
    <row r="5041" spans="1:6" ht="13.5" hidden="1" customHeight="1">
      <c r="A5041" s="4" t="s">
        <v>11484</v>
      </c>
      <c r="B5041" s="4" t="s">
        <v>11485</v>
      </c>
      <c r="C5041" s="4" t="str">
        <f ca="1">IFERROR(__xludf.DUMMYFUNCTION("GOOGLETRANSLATE(D:D,""auto"",""en"")"),"Cerebral palsy takeaway brother be titles declined User contributions")</f>
        <v>Cerebral palsy takeaway brother be titles declined User contributions</v>
      </c>
      <c r="D5041" s="4" t="s">
        <v>11486</v>
      </c>
      <c r="E5041" s="4">
        <v>3632075</v>
      </c>
    </row>
    <row r="5042" spans="1:6" ht="13.5" customHeight="1">
      <c r="A5042" s="4" t="s">
        <v>11487</v>
      </c>
      <c r="B5042" s="4" t="s">
        <v>11488</v>
      </c>
      <c r="C5042" s="4" t="str">
        <f ca="1">IFERROR(__xludf.DUMMYFUNCTION("GOOGLETRANSLATE(D:D,""auto"",""en"")"),"Zhong Nanshan Harvard University jointly tackling new virus crown")</f>
        <v>Zhong Nanshan Harvard University jointly tackling new virus crown</v>
      </c>
      <c r="D5042" s="5" t="s">
        <v>11489</v>
      </c>
      <c r="E5042" s="4">
        <v>2189756</v>
      </c>
      <c r="F5042">
        <v>1</v>
      </c>
    </row>
    <row r="5043" spans="1:6" ht="13.5" hidden="1" customHeight="1">
      <c r="A5043" s="4" t="s">
        <v>11490</v>
      </c>
      <c r="B5043" s="4" t="s">
        <v>11491</v>
      </c>
      <c r="C5043" s="4" t="str">
        <f ca="1">IFERROR(__xludf.DUMMYFUNCTION("GOOGLETRANSLATE(D:D,""auto"",""en"")"),"Professor Japanese government to respond to the complaint Diamond Princess")</f>
        <v>Professor Japanese government to respond to the complaint Diamond Princess</v>
      </c>
      <c r="D5043" s="5" t="s">
        <v>11492</v>
      </c>
      <c r="E5043" s="4">
        <v>2158113</v>
      </c>
    </row>
    <row r="5044" spans="1:6" ht="13.5" hidden="1" customHeight="1">
      <c r="A5044" s="4" t="s">
        <v>11493</v>
      </c>
      <c r="B5044" s="4" t="s">
        <v>11494</v>
      </c>
      <c r="C5044" s="4" t="str">
        <f ca="1">IFERROR(__xludf.DUMMYFUNCTION("GOOGLETRANSLATE(D:D,""auto"",""en"")"),"Liu silky suicide")</f>
        <v>Liu silky suicide</v>
      </c>
      <c r="D5044" s="5" t="s">
        <v>11495</v>
      </c>
      <c r="E5044" s="4">
        <v>2155950</v>
      </c>
    </row>
    <row r="5045" spans="1:6" ht="13.5" hidden="1" customHeight="1">
      <c r="A5045" s="4" t="s">
        <v>11496</v>
      </c>
      <c r="B5045" s="4" t="s">
        <v>11497</v>
      </c>
      <c r="C5045" s="4" t="str">
        <f ca="1">IFERROR(__xludf.DUMMYFUNCTION("GOOGLETRANSLATE(D:D,""auto"",""en"")"),"Admiralty issued large")</f>
        <v>Admiralty issued large</v>
      </c>
      <c r="D5045" s="5" t="s">
        <v>11498</v>
      </c>
      <c r="E5045" s="4">
        <v>2146008</v>
      </c>
    </row>
    <row r="5046" spans="1:6" ht="13.5" hidden="1" customHeight="1">
      <c r="A5046" s="4" t="s">
        <v>11499</v>
      </c>
      <c r="B5046" s="4" t="s">
        <v>11500</v>
      </c>
      <c r="C5046" s="4" t="str">
        <f ca="1">IFERROR(__xludf.DUMMYFUNCTION("GOOGLETRANSLATE(D:D,""auto"",""en"")"),"Liu Zhen")</f>
        <v>Liu Zhen</v>
      </c>
      <c r="D5046" s="5" t="s">
        <v>11501</v>
      </c>
      <c r="E5046" s="4">
        <v>1392115</v>
      </c>
    </row>
    <row r="5047" spans="1:6" ht="13.5" hidden="1" customHeight="1">
      <c r="A5047" s="4" t="s">
        <v>11378</v>
      </c>
      <c r="B5047" s="4" t="s">
        <v>11379</v>
      </c>
      <c r="C5047" s="4" t="str">
        <f ca="1">IFERROR(__xludf.DUMMYFUNCTION("GOOGLETRANSLATE(D:D,""auto"",""en"")"),"Perfect relationship")</f>
        <v>Perfect relationship</v>
      </c>
      <c r="D5047" s="5" t="s">
        <v>11380</v>
      </c>
      <c r="E5047" s="4">
        <v>1293879</v>
      </c>
    </row>
    <row r="5048" spans="1:6" ht="13.5" hidden="1" customHeight="1">
      <c r="A5048" s="4" t="s">
        <v>11502</v>
      </c>
      <c r="B5048" s="4" t="s">
        <v>11503</v>
      </c>
      <c r="C5048" s="4" t="str">
        <f ca="1">IFERROR(__xludf.DUMMYFUNCTION("GOOGLETRANSLATE(D:D,""auto"",""en"")"),"Xu found that seventeen days is Little Red Coat")</f>
        <v>Xu found that seventeen days is Little Red Coat</v>
      </c>
      <c r="D5048" s="5" t="s">
        <v>11504</v>
      </c>
      <c r="E5048" s="4">
        <v>1292593</v>
      </c>
    </row>
    <row r="5049" spans="1:6" ht="13.5" hidden="1" customHeight="1">
      <c r="A5049" s="4" t="s">
        <v>11505</v>
      </c>
      <c r="B5049" s="4" t="s">
        <v>11506</v>
      </c>
      <c r="C5049" s="4" t="str">
        <f ca="1">IFERROR(__xludf.DUMMYFUNCTION("GOOGLETRANSLATE(D:D,""auto"",""en"")"),"Former South Korean President Lee Myung-bak second instance jailed for 17 years")</f>
        <v>Former South Korean President Lee Myung-bak second instance jailed for 17 years</v>
      </c>
      <c r="D5049" s="5" t="s">
        <v>11507</v>
      </c>
      <c r="E5049" s="4">
        <v>1287656</v>
      </c>
    </row>
    <row r="5050" spans="1:6" ht="13.5" hidden="1" customHeight="1">
      <c r="A5050" s="4" t="s">
        <v>11508</v>
      </c>
      <c r="B5050" s="4" t="s">
        <v>11509</v>
      </c>
      <c r="C5050" s="4" t="str">
        <f ca="1">IFERROR(__xludf.DUMMYFUNCTION("GOOGLETRANSLATE(D:D,""auto"",""en"")"),"94-year-old mother, 65-year-old daughter to report mob playing mahjong")</f>
        <v>94-year-old mother, 65-year-old daughter to report mob playing mahjong</v>
      </c>
      <c r="D5050" s="5" t="s">
        <v>11510</v>
      </c>
      <c r="E5050" s="4">
        <v>1284885</v>
      </c>
    </row>
    <row r="5051" spans="1:6" ht="13.5" hidden="1" customHeight="1">
      <c r="A5051" s="4" t="s">
        <v>11511</v>
      </c>
      <c r="B5051" s="4" t="s">
        <v>11512</v>
      </c>
      <c r="C5051" s="4" t="str">
        <f ca="1">IFERROR(__xludf.DUMMYFUNCTION("GOOGLETRANSLATE(D:D,""auto"",""en"")"),"Bags of potato chips pictures")</f>
        <v>Bags of potato chips pictures</v>
      </c>
      <c r="D5051" s="5" t="s">
        <v>11513</v>
      </c>
      <c r="E5051" s="4">
        <v>1277187</v>
      </c>
    </row>
    <row r="5052" spans="1:6" ht="13.5" customHeight="1">
      <c r="A5052" s="4" t="s">
        <v>11514</v>
      </c>
      <c r="B5052" s="4" t="s">
        <v>11515</v>
      </c>
      <c r="C5052" s="4" t="str">
        <f ca="1">IFERROR(__xludf.DUMMYFUNCTION("GOOGLETRANSLATE(D:D,""auto"",""en"")"),"Zhong Nanshan response to the drug use new crown pneumonia")</f>
        <v>Zhong Nanshan response to the drug use new crown pneumonia</v>
      </c>
      <c r="D5052" s="5" t="s">
        <v>11516</v>
      </c>
      <c r="E5052" s="4">
        <v>1274917</v>
      </c>
      <c r="F5052">
        <v>1</v>
      </c>
    </row>
    <row r="5053" spans="1:6" ht="13.5" customHeight="1">
      <c r="A5053" s="4" t="s">
        <v>11517</v>
      </c>
      <c r="B5053" s="4" t="s">
        <v>11518</v>
      </c>
      <c r="C5053" s="4" t="str">
        <f ca="1">IFERROR(__xludf.DUMMYFUNCTION("GOOGLETRANSLATE(D:D,""auto"",""en"")"),"Wuhan In addition to the fight against SARS and special purpose vehicles will be forbidden line")</f>
        <v>Wuhan In addition to the fight against SARS and special purpose vehicles will be forbidden line</v>
      </c>
      <c r="D5053" s="5" t="s">
        <v>11519</v>
      </c>
      <c r="E5053" s="4">
        <v>1268858</v>
      </c>
      <c r="F5053">
        <v>1</v>
      </c>
    </row>
    <row r="5054" spans="1:6" ht="13.5" customHeight="1">
      <c r="A5054" s="4" t="s">
        <v>11520</v>
      </c>
      <c r="B5054" s="4" t="s">
        <v>11521</v>
      </c>
      <c r="C5054" s="4" t="str">
        <f ca="1">IFERROR(__xludf.DUMMYFUNCTION("GOOGLETRANSLATE(D:D,""auto"",""en"")"),"Wuhan implementation of urban sewage disinfection")</f>
        <v>Wuhan implementation of urban sewage disinfection</v>
      </c>
      <c r="D5054" s="5" t="s">
        <v>11522</v>
      </c>
      <c r="E5054" s="4">
        <v>1266579</v>
      </c>
      <c r="F5054">
        <v>1</v>
      </c>
    </row>
    <row r="5055" spans="1:6" ht="13.5" hidden="1" customHeight="1">
      <c r="A5055" s="4" t="s">
        <v>11523</v>
      </c>
      <c r="B5055" s="4" t="s">
        <v>11485</v>
      </c>
      <c r="C5055" s="4" t="str">
        <f ca="1">IFERROR(__xludf.DUMMYFUNCTION("GOOGLETRANSLATE(D:D,""auto"",""en"")"),"Spring Festival 40 days to send the national railway passenger 210 million people")</f>
        <v>Spring Festival 40 days to send the national railway passenger 210 million people</v>
      </c>
      <c r="D5055" s="5" t="s">
        <v>11524</v>
      </c>
      <c r="E5055" s="4">
        <v>1260724</v>
      </c>
    </row>
    <row r="5056" spans="1:6" ht="13.5" hidden="1" customHeight="1">
      <c r="A5056" s="4" t="s">
        <v>11525</v>
      </c>
      <c r="B5056" s="4" t="s">
        <v>11526</v>
      </c>
      <c r="C5056" s="4" t="str">
        <f ca="1">IFERROR(__xludf.DUMMYFUNCTION("GOOGLETRANSLATE(D:D,""auto"",""en"")"),"She has been singing for a whole five years")</f>
        <v>She has been singing for a whole five years</v>
      </c>
      <c r="D5056" s="5" t="s">
        <v>11527</v>
      </c>
      <c r="E5056" s="4">
        <v>1254394</v>
      </c>
    </row>
    <row r="5057" spans="1:6" ht="13.5" customHeight="1">
      <c r="A5057" s="4" t="s">
        <v>11528</v>
      </c>
      <c r="B5057" s="4" t="s">
        <v>11529</v>
      </c>
      <c r="C5057" s="4" t="str">
        <f ca="1">IFERROR(__xludf.DUMMYFUNCTION("GOOGLETRANSLATE(D:D,""auto"",""en"")"),"Hunan school time")</f>
        <v>Hunan school time</v>
      </c>
      <c r="D5057" s="5" t="s">
        <v>11530</v>
      </c>
      <c r="E5057" s="4">
        <v>1253925</v>
      </c>
      <c r="F5057">
        <v>1</v>
      </c>
    </row>
    <row r="5058" spans="1:6" ht="13.5" hidden="1" customHeight="1">
      <c r="A5058" s="4" t="s">
        <v>11531</v>
      </c>
      <c r="B5058" s="4" t="s">
        <v>11532</v>
      </c>
      <c r="C5058" s="4" t="str">
        <f ca="1">IFERROR(__xludf.DUMMYFUNCTION("GOOGLETRANSLATE(D:D,""auto"",""en"")"),"Let Xie Guangkun mad")</f>
        <v>Let Xie Guangkun mad</v>
      </c>
      <c r="D5058" s="5" t="s">
        <v>11533</v>
      </c>
      <c r="E5058" s="4">
        <v>1117522</v>
      </c>
    </row>
    <row r="5059" spans="1:6" ht="13.5" customHeight="1">
      <c r="A5059" s="4" t="s">
        <v>11490</v>
      </c>
      <c r="B5059" s="4" t="s">
        <v>11534</v>
      </c>
      <c r="C5059" s="4" t="str">
        <f ca="1">IFERROR(__xludf.DUMMYFUNCTION("GOOGLETRANSLATE(D:D,""auto"",""en"")"),"Jin Hanbin send tens of thousands of Chinese fans masks")</f>
        <v>Jin Hanbin send tens of thousands of Chinese fans masks</v>
      </c>
      <c r="D5059" s="5" t="s">
        <v>11535</v>
      </c>
      <c r="E5059" s="4">
        <v>993308</v>
      </c>
      <c r="F5059">
        <v>1</v>
      </c>
    </row>
    <row r="5060" spans="1:6" ht="13.5" customHeight="1">
      <c r="A5060" s="4" t="s">
        <v>11536</v>
      </c>
      <c r="B5060" s="4" t="s">
        <v>11537</v>
      </c>
      <c r="C5060" s="4" t="str">
        <f ca="1">IFERROR(__xludf.DUMMYFUNCTION("GOOGLETRANSLATE(D:D,""auto"",""en"")"),"South Korea more than cultists confirmed infected with the new virus crown")</f>
        <v>South Korea more than cultists confirmed infected with the new virus crown</v>
      </c>
      <c r="D5060" s="5" t="s">
        <v>11538</v>
      </c>
      <c r="E5060" s="4">
        <v>866429</v>
      </c>
      <c r="F5060">
        <v>1</v>
      </c>
    </row>
    <row r="5061" spans="1:6" ht="13.5" hidden="1" customHeight="1">
      <c r="A5061" s="4" t="s">
        <v>11539</v>
      </c>
      <c r="B5061" s="4" t="s">
        <v>11540</v>
      </c>
      <c r="C5061" s="4" t="str">
        <f ca="1">IFERROR(__xludf.DUMMYFUNCTION("GOOGLETRANSLATE(D:D,""auto"",""en"")"),"The highest frequency of online shopping snack")</f>
        <v>The highest frequency of online shopping snack</v>
      </c>
      <c r="D5061" s="5" t="s">
        <v>11541</v>
      </c>
      <c r="E5061" s="4">
        <v>733825</v>
      </c>
    </row>
    <row r="5062" spans="1:6" ht="13.5" hidden="1" customHeight="1">
      <c r="A5062" s="4" t="s">
        <v>11542</v>
      </c>
      <c r="B5062" s="4" t="s">
        <v>11543</v>
      </c>
      <c r="C5062" s="4" t="str">
        <f ca="1">IFERROR(__xludf.DUMMYFUNCTION("GOOGLETRANSLATE(D:D,""auto"",""en"")"),"Lee 纯演 skills")</f>
        <v>Lee 纯演 skills</v>
      </c>
      <c r="D5062" s="5" t="s">
        <v>11544</v>
      </c>
      <c r="E5062" s="4">
        <v>701975</v>
      </c>
    </row>
    <row r="5063" spans="1:6" ht="13.5" hidden="1" customHeight="1">
      <c r="A5063" s="4" t="s">
        <v>11493</v>
      </c>
      <c r="B5063" s="4" t="s">
        <v>11545</v>
      </c>
      <c r="C5063" s="4" t="str">
        <f ca="1">IFERROR(__xludf.DUMMYFUNCTION("GOOGLETRANSLATE(D:D,""auto"",""en"")"),"Do not squatting on the roadside")</f>
        <v>Do not squatting on the roadside</v>
      </c>
      <c r="D5063" s="5" t="s">
        <v>11546</v>
      </c>
      <c r="E5063" s="4">
        <v>696726</v>
      </c>
    </row>
    <row r="5064" spans="1:6" ht="13.5" customHeight="1">
      <c r="A5064" s="4" t="s">
        <v>11547</v>
      </c>
      <c r="B5064" s="4" t="s">
        <v>11503</v>
      </c>
      <c r="C5064" s="4" t="str">
        <f ca="1">IFERROR(__xludf.DUMMYFUNCTION("GOOGLETRANSLATE(D:D,""auto"",""en"")"),"Han returned to Beijing from the man concealed his mother diagnosed cause")</f>
        <v>Han returned to Beijing from the man concealed his mother diagnosed cause</v>
      </c>
      <c r="D5064" s="5" t="s">
        <v>11548</v>
      </c>
      <c r="E5064" s="4">
        <v>612764</v>
      </c>
      <c r="F5064">
        <v>1</v>
      </c>
    </row>
    <row r="5065" spans="1:6" ht="13.5" customHeight="1">
      <c r="A5065" s="4" t="s">
        <v>11549</v>
      </c>
      <c r="B5065" s="4" t="s">
        <v>11550</v>
      </c>
      <c r="C5065" s="4" t="str">
        <f ca="1">IFERROR(__xludf.DUMMYFUNCTION("GOOGLETRANSLATE(D:D,""auto"",""en"")"),"Diamond Princess thick labor minister to put passengers back")</f>
        <v>Diamond Princess thick labor minister to put passengers back</v>
      </c>
      <c r="D5065" s="5" t="s">
        <v>11551</v>
      </c>
      <c r="E5065" s="4">
        <v>538593</v>
      </c>
      <c r="F5065">
        <v>1</v>
      </c>
    </row>
    <row r="5066" spans="1:6" ht="13.5" customHeight="1">
      <c r="A5066" s="4" t="s">
        <v>11552</v>
      </c>
      <c r="B5066" s="4" t="s">
        <v>11553</v>
      </c>
      <c r="C5066" s="4" t="str">
        <f ca="1">IFERROR(__xludf.DUMMYFUNCTION("GOOGLETRANSLATE(D:D,""auto"",""en"")"),"After the outbreak of us out to the streets")</f>
        <v>After the outbreak of us out to the streets</v>
      </c>
      <c r="D5066" s="5" t="s">
        <v>11554</v>
      </c>
      <c r="E5066" s="4">
        <v>441395</v>
      </c>
      <c r="F5066">
        <v>1</v>
      </c>
    </row>
    <row r="5067" spans="1:6" ht="13.5" hidden="1" customHeight="1">
      <c r="A5067" s="4" t="s">
        <v>11549</v>
      </c>
      <c r="B5067" s="4" t="s">
        <v>11555</v>
      </c>
      <c r="C5067" s="4" t="str">
        <f ca="1">IFERROR(__xludf.DUMMYFUNCTION("GOOGLETRANSLATE(D:D,""auto"",""en"")"),"The reality of mouth gun ten scholars")</f>
        <v>The reality of mouth gun ten scholars</v>
      </c>
      <c r="D5067" s="5" t="s">
        <v>11556</v>
      </c>
      <c r="E5067" s="4">
        <v>404838</v>
      </c>
    </row>
    <row r="5068" spans="1:6" ht="13.5" hidden="1" customHeight="1">
      <c r="A5068" s="4" t="s">
        <v>11557</v>
      </c>
      <c r="B5068" s="4" t="s">
        <v>11558</v>
      </c>
      <c r="C5068" s="4" t="str">
        <f ca="1">IFERROR(__xludf.DUMMYFUNCTION("GOOGLETRANSLATE(D:D,""auto"",""en"")"),"Since hot pot")</f>
        <v>Since hot pot</v>
      </c>
      <c r="D5068" s="5" t="s">
        <v>11559</v>
      </c>
      <c r="E5068" s="4">
        <v>402985</v>
      </c>
    </row>
    <row r="5069" spans="1:6" ht="13.5" hidden="1" customHeight="1">
      <c r="A5069" s="4" t="s">
        <v>11209</v>
      </c>
      <c r="B5069" s="4" t="s">
        <v>11210</v>
      </c>
      <c r="C5069" s="4" t="str">
        <f ca="1">IFERROR(__xludf.DUMMYFUNCTION("GOOGLETRANSLATE(D:D,""auto"",""en"")"),"Liu Zhiming")</f>
        <v>Liu Zhiming</v>
      </c>
      <c r="D5069" s="5" t="s">
        <v>11211</v>
      </c>
      <c r="E5069" s="4">
        <v>396531</v>
      </c>
    </row>
    <row r="5070" spans="1:6" ht="13.5" hidden="1" customHeight="1">
      <c r="A5070" s="4" t="s">
        <v>11560</v>
      </c>
      <c r="B5070" s="4" t="s">
        <v>11561</v>
      </c>
      <c r="C5070" s="4" t="str">
        <f ca="1">IFERROR(__xludf.DUMMYFUNCTION("GOOGLETRANSLATE(D:D,""auto"",""en"")"),"Small rice balls discharged parents")</f>
        <v>Small rice balls discharged parents</v>
      </c>
      <c r="D5070" s="5" t="s">
        <v>11562</v>
      </c>
      <c r="E5070" s="4">
        <v>391787</v>
      </c>
    </row>
    <row r="5071" spans="1:6" ht="13.5" customHeight="1">
      <c r="A5071" s="4" t="s">
        <v>11563</v>
      </c>
      <c r="B5071" s="4" t="s">
        <v>11564</v>
      </c>
      <c r="C5071" s="4" t="str">
        <f ca="1">IFERROR(__xludf.DUMMYFUNCTION("GOOGLETRANSLATE(D:D,""auto"",""en"")"),"Jiangsu school time")</f>
        <v>Jiangsu school time</v>
      </c>
      <c r="D5071" s="5" t="s">
        <v>11565</v>
      </c>
      <c r="E5071" s="4">
        <v>376184</v>
      </c>
      <c r="F5071">
        <v>1</v>
      </c>
    </row>
    <row r="5072" spans="1:6" ht="13.5" hidden="1" customHeight="1">
      <c r="A5072" s="4" t="s">
        <v>11508</v>
      </c>
      <c r="B5072" s="4" t="s">
        <v>11429</v>
      </c>
      <c r="C5072" s="4" t="str">
        <f ca="1">IFERROR(__xludf.DUMMYFUNCTION("GOOGLETRANSLATE(D:D,""auto"",""en"")"),"Bibb filter under beauty")</f>
        <v>Bibb filter under beauty</v>
      </c>
      <c r="D5072" s="5" t="s">
        <v>11566</v>
      </c>
      <c r="E5072" s="4">
        <v>368327</v>
      </c>
    </row>
    <row r="5073" spans="1:6" ht="13.5" hidden="1" customHeight="1">
      <c r="A5073" s="4" t="s">
        <v>11567</v>
      </c>
      <c r="B5073" s="4" t="s">
        <v>11568</v>
      </c>
      <c r="C5073" s="4" t="str">
        <f ca="1">IFERROR(__xludf.DUMMYFUNCTION("GOOGLETRANSLATE(D:D,""auto"",""en"")"),"To maintain reasonable medical staff rest")</f>
        <v>To maintain reasonable medical staff rest</v>
      </c>
      <c r="D5073" s="5" t="s">
        <v>11569</v>
      </c>
      <c r="E5073" s="4">
        <v>364701</v>
      </c>
    </row>
    <row r="5074" spans="1:6" ht="13.5" customHeight="1">
      <c r="A5074" s="4" t="s">
        <v>11404</v>
      </c>
      <c r="B5074" s="4" t="s">
        <v>11405</v>
      </c>
      <c r="C5074" s="4" t="str">
        <f ca="1">IFERROR(__xludf.DUMMYFUNCTION("GOOGLETRANSLATE(D:D,""auto"",""en"")"),"Wuhan diagnosed patients will again find home Accountability")</f>
        <v>Wuhan diagnosed patients will again find home Accountability</v>
      </c>
      <c r="D5074" s="5" t="s">
        <v>11406</v>
      </c>
      <c r="E5074" s="4">
        <v>362315</v>
      </c>
      <c r="F5074">
        <v>1</v>
      </c>
    </row>
    <row r="5075" spans="1:6" ht="13.5" customHeight="1">
      <c r="A5075" s="4" t="s">
        <v>11508</v>
      </c>
      <c r="B5075" s="4" t="s">
        <v>11537</v>
      </c>
      <c r="C5075" s="4" t="str">
        <f ca="1">IFERROR(__xludf.DUMMYFUNCTION("GOOGLETRANSLATE(D:D,""auto"",""en"")"),"The reason parents satisfied the e-course")</f>
        <v>The reason parents satisfied the e-course</v>
      </c>
      <c r="D5075" s="5" t="s">
        <v>11570</v>
      </c>
      <c r="E5075" s="4">
        <v>362005</v>
      </c>
      <c r="F5075">
        <v>1</v>
      </c>
    </row>
    <row r="5076" spans="1:6" ht="13.5" hidden="1" customHeight="1">
      <c r="A5076" s="4" t="s">
        <v>11571</v>
      </c>
      <c r="B5076" s="4" t="s">
        <v>11488</v>
      </c>
      <c r="C5076" s="4" t="str">
        <f ca="1">IFERROR(__xludf.DUMMYFUNCTION("GOOGLETRANSLATE(D:D,""auto"",""en"")"),"Cut their own bangs")</f>
        <v>Cut their own bangs</v>
      </c>
      <c r="D5076" s="5" t="s">
        <v>11572</v>
      </c>
      <c r="E5076" s="4">
        <v>360350</v>
      </c>
    </row>
    <row r="5077" spans="1:6" ht="13.5" customHeight="1">
      <c r="A5077" s="4" t="s">
        <v>11573</v>
      </c>
      <c r="B5077" s="4" t="s">
        <v>11574</v>
      </c>
      <c r="C5077" s="4" t="str">
        <f ca="1">IFERROR(__xludf.DUMMYFUNCTION("GOOGLETRANSLATE(D:D,""auto"",""en"")"),"Wuhan asked the district responsible person to sign a liability form")</f>
        <v>Wuhan asked the district responsible person to sign a liability form</v>
      </c>
      <c r="D5077" s="5" t="s">
        <v>11575</v>
      </c>
      <c r="E5077" s="4">
        <v>314986</v>
      </c>
      <c r="F5077">
        <v>1</v>
      </c>
    </row>
    <row r="5078" spans="1:6" ht="13.5" hidden="1" customHeight="1">
      <c r="A5078" s="4" t="s">
        <v>11576</v>
      </c>
      <c r="B5078" s="4" t="s">
        <v>11577</v>
      </c>
      <c r="C5078" s="4" t="str">
        <f ca="1">IFERROR(__xludf.DUMMYFUNCTION("GOOGLETRANSLATE(D:D,""auto"",""en"")"),"Potato chips, chicken wings")</f>
        <v>Potato chips, chicken wings</v>
      </c>
      <c r="D5078" s="5" t="s">
        <v>11578</v>
      </c>
      <c r="E5078" s="4">
        <v>313234</v>
      </c>
    </row>
    <row r="5079" spans="1:6" ht="13.5" hidden="1" customHeight="1">
      <c r="A5079" s="4" t="s">
        <v>4179</v>
      </c>
      <c r="B5079" s="4" t="s">
        <v>4180</v>
      </c>
      <c r="C5079" s="4" t="str">
        <f ca="1">IFERROR(__xludf.DUMMYFUNCTION("GOOGLETRANSLATE(D:D,""auto"",""en"")"),"Pu Canlie live")</f>
        <v>Pu Canlie live</v>
      </c>
      <c r="D5079" s="5" t="s">
        <v>4181</v>
      </c>
      <c r="E5079" s="4">
        <v>294704</v>
      </c>
    </row>
    <row r="5080" spans="1:6" ht="13.5" hidden="1" customHeight="1">
      <c r="A5080" s="4" t="s">
        <v>11579</v>
      </c>
      <c r="B5080" s="4" t="s">
        <v>11580</v>
      </c>
      <c r="C5080" s="4" t="str">
        <f ca="1">IFERROR(__xludf.DUMMYFUNCTION("GOOGLETRANSLATE(D:D,""auto"",""en"")"),"Ugly cat no bush")</f>
        <v>Ugly cat no bush</v>
      </c>
      <c r="D5080" s="5" t="s">
        <v>11581</v>
      </c>
      <c r="E5080" s="4">
        <v>292138</v>
      </c>
    </row>
    <row r="5081" spans="1:6" ht="13.5" customHeight="1">
      <c r="A5081" s="4" t="s">
        <v>11582</v>
      </c>
      <c r="B5081" s="4" t="s">
        <v>11583</v>
      </c>
      <c r="C5081" s="4" t="str">
        <f ca="1">IFERROR(__xludf.DUMMYFUNCTION("GOOGLETRANSLATE(D:D,""auto"",""en"")"),"Ezhou released in response to the police station to distribute supplies")</f>
        <v>Ezhou released in response to the police station to distribute supplies</v>
      </c>
      <c r="D5081" s="5" t="s">
        <v>11584</v>
      </c>
      <c r="E5081" s="4">
        <v>269891</v>
      </c>
      <c r="F5081">
        <v>1</v>
      </c>
    </row>
    <row r="5082" spans="1:6" ht="13.5" customHeight="1">
      <c r="A5082" s="4" t="s">
        <v>11585</v>
      </c>
      <c r="B5082" s="4" t="s">
        <v>11586</v>
      </c>
      <c r="C5082" s="4" t="str">
        <f ca="1">IFERROR(__xludf.DUMMYFUNCTION("GOOGLETRANSLATE(D:D,""auto"",""en"")"),"Whole staff and graduate students sent a letter to Wuhan Institute of Virology")</f>
        <v>Whole staff and graduate students sent a letter to Wuhan Institute of Virology</v>
      </c>
      <c r="D5082" s="5" t="s">
        <v>11587</v>
      </c>
      <c r="E5082" s="4">
        <v>268360</v>
      </c>
      <c r="F5082">
        <v>1</v>
      </c>
    </row>
    <row r="5083" spans="1:6" ht="13.5" hidden="1" customHeight="1">
      <c r="A5083" s="4" t="s">
        <v>11588</v>
      </c>
      <c r="B5083" s="4" t="s">
        <v>11574</v>
      </c>
      <c r="C5083" s="4" t="str">
        <f ca="1">IFERROR(__xludf.DUMMYFUNCTION("GOOGLETRANSLATE(D:D,""auto"",""en"")"),"Light snacks of local products")</f>
        <v>Light snacks of local products</v>
      </c>
      <c r="D5083" s="5" t="s">
        <v>11589</v>
      </c>
      <c r="E5083" s="4">
        <v>261182</v>
      </c>
    </row>
    <row r="5084" spans="1:6" ht="13.5" customHeight="1">
      <c r="A5084" s="4" t="s">
        <v>11590</v>
      </c>
      <c r="B5084" s="4" t="s">
        <v>11558</v>
      </c>
      <c r="C5084" s="4" t="str">
        <f ca="1">IFERROR(__xludf.DUMMYFUNCTION("GOOGLETRANSLATE(D:D,""auto"",""en"")"),"Wang Ping, president of Wuhan eighth hospital infection pneumonia new crown")</f>
        <v>Wang Ping, president of Wuhan eighth hospital infection pneumonia new crown</v>
      </c>
      <c r="D5084" s="5" t="s">
        <v>11591</v>
      </c>
      <c r="E5084" s="4">
        <v>256523</v>
      </c>
      <c r="F5084">
        <v>1</v>
      </c>
    </row>
    <row r="5085" spans="1:6" ht="13.5" hidden="1" customHeight="1">
      <c r="A5085" s="4" t="s">
        <v>11571</v>
      </c>
      <c r="B5085" s="4" t="s">
        <v>11526</v>
      </c>
      <c r="C5085" s="4" t="str">
        <f ca="1">IFERROR(__xludf.DUMMYFUNCTION("GOOGLETRANSLATE(D:D,""auto"",""en"")"),"Fuzhou front-line medical staff Children of the 20 points")</f>
        <v>Fuzhou front-line medical staff Children of the 20 points</v>
      </c>
      <c r="D5085" s="5" t="s">
        <v>11592</v>
      </c>
      <c r="E5085" s="4">
        <v>246046</v>
      </c>
    </row>
    <row r="5086" spans="1:6" ht="13.5" hidden="1" customHeight="1">
      <c r="A5086" s="4" t="s">
        <v>11593</v>
      </c>
      <c r="B5086" s="4" t="s">
        <v>11395</v>
      </c>
      <c r="C5086" s="4" t="str">
        <f ca="1">IFERROR(__xludf.DUMMYFUNCTION("GOOGLETRANSLATE(D:D,""auto"",""en"")"),"Zheng Shuang who sing chasing light")</f>
        <v>Zheng Shuang who sing chasing light</v>
      </c>
      <c r="D5086" s="5" t="s">
        <v>11594</v>
      </c>
      <c r="E5086" s="4">
        <v>229852</v>
      </c>
    </row>
    <row r="5087" spans="1:6" ht="13.5" hidden="1" customHeight="1">
      <c r="A5087" s="4" t="s">
        <v>11557</v>
      </c>
      <c r="B5087" s="4" t="s">
        <v>11595</v>
      </c>
      <c r="C5087" s="4" t="str">
        <f ca="1">IFERROR(__xludf.DUMMYFUNCTION("GOOGLETRANSLATE(D:D,""auto"",""en"")"),"The first time I saw the traffic jam will be happy")</f>
        <v>The first time I saw the traffic jam will be happy</v>
      </c>
      <c r="D5087" s="5" t="s">
        <v>11596</v>
      </c>
      <c r="E5087" s="4">
        <v>217901</v>
      </c>
    </row>
    <row r="5088" spans="1:6" ht="13.5" hidden="1" customHeight="1">
      <c r="A5088" s="4" t="s">
        <v>11514</v>
      </c>
      <c r="B5088" s="4" t="s">
        <v>11597</v>
      </c>
      <c r="C5088" s="4" t="str">
        <f ca="1">IFERROR(__xludf.DUMMYFUNCTION("GOOGLETRANSLATE(D:D,""auto"",""en"")"),"A total ban on Chinese citizens entering Russia")</f>
        <v>A total ban on Chinese citizens entering Russia</v>
      </c>
      <c r="D5088" s="5" t="s">
        <v>11598</v>
      </c>
      <c r="E5088" s="4">
        <v>211800</v>
      </c>
    </row>
    <row r="5089" spans="1:6" ht="13.5" hidden="1" customHeight="1">
      <c r="A5089" s="4" t="s">
        <v>11599</v>
      </c>
      <c r="B5089" s="4" t="s">
        <v>11600</v>
      </c>
      <c r="C5089" s="4" t="str">
        <f ca="1">IFERROR(__xludf.DUMMYFUNCTION("GOOGLETRANSLATE(D:D,""auto"",""en"")"),"Japan's Kobe University professor denounced video recording")</f>
        <v>Japan's Kobe University professor denounced video recording</v>
      </c>
      <c r="D5089" s="5" t="s">
        <v>11601</v>
      </c>
      <c r="E5089" s="4">
        <v>203403</v>
      </c>
    </row>
    <row r="5090" spans="1:6" ht="13.5" hidden="1" customHeight="1">
      <c r="C5090" s="4" t="str">
        <f ca="1">IFERROR(__xludf.DUMMYFUNCTION("GOOGLETRANSLATE(D:D,""auto"",""en"")"),"#VALUE!")</f>
        <v>#VALUE!</v>
      </c>
    </row>
    <row r="5091" spans="1:6" ht="13.5" hidden="1" customHeight="1">
      <c r="A5091" s="4" t="s">
        <v>11602</v>
      </c>
      <c r="B5091" s="4" t="s">
        <v>11603</v>
      </c>
      <c r="C5091" s="4" t="str">
        <f ca="1">IFERROR(__xludf.DUMMYFUNCTION("GOOGLETRANSLATE(D:D,""auto"",""en"")"),"SUN Xiao fruit was executed")</f>
        <v>SUN Xiao fruit was executed</v>
      </c>
      <c r="D5091" s="4" t="s">
        <v>11604</v>
      </c>
      <c r="E5091" s="4">
        <v>5032639</v>
      </c>
    </row>
    <row r="5092" spans="1:6" ht="13.5" customHeight="1">
      <c r="A5092" s="4" t="s">
        <v>11605</v>
      </c>
      <c r="B5092" s="4" t="s">
        <v>11606</v>
      </c>
      <c r="C5092" s="4" t="str">
        <f ca="1">IFERROR(__xludf.DUMMYFUNCTION("GOOGLETRANSLATE(D:D,""auto"",""en"")"),"Why Wuhan, Hubei province is higher than the new cases")</f>
        <v>Why Wuhan, Hubei province is higher than the new cases</v>
      </c>
      <c r="D5092" s="5" t="s">
        <v>11607</v>
      </c>
      <c r="E5092" s="4">
        <v>3047491</v>
      </c>
      <c r="F5092">
        <v>1</v>
      </c>
    </row>
    <row r="5093" spans="1:6" ht="13.5" customHeight="1">
      <c r="A5093" s="4" t="s">
        <v>11608</v>
      </c>
      <c r="B5093" s="4" t="s">
        <v>11609</v>
      </c>
      <c r="C5093" s="4" t="str">
        <f ca="1">IFERROR(__xludf.DUMMYFUNCTION("GOOGLETRANSLATE(D:D,""auto"",""en"")"),"Wang Chen new crown virus may persist")</f>
        <v>Wang Chen new crown virus may persist</v>
      </c>
      <c r="D5093" s="5" t="s">
        <v>11610</v>
      </c>
      <c r="E5093" s="4">
        <v>2993860</v>
      </c>
      <c r="F5093">
        <v>1</v>
      </c>
    </row>
    <row r="5094" spans="1:6" ht="13.5" hidden="1" customHeight="1">
      <c r="A5094" s="4" t="s">
        <v>11611</v>
      </c>
      <c r="B5094" s="4" t="s">
        <v>11612</v>
      </c>
      <c r="C5094" s="4" t="str">
        <f ca="1">IFERROR(__xludf.DUMMYFUNCTION("GOOGLETRANSLATE(D:D,""auto"",""en"")"),"Subconsciously tease the hair care little sister")</f>
        <v>Subconsciously tease the hair care little sister</v>
      </c>
      <c r="D5094" s="5" t="s">
        <v>11613</v>
      </c>
      <c r="E5094" s="4">
        <v>2971144</v>
      </c>
    </row>
    <row r="5095" spans="1:6" ht="13.5" hidden="1" customHeight="1">
      <c r="A5095" s="4" t="s">
        <v>11614</v>
      </c>
      <c r="B5095" s="4" t="s">
        <v>11615</v>
      </c>
      <c r="C5095" s="4" t="str">
        <f ca="1">IFERROR(__xludf.DUMMYFUNCTION("GOOGLETRANSLATE(D:D,""auto"",""en"")"),"Bullfrog")</f>
        <v>Bullfrog</v>
      </c>
      <c r="D5095" s="5" t="s">
        <v>11616</v>
      </c>
      <c r="E5095" s="4">
        <v>2581611</v>
      </c>
    </row>
    <row r="5096" spans="1:6" ht="13.5" hidden="1" customHeight="1">
      <c r="A5096" s="4" t="s">
        <v>11617</v>
      </c>
      <c r="B5096" s="4" t="s">
        <v>11618</v>
      </c>
      <c r="C5096" s="4" t="str">
        <f ca="1">IFERROR(__xludf.DUMMYFUNCTION("GOOGLETRANSLATE(D:D,""auto"",""en"")"),"PubMed state line")</f>
        <v>PubMed state line</v>
      </c>
      <c r="D5096" s="5" t="s">
        <v>11619</v>
      </c>
      <c r="E5096" s="4">
        <v>1758203</v>
      </c>
    </row>
    <row r="5097" spans="1:6" ht="13.5" hidden="1" customHeight="1">
      <c r="A5097" s="4" t="s">
        <v>11620</v>
      </c>
      <c r="B5097" s="4" t="s">
        <v>11621</v>
      </c>
      <c r="C5097" s="4" t="str">
        <f ca="1">IFERROR(__xludf.DUMMYFUNCTION("GOOGLETRANSLATE(D:D,""auto"",""en"")"),"Shen Teng I really do not know anything")</f>
        <v>Shen Teng I really do not know anything</v>
      </c>
      <c r="D5097" s="5" t="s">
        <v>11622</v>
      </c>
      <c r="E5097" s="4">
        <v>1643470</v>
      </c>
    </row>
    <row r="5098" spans="1:6" ht="13.5" hidden="1" customHeight="1">
      <c r="A5098" s="4" t="s">
        <v>11620</v>
      </c>
      <c r="B5098" s="4" t="s">
        <v>11623</v>
      </c>
      <c r="C5098" s="4" t="str">
        <f ca="1">IFERROR(__xludf.DUMMYFUNCTION("GOOGLETRANSLATE(D:D,""auto"",""en"")"),"Ke Jia Yan too stems the")</f>
        <v>Ke Jia Yan too stems the</v>
      </c>
      <c r="D5098" s="5" t="s">
        <v>11624</v>
      </c>
      <c r="E5098" s="4">
        <v>1209287</v>
      </c>
    </row>
    <row r="5099" spans="1:6" ht="13.5" customHeight="1">
      <c r="A5099" s="4" t="s">
        <v>11625</v>
      </c>
      <c r="B5099" s="4" t="s">
        <v>11626</v>
      </c>
      <c r="C5099" s="4" t="str">
        <f ca="1">IFERROR(__xludf.DUMMYFUNCTION("GOOGLETRANSLATE(D:D,""auto"",""en"")"),"The new crown pneumonia severe treatment more difficult than SARS")</f>
        <v>The new crown pneumonia severe treatment more difficult than SARS</v>
      </c>
      <c r="D5099" s="5" t="s">
        <v>11627</v>
      </c>
      <c r="E5099" s="4">
        <v>1103330</v>
      </c>
      <c r="F5099">
        <v>1</v>
      </c>
    </row>
    <row r="5100" spans="1:6" ht="13.5" customHeight="1">
      <c r="A5100" s="4" t="s">
        <v>11628</v>
      </c>
      <c r="B5100" s="4" t="s">
        <v>11629</v>
      </c>
      <c r="C5100" s="4" t="str">
        <f ca="1">IFERROR(__xludf.DUMMYFUNCTION("GOOGLETRANSLATE(D:D,""auto"",""en"")"),"Students should not wear uniforms online courses")</f>
        <v>Students should not wear uniforms online courses</v>
      </c>
      <c r="D5100" s="5" t="s">
        <v>11630</v>
      </c>
      <c r="E5100" s="4">
        <v>855737</v>
      </c>
      <c r="F5100">
        <v>1</v>
      </c>
    </row>
    <row r="5101" spans="1:6" ht="13.5" hidden="1" customHeight="1">
      <c r="A5101" s="4" t="s">
        <v>11631</v>
      </c>
      <c r="B5101" s="4" t="s">
        <v>11490</v>
      </c>
      <c r="C5101" s="4" t="str">
        <f ca="1">IFERROR(__xludf.DUMMYFUNCTION("GOOGLETRANSLATE(D:D,""auto"",""en"")"),"Chopsticks pictures")</f>
        <v>Chopsticks pictures</v>
      </c>
      <c r="D5101" s="5" t="s">
        <v>11632</v>
      </c>
      <c r="E5101" s="4">
        <v>720623</v>
      </c>
    </row>
    <row r="5102" spans="1:6" ht="13.5" customHeight="1">
      <c r="A5102" s="4" t="s">
        <v>11633</v>
      </c>
      <c r="B5102" s="4" t="s">
        <v>11484</v>
      </c>
      <c r="C5102" s="4" t="str">
        <f ca="1">IFERROR(__xludf.DUMMYFUNCTION("GOOGLETRANSLATE(D:D,""auto"",""en"")"),"Add a new crown Korea 31 cases of pneumonia")</f>
        <v>Add a new crown Korea 31 cases of pneumonia</v>
      </c>
      <c r="D5102" s="5" t="s">
        <v>11634</v>
      </c>
      <c r="E5102" s="4">
        <v>668653</v>
      </c>
      <c r="F5102">
        <v>1</v>
      </c>
    </row>
    <row r="5103" spans="1:6" ht="13.5" hidden="1" customHeight="1">
      <c r="A5103" s="4" t="s">
        <v>11635</v>
      </c>
      <c r="B5103" s="4" t="s">
        <v>11636</v>
      </c>
      <c r="C5103" s="4" t="str">
        <f ca="1">IFERROR(__xludf.DUMMYFUNCTION("GOOGLETRANSLATE(D:D,""auto"",""en"")"),"Hali Mei root will be March 31 officially retired from the royal family")</f>
        <v>Hali Mei root will be March 31 officially retired from the royal family</v>
      </c>
      <c r="D5103" s="5" t="s">
        <v>11637</v>
      </c>
      <c r="E5103" s="4">
        <v>580528</v>
      </c>
    </row>
    <row r="5104" spans="1:6" ht="13.5" customHeight="1">
      <c r="A5104" s="4" t="s">
        <v>11638</v>
      </c>
      <c r="B5104" s="4" t="s">
        <v>11639</v>
      </c>
      <c r="C5104" s="4" t="str">
        <f ca="1">IFERROR(__xludf.DUMMYFUNCTION("GOOGLETRANSLATE(D:D,""auto"",""en"")"),"Hubei new crown the new 349 cases of pneumonia")</f>
        <v>Hubei new crown the new 349 cases of pneumonia</v>
      </c>
      <c r="D5104" s="5" t="s">
        <v>11640</v>
      </c>
      <c r="E5104" s="4">
        <v>533066</v>
      </c>
      <c r="F5104">
        <v>1</v>
      </c>
    </row>
    <row r="5105" spans="1:6" ht="13.5" hidden="1" customHeight="1">
      <c r="A5105" s="4" t="s">
        <v>11641</v>
      </c>
      <c r="B5105" s="4" t="s">
        <v>11505</v>
      </c>
      <c r="C5105" s="4" t="str">
        <f ca="1">IFERROR(__xludf.DUMMYFUNCTION("GOOGLETRANSLATE(D:D,""auto"",""en"")"),"All Sichuan Tibetan poverty")</f>
        <v>All Sichuan Tibetan poverty</v>
      </c>
      <c r="D5105" s="5" t="s">
        <v>11642</v>
      </c>
      <c r="E5105" s="4">
        <v>529115</v>
      </c>
    </row>
    <row r="5106" spans="1:6" ht="13.5" hidden="1" customHeight="1">
      <c r="A5106" s="4" t="s">
        <v>11643</v>
      </c>
      <c r="B5106" s="4" t="s">
        <v>11644</v>
      </c>
      <c r="C5106" s="4" t="str">
        <f ca="1">IFERROR(__xludf.DUMMYFUNCTION("GOOGLETRANSLATE(D:D,""auto"",""en"")"),"Thailand reconnects pregnant husband not guilty")</f>
        <v>Thailand reconnects pregnant husband not guilty</v>
      </c>
      <c r="D5106" s="5" t="s">
        <v>11645</v>
      </c>
      <c r="E5106" s="4">
        <v>528463</v>
      </c>
    </row>
    <row r="5107" spans="1:6" ht="13.5" hidden="1" customHeight="1">
      <c r="A5107" s="4" t="s">
        <v>11646</v>
      </c>
      <c r="B5107" s="4" t="s">
        <v>11647</v>
      </c>
      <c r="C5107" s="4" t="str">
        <f ca="1">IFERROR(__xludf.DUMMYFUNCTION("GOOGLETRANSLATE(D:D,""auto"",""en"")"),"Wang also")</f>
        <v>Wang also</v>
      </c>
      <c r="D5107" s="5" t="s">
        <v>11648</v>
      </c>
      <c r="E5107" s="4">
        <v>508923</v>
      </c>
    </row>
    <row r="5108" spans="1:6" ht="13.5" hidden="1" customHeight="1">
      <c r="A5108" s="4" t="s">
        <v>11649</v>
      </c>
      <c r="B5108" s="4" t="s">
        <v>11650</v>
      </c>
      <c r="C5108" s="4" t="str">
        <f ca="1">IFERROR(__xludf.DUMMYFUNCTION("GOOGLETRANSLATE(D:D,""auto"",""en"")"),"Silver car excellent DAZED")</f>
        <v>Silver car excellent DAZED</v>
      </c>
      <c r="D5108" s="5" t="s">
        <v>11651</v>
      </c>
      <c r="E5108" s="4">
        <v>495977</v>
      </c>
    </row>
    <row r="5109" spans="1:6" ht="13.5" hidden="1" customHeight="1">
      <c r="A5109" s="4" t="s">
        <v>11652</v>
      </c>
      <c r="B5109" s="4" t="s">
        <v>11653</v>
      </c>
      <c r="C5109" s="4" t="str">
        <f ca="1">IFERROR(__xludf.DUMMYFUNCTION("GOOGLETRANSLATE(D:D,""auto"",""en"")"),"Wang Yibo not give up gesture dance")</f>
        <v>Wang Yibo not give up gesture dance</v>
      </c>
      <c r="D5109" s="5" t="s">
        <v>11654</v>
      </c>
      <c r="E5109" s="4">
        <v>487695</v>
      </c>
    </row>
    <row r="5110" spans="1:6" ht="13.5" hidden="1" customHeight="1">
      <c r="A5110" s="4" t="s">
        <v>11655</v>
      </c>
      <c r="B5110" s="4" t="s">
        <v>11531</v>
      </c>
      <c r="C5110" s="4" t="str">
        <f ca="1">IFERROR(__xludf.DUMMYFUNCTION("GOOGLETRANSLATE(D:D,""auto"",""en"")"),"Uganda sent troops destroy locusts")</f>
        <v>Uganda sent troops destroy locusts</v>
      </c>
      <c r="D5110" s="5" t="s">
        <v>11656</v>
      </c>
      <c r="E5110" s="4">
        <v>476423</v>
      </c>
    </row>
    <row r="5111" spans="1:6" ht="13.5" hidden="1" customHeight="1">
      <c r="A5111" s="4" t="s">
        <v>11657</v>
      </c>
      <c r="B5111" s="4" t="s">
        <v>11658</v>
      </c>
      <c r="C5111" s="4" t="str">
        <f ca="1">IFERROR(__xludf.DUMMYFUNCTION("GOOGLETRANSLATE(D:D,""auto"",""en"")"),"Xieteng Fei")</f>
        <v>Xieteng Fei</v>
      </c>
      <c r="D5111" s="5" t="s">
        <v>11659</v>
      </c>
      <c r="E5111" s="4">
        <v>466829</v>
      </c>
    </row>
    <row r="5112" spans="1:6" ht="13.5" hidden="1" customHeight="1">
      <c r="A5112" s="4" t="s">
        <v>11525</v>
      </c>
      <c r="B5112" s="4" t="s">
        <v>11511</v>
      </c>
      <c r="C5112" s="4" t="str">
        <f ca="1">IFERROR(__xludf.DUMMYFUNCTION("GOOGLETRANSLATE(D:D,""auto"",""en"")"),"suho only")</f>
        <v>suho only</v>
      </c>
      <c r="D5112" s="5" t="s">
        <v>11660</v>
      </c>
      <c r="E5112" s="4">
        <v>455883</v>
      </c>
    </row>
    <row r="5113" spans="1:6" ht="13.5" customHeight="1">
      <c r="A5113" s="4" t="s">
        <v>11525</v>
      </c>
      <c r="B5113" s="4" t="s">
        <v>11661</v>
      </c>
      <c r="C5113" s="4" t="str">
        <f ca="1">IFERROR(__xludf.DUMMYFUNCTION("GOOGLETRANSLATE(D:D,""auto"",""en"")"),"South Korea's new Consul General take temporary cargo plane arrived in the Chinese new post")</f>
        <v>South Korea's new Consul General take temporary cargo plane arrived in the Chinese new post</v>
      </c>
      <c r="D5113" s="5" t="s">
        <v>11662</v>
      </c>
      <c r="E5113" s="4">
        <v>440134</v>
      </c>
      <c r="F5113">
        <v>1</v>
      </c>
    </row>
    <row r="5114" spans="1:6" ht="13.5" customHeight="1">
      <c r="A5114" s="4" t="s">
        <v>11663</v>
      </c>
      <c r="B5114" s="4" t="s">
        <v>11664</v>
      </c>
      <c r="C5114" s="4" t="str">
        <f ca="1">IFERROR(__xludf.DUMMYFUNCTION("GOOGLETRANSLATE(D:D,""auto"",""en"")"),"Diamond Princess 2 new crown pneumonia death")</f>
        <v>Diamond Princess 2 new crown pneumonia death</v>
      </c>
      <c r="D5114" s="5" t="s">
        <v>11665</v>
      </c>
      <c r="E5114" s="4">
        <v>430406</v>
      </c>
      <c r="F5114">
        <v>1</v>
      </c>
    </row>
    <row r="5115" spans="1:6" ht="13.5" hidden="1" customHeight="1">
      <c r="A5115" s="4" t="s">
        <v>11666</v>
      </c>
      <c r="B5115" s="4" t="s">
        <v>11667</v>
      </c>
      <c r="C5115" s="4" t="str">
        <f ca="1">IFERROR(__xludf.DUMMYFUNCTION("GOOGLETRANSLATE(D:D,""auto"",""en"")"),"Exam")</f>
        <v>Exam</v>
      </c>
      <c r="D5115" s="5" t="s">
        <v>11668</v>
      </c>
      <c r="E5115" s="4">
        <v>429349</v>
      </c>
    </row>
    <row r="5116" spans="1:6" ht="13.5" customHeight="1">
      <c r="A5116" s="4" t="s">
        <v>11669</v>
      </c>
      <c r="B5116" s="4" t="s">
        <v>11664</v>
      </c>
      <c r="C5116" s="4" t="str">
        <f ca="1">IFERROR(__xludf.DUMMYFUNCTION("GOOGLETRANSLATE(D:D,""auto"",""en"")"),"The capture of a cute little happy prevention")</f>
        <v>The capture of a cute little happy prevention</v>
      </c>
      <c r="D5116" s="5" t="s">
        <v>11670</v>
      </c>
      <c r="E5116" s="4">
        <v>425388</v>
      </c>
      <c r="F5116">
        <v>1</v>
      </c>
    </row>
    <row r="5117" spans="1:6" ht="13.5" hidden="1" customHeight="1">
      <c r="A5117" s="4" t="s">
        <v>11525</v>
      </c>
      <c r="B5117" s="4" t="s">
        <v>11526</v>
      </c>
      <c r="C5117" s="4" t="str">
        <f ca="1">IFERROR(__xludf.DUMMYFUNCTION("GOOGLETRANSLATE(D:D,""auto"",""en"")"),"She has been singing for a whole five years")</f>
        <v>She has been singing for a whole five years</v>
      </c>
      <c r="D5117" s="5" t="s">
        <v>11527</v>
      </c>
      <c r="E5117" s="4">
        <v>419471</v>
      </c>
    </row>
    <row r="5118" spans="1:6" ht="13.5" customHeight="1">
      <c r="A5118" s="4" t="s">
        <v>11638</v>
      </c>
      <c r="B5118" s="4" t="s">
        <v>11671</v>
      </c>
      <c r="C5118" s="4" t="str">
        <f ca="1">IFERROR(__xludf.DUMMYFUNCTION("GOOGLETRANSLATE(D:D,""auto"",""en"")"),"Shelter doctors lament doctor-patient relationship is back")</f>
        <v>Shelter doctors lament doctor-patient relationship is back</v>
      </c>
      <c r="D5118" s="5" t="s">
        <v>11672</v>
      </c>
      <c r="E5118" s="4">
        <v>405744</v>
      </c>
      <c r="F5118">
        <v>1</v>
      </c>
    </row>
    <row r="5119" spans="1:6" ht="13.5" hidden="1" customHeight="1">
      <c r="A5119" s="4" t="s">
        <v>11638</v>
      </c>
      <c r="B5119" s="4" t="s">
        <v>11673</v>
      </c>
      <c r="C5119" s="4" t="str">
        <f ca="1">IFERROR(__xludf.DUMMYFUNCTION("GOOGLETRANSLATE(D:D,""auto"",""en"")"),"Pop Smoke")</f>
        <v>Pop Smoke</v>
      </c>
      <c r="D5119" s="5" t="s">
        <v>11674</v>
      </c>
      <c r="E5119" s="4">
        <v>368382</v>
      </c>
    </row>
    <row r="5120" spans="1:6" ht="13.5" hidden="1" customHeight="1">
      <c r="A5120" s="4" t="s">
        <v>11675</v>
      </c>
      <c r="B5120" s="4" t="s">
        <v>11676</v>
      </c>
      <c r="C5120" s="4" t="str">
        <f ca="1">IFERROR(__xludf.DUMMYFUNCTION("GOOGLETRANSLATE(D:D,""auto"",""en"")"),"Fan Chengcheng childhood photos")</f>
        <v>Fan Chengcheng childhood photos</v>
      </c>
      <c r="D5120" s="5" t="s">
        <v>11677</v>
      </c>
      <c r="E5120" s="4">
        <v>342650</v>
      </c>
    </row>
    <row r="5121" spans="1:6" ht="13.5" hidden="1" customHeight="1">
      <c r="A5121" s="4" t="s">
        <v>11678</v>
      </c>
      <c r="B5121" s="4" t="s">
        <v>11679</v>
      </c>
      <c r="C5121" s="4" t="str">
        <f ca="1">IFERROR(__xludf.DUMMYFUNCTION("GOOGLETRANSLATE(D:D,""auto"",""en"")"),"Washing machine pictures")</f>
        <v>Washing machine pictures</v>
      </c>
      <c r="D5121" s="5" t="s">
        <v>11680</v>
      </c>
      <c r="E5121" s="4">
        <v>339037</v>
      </c>
    </row>
    <row r="5122" spans="1:6" ht="13.5" hidden="1" customHeight="1">
      <c r="A5122" s="4" t="s">
        <v>11681</v>
      </c>
      <c r="B5122" s="4" t="s">
        <v>11682</v>
      </c>
      <c r="C5122" s="4" t="str">
        <f ca="1">IFERROR(__xludf.DUMMYFUNCTION("GOOGLETRANSLATE(D:D,""auto"",""en"")"),"SpongeBob beat prequel")</f>
        <v>SpongeBob beat prequel</v>
      </c>
      <c r="D5122" s="5" t="s">
        <v>11683</v>
      </c>
      <c r="E5122" s="4">
        <v>333071</v>
      </c>
    </row>
    <row r="5123" spans="1:6" ht="13.5" hidden="1" customHeight="1">
      <c r="A5123" s="4" t="s">
        <v>11684</v>
      </c>
      <c r="B5123" s="4" t="s">
        <v>11685</v>
      </c>
      <c r="C5123" s="4" t="str">
        <f ca="1">IFERROR(__xludf.DUMMYFUNCTION("GOOGLETRANSLATE(D:D,""auto"",""en"")"),"Diamond Princess ship visitors about the experience")</f>
        <v>Diamond Princess ship visitors about the experience</v>
      </c>
      <c r="D5123" s="5" t="s">
        <v>11686</v>
      </c>
      <c r="E5123" s="4">
        <v>325137</v>
      </c>
    </row>
    <row r="5124" spans="1:6" ht="13.5" hidden="1" customHeight="1">
      <c r="A5124" s="4" t="s">
        <v>11687</v>
      </c>
      <c r="B5124" s="4" t="s">
        <v>11644</v>
      </c>
      <c r="C5124" s="4" t="str">
        <f ca="1">IFERROR(__xludf.DUMMYFUNCTION("GOOGLETRANSLATE(D:D,""auto"",""en"")"),"Network buzzwords decade Awards")</f>
        <v>Network buzzwords decade Awards</v>
      </c>
      <c r="D5124" s="5" t="s">
        <v>11688</v>
      </c>
      <c r="E5124" s="4">
        <v>309900</v>
      </c>
    </row>
    <row r="5125" spans="1:6" ht="13.5" customHeight="1">
      <c r="A5125" s="4" t="s">
        <v>11689</v>
      </c>
      <c r="B5125" s="4" t="s">
        <v>11690</v>
      </c>
      <c r="C5125" s="4" t="str">
        <f ca="1">IFERROR(__xludf.DUMMYFUNCTION("GOOGLETRANSLATE(D:D,""auto"",""en"")"),"Jiangsu no new confirmed cases")</f>
        <v>Jiangsu no new confirmed cases</v>
      </c>
      <c r="D5125" s="5" t="s">
        <v>11691</v>
      </c>
      <c r="E5125" s="4">
        <v>298203</v>
      </c>
      <c r="F5125">
        <v>1</v>
      </c>
    </row>
    <row r="5126" spans="1:6" ht="13.5" hidden="1" customHeight="1">
      <c r="A5126" s="4" t="s">
        <v>11692</v>
      </c>
      <c r="B5126" s="4" t="s">
        <v>11673</v>
      </c>
      <c r="C5126" s="4" t="str">
        <f ca="1">IFERROR(__xludf.DUMMYFUNCTION("GOOGLETRANSLATE(D:D,""auto"",""en"")"),"Jinan and earthquake")</f>
        <v>Jinan and earthquake</v>
      </c>
      <c r="D5126" s="5" t="s">
        <v>11693</v>
      </c>
      <c r="E5126" s="4">
        <v>294256</v>
      </c>
    </row>
    <row r="5127" spans="1:6" ht="13.5" customHeight="1">
      <c r="A5127" s="4" t="s">
        <v>11694</v>
      </c>
      <c r="B5127" s="4" t="s">
        <v>11695</v>
      </c>
      <c r="C5127" s="4" t="str">
        <f ca="1">IFERROR(__xludf.DUMMYFUNCTION("GOOGLETRANSLATE(D:D,""auto"",""en"")"),"Beijing will subsidize film and television projects affected by the epidemic")</f>
        <v>Beijing will subsidize film and television projects affected by the epidemic</v>
      </c>
      <c r="D5127" s="5" t="s">
        <v>11696</v>
      </c>
      <c r="E5127" s="4">
        <v>293731</v>
      </c>
      <c r="F5127">
        <v>1</v>
      </c>
    </row>
    <row r="5128" spans="1:6" ht="13.5" hidden="1" customHeight="1">
      <c r="A5128" s="4" t="s">
        <v>11697</v>
      </c>
      <c r="B5128" s="4" t="s">
        <v>11698</v>
      </c>
      <c r="C5128" s="4" t="str">
        <f ca="1">IFERROR(__xludf.DUMMYFUNCTION("GOOGLETRANSLATE(D:D,""auto"",""en"")"),"Fashuo")</f>
        <v>Fashuo</v>
      </c>
      <c r="D5128" s="5" t="s">
        <v>11699</v>
      </c>
      <c r="E5128" s="4">
        <v>270769</v>
      </c>
    </row>
    <row r="5129" spans="1:6" ht="13.5" hidden="1" customHeight="1">
      <c r="A5129" s="4" t="s">
        <v>11655</v>
      </c>
      <c r="B5129" s="4" t="s">
        <v>11700</v>
      </c>
      <c r="C5129" s="4" t="str">
        <f ca="1">IFERROR(__xludf.DUMMYFUNCTION("GOOGLETRANSLATE(D:D,""auto"",""en"")"),"Subtract the number of")</f>
        <v>Subtract the number of</v>
      </c>
      <c r="D5129" s="5" t="s">
        <v>11701</v>
      </c>
      <c r="E5129" s="4">
        <v>263476</v>
      </c>
    </row>
    <row r="5130" spans="1:6" ht="13.5" hidden="1" customHeight="1">
      <c r="A5130" s="4" t="s">
        <v>11702</v>
      </c>
      <c r="B5130" s="4" t="s">
        <v>11703</v>
      </c>
      <c r="C5130" s="4" t="str">
        <f ca="1">IFERROR(__xludf.DUMMYFUNCTION("GOOGLETRANSLATE(D:D,""auto"",""en"")"),"He spent a long time at home doing all scolded")</f>
        <v>He spent a long time at home doing all scolded</v>
      </c>
      <c r="D5130" s="5" t="s">
        <v>11704</v>
      </c>
      <c r="E5130" s="4">
        <v>263377</v>
      </c>
    </row>
    <row r="5131" spans="1:6" ht="13.5" hidden="1" customHeight="1">
      <c r="A5131" s="4" t="s">
        <v>11705</v>
      </c>
      <c r="B5131" s="4" t="s">
        <v>11700</v>
      </c>
      <c r="C5131" s="4" t="str">
        <f ca="1">IFERROR(__xludf.DUMMYFUNCTION("GOOGLETRANSLATE(D:D,""auto"",""en"")"),"Copy and paste UI father's death")</f>
        <v>Copy and paste UI father's death</v>
      </c>
      <c r="D5131" s="5" t="s">
        <v>11706</v>
      </c>
      <c r="E5131" s="4">
        <v>259118</v>
      </c>
    </row>
    <row r="5132" spans="1:6" ht="13.5" customHeight="1">
      <c r="A5132" s="4" t="s">
        <v>11702</v>
      </c>
      <c r="B5132" s="4" t="s">
        <v>11700</v>
      </c>
      <c r="C5132" s="4" t="str">
        <f ca="1">IFERROR(__xludf.DUMMYFUNCTION("GOOGLETRANSLATE(D:D,""auto"",""en"")"),"13 new cases nationwide to 0")</f>
        <v>13 new cases nationwide to 0</v>
      </c>
      <c r="D5132" s="5" t="s">
        <v>11707</v>
      </c>
      <c r="E5132" s="4">
        <v>257046</v>
      </c>
      <c r="F5132">
        <v>1</v>
      </c>
    </row>
    <row r="5133" spans="1:6" ht="13.5" customHeight="1">
      <c r="A5133" s="4" t="s">
        <v>11708</v>
      </c>
      <c r="B5133" s="4" t="s">
        <v>11709</v>
      </c>
      <c r="C5133" s="4" t="str">
        <f ca="1">IFERROR(__xludf.DUMMYFUNCTION("GOOGLETRANSLATE(D:D,""auto"",""en"")"),"Diamond Princess arrived by charter part of Hong Kong and Macao")</f>
        <v>Diamond Princess arrived by charter part of Hong Kong and Macao</v>
      </c>
      <c r="D5133" s="5" t="s">
        <v>11710</v>
      </c>
      <c r="E5133" s="4">
        <v>255663</v>
      </c>
      <c r="F5133">
        <v>1</v>
      </c>
    </row>
    <row r="5134" spans="1:6" ht="13.5" customHeight="1">
      <c r="A5134" s="4" t="s">
        <v>11711</v>
      </c>
      <c r="B5134" s="4" t="s">
        <v>11700</v>
      </c>
      <c r="C5134" s="4" t="str">
        <f ca="1">IFERROR(__xludf.DUMMYFUNCTION("GOOGLETRANSLATE(D:D,""auto"",""en"")"),"Converting a number of medical supplies car prices")</f>
        <v>Converting a number of medical supplies car prices</v>
      </c>
      <c r="D5134" s="5" t="s">
        <v>11712</v>
      </c>
      <c r="E5134" s="4">
        <v>253686</v>
      </c>
      <c r="F5134">
        <v>1</v>
      </c>
    </row>
    <row r="5135" spans="1:6" ht="13.5" hidden="1" customHeight="1">
      <c r="A5135" s="4" t="s">
        <v>11713</v>
      </c>
      <c r="B5135" s="4" t="s">
        <v>11709</v>
      </c>
      <c r="C5135" s="4" t="str">
        <f ca="1">IFERROR(__xludf.DUMMYFUNCTION("GOOGLETRANSLATE(D:D,""auto"",""en"")"),"The whole building reopened after the owners shouting refueling")</f>
        <v>The whole building reopened after the owners shouting refueling</v>
      </c>
      <c r="D5135" s="5" t="s">
        <v>11714</v>
      </c>
      <c r="E5135" s="4">
        <v>251098</v>
      </c>
    </row>
    <row r="5136" spans="1:6" ht="13.5" customHeight="1">
      <c r="A5136" s="4" t="s">
        <v>11715</v>
      </c>
      <c r="B5136" s="4" t="s">
        <v>11709</v>
      </c>
      <c r="C5136" s="4" t="str">
        <f ca="1">IFERROR(__xludf.DUMMYFUNCTION("GOOGLETRANSLATE(D:D,""auto"",""en"")"),"Governor of Hubei Provincial Committee sent a letter to the brothers provinces")</f>
        <v>Governor of Hubei Provincial Committee sent a letter to the brothers provinces</v>
      </c>
      <c r="D5136" s="5" t="s">
        <v>11716</v>
      </c>
      <c r="E5136" s="4">
        <v>247495</v>
      </c>
      <c r="F5136">
        <v>1</v>
      </c>
    </row>
    <row r="5137" spans="1:6" ht="13.5" customHeight="1">
      <c r="A5137" s="4" t="s">
        <v>11717</v>
      </c>
      <c r="B5137" s="4" t="s">
        <v>11718</v>
      </c>
      <c r="C5137" s="4" t="str">
        <f ca="1">IFERROR(__xludf.DUMMYFUNCTION("GOOGLETRANSLATE(D:D,""auto"",""en"")"),"Converting the former People's Liberation Army clothing factory protective clothing")</f>
        <v>Converting the former People's Liberation Army clothing factory protective clothing</v>
      </c>
      <c r="D5137" s="5" t="s">
        <v>11719</v>
      </c>
      <c r="E5137" s="4">
        <v>247026</v>
      </c>
      <c r="F5137">
        <v>1</v>
      </c>
    </row>
    <row r="5138" spans="1:6" ht="13.5" hidden="1" customHeight="1">
      <c r="A5138" s="4" t="s">
        <v>11720</v>
      </c>
      <c r="B5138" s="4" t="s">
        <v>11721</v>
      </c>
      <c r="C5138" s="4" t="str">
        <f ca="1">IFERROR(__xludf.DUMMYFUNCTION("GOOGLETRANSLATE(D:D,""auto"",""en"")"),"Your photo looks best")</f>
        <v>Your photo looks best</v>
      </c>
      <c r="D5138" s="5" t="s">
        <v>11722</v>
      </c>
      <c r="E5138" s="4">
        <v>244201</v>
      </c>
    </row>
    <row r="5139" spans="1:6" ht="13.5" hidden="1" customHeight="1">
      <c r="A5139" s="4" t="s">
        <v>11723</v>
      </c>
      <c r="B5139" s="4" t="s">
        <v>11724</v>
      </c>
      <c r="C5139" s="4" t="str">
        <f ca="1">IFERROR(__xludf.DUMMYFUNCTION("GOOGLETRANSLATE(D:D,""auto"",""en"")"),"Perfect relationship corridor birth")</f>
        <v>Perfect relationship corridor birth</v>
      </c>
      <c r="D5139" s="5" t="s">
        <v>11725</v>
      </c>
      <c r="E5139" s="4">
        <v>240204</v>
      </c>
    </row>
    <row r="5140" spans="1:6" ht="13.5" hidden="1" customHeight="1">
      <c r="C5140" s="4" t="str">
        <f ca="1">IFERROR(__xludf.DUMMYFUNCTION("GOOGLETRANSLATE(D:D,""auto"",""en"")"),"#VALUE!")</f>
        <v>#VALUE!</v>
      </c>
    </row>
    <row r="5141" spans="1:6" ht="13.5" hidden="1" customHeight="1">
      <c r="A5141" s="4" t="s">
        <v>11726</v>
      </c>
      <c r="B5141" s="4" t="s">
        <v>11727</v>
      </c>
      <c r="C5141" s="4" t="str">
        <f ca="1">IFERROR(__xludf.DUMMYFUNCTION("GOOGLETRANSLATE(D:D,""auto"",""en"")"),"Li Lanjuan face indentation")</f>
        <v>Li Lanjuan face indentation</v>
      </c>
      <c r="D5141" s="4" t="s">
        <v>11728</v>
      </c>
      <c r="E5141" s="4">
        <v>2256334</v>
      </c>
    </row>
    <row r="5142" spans="1:6" ht="13.5" customHeight="1">
      <c r="A5142" s="4" t="s">
        <v>11729</v>
      </c>
      <c r="B5142" s="4" t="s">
        <v>11730</v>
      </c>
      <c r="C5142" s="4" t="str">
        <f ca="1">IFERROR(__xludf.DUMMYFUNCTION("GOOGLETRANSLATE(D:D,""auto"",""en"")"),"8 epidemic related good news")</f>
        <v>8 epidemic related good news</v>
      </c>
      <c r="D5142" s="5" t="s">
        <v>11731</v>
      </c>
      <c r="E5142" s="4">
        <v>1575495</v>
      </c>
      <c r="F5142">
        <v>1</v>
      </c>
    </row>
    <row r="5143" spans="1:6" ht="13.5" customHeight="1">
      <c r="A5143" s="4" t="s">
        <v>11732</v>
      </c>
      <c r="B5143" s="4" t="s">
        <v>11733</v>
      </c>
      <c r="C5143" s="4" t="str">
        <f ca="1">IFERROR(__xludf.DUMMYFUNCTION("GOOGLETRANSLATE(D:D,""auto"",""en"")"),"Chongqing allocation of 200,000 ml plasma reinforcements Hubei")</f>
        <v>Chongqing allocation of 200,000 ml plasma reinforcements Hubei</v>
      </c>
      <c r="D5143" s="5" t="s">
        <v>11734</v>
      </c>
      <c r="E5143" s="4">
        <v>1527273</v>
      </c>
      <c r="F5143">
        <v>1</v>
      </c>
    </row>
    <row r="5144" spans="1:6" ht="13.5" hidden="1" customHeight="1">
      <c r="A5144" s="4" t="s">
        <v>11735</v>
      </c>
      <c r="B5144" s="4" t="s">
        <v>11736</v>
      </c>
      <c r="C5144" s="4" t="str">
        <f ca="1">IFERROR(__xludf.DUMMYFUNCTION("GOOGLETRANSLATE(D:D,""auto"",""en"")"),"Small ears real name")</f>
        <v>Small ears real name</v>
      </c>
      <c r="D5144" s="5" t="s">
        <v>11737</v>
      </c>
      <c r="E5144" s="4">
        <v>1521952</v>
      </c>
    </row>
    <row r="5145" spans="1:6" ht="13.5" hidden="1" customHeight="1">
      <c r="A5145" s="4" t="s">
        <v>11735</v>
      </c>
      <c r="B5145" s="4" t="s">
        <v>11738</v>
      </c>
      <c r="C5145" s="4" t="str">
        <f ca="1">IFERROR(__xludf.DUMMYFUNCTION("GOOGLETRANSLATE(D:D,""auto"",""en"")"),"Ning Huanyu married")</f>
        <v>Ning Huanyu married</v>
      </c>
      <c r="D5145" s="5" t="s">
        <v>11739</v>
      </c>
      <c r="E5145" s="4">
        <v>1508632</v>
      </c>
    </row>
    <row r="5146" spans="1:6" ht="13.5" hidden="1" customHeight="1">
      <c r="A5146" s="4" t="s">
        <v>11740</v>
      </c>
      <c r="B5146" s="4" t="s">
        <v>11741</v>
      </c>
      <c r="C5146" s="4" t="str">
        <f ca="1">IFERROR(__xludf.DUMMYFUNCTION("GOOGLETRANSLATE(D:D,""auto"",""en"")"),"Because of road closures in the van to survive 26 days")</f>
        <v>Because of road closures in the van to survive 26 days</v>
      </c>
      <c r="D5146" s="5" t="s">
        <v>11742</v>
      </c>
      <c r="E5146" s="4">
        <v>1438648</v>
      </c>
    </row>
    <row r="5147" spans="1:6" ht="13.5" hidden="1" customHeight="1">
      <c r="A5147" s="4" t="s">
        <v>11743</v>
      </c>
      <c r="B5147" s="4" t="s">
        <v>11744</v>
      </c>
      <c r="C5147" s="4" t="str">
        <f ca="1">IFERROR(__xludf.DUMMYFUNCTION("GOOGLETRANSLATE(D:D,""auto"",""en"")"),"Hot Pot Takeaway")</f>
        <v>Hot Pot Takeaway</v>
      </c>
      <c r="D5147" s="5" t="s">
        <v>11745</v>
      </c>
      <c r="E5147" s="4">
        <v>954933</v>
      </c>
    </row>
    <row r="5148" spans="1:6" ht="13.5" hidden="1" customHeight="1">
      <c r="A5148" s="4" t="s">
        <v>11746</v>
      </c>
      <c r="B5148" s="4" t="s">
        <v>11747</v>
      </c>
      <c r="C5148" s="4" t="str">
        <f ca="1">IFERROR(__xludf.DUMMYFUNCTION("GOOGLETRANSLATE(D:D,""auto"",""en"")"),"Gimhae is not dead")</f>
        <v>Gimhae is not dead</v>
      </c>
      <c r="D5148" s="5" t="s">
        <v>11748</v>
      </c>
      <c r="E5148" s="4">
        <v>953257</v>
      </c>
    </row>
    <row r="5149" spans="1:6" ht="13.5" customHeight="1">
      <c r="A5149" s="4" t="s">
        <v>11749</v>
      </c>
      <c r="B5149" s="4" t="s">
        <v>11608</v>
      </c>
      <c r="C5149" s="4" t="str">
        <f ca="1">IFERROR(__xludf.DUMMYFUNCTION("GOOGLETRANSLATE(D:D,""auto"",""en"")"),"Upload a day is enough that the body temperature of a silly")</f>
        <v>Upload a day is enough that the body temperature of a silly</v>
      </c>
      <c r="D5149" s="5" t="s">
        <v>11750</v>
      </c>
      <c r="E5149" s="4">
        <v>952964</v>
      </c>
      <c r="F5149">
        <v>1</v>
      </c>
    </row>
    <row r="5150" spans="1:6" ht="13.5" hidden="1" customHeight="1">
      <c r="A5150" s="4" t="s">
        <v>11751</v>
      </c>
      <c r="B5150" s="4" t="s">
        <v>11752</v>
      </c>
      <c r="C5150" s="4" t="str">
        <f ca="1">IFERROR(__xludf.DUMMYFUNCTION("GOOGLETRANSLATE(D:D,""auto"",""en"")"),"Bread pizza")</f>
        <v>Bread pizza</v>
      </c>
      <c r="D5150" s="5" t="s">
        <v>11753</v>
      </c>
      <c r="E5150" s="4">
        <v>950695</v>
      </c>
    </row>
    <row r="5151" spans="1:6" ht="13.5" hidden="1" customHeight="1">
      <c r="A5151" s="4" t="s">
        <v>11754</v>
      </c>
      <c r="B5151" s="4" t="s">
        <v>11755</v>
      </c>
      <c r="C5151" s="4" t="str">
        <f ca="1">IFERROR(__xludf.DUMMYFUNCTION("GOOGLETRANSLATE(D:D,""auto"",""en"")"),"New World finale")</f>
        <v>New World finale</v>
      </c>
      <c r="D5151" s="5" t="s">
        <v>11756</v>
      </c>
      <c r="E5151" s="4">
        <v>948418</v>
      </c>
    </row>
    <row r="5152" spans="1:6" ht="13.5" hidden="1" customHeight="1">
      <c r="A5152" s="4" t="s">
        <v>11757</v>
      </c>
      <c r="B5152" s="4" t="s">
        <v>11758</v>
      </c>
      <c r="C5152" s="4" t="str">
        <f ca="1">IFERROR(__xludf.DUMMYFUNCTION("GOOGLETRANSLATE(D:D,""auto"",""en"")"),"After recovery of lung function affected it")</f>
        <v>After recovery of lung function affected it</v>
      </c>
      <c r="D5152" s="5" t="s">
        <v>11759</v>
      </c>
      <c r="E5152" s="4">
        <v>946912</v>
      </c>
    </row>
    <row r="5153" spans="1:6" ht="13.5" customHeight="1">
      <c r="A5153" s="4" t="s">
        <v>11760</v>
      </c>
      <c r="B5153" s="4" t="s">
        <v>11761</v>
      </c>
      <c r="C5153" s="4" t="str">
        <f ca="1">IFERROR(__xludf.DUMMYFUNCTION("GOOGLETRANSLATE(D:D,""auto"",""en"")"),"Hubei requested assistance with special difficulties")</f>
        <v>Hubei requested assistance with special difficulties</v>
      </c>
      <c r="D5153" s="5" t="s">
        <v>11762</v>
      </c>
      <c r="E5153" s="4">
        <v>945064</v>
      </c>
      <c r="F5153">
        <v>1</v>
      </c>
    </row>
    <row r="5154" spans="1:6" ht="13.5" hidden="1" customHeight="1">
      <c r="A5154" s="4" t="s">
        <v>11763</v>
      </c>
      <c r="B5154" s="4" t="s">
        <v>11713</v>
      </c>
      <c r="C5154" s="4" t="str">
        <f ca="1">IFERROR(__xludf.DUMMYFUNCTION("GOOGLETRANSLATE(D:D,""auto"",""en"")"),"The virus will remain in the hair do")</f>
        <v>The virus will remain in the hair do</v>
      </c>
      <c r="D5154" s="5" t="s">
        <v>11764</v>
      </c>
      <c r="E5154" s="4">
        <v>944151</v>
      </c>
    </row>
    <row r="5155" spans="1:6" ht="13.5" hidden="1" customHeight="1">
      <c r="A5155" s="4" t="s">
        <v>11765</v>
      </c>
      <c r="B5155" s="4" t="s">
        <v>11766</v>
      </c>
      <c r="C5155" s="4" t="str">
        <f ca="1">IFERROR(__xludf.DUMMYFUNCTION("GOOGLETRANSLATE(D:D,""auto"",""en"")"),"Not to spill alcohol on clothes")</f>
        <v>Not to spill alcohol on clothes</v>
      </c>
      <c r="D5155" s="5" t="s">
        <v>11767</v>
      </c>
      <c r="E5155" s="4">
        <v>941617</v>
      </c>
    </row>
    <row r="5156" spans="1:6" ht="13.5" customHeight="1">
      <c r="A5156" s="4" t="s">
        <v>11768</v>
      </c>
      <c r="B5156" s="4" t="s">
        <v>11741</v>
      </c>
      <c r="C5156" s="4" t="str">
        <f ca="1">IFERROR(__xludf.DUMMYFUNCTION("GOOGLETRANSLATE(D:D,""auto"",""en"")"),"The United States found the key target for vaccine and drug development")</f>
        <v>The United States found the key target for vaccine and drug development</v>
      </c>
      <c r="D5156" s="5" t="s">
        <v>11769</v>
      </c>
      <c r="E5156" s="4">
        <v>939187</v>
      </c>
      <c r="F5156">
        <v>1</v>
      </c>
    </row>
    <row r="5157" spans="1:6" ht="13.5" hidden="1" customHeight="1">
      <c r="A5157" s="4" t="s">
        <v>11770</v>
      </c>
      <c r="B5157" s="4" t="s">
        <v>11771</v>
      </c>
      <c r="C5157" s="4" t="str">
        <f ca="1">IFERROR(__xludf.DUMMYFUNCTION("GOOGLETRANSLATE(D:D,""auto"",""en"")"),"Three rowing to the other side steal snacks")</f>
        <v>Three rowing to the other side steal snacks</v>
      </c>
      <c r="D5157" s="5" t="s">
        <v>11772</v>
      </c>
      <c r="E5157" s="4">
        <v>937748</v>
      </c>
    </row>
    <row r="5158" spans="1:6" ht="13.5" hidden="1" customHeight="1">
      <c r="A5158" s="4" t="s">
        <v>11773</v>
      </c>
      <c r="B5158" s="4" t="s">
        <v>11774</v>
      </c>
      <c r="C5158" s="4" t="str">
        <f ca="1">IFERROR(__xludf.DUMMYFUNCTION("GOOGLETRANSLATE(D:D,""auto"",""en"")"),"It is mad Xie Guangkun day")</f>
        <v>It is mad Xie Guangkun day</v>
      </c>
      <c r="D5158" s="5" t="s">
        <v>11775</v>
      </c>
      <c r="E5158" s="4">
        <v>937014</v>
      </c>
    </row>
    <row r="5159" spans="1:6" ht="13.5" hidden="1" customHeight="1">
      <c r="A5159" s="4" t="s">
        <v>11776</v>
      </c>
      <c r="B5159" s="4" t="s">
        <v>11777</v>
      </c>
      <c r="C5159" s="4" t="str">
        <f ca="1">IFERROR(__xludf.DUMMYFUNCTION("GOOGLETRANSLATE(D:D,""auto"",""en"")"),"January national pig production steady recovery")</f>
        <v>January national pig production steady recovery</v>
      </c>
      <c r="D5159" s="5" t="s">
        <v>11778</v>
      </c>
      <c r="E5159" s="4">
        <v>880053</v>
      </c>
    </row>
    <row r="5160" spans="1:6" ht="13.5" hidden="1" customHeight="1">
      <c r="A5160" s="4" t="s">
        <v>11779</v>
      </c>
      <c r="B5160" s="4" t="s">
        <v>11771</v>
      </c>
      <c r="C5160" s="4" t="str">
        <f ca="1">IFERROR(__xludf.DUMMYFUNCTION("GOOGLETRANSLATE(D:D,""auto"",""en"")"),"Tung Wah Group for the Phoenix Jiuchuangshezhen")</f>
        <v>Tung Wah Group for the Phoenix Jiuchuangshezhen</v>
      </c>
      <c r="D5160" s="5" t="s">
        <v>11780</v>
      </c>
      <c r="E5160" s="4">
        <v>828468</v>
      </c>
    </row>
    <row r="5161" spans="1:6" ht="13.5" hidden="1" customHeight="1">
      <c r="A5161" s="4" t="s">
        <v>11781</v>
      </c>
      <c r="B5161" s="4" t="s">
        <v>11782</v>
      </c>
      <c r="C5161" s="4" t="str">
        <f ca="1">IFERROR(__xludf.DUMMYFUNCTION("GOOGLETRANSLATE(D:D,""auto"",""en"")"),"What ever allowed to take pictures")</f>
        <v>What ever allowed to take pictures</v>
      </c>
      <c r="D5161" s="5" t="s">
        <v>11783</v>
      </c>
      <c r="E5161" s="4">
        <v>701373</v>
      </c>
    </row>
    <row r="5162" spans="1:6" ht="13.5" customHeight="1">
      <c r="A5162" s="4" t="s">
        <v>11784</v>
      </c>
      <c r="B5162" s="4" t="s">
        <v>11785</v>
      </c>
      <c r="C5162" s="4" t="str">
        <f ca="1">IFERROR(__xludf.DUMMYFUNCTION("GOOGLETRANSLATE(D:D,""auto"",""en"")"),"Talk with infected persons not wearing masks were infected less than 3 minutes")</f>
        <v>Talk with infected persons not wearing masks were infected less than 3 minutes</v>
      </c>
      <c r="D5162" s="5" t="s">
        <v>11786</v>
      </c>
      <c r="E5162" s="4">
        <v>596057</v>
      </c>
      <c r="F5162">
        <v>1</v>
      </c>
    </row>
    <row r="5163" spans="1:6" ht="13.5" hidden="1" customHeight="1">
      <c r="A5163" s="4" t="s">
        <v>11787</v>
      </c>
      <c r="B5163" s="4" t="s">
        <v>11788</v>
      </c>
      <c r="C5163" s="4" t="str">
        <f ca="1">IFERROR(__xludf.DUMMYFUNCTION("GOOGLETRANSLATE(D:D,""auto"",""en"")"),"King of glory upset knowledge")</f>
        <v>King of glory upset knowledge</v>
      </c>
      <c r="D5163" s="5" t="s">
        <v>11789</v>
      </c>
      <c r="E5163" s="4">
        <v>528077</v>
      </c>
    </row>
    <row r="5164" spans="1:6" ht="13.5" hidden="1" customHeight="1">
      <c r="A5164" s="4" t="s">
        <v>11790</v>
      </c>
      <c r="B5164" s="4" t="s">
        <v>11791</v>
      </c>
      <c r="C5164" s="4" t="str">
        <f ca="1">IFERROR(__xludf.DUMMYFUNCTION("GOOGLETRANSLATE(D:D,""auto"",""en"")"),"Yu Shuxin have your youth 2")</f>
        <v>Yu Shuxin have your youth 2</v>
      </c>
      <c r="D5164" s="5" t="s">
        <v>11792</v>
      </c>
      <c r="E5164" s="4">
        <v>499597</v>
      </c>
    </row>
    <row r="5165" spans="1:6" ht="13.5" hidden="1" customHeight="1">
      <c r="A5165" s="4" t="s">
        <v>11793</v>
      </c>
      <c r="B5165" s="4" t="s">
        <v>11794</v>
      </c>
      <c r="C5165" s="4" t="str">
        <f ca="1">IFERROR(__xludf.DUMMYFUNCTION("GOOGLETRANSLATE(D:D,""auto"",""en"")"),"Sichuan hot pot you come back free for a year")</f>
        <v>Sichuan hot pot you come back free for a year</v>
      </c>
      <c r="D5165" s="5" t="s">
        <v>11795</v>
      </c>
      <c r="E5165" s="4">
        <v>450007</v>
      </c>
    </row>
    <row r="5166" spans="1:6" ht="13.5" hidden="1" customHeight="1">
      <c r="A5166" s="4" t="s">
        <v>11796</v>
      </c>
      <c r="B5166" s="4" t="s">
        <v>11797</v>
      </c>
      <c r="C5166" s="4" t="str">
        <f ca="1">IFERROR(__xludf.DUMMYFUNCTION("GOOGLETRANSLATE(D:D,""auto"",""en"")"),"Disney-themed hairstyle")</f>
        <v>Disney-themed hairstyle</v>
      </c>
      <c r="D5166" s="5" t="s">
        <v>11798</v>
      </c>
      <c r="E5166" s="4">
        <v>442579</v>
      </c>
    </row>
    <row r="5167" spans="1:6" ht="13.5" hidden="1" customHeight="1">
      <c r="A5167" s="4" t="s">
        <v>11378</v>
      </c>
      <c r="B5167" s="4" t="s">
        <v>11379</v>
      </c>
      <c r="C5167" s="4" t="str">
        <f ca="1">IFERROR(__xludf.DUMMYFUNCTION("GOOGLETRANSLATE(D:D,""auto"",""en"")"),"Perfect relationship")</f>
        <v>Perfect relationship</v>
      </c>
      <c r="D5167" s="5" t="s">
        <v>11380</v>
      </c>
      <c r="E5167" s="4">
        <v>420231</v>
      </c>
    </row>
    <row r="5168" spans="1:6" ht="13.5" customHeight="1">
      <c r="A5168" s="4" t="s">
        <v>11799</v>
      </c>
      <c r="B5168" s="4" t="s">
        <v>11741</v>
      </c>
      <c r="C5168" s="4" t="str">
        <f ca="1">IFERROR(__xludf.DUMMYFUNCTION("GOOGLETRANSLATE(D:D,""auto"",""en"")"),"Free health care on the open list of attractions")</f>
        <v>Free health care on the open list of attractions</v>
      </c>
      <c r="D5168" s="5" t="s">
        <v>11800</v>
      </c>
      <c r="E5168" s="4">
        <v>392904</v>
      </c>
      <c r="F5168">
        <v>1</v>
      </c>
    </row>
    <row r="5169" spans="1:6" ht="13.5" hidden="1" customHeight="1">
      <c r="A5169" s="4" t="s">
        <v>11749</v>
      </c>
      <c r="B5169" s="4" t="s">
        <v>11801</v>
      </c>
      <c r="C5169" s="4" t="str">
        <f ca="1">IFERROR(__xludf.DUMMYFUNCTION("GOOGLETRANSLATE(D:D,""auto"",""en"")"),"British airliner was blown migraine almost 90 degrees on landing")</f>
        <v>British airliner was blown migraine almost 90 degrees on landing</v>
      </c>
      <c r="D5169" s="5" t="s">
        <v>11802</v>
      </c>
      <c r="E5169" s="4">
        <v>391254</v>
      </c>
    </row>
    <row r="5170" spans="1:6" ht="13.5" customHeight="1">
      <c r="A5170" s="4" t="s">
        <v>11803</v>
      </c>
      <c r="B5170" s="4" t="s">
        <v>11804</v>
      </c>
      <c r="C5170" s="4" t="str">
        <f ca="1">IFERROR(__xludf.DUMMYFUNCTION("GOOGLETRANSLATE(D:D,""auto"",""en"")"),"Good night SMS Hubei plan")</f>
        <v>Good night SMS Hubei plan</v>
      </c>
      <c r="D5170" s="5" t="s">
        <v>11805</v>
      </c>
      <c r="E5170" s="4">
        <v>374659</v>
      </c>
      <c r="F5170">
        <v>1</v>
      </c>
    </row>
    <row r="5171" spans="1:6" ht="13.5" customHeight="1">
      <c r="A5171" s="4" t="s">
        <v>11806</v>
      </c>
      <c r="B5171" s="4" t="s">
        <v>11807</v>
      </c>
      <c r="C5171" s="4" t="str">
        <f ca="1">IFERROR(__xludf.DUMMYFUNCTION("GOOGLETRANSLATE(D:D,""auto"",""en"")"),"Zhejiang discharged patients accounted for over half of the confirmed cases")</f>
        <v>Zhejiang discharged patients accounted for over half of the confirmed cases</v>
      </c>
      <c r="D5171" s="5" t="s">
        <v>11808</v>
      </c>
      <c r="E5171" s="4">
        <v>340971</v>
      </c>
      <c r="F5171">
        <v>1</v>
      </c>
    </row>
    <row r="5172" spans="1:6" ht="13.5" hidden="1" customHeight="1">
      <c r="A5172" s="4" t="s">
        <v>11809</v>
      </c>
      <c r="B5172" s="4" t="s">
        <v>11794</v>
      </c>
      <c r="C5172" s="4" t="str">
        <f ca="1">IFERROR(__xludf.DUMMYFUNCTION("GOOGLETRANSLATE(D:D,""auto"",""en"")"),"No rice fried rice")</f>
        <v>No rice fried rice</v>
      </c>
      <c r="D5172" s="5" t="s">
        <v>11810</v>
      </c>
      <c r="E5172" s="4">
        <v>336733</v>
      </c>
    </row>
    <row r="5173" spans="1:6" ht="13.5" hidden="1" customHeight="1">
      <c r="A5173" s="4" t="s">
        <v>11811</v>
      </c>
      <c r="B5173" s="4" t="s">
        <v>11812</v>
      </c>
      <c r="C5173" s="4" t="str">
        <f ca="1">IFERROR(__xludf.DUMMYFUNCTION("GOOGLETRANSLATE(D:D,""auto"",""en"")"),"I was president I lost no less than")</f>
        <v>I was president I lost no less than</v>
      </c>
      <c r="D5173" s="5" t="s">
        <v>11813</v>
      </c>
      <c r="E5173" s="4">
        <v>330752</v>
      </c>
    </row>
    <row r="5174" spans="1:6" ht="13.5" hidden="1" customHeight="1">
      <c r="A5174" s="4" t="s">
        <v>11602</v>
      </c>
      <c r="B5174" s="4" t="s">
        <v>11603</v>
      </c>
      <c r="C5174" s="4" t="str">
        <f ca="1">IFERROR(__xludf.DUMMYFUNCTION("GOOGLETRANSLATE(D:D,""auto"",""en"")"),"SUN Xiao fruit was executed")</f>
        <v>SUN Xiao fruit was executed</v>
      </c>
      <c r="D5174" s="5" t="s">
        <v>11604</v>
      </c>
      <c r="E5174" s="4">
        <v>307817</v>
      </c>
    </row>
    <row r="5175" spans="1:6" ht="13.5" hidden="1" customHeight="1">
      <c r="A5175" s="4" t="s">
        <v>11814</v>
      </c>
      <c r="B5175" s="4" t="s">
        <v>11815</v>
      </c>
      <c r="C5175" s="4" t="str">
        <f ca="1">IFERROR(__xludf.DUMMYFUNCTION("GOOGLETRANSLATE(D:D,""auto"",""en"")"),"Jingdong responded payment arrears of more than 300 million Shenzhou")</f>
        <v>Jingdong responded payment arrears of more than 300 million Shenzhou</v>
      </c>
      <c r="D5175" s="5" t="s">
        <v>11816</v>
      </c>
      <c r="E5175" s="4">
        <v>296656</v>
      </c>
    </row>
    <row r="5176" spans="1:6" ht="13.5" hidden="1" customHeight="1">
      <c r="A5176" s="4" t="s">
        <v>11817</v>
      </c>
      <c r="B5176" s="4" t="s">
        <v>11818</v>
      </c>
      <c r="C5176" s="4" t="str">
        <f ca="1">IFERROR(__xludf.DUMMYFUNCTION("GOOGLETRANSLATE(D:D,""auto"",""en"")"),"Japan thick labor ministers conference cough")</f>
        <v>Japan thick labor ministers conference cough</v>
      </c>
      <c r="D5176" s="5" t="s">
        <v>11819</v>
      </c>
      <c r="E5176" s="4">
        <v>269378</v>
      </c>
    </row>
    <row r="5177" spans="1:6" ht="13.5" hidden="1" customHeight="1">
      <c r="A5177" s="4" t="s">
        <v>11760</v>
      </c>
      <c r="B5177" s="4" t="s">
        <v>11788</v>
      </c>
      <c r="C5177" s="4" t="str">
        <f ca="1">IFERROR(__xludf.DUMMYFUNCTION("GOOGLETRANSLATE(D:D,""auto"",""en"")"),"Peace elite new skin")</f>
        <v>Peace elite new skin</v>
      </c>
      <c r="D5177" s="5" t="s">
        <v>11820</v>
      </c>
      <c r="E5177" s="4">
        <v>264309</v>
      </c>
    </row>
    <row r="5178" spans="1:6" ht="13.5" hidden="1" customHeight="1">
      <c r="A5178" s="4" t="s">
        <v>11763</v>
      </c>
      <c r="B5178" s="4" t="s">
        <v>11788</v>
      </c>
      <c r="C5178" s="4" t="str">
        <f ca="1">IFERROR(__xludf.DUMMYFUNCTION("GOOGLETRANSLATE(D:D,""auto"",""en"")"),"Today you eat hot pot yet")</f>
        <v>Today you eat hot pot yet</v>
      </c>
      <c r="D5178" s="5" t="s">
        <v>11821</v>
      </c>
      <c r="E5178" s="4">
        <v>259612</v>
      </c>
    </row>
    <row r="5179" spans="1:6" ht="13.5" hidden="1" customHeight="1">
      <c r="A5179" s="4" t="s">
        <v>11822</v>
      </c>
      <c r="B5179" s="4" t="s">
        <v>11823</v>
      </c>
      <c r="C5179" s="4" t="str">
        <f ca="1">IFERROR(__xludf.DUMMYFUNCTION("GOOGLETRANSLATE(D:D,""auto"",""en"")"),"Home entertainment rollover site")</f>
        <v>Home entertainment rollover site</v>
      </c>
      <c r="D5179" s="5" t="s">
        <v>11824</v>
      </c>
      <c r="E5179" s="4">
        <v>244438</v>
      </c>
    </row>
    <row r="5180" spans="1:6" ht="13.5" hidden="1" customHeight="1">
      <c r="A5180" s="4" t="s">
        <v>11825</v>
      </c>
      <c r="B5180" s="4" t="s">
        <v>11826</v>
      </c>
      <c r="C5180" s="4" t="str">
        <f ca="1">IFERROR(__xludf.DUMMYFUNCTION("GOOGLETRANSLATE(D:D,""auto"",""en"")"),"Xu Tiantian Dan reunion")</f>
        <v>Xu Tiantian Dan reunion</v>
      </c>
      <c r="D5180" s="5" t="s">
        <v>11827</v>
      </c>
      <c r="E5180" s="4">
        <v>229935</v>
      </c>
    </row>
    <row r="5181" spans="1:6" ht="13.5" hidden="1" customHeight="1">
      <c r="A5181" s="4" t="s">
        <v>11828</v>
      </c>
      <c r="B5181" s="4" t="s">
        <v>11829</v>
      </c>
      <c r="C5181" s="4" t="str">
        <f ca="1">IFERROR(__xludf.DUMMYFUNCTION("GOOGLETRANSLATE(D:D,""auto"",""en"")"),"Lazy sour powder")</f>
        <v>Lazy sour powder</v>
      </c>
      <c r="D5181" s="5" t="s">
        <v>11830</v>
      </c>
      <c r="E5181" s="4">
        <v>228187</v>
      </c>
    </row>
    <row r="5182" spans="1:6" ht="13.5" customHeight="1">
      <c r="A5182" s="4" t="s">
        <v>11763</v>
      </c>
      <c r="B5182" s="4" t="s">
        <v>11788</v>
      </c>
      <c r="C5182" s="4" t="str">
        <f ca="1">IFERROR(__xludf.DUMMYFUNCTION("GOOGLETRANSLATE(D:D,""auto"",""en"")"),"I was really home")</f>
        <v>I was really home</v>
      </c>
      <c r="D5182" s="5" t="s">
        <v>11831</v>
      </c>
      <c r="E5182" s="4">
        <v>221798</v>
      </c>
      <c r="F5182">
        <v>1</v>
      </c>
    </row>
    <row r="5183" spans="1:6" ht="13.5" customHeight="1">
      <c r="A5183" s="4" t="s">
        <v>11832</v>
      </c>
      <c r="B5183" s="4" t="s">
        <v>11833</v>
      </c>
      <c r="C5183" s="4" t="str">
        <f ca="1">IFERROR(__xludf.DUMMYFUNCTION("GOOGLETRANSLATE(D:D,""auto"",""en"")"),"Zhejiang first new crown pneumonia deaths")</f>
        <v>Zhejiang first new crown pneumonia deaths</v>
      </c>
      <c r="D5183" s="5" t="s">
        <v>11834</v>
      </c>
      <c r="E5183" s="4">
        <v>217815</v>
      </c>
      <c r="F5183">
        <v>1</v>
      </c>
    </row>
    <row r="5184" spans="1:6" ht="13.5" hidden="1" customHeight="1">
      <c r="A5184" s="4" t="s">
        <v>11835</v>
      </c>
      <c r="B5184" s="4" t="s">
        <v>11836</v>
      </c>
      <c r="C5184" s="4" t="str">
        <f ca="1">IFERROR(__xludf.DUMMYFUNCTION("GOOGLETRANSLATE(D:D,""auto"",""en"")"),"See you add more tidbits")</f>
        <v>See you add more tidbits</v>
      </c>
      <c r="D5184" s="5" t="s">
        <v>11837</v>
      </c>
      <c r="E5184" s="4">
        <v>197081</v>
      </c>
    </row>
    <row r="5185" spans="1:6" ht="13.5" customHeight="1">
      <c r="A5185" s="4" t="s">
        <v>11838</v>
      </c>
      <c r="B5185" s="4" t="s">
        <v>11812</v>
      </c>
      <c r="C5185" s="4" t="str">
        <f ca="1">IFERROR(__xludf.DUMMYFUNCTION("GOOGLETRANSLATE(D:D,""auto"",""en"")"),"Harbin poor leadership epidemic was dismissed two counties")</f>
        <v>Harbin poor leadership epidemic was dismissed two counties</v>
      </c>
      <c r="D5185" s="5" t="s">
        <v>11839</v>
      </c>
      <c r="E5185" s="4">
        <v>195071</v>
      </c>
      <c r="F5185">
        <v>1</v>
      </c>
    </row>
    <row r="5186" spans="1:6" ht="13.5" customHeight="1">
      <c r="A5186" s="4" t="s">
        <v>11760</v>
      </c>
      <c r="B5186" s="4" t="s">
        <v>11840</v>
      </c>
      <c r="C5186" s="4" t="str">
        <f ca="1">IFERROR(__xludf.DUMMYFUNCTION("GOOGLETRANSLATE(D:D,""auto"",""en"")"),"Wuhan Central Steering Group interviewed the person in charge")</f>
        <v>Wuhan Central Steering Group interviewed the person in charge</v>
      </c>
      <c r="D5186" s="5" t="s">
        <v>11841</v>
      </c>
      <c r="E5186" s="4">
        <v>176871</v>
      </c>
      <c r="F5186">
        <v>1</v>
      </c>
    </row>
    <row r="5187" spans="1:6" ht="13.5" customHeight="1">
      <c r="A5187" s="4" t="s">
        <v>11842</v>
      </c>
      <c r="B5187" s="4" t="s">
        <v>11843</v>
      </c>
      <c r="C5187" s="4" t="str">
        <f ca="1">IFERROR(__xludf.DUMMYFUNCTION("GOOGLETRANSLATE(D:D,""auto"",""en"")"),"Hubei enterprises do not return to work as early as 24 to March 10")</f>
        <v>Hubei enterprises do not return to work as early as 24 to March 10</v>
      </c>
      <c r="D5187" s="5" t="s">
        <v>11844</v>
      </c>
      <c r="E5187" s="4">
        <v>156464</v>
      </c>
      <c r="F5187">
        <v>1</v>
      </c>
    </row>
    <row r="5188" spans="1:6" ht="13.5" hidden="1" customHeight="1">
      <c r="A5188" s="4" t="s">
        <v>11845</v>
      </c>
      <c r="B5188" s="4" t="s">
        <v>11846</v>
      </c>
      <c r="C5188" s="4" t="str">
        <f ca="1">IFERROR(__xludf.DUMMYFUNCTION("GOOGLETRANSLATE(D:D,""auto"",""en"")"),"Zhang Ziyi pregnant belly cover")</f>
        <v>Zhang Ziyi pregnant belly cover</v>
      </c>
      <c r="D5188" s="5" t="s">
        <v>11847</v>
      </c>
      <c r="E5188" s="4">
        <v>153722</v>
      </c>
    </row>
    <row r="5189" spans="1:6" ht="13.5" customHeight="1">
      <c r="A5189" s="4" t="s">
        <v>11848</v>
      </c>
      <c r="B5189" s="4" t="s">
        <v>11849</v>
      </c>
      <c r="C5189" s="4" t="str">
        <f ca="1">IFERROR(__xludf.DUMMYFUNCTION("GOOGLETRANSLATE(D:D,""auto"",""en"")"),"Suspected or confirmed maternity hospital maternity test point")</f>
        <v>Suspected or confirmed maternity hospital maternity test point</v>
      </c>
      <c r="D5189" s="5" t="s">
        <v>11850</v>
      </c>
      <c r="E5189" s="4">
        <v>127267</v>
      </c>
      <c r="F5189">
        <v>1</v>
      </c>
    </row>
    <row r="5190" spans="1:6" ht="13.5" hidden="1" customHeight="1">
      <c r="A5190" s="4" t="s">
        <v>11851</v>
      </c>
      <c r="B5190" s="4" t="s">
        <v>11852</v>
      </c>
      <c r="C5190" s="4" t="str">
        <f ca="1">IFERROR(__xludf.DUMMYFUNCTION("GOOGLETRANSLATE(D:D,""auto"",""en"")"),"The first perspective August aerobatic team fly")</f>
        <v>The first perspective August aerobatic team fly</v>
      </c>
      <c r="D5190" s="5" t="s">
        <v>11853</v>
      </c>
      <c r="E5190" s="4">
        <v>65287</v>
      </c>
    </row>
    <row r="5191" spans="1:6" ht="13.5" hidden="1" customHeight="1">
      <c r="C5191" s="4" t="str">
        <f ca="1">IFERROR(__xludf.DUMMYFUNCTION("GOOGLETRANSLATE(D:D,""auto"",""en"")"),"#VALUE!")</f>
        <v>#VALUE!</v>
      </c>
    </row>
    <row r="5192" spans="1:6" ht="13.5" customHeight="1">
      <c r="A5192" s="4" t="s">
        <v>11854</v>
      </c>
      <c r="B5192" s="4" t="s">
        <v>11855</v>
      </c>
      <c r="C5192" s="4" t="str">
        <f ca="1">IFERROR(__xludf.DUMMYFUNCTION("GOOGLETRANSLATE(D:D,""auto"",""en"")"),"South Korea confirmed the occurrence of super spread")</f>
        <v>South Korea confirmed the occurrence of super spread</v>
      </c>
      <c r="D5192" s="4" t="s">
        <v>11856</v>
      </c>
      <c r="E5192" s="4">
        <v>3426760</v>
      </c>
      <c r="F5192">
        <v>1</v>
      </c>
    </row>
    <row r="5193" spans="1:6" ht="13.5" customHeight="1">
      <c r="A5193" s="4" t="s">
        <v>11857</v>
      </c>
      <c r="B5193" s="4" t="s">
        <v>11770</v>
      </c>
      <c r="C5193" s="4" t="str">
        <f ca="1">IFERROR(__xludf.DUMMYFUNCTION("GOOGLETRANSLATE(D:D,""auto"",""en"")"),"Zhou Qi crown new virus can not invade the body through the skin")</f>
        <v>Zhou Qi crown new virus can not invade the body through the skin</v>
      </c>
      <c r="D5193" s="5" t="s">
        <v>11858</v>
      </c>
      <c r="E5193" s="4">
        <v>2448548</v>
      </c>
      <c r="F5193">
        <v>1</v>
      </c>
    </row>
    <row r="5194" spans="1:6" ht="13.5" customHeight="1">
      <c r="A5194" s="4" t="s">
        <v>11859</v>
      </c>
      <c r="B5194" s="4" t="s">
        <v>11749</v>
      </c>
      <c r="C5194" s="4" t="str">
        <f ca="1">IFERROR(__xludf.DUMMYFUNCTION("GOOGLETRANSLATE(D:D,""auto"",""en"")"),"Delayed marriage doctor Wuhan infection death")</f>
        <v>Delayed marriage doctor Wuhan infection death</v>
      </c>
      <c r="D5194" s="5" t="s">
        <v>11860</v>
      </c>
      <c r="E5194" s="4">
        <v>2141666</v>
      </c>
      <c r="F5194">
        <v>1</v>
      </c>
    </row>
    <row r="5195" spans="1:6" ht="13.5" hidden="1" customHeight="1">
      <c r="A5195" s="4" t="s">
        <v>11861</v>
      </c>
      <c r="B5195" s="4" t="s">
        <v>11862</v>
      </c>
      <c r="C5195" s="4" t="str">
        <f ca="1">IFERROR(__xludf.DUMMYFUNCTION("GOOGLETRANSLATE(D:D,""auto"",""en"")"),"Shandong Province Department of Justice director be removed from office")</f>
        <v>Shandong Province Department of Justice director be removed from office</v>
      </c>
      <c r="D5195" s="5" t="s">
        <v>11863</v>
      </c>
      <c r="E5195" s="4">
        <v>1934216</v>
      </c>
    </row>
    <row r="5196" spans="1:6" ht="13.5" customHeight="1">
      <c r="A5196" s="4" t="s">
        <v>11864</v>
      </c>
      <c r="B5196" s="4" t="s">
        <v>11865</v>
      </c>
      <c r="C5196" s="4" t="str">
        <f ca="1">IFERROR(__xludf.DUMMYFUNCTION("GOOGLETRANSLATE(D:D,""auto"",""en"")"),"In late April, the fastest declaration vaccine clinical trials")</f>
        <v>In late April, the fastest declaration vaccine clinical trials</v>
      </c>
      <c r="D5196" s="5" t="s">
        <v>11866</v>
      </c>
      <c r="E5196" s="4">
        <v>1891520</v>
      </c>
      <c r="F5196">
        <v>1</v>
      </c>
    </row>
    <row r="5197" spans="1:6" ht="13.5" customHeight="1">
      <c r="A5197" s="4" t="s">
        <v>11867</v>
      </c>
      <c r="B5197" s="4" t="s">
        <v>11868</v>
      </c>
      <c r="C5197" s="4" t="str">
        <f ca="1">IFERROR(__xludf.DUMMYFUNCTION("GOOGLETRANSLATE(D:D,""auto"",""en"")"),"New cases outside Hubei rebound")</f>
        <v>New cases outside Hubei rebound</v>
      </c>
      <c r="D5197" s="5" t="s">
        <v>11869</v>
      </c>
      <c r="E5197" s="4">
        <v>1805788</v>
      </c>
      <c r="F5197">
        <v>1</v>
      </c>
    </row>
    <row r="5198" spans="1:6" ht="13.5" hidden="1" customHeight="1">
      <c r="A5198" s="4" t="s">
        <v>11870</v>
      </c>
      <c r="B5198" s="4" t="s">
        <v>11871</v>
      </c>
      <c r="C5198" s="4" t="str">
        <f ca="1">IFERROR(__xludf.DUMMYFUNCTION("GOOGLETRANSLATE(D:D,""auto"",""en"")"),"Language Ability")</f>
        <v>Language Ability</v>
      </c>
      <c r="D5198" s="5" t="s">
        <v>11872</v>
      </c>
      <c r="E5198" s="4">
        <v>1095075</v>
      </c>
    </row>
    <row r="5199" spans="1:6" ht="13.5" customHeight="1">
      <c r="A5199" s="4" t="s">
        <v>11873</v>
      </c>
      <c r="B5199" s="4" t="s">
        <v>11874</v>
      </c>
      <c r="C5199" s="4" t="str">
        <f ca="1">IFERROR(__xludf.DUMMYFUNCTION("GOOGLETRANSLATE(D:D,""auto"",""en"")"),"Qinghai newly diagnosed patients with pneumonia cleared crown")</f>
        <v>Qinghai newly diagnosed patients with pneumonia cleared crown</v>
      </c>
      <c r="D5199" s="5" t="s">
        <v>11875</v>
      </c>
      <c r="E5199" s="4">
        <v>1087597</v>
      </c>
      <c r="F5199">
        <v>1</v>
      </c>
    </row>
    <row r="5200" spans="1:6" ht="13.5" customHeight="1">
      <c r="A5200" s="4" t="s">
        <v>11876</v>
      </c>
      <c r="B5200" s="4" t="s">
        <v>11877</v>
      </c>
      <c r="C5200" s="4" t="str">
        <f ca="1">IFERROR(__xludf.DUMMYFUNCTION("GOOGLETRANSLATE(D:D,""auto"",""en"")"),"Wuhan mortal Kobayashi")</f>
        <v>Wuhan mortal Kobayashi</v>
      </c>
      <c r="D5200" s="5" t="s">
        <v>11878</v>
      </c>
      <c r="E5200" s="4">
        <v>1087212</v>
      </c>
      <c r="F5200">
        <v>1</v>
      </c>
    </row>
    <row r="5201" spans="1:6" ht="13.5" hidden="1" customHeight="1">
      <c r="A5201" s="4" t="s">
        <v>11735</v>
      </c>
      <c r="B5201" s="4" t="s">
        <v>11736</v>
      </c>
      <c r="C5201" s="4" t="str">
        <f ca="1">IFERROR(__xludf.DUMMYFUNCTION("GOOGLETRANSLATE(D:D,""auto"",""en"")"),"Small ears real name")</f>
        <v>Small ears real name</v>
      </c>
      <c r="D5201" s="5" t="s">
        <v>11737</v>
      </c>
      <c r="E5201" s="4">
        <v>1085459</v>
      </c>
    </row>
    <row r="5202" spans="1:6" ht="13.5" customHeight="1">
      <c r="A5202" s="4" t="s">
        <v>11879</v>
      </c>
      <c r="B5202" s="4" t="s">
        <v>11880</v>
      </c>
      <c r="C5202" s="4" t="str">
        <f ca="1">IFERROR(__xludf.DUMMYFUNCTION("GOOGLETRANSLATE(D:D,""auto"",""en"")"),"Wuhan rebuke medical patients were suspended inspection")</f>
        <v>Wuhan rebuke medical patients were suspended inspection</v>
      </c>
      <c r="D5202" s="5" t="s">
        <v>11881</v>
      </c>
      <c r="E5202" s="4">
        <v>1080160</v>
      </c>
      <c r="F5202">
        <v>1</v>
      </c>
    </row>
    <row r="5203" spans="1:6" ht="13.5" customHeight="1">
      <c r="A5203" s="4" t="s">
        <v>11882</v>
      </c>
      <c r="B5203" s="4" t="s">
        <v>11883</v>
      </c>
      <c r="C5203" s="4" t="str">
        <f ca="1">IFERROR(__xludf.DUMMYFUNCTION("GOOGLETRANSLATE(D:D,""auto"",""en"")"),"Japan confirmed a total of 728 cases of pneumonia new crown")</f>
        <v>Japan confirmed a total of 728 cases of pneumonia new crown</v>
      </c>
      <c r="D5203" s="5" t="s">
        <v>11884</v>
      </c>
      <c r="E5203" s="4">
        <v>1073317</v>
      </c>
      <c r="F5203">
        <v>1</v>
      </c>
    </row>
    <row r="5204" spans="1:6" ht="13.5" customHeight="1">
      <c r="A5204" s="4" t="s">
        <v>11885</v>
      </c>
      <c r="B5204" s="4" t="s">
        <v>11855</v>
      </c>
      <c r="C5204" s="4" t="str">
        <f ca="1">IFERROR(__xludf.DUMMYFUNCTION("GOOGLETRANSLATE(D:D,""auto"",""en"")"),"Japan temporarily forced to cancel events")</f>
        <v>Japan temporarily forced to cancel events</v>
      </c>
      <c r="D5204" s="5" t="s">
        <v>11886</v>
      </c>
      <c r="E5204" s="4">
        <v>1067130</v>
      </c>
      <c r="F5204">
        <v>1</v>
      </c>
    </row>
    <row r="5205" spans="1:6" ht="13.5" customHeight="1">
      <c r="A5205" s="4" t="s">
        <v>11887</v>
      </c>
      <c r="B5205" s="4" t="s">
        <v>11888</v>
      </c>
      <c r="C5205" s="4" t="str">
        <f ca="1">IFERROR(__xludf.DUMMYFUNCTION("GOOGLETRANSLATE(D:D,""auto"",""en"")"),"The first new atomic crown virus chart")</f>
        <v>The first new atomic crown virus chart</v>
      </c>
      <c r="D5205" s="5" t="s">
        <v>11889</v>
      </c>
      <c r="E5205" s="4">
        <v>1058538</v>
      </c>
      <c r="F5205">
        <v>1</v>
      </c>
    </row>
    <row r="5206" spans="1:6" ht="13.5" hidden="1" customHeight="1">
      <c r="A5206" s="4" t="s">
        <v>11735</v>
      </c>
      <c r="B5206" s="4" t="s">
        <v>11738</v>
      </c>
      <c r="C5206" s="4" t="str">
        <f ca="1">IFERROR(__xludf.DUMMYFUNCTION("GOOGLETRANSLATE(D:D,""auto"",""en"")"),"Ning Huanyu married")</f>
        <v>Ning Huanyu married</v>
      </c>
      <c r="D5206" s="5" t="s">
        <v>11739</v>
      </c>
      <c r="E5206" s="4">
        <v>1053246</v>
      </c>
    </row>
    <row r="5207" spans="1:6" ht="13.5" hidden="1" customHeight="1">
      <c r="A5207" s="4" t="s">
        <v>11890</v>
      </c>
      <c r="B5207" s="4" t="s">
        <v>11799</v>
      </c>
      <c r="C5207" s="4" t="str">
        <f ca="1">IFERROR(__xludf.DUMMYFUNCTION("GOOGLETRANSLATE(D:D,""auto"",""en"")"),"No licensing of Jacky Heung Hayden")</f>
        <v>No licensing of Jacky Heung Hayden</v>
      </c>
      <c r="D5207" s="5" t="s">
        <v>11891</v>
      </c>
      <c r="E5207" s="4">
        <v>1044970</v>
      </c>
    </row>
    <row r="5208" spans="1:6" ht="13.5" hidden="1" customHeight="1">
      <c r="A5208" s="4" t="s">
        <v>11892</v>
      </c>
      <c r="B5208" s="4" t="s">
        <v>11729</v>
      </c>
      <c r="C5208" s="4" t="str">
        <f ca="1">IFERROR(__xludf.DUMMYFUNCTION("GOOGLETRANSLATE(D:D,""auto"",""en"")"),"Geese group was closed")</f>
        <v>Geese group was closed</v>
      </c>
      <c r="D5208" s="5" t="s">
        <v>11893</v>
      </c>
      <c r="E5208" s="4">
        <v>1041525</v>
      </c>
    </row>
    <row r="5209" spans="1:6" ht="13.5" hidden="1" customHeight="1">
      <c r="A5209" s="4" t="s">
        <v>11894</v>
      </c>
      <c r="B5209" s="4" t="s">
        <v>11895</v>
      </c>
      <c r="C5209" s="4" t="str">
        <f ca="1">IFERROR(__xludf.DUMMYFUNCTION("GOOGLETRANSLATE(D:D,""auto"",""en"")"),"A magic")</f>
        <v>A magic</v>
      </c>
      <c r="D5209" s="5" t="s">
        <v>11896</v>
      </c>
      <c r="E5209" s="4">
        <v>1038691</v>
      </c>
    </row>
    <row r="5210" spans="1:6" ht="13.5" hidden="1" customHeight="1">
      <c r="A5210" s="4" t="s">
        <v>11897</v>
      </c>
      <c r="B5210" s="4" t="s">
        <v>11898</v>
      </c>
      <c r="C5210" s="4" t="str">
        <f ca="1">IFERROR(__xludf.DUMMYFUNCTION("GOOGLETRANSLATE(D:D,""auto"",""en"")"),"Converse applets collapse")</f>
        <v>Converse applets collapse</v>
      </c>
      <c r="D5210" s="5" t="s">
        <v>11899</v>
      </c>
      <c r="E5210" s="4">
        <v>925045</v>
      </c>
    </row>
    <row r="5211" spans="1:6" ht="13.5" hidden="1" customHeight="1">
      <c r="A5211" s="4" t="s">
        <v>11900</v>
      </c>
      <c r="B5211" s="4" t="s">
        <v>11901</v>
      </c>
      <c r="C5211" s="4" t="str">
        <f ca="1">IFERROR(__xludf.DUMMYFUNCTION("GOOGLETRANSLATE(D:D,""auto"",""en"")"),"Bucks piston")</f>
        <v>Bucks piston</v>
      </c>
      <c r="D5211" s="5" t="s">
        <v>11902</v>
      </c>
      <c r="E5211" s="4">
        <v>762341</v>
      </c>
    </row>
    <row r="5212" spans="1:6" ht="13.5" customHeight="1">
      <c r="A5212" s="4" t="s">
        <v>11903</v>
      </c>
      <c r="B5212" s="4" t="s">
        <v>11729</v>
      </c>
      <c r="C5212" s="4" t="str">
        <f ca="1">IFERROR(__xludf.DUMMYFUNCTION("GOOGLETRANSLATE(D:D,""auto"",""en"")"),"Shandong added 202 cases of new pneumonia")</f>
        <v>Shandong added 202 cases of new pneumonia</v>
      </c>
      <c r="D5212" s="5" t="s">
        <v>11904</v>
      </c>
      <c r="E5212" s="4">
        <v>758471</v>
      </c>
      <c r="F5212">
        <v>1</v>
      </c>
    </row>
    <row r="5213" spans="1:6" ht="13.5" customHeight="1">
      <c r="A5213" s="4" t="s">
        <v>11905</v>
      </c>
      <c r="B5213" s="4" t="s">
        <v>11906</v>
      </c>
      <c r="C5213" s="4" t="str">
        <f ca="1">IFERROR(__xludf.DUMMYFUNCTION("GOOGLETRANSLATE(D:D,""auto"",""en"")"),"Wuhan free to send food to their hometowns to be scolded plague")</f>
        <v>Wuhan free to send food to their hometowns to be scolded plague</v>
      </c>
      <c r="D5213" s="5" t="s">
        <v>11907</v>
      </c>
      <c r="E5213" s="4">
        <v>752851</v>
      </c>
      <c r="F5213">
        <v>1</v>
      </c>
    </row>
    <row r="5214" spans="1:6" ht="13.5" hidden="1" customHeight="1">
      <c r="A5214" s="4" t="s">
        <v>11908</v>
      </c>
      <c r="B5214" s="4" t="s">
        <v>11909</v>
      </c>
      <c r="C5214" s="4" t="str">
        <f ca="1">IFERROR(__xludf.DUMMYFUNCTION("GOOGLETRANSLATE(D:D,""auto"",""en"")"),"Zhu Baohua")</f>
        <v>Zhu Baohua</v>
      </c>
      <c r="D5214" s="5" t="s">
        <v>11910</v>
      </c>
      <c r="E5214" s="4">
        <v>683093</v>
      </c>
    </row>
    <row r="5215" spans="1:6" ht="13.5" customHeight="1">
      <c r="A5215" s="4" t="s">
        <v>11911</v>
      </c>
      <c r="B5215" s="4" t="s">
        <v>11912</v>
      </c>
      <c r="C5215" s="4" t="str">
        <f ca="1">IFERROR(__xludf.DUMMYFUNCTION("GOOGLETRANSLATE(D:D,""auto"",""en"")"),"The national total of 75,465 cases of pneumonia diagnosed with the new crown")</f>
        <v>The national total of 75,465 cases of pneumonia diagnosed with the new crown</v>
      </c>
      <c r="D5215" s="5" t="s">
        <v>11913</v>
      </c>
      <c r="E5215" s="4">
        <v>681680</v>
      </c>
      <c r="F5215">
        <v>1</v>
      </c>
    </row>
    <row r="5216" spans="1:6" ht="13.5" hidden="1" customHeight="1">
      <c r="A5216" s="4" t="s">
        <v>11914</v>
      </c>
      <c r="B5216" s="4" t="s">
        <v>11915</v>
      </c>
      <c r="C5216" s="4" t="str">
        <f ca="1">IFERROR(__xludf.DUMMYFUNCTION("GOOGLETRANSLATE(D:D,""auto"",""en"")"),"According to cheat you filmed most photos")</f>
        <v>According to cheat you filmed most photos</v>
      </c>
      <c r="D5216" s="5" t="s">
        <v>11916</v>
      </c>
      <c r="E5216" s="4">
        <v>680834</v>
      </c>
    </row>
    <row r="5217" spans="1:6" ht="13.5" customHeight="1">
      <c r="A5217" s="4" t="s">
        <v>11917</v>
      </c>
      <c r="B5217" s="4" t="s">
        <v>11918</v>
      </c>
      <c r="C5217" s="4" t="str">
        <f ca="1">IFERROR(__xludf.DUMMYFUNCTION("GOOGLETRANSLATE(D:D,""auto"",""en"")"),"Zhejiang new new 28 cases of pneumonia")</f>
        <v>Zhejiang new new 28 cases of pneumonia</v>
      </c>
      <c r="D5217" s="5" t="s">
        <v>11919</v>
      </c>
      <c r="E5217" s="4">
        <v>633366</v>
      </c>
      <c r="F5217">
        <v>1</v>
      </c>
    </row>
    <row r="5218" spans="1:6" ht="13.5" customHeight="1">
      <c r="A5218" s="4" t="s">
        <v>11917</v>
      </c>
      <c r="B5218" s="4" t="s">
        <v>11920</v>
      </c>
      <c r="C5218" s="4" t="str">
        <f ca="1">IFERROR(__xludf.DUMMYFUNCTION("GOOGLETRANSLATE(D:D,""auto"",""en"")"),"Jining City prison confirmed 200 cases")</f>
        <v>Jining City prison confirmed 200 cases</v>
      </c>
      <c r="D5218" s="5" t="s">
        <v>11921</v>
      </c>
      <c r="E5218" s="4">
        <v>619358</v>
      </c>
      <c r="F5218">
        <v>1</v>
      </c>
    </row>
    <row r="5219" spans="1:6" ht="13.5" hidden="1" customHeight="1">
      <c r="A5219" s="4" t="s">
        <v>11864</v>
      </c>
      <c r="B5219" s="4" t="s">
        <v>11922</v>
      </c>
      <c r="C5219" s="4" t="str">
        <f ca="1">IFERROR(__xludf.DUMMYFUNCTION("GOOGLETRANSLATE(D:D,""auto"",""en"")"),"Six")</f>
        <v>Six</v>
      </c>
      <c r="D5219" s="5" t="s">
        <v>11923</v>
      </c>
      <c r="E5219" s="4">
        <v>576011</v>
      </c>
    </row>
    <row r="5220" spans="1:6" ht="13.5" hidden="1" customHeight="1">
      <c r="A5220" s="4" t="s">
        <v>11873</v>
      </c>
      <c r="B5220" s="4" t="s">
        <v>11924</v>
      </c>
      <c r="C5220" s="4" t="str">
        <f ca="1">IFERROR(__xludf.DUMMYFUNCTION("GOOGLETRANSLATE(D:D,""auto"",""en"")"),"Trump former campaign adviser was sentenced to 40 months")</f>
        <v>Trump former campaign adviser was sentenced to 40 months</v>
      </c>
      <c r="D5220" s="5" t="s">
        <v>11925</v>
      </c>
      <c r="E5220" s="4">
        <v>551854</v>
      </c>
    </row>
    <row r="5221" spans="1:6" ht="13.5" hidden="1" customHeight="1">
      <c r="A5221" s="4" t="s">
        <v>11905</v>
      </c>
      <c r="B5221" s="4" t="s">
        <v>11729</v>
      </c>
      <c r="C5221" s="4" t="str">
        <f ca="1">IFERROR(__xludf.DUMMYFUNCTION("GOOGLETRANSLATE(D:D,""auto"",""en"")"),"Former orphans complain shot pass")</f>
        <v>Former orphans complain shot pass</v>
      </c>
      <c r="D5221" s="5" t="s">
        <v>11926</v>
      </c>
      <c r="E5221" s="4">
        <v>549725</v>
      </c>
    </row>
    <row r="5222" spans="1:6" ht="13.5" customHeight="1">
      <c r="A5222" s="4" t="s">
        <v>11927</v>
      </c>
      <c r="B5222" s="4" t="s">
        <v>11793</v>
      </c>
      <c r="C5222" s="4" t="str">
        <f ca="1">IFERROR(__xludf.DUMMYFUNCTION("GOOGLETRANSLATE(D:D,""auto"",""en"")"),"South Korean armed forces have found confirmed infection")</f>
        <v>South Korean armed forces have found confirmed infection</v>
      </c>
      <c r="D5222" s="5" t="s">
        <v>11928</v>
      </c>
      <c r="E5222" s="4">
        <v>544288</v>
      </c>
      <c r="F5222">
        <v>1</v>
      </c>
    </row>
    <row r="5223" spans="1:6" ht="13.5" customHeight="1">
      <c r="A5223" s="4" t="s">
        <v>11929</v>
      </c>
      <c r="B5223" s="4" t="s">
        <v>11930</v>
      </c>
      <c r="C5223" s="4" t="str">
        <f ca="1">IFERROR(__xludf.DUMMYFUNCTION("GOOGLETRANSLATE(D:D,""auto"",""en"")"),"Official Response to talk with an infected person is infected with less than 3 minutes")</f>
        <v>Official Response to talk with an infected person is infected with less than 3 minutes</v>
      </c>
      <c r="D5223" s="5" t="s">
        <v>11931</v>
      </c>
      <c r="E5223" s="4">
        <v>425089</v>
      </c>
      <c r="F5223">
        <v>1</v>
      </c>
    </row>
    <row r="5224" spans="1:6" ht="13.5" hidden="1" customHeight="1">
      <c r="A5224" s="4" t="s">
        <v>11932</v>
      </c>
      <c r="B5224" s="4" t="s">
        <v>11933</v>
      </c>
      <c r="C5224" s="4" t="str">
        <f ca="1">IFERROR(__xludf.DUMMYFUNCTION("GOOGLETRANSLATE(D:D,""auto"",""en"")"),"Lisa golden suit")</f>
        <v>Lisa golden suit</v>
      </c>
      <c r="D5224" s="5" t="s">
        <v>11934</v>
      </c>
      <c r="E5224" s="4">
        <v>418059</v>
      </c>
    </row>
    <row r="5225" spans="1:6" ht="13.5" hidden="1" customHeight="1">
      <c r="A5225" s="4" t="s">
        <v>11935</v>
      </c>
      <c r="B5225" s="4" t="s">
        <v>11936</v>
      </c>
      <c r="C5225" s="4" t="str">
        <f ca="1">IFERROR(__xludf.DUMMYFUNCTION("GOOGLETRANSLATE(D:D,""auto"",""en"")"),"February paid social security health insurance companies will be provided back against")</f>
        <v>February paid social security health insurance companies will be provided back against</v>
      </c>
      <c r="D5225" s="5" t="s">
        <v>11937</v>
      </c>
      <c r="E5225" s="4">
        <v>340820</v>
      </c>
    </row>
    <row r="5226" spans="1:6" ht="13.5" customHeight="1">
      <c r="A5226" s="4" t="s">
        <v>11938</v>
      </c>
      <c r="B5226" s="4" t="s">
        <v>11871</v>
      </c>
      <c r="C5226" s="4" t="str">
        <f ca="1">IFERROR(__xludf.DUMMYFUNCTION("GOOGLETRANSLATE(D:D,""auto"",""en"")"),"Amnesia grandfather cleaning module hospital")</f>
        <v>Amnesia grandfather cleaning module hospital</v>
      </c>
      <c r="D5226" s="5" t="s">
        <v>11939</v>
      </c>
      <c r="E5226" s="4">
        <v>330866</v>
      </c>
      <c r="F5226">
        <v>1</v>
      </c>
    </row>
    <row r="5227" spans="1:6" ht="13.5" hidden="1" customHeight="1">
      <c r="A5227" s="4" t="s">
        <v>11940</v>
      </c>
      <c r="B5227" s="4" t="s">
        <v>11941</v>
      </c>
      <c r="C5227" s="4" t="str">
        <f ca="1">IFERROR(__xludf.DUMMYFUNCTION("GOOGLETRANSLATE(D:D,""auto"",""en"")"),"Yeah baby is where he comes from")</f>
        <v>Yeah baby is where he comes from</v>
      </c>
      <c r="D5227" s="5" t="s">
        <v>11942</v>
      </c>
      <c r="E5227" s="4">
        <v>330369</v>
      </c>
    </row>
    <row r="5228" spans="1:6" ht="13.5" hidden="1" customHeight="1">
      <c r="A5228" s="4" t="s">
        <v>11943</v>
      </c>
      <c r="B5228" s="4" t="s">
        <v>11944</v>
      </c>
      <c r="C5228" s="4" t="str">
        <f ca="1">IFERROR(__xludf.DUMMYFUNCTION("GOOGLETRANSLATE(D:D,""auto"",""en"")"),"More than 50 patients were cured collective spacewalk")</f>
        <v>More than 50 patients were cured collective spacewalk</v>
      </c>
      <c r="D5228" s="5" t="s">
        <v>11945</v>
      </c>
      <c r="E5228" s="4">
        <v>326944</v>
      </c>
    </row>
    <row r="5229" spans="1:6" ht="13.5" hidden="1" customHeight="1">
      <c r="A5229" s="4" t="s">
        <v>11946</v>
      </c>
      <c r="B5229" s="4" t="s">
        <v>11880</v>
      </c>
      <c r="C5229" s="4" t="str">
        <f ca="1">IFERROR(__xludf.DUMMYFUNCTION("GOOGLETRANSLATE(D:D,""auto"",""en"")"),"Beijing and other places recommended commodity markets take off curtain")</f>
        <v>Beijing and other places recommended commodity markets take off curtain</v>
      </c>
      <c r="D5229" s="5" t="s">
        <v>11947</v>
      </c>
      <c r="E5229" s="4">
        <v>320295</v>
      </c>
    </row>
    <row r="5230" spans="1:6" ht="13.5" hidden="1" customHeight="1">
      <c r="A5230" s="4" t="s">
        <v>11948</v>
      </c>
      <c r="B5230" s="4" t="s">
        <v>11949</v>
      </c>
      <c r="C5230" s="4" t="str">
        <f ca="1">IFERROR(__xludf.DUMMYFUNCTION("GOOGLETRANSLATE(D:D,""auto"",""en"")"),"Mulan new role poster")</f>
        <v>Mulan new role poster</v>
      </c>
      <c r="D5230" s="5" t="s">
        <v>11950</v>
      </c>
      <c r="E5230" s="4">
        <v>313828</v>
      </c>
    </row>
    <row r="5231" spans="1:6" ht="13.5" hidden="1" customHeight="1">
      <c r="A5231" s="4" t="s">
        <v>11943</v>
      </c>
      <c r="B5231" s="4" t="s">
        <v>11951</v>
      </c>
      <c r="C5231" s="4" t="str">
        <f ca="1">IFERROR(__xludf.DUMMYFUNCTION("GOOGLETRANSLATE(D:D,""auto"",""en"")"),"More than 100 ill persons gave plasma")</f>
        <v>More than 100 ill persons gave plasma</v>
      </c>
      <c r="D5231" s="5" t="s">
        <v>11952</v>
      </c>
      <c r="E5231" s="4">
        <v>313687</v>
      </c>
    </row>
    <row r="5232" spans="1:6" ht="13.5" customHeight="1">
      <c r="A5232" s="4" t="s">
        <v>11953</v>
      </c>
      <c r="B5232" s="4" t="s">
        <v>11954</v>
      </c>
      <c r="C5232" s="4" t="str">
        <f ca="1">IFERROR(__xludf.DUMMYFUNCTION("GOOGLETRANSLATE(D:D,""auto"",""en"")"),"Shandong and Zhejiang epidemic prevention and control people who are incompetent to be dismissed")</f>
        <v>Shandong and Zhejiang epidemic prevention and control people who are incompetent to be dismissed</v>
      </c>
      <c r="D5232" s="5" t="s">
        <v>11955</v>
      </c>
      <c r="E5232" s="4">
        <v>312227</v>
      </c>
      <c r="F5232">
        <v>1</v>
      </c>
    </row>
    <row r="5233" spans="1:6" ht="13.5" customHeight="1">
      <c r="A5233" s="4" t="s">
        <v>11956</v>
      </c>
      <c r="B5233" s="4" t="s">
        <v>11957</v>
      </c>
      <c r="C5233" s="4" t="str">
        <f ca="1">IFERROR(__xludf.DUMMYFUNCTION("GOOGLETRANSLATE(D:D,""auto"",""en"")"),"Tibet 22 consecutive days without new cases")</f>
        <v>Tibet 22 consecutive days without new cases</v>
      </c>
      <c r="D5233" s="5" t="s">
        <v>11958</v>
      </c>
      <c r="E5233" s="4">
        <v>311078</v>
      </c>
      <c r="F5233">
        <v>1</v>
      </c>
    </row>
    <row r="5234" spans="1:6" ht="13.5" hidden="1" customHeight="1">
      <c r="A5234" s="4" t="s">
        <v>11959</v>
      </c>
      <c r="B5234" s="4" t="s">
        <v>11944</v>
      </c>
      <c r="C5234" s="4" t="str">
        <f ca="1">IFERROR(__xludf.DUMMYFUNCTION("GOOGLETRANSLATE(D:D,""auto"",""en"")"),"Trey Young 50 points")</f>
        <v>Trey Young 50 points</v>
      </c>
      <c r="D5234" s="5" t="s">
        <v>11960</v>
      </c>
      <c r="E5234" s="4">
        <v>309219</v>
      </c>
    </row>
    <row r="5235" spans="1:6" ht="13.5" customHeight="1">
      <c r="A5235" s="4" t="s">
        <v>11917</v>
      </c>
      <c r="B5235" s="4" t="s">
        <v>11961</v>
      </c>
      <c r="C5235" s="4" t="str">
        <f ca="1">IFERROR(__xludf.DUMMYFUNCTION("GOOGLETRANSLATE(D:D,""auto"",""en"")"),"14 new cases nationwide to 0")</f>
        <v>14 new cases nationwide to 0</v>
      </c>
      <c r="D5235" s="5" t="s">
        <v>11962</v>
      </c>
      <c r="E5235" s="4">
        <v>308661</v>
      </c>
      <c r="F5235">
        <v>1</v>
      </c>
    </row>
    <row r="5236" spans="1:6" ht="13.5" hidden="1" customHeight="1">
      <c r="A5236" s="4" t="s">
        <v>11963</v>
      </c>
      <c r="B5236" s="4" t="s">
        <v>11964</v>
      </c>
      <c r="C5236" s="4" t="str">
        <f ca="1">IFERROR(__xludf.DUMMYFUNCTION("GOOGLETRANSLATE(D:D,""auto"",""en"")"),"But you have to busy real meaning")</f>
        <v>But you have to busy real meaning</v>
      </c>
      <c r="D5236" s="5" t="s">
        <v>11965</v>
      </c>
      <c r="E5236" s="4">
        <v>307018</v>
      </c>
    </row>
    <row r="5237" spans="1:6" ht="13.5" customHeight="1">
      <c r="A5237" s="4" t="s">
        <v>11857</v>
      </c>
      <c r="B5237" s="4" t="s">
        <v>11964</v>
      </c>
      <c r="C5237" s="4" t="str">
        <f ca="1">IFERROR(__xludf.DUMMYFUNCTION("GOOGLETRANSLATE(D:D,""auto"",""en"")"),"Japanese universities refused to take the test infection")</f>
        <v>Japanese universities refused to take the test infection</v>
      </c>
      <c r="D5237" s="5" t="s">
        <v>11966</v>
      </c>
      <c r="E5237" s="4">
        <v>306768</v>
      </c>
      <c r="F5237">
        <v>1</v>
      </c>
    </row>
    <row r="5238" spans="1:6" ht="13.5" customHeight="1">
      <c r="A5238" s="4" t="s">
        <v>11967</v>
      </c>
      <c r="B5238" s="4" t="s">
        <v>11968</v>
      </c>
      <c r="C5238" s="4" t="str">
        <f ca="1">IFERROR(__xludf.DUMMYFUNCTION("GOOGLETRANSLATE(D:D,""auto"",""en"")"),"South Korean hospital five nurses diagnosed with pneumonia new crown")</f>
        <v>South Korean hospital five nurses diagnosed with pneumonia new crown</v>
      </c>
      <c r="D5238" s="5" t="s">
        <v>11969</v>
      </c>
      <c r="E5238" s="4">
        <v>305603</v>
      </c>
      <c r="F5238">
        <v>1</v>
      </c>
    </row>
    <row r="5239" spans="1:6" ht="13.5" customHeight="1">
      <c r="A5239" s="4" t="s">
        <v>11970</v>
      </c>
      <c r="B5239" s="4" t="s">
        <v>11809</v>
      </c>
      <c r="C5239" s="4" t="str">
        <f ca="1">IFERROR(__xludf.DUMMYFUNCTION("GOOGLETRANSLATE(D:D,""auto"",""en"")"),"The first 6,000 face protection stickers sent to Vulcan Hill Hospital")</f>
        <v>The first 6,000 face protection stickers sent to Vulcan Hill Hospital</v>
      </c>
      <c r="D5239" s="5" t="s">
        <v>11971</v>
      </c>
      <c r="E5239" s="4">
        <v>304677</v>
      </c>
      <c r="F5239">
        <v>1</v>
      </c>
    </row>
    <row r="5240" spans="1:6" ht="13.5" hidden="1" customHeight="1">
      <c r="A5240" s="4" t="s">
        <v>11946</v>
      </c>
      <c r="B5240" s="4" t="s">
        <v>11972</v>
      </c>
      <c r="C5240" s="4" t="str">
        <f ca="1">IFERROR(__xludf.DUMMYFUNCTION("GOOGLETRANSLATE(D:D,""auto"",""en"")"),"Instant noodles scones")</f>
        <v>Instant noodles scones</v>
      </c>
      <c r="D5240" s="5" t="s">
        <v>11973</v>
      </c>
      <c r="E5240" s="4">
        <v>262665</v>
      </c>
    </row>
    <row r="5241" spans="1:6" ht="13.5" hidden="1" customHeight="1">
      <c r="C5241" s="4" t="str">
        <f ca="1">IFERROR(__xludf.DUMMYFUNCTION("GOOGLETRANSLATE(D:D,""auto"",""en"")"),"#VALUE!")</f>
        <v>#VALUE!</v>
      </c>
    </row>
    <row r="5242" spans="1:6" ht="13.5" customHeight="1">
      <c r="A5242" s="4" t="s">
        <v>11974</v>
      </c>
      <c r="B5242" s="4" t="s">
        <v>11975</v>
      </c>
      <c r="C5242" s="4" t="str">
        <f ca="1">IFERROR(__xludf.DUMMYFUNCTION("GOOGLETRANSLATE(D:D,""auto"",""en"")"),"Wuhan and a doctor died of pneumonia due to infection new crown")</f>
        <v>Wuhan and a doctor died of pneumonia due to infection new crown</v>
      </c>
      <c r="D5242" s="4" t="s">
        <v>11976</v>
      </c>
      <c r="E5242" s="4">
        <v>2433002</v>
      </c>
      <c r="F5242">
        <v>1</v>
      </c>
    </row>
    <row r="5243" spans="1:6" ht="13.5" hidden="1" customHeight="1">
      <c r="A5243" s="4" t="s">
        <v>11977</v>
      </c>
      <c r="B5243" s="4" t="s">
        <v>11978</v>
      </c>
      <c r="C5243" s="4" t="str">
        <f ca="1">IFERROR(__xludf.DUMMYFUNCTION("GOOGLETRANSLATE(D:D,""auto"",""en"")"),"Princess Shen Teng hold Huachen Yu")</f>
        <v>Princess Shen Teng hold Huachen Yu</v>
      </c>
      <c r="D5243" s="5" t="s">
        <v>11979</v>
      </c>
      <c r="E5243" s="4">
        <v>1656318</v>
      </c>
    </row>
    <row r="5244" spans="1:6" ht="13.5" customHeight="1">
      <c r="A5244" s="4" t="s">
        <v>11980</v>
      </c>
      <c r="B5244" s="4" t="s">
        <v>11981</v>
      </c>
      <c r="C5244" s="4" t="str">
        <f ca="1">IFERROR(__xludf.DUMMYFUNCTION("GOOGLETRANSLATE(D:D,""auto"",""en"")"),"National epidemic inflection point yet to come")</f>
        <v>National epidemic inflection point yet to come</v>
      </c>
      <c r="D5244" s="5" t="s">
        <v>11982</v>
      </c>
      <c r="E5244" s="4">
        <v>1594664</v>
      </c>
      <c r="F5244">
        <v>1</v>
      </c>
    </row>
    <row r="5245" spans="1:6" ht="13.5" hidden="1" customHeight="1">
      <c r="A5245" s="4" t="s">
        <v>11983</v>
      </c>
      <c r="B5245" s="4" t="s">
        <v>11984</v>
      </c>
      <c r="C5245" s="4" t="str">
        <f ca="1">IFERROR(__xludf.DUMMYFUNCTION("GOOGLETRANSLATE(D:D,""auto"",""en"")"),"He Jiong do Shuangpinai")</f>
        <v>He Jiong do Shuangpinai</v>
      </c>
      <c r="D5245" s="5" t="s">
        <v>11985</v>
      </c>
      <c r="E5245" s="4">
        <v>1559015</v>
      </c>
    </row>
    <row r="5246" spans="1:6" ht="13.5" hidden="1" customHeight="1">
      <c r="A5246" s="4" t="s">
        <v>2917</v>
      </c>
      <c r="B5246" s="4" t="s">
        <v>2918</v>
      </c>
      <c r="C5246" s="4" t="str">
        <f ca="1">IFERROR(__xludf.DUMMYFUNCTION("GOOGLETRANSLATE(D:D,""auto"",""en"")"),"Negotiator")</f>
        <v>Negotiator</v>
      </c>
      <c r="D5246" s="5" t="s">
        <v>2919</v>
      </c>
      <c r="E5246" s="4">
        <v>1230944</v>
      </c>
    </row>
    <row r="5247" spans="1:6" ht="13.5" hidden="1" customHeight="1">
      <c r="A5247" s="4" t="s">
        <v>11986</v>
      </c>
      <c r="B5247" s="4" t="s">
        <v>11987</v>
      </c>
      <c r="C5247" s="4" t="str">
        <f ca="1">IFERROR(__xludf.DUMMYFUNCTION("GOOGLETRANSLATE(D:D,""auto"",""en"")"),"Ugly")</f>
        <v>Ugly</v>
      </c>
      <c r="D5247" s="5" t="s">
        <v>11988</v>
      </c>
      <c r="E5247" s="4">
        <v>1151024</v>
      </c>
    </row>
    <row r="5248" spans="1:6" ht="13.5" customHeight="1">
      <c r="A5248" s="4" t="s">
        <v>11977</v>
      </c>
      <c r="B5248" s="4" t="s">
        <v>11989</v>
      </c>
      <c r="C5248" s="4" t="str">
        <f ca="1">IFERROR(__xludf.DUMMYFUNCTION("GOOGLETRANSLATE(D:D,""auto"",""en"")"),"Politburo epidemic prevention and control research")</f>
        <v>Politburo epidemic prevention and control research</v>
      </c>
      <c r="D5248" s="5" t="s">
        <v>11990</v>
      </c>
      <c r="E5248" s="4">
        <v>1130671</v>
      </c>
      <c r="F5248">
        <v>1</v>
      </c>
    </row>
    <row r="5249" spans="1:6" ht="13.5" hidden="1" customHeight="1">
      <c r="A5249" s="4" t="s">
        <v>11991</v>
      </c>
      <c r="B5249" s="4" t="s">
        <v>11992</v>
      </c>
      <c r="C5249" s="4" t="str">
        <f ca="1">IFERROR(__xludf.DUMMYFUNCTION("GOOGLETRANSLATE(D:D,""auto"",""en"")"),"Strawberry condensed milk")</f>
        <v>Strawberry condensed milk</v>
      </c>
      <c r="D5249" s="5" t="s">
        <v>11993</v>
      </c>
      <c r="E5249" s="4">
        <v>1121229</v>
      </c>
    </row>
    <row r="5250" spans="1:6" ht="13.5" customHeight="1">
      <c r="A5250" s="4" t="s">
        <v>11994</v>
      </c>
      <c r="B5250" s="4" t="s">
        <v>11995</v>
      </c>
      <c r="C5250" s="4" t="str">
        <f ca="1">IFERROR(__xludf.DUMMYFUNCTION("GOOGLETRANSLATE(D:D,""auto"",""en"")"),"Nurses Du Fujia")</f>
        <v>Nurses Du Fujia</v>
      </c>
      <c r="D5250" s="5" t="s">
        <v>11996</v>
      </c>
      <c r="E5250" s="4">
        <v>1120011</v>
      </c>
      <c r="F5250">
        <v>1</v>
      </c>
    </row>
    <row r="5251" spans="1:6" ht="13.5" customHeight="1">
      <c r="A5251" s="4" t="s">
        <v>11977</v>
      </c>
      <c r="B5251" s="4" t="s">
        <v>11997</v>
      </c>
      <c r="C5251" s="4" t="str">
        <f ca="1">IFERROR(__xludf.DUMMYFUNCTION("GOOGLETRANSLATE(D:D,""auto"",""en"")"),"Guards deliberately concealed the trip to Wuhan")</f>
        <v>Guards deliberately concealed the trip to Wuhan</v>
      </c>
      <c r="D5251" s="5" t="s">
        <v>11998</v>
      </c>
      <c r="E5251" s="4">
        <v>1119967</v>
      </c>
      <c r="F5251">
        <v>1</v>
      </c>
    </row>
    <row r="5252" spans="1:6" ht="13.5" customHeight="1">
      <c r="A5252" s="4" t="s">
        <v>11999</v>
      </c>
      <c r="B5252" s="4" t="s">
        <v>12000</v>
      </c>
      <c r="C5252" s="4" t="str">
        <f ca="1">IFERROR(__xludf.DUMMYFUNCTION("GOOGLETRANSLATE(D:D,""auto"",""en"")"),"66 people in close contact with a confirmed case in Beijing during the return to work")</f>
        <v>66 people in close contact with a confirmed case in Beijing during the return to work</v>
      </c>
      <c r="D5252" s="5" t="s">
        <v>12001</v>
      </c>
      <c r="E5252" s="4">
        <v>1119029</v>
      </c>
      <c r="F5252">
        <v>1</v>
      </c>
    </row>
    <row r="5253" spans="1:6" ht="13.5" customHeight="1">
      <c r="A5253" s="4" t="s">
        <v>11977</v>
      </c>
      <c r="B5253" s="4" t="s">
        <v>11997</v>
      </c>
      <c r="C5253" s="4" t="str">
        <f ca="1">IFERROR(__xludf.DUMMYFUNCTION("GOOGLETRANSLATE(D:D,""auto"",""en"")"),"Wuhan significant phenomenon bed et al.")</f>
        <v>Wuhan significant phenomenon bed et al.</v>
      </c>
      <c r="D5253" s="5" t="s">
        <v>12002</v>
      </c>
      <c r="E5253" s="4">
        <v>1118749</v>
      </c>
      <c r="F5253">
        <v>1</v>
      </c>
    </row>
    <row r="5254" spans="1:6" ht="13.5" hidden="1" customHeight="1">
      <c r="A5254" s="4" t="s">
        <v>12003</v>
      </c>
      <c r="B5254" s="4" t="s">
        <v>12004</v>
      </c>
      <c r="C5254" s="4" t="str">
        <f ca="1">IFERROR(__xludf.DUMMYFUNCTION("GOOGLETRANSLATE(D:D,""auto"",""en"")"),"Two Shi Huan")</f>
        <v>Two Shi Huan</v>
      </c>
      <c r="D5254" s="5" t="s">
        <v>12005</v>
      </c>
      <c r="E5254" s="4">
        <v>1116912</v>
      </c>
    </row>
    <row r="5255" spans="1:6" ht="13.5" customHeight="1">
      <c r="A5255" s="4" t="s">
        <v>12006</v>
      </c>
      <c r="B5255" s="4" t="s">
        <v>12007</v>
      </c>
      <c r="C5255" s="4" t="str">
        <f ca="1">IFERROR(__xludf.DUMMYFUNCTION("GOOGLETRANSLATE(D:D,""auto"",""en"")"),"Israel confirmed the first case of pneumonia cases new crown")</f>
        <v>Israel confirmed the first case of pneumonia cases new crown</v>
      </c>
      <c r="D5255" s="5" t="s">
        <v>12008</v>
      </c>
      <c r="E5255" s="4">
        <v>1116626</v>
      </c>
      <c r="F5255">
        <v>1</v>
      </c>
    </row>
    <row r="5256" spans="1:6" ht="13.5" customHeight="1">
      <c r="A5256" s="4" t="s">
        <v>12009</v>
      </c>
      <c r="B5256" s="4" t="s">
        <v>11903</v>
      </c>
      <c r="C5256" s="4" t="str">
        <f ca="1">IFERROR(__xludf.DUMMYFUNCTION("GOOGLETRANSLATE(D:D,""auto"",""en"")"),"Japan will resume imports from China masks")</f>
        <v>Japan will resume imports from China masks</v>
      </c>
      <c r="D5256" s="5" t="s">
        <v>12010</v>
      </c>
      <c r="E5256" s="4">
        <v>1114891</v>
      </c>
      <c r="F5256">
        <v>1</v>
      </c>
    </row>
    <row r="5257" spans="1:6" ht="13.5" hidden="1" customHeight="1">
      <c r="A5257" s="4" t="s">
        <v>12011</v>
      </c>
      <c r="B5257" s="4" t="s">
        <v>11984</v>
      </c>
      <c r="C5257" s="4" t="str">
        <f ca="1">IFERROR(__xludf.DUMMYFUNCTION("GOOGLETRANSLATE(D:D,""auto"",""en"")"),"HowNet")</f>
        <v>HowNet</v>
      </c>
      <c r="D5257" s="5" t="s">
        <v>12012</v>
      </c>
      <c r="E5257" s="4">
        <v>1113728</v>
      </c>
    </row>
    <row r="5258" spans="1:6" ht="13.5" hidden="1" customHeight="1">
      <c r="A5258" s="4" t="s">
        <v>12013</v>
      </c>
      <c r="B5258" s="4" t="s">
        <v>12014</v>
      </c>
      <c r="C5258" s="4" t="str">
        <f ca="1">IFERROR(__xludf.DUMMYFUNCTION("GOOGLETRANSLATE(D:D,""auto"",""en"")"),"Ningxia University")</f>
        <v>Ningxia University</v>
      </c>
      <c r="D5258" s="5" t="s">
        <v>12015</v>
      </c>
      <c r="E5258" s="4">
        <v>1113311</v>
      </c>
    </row>
    <row r="5259" spans="1:6" ht="13.5" hidden="1" customHeight="1">
      <c r="A5259" s="4" t="s">
        <v>12016</v>
      </c>
      <c r="B5259" s="4" t="s">
        <v>12017</v>
      </c>
      <c r="C5259" s="4" t="str">
        <f ca="1">IFERROR(__xludf.DUMMYFUNCTION("GOOGLETRANSLATE(D:D,""auto"",""en"")"),"Simba Xu Jie")</f>
        <v>Simba Xu Jie</v>
      </c>
      <c r="D5259" s="5" t="s">
        <v>12018</v>
      </c>
      <c r="E5259" s="4">
        <v>1112423</v>
      </c>
    </row>
    <row r="5260" spans="1:6" ht="13.5" hidden="1" customHeight="1">
      <c r="A5260" s="4" t="s">
        <v>12019</v>
      </c>
      <c r="B5260" s="4" t="s">
        <v>12020</v>
      </c>
      <c r="C5260" s="4" t="str">
        <f ca="1">IFERROR(__xludf.DUMMYFUNCTION("GOOGLETRANSLATE(D:D,""auto"",""en"")"),"Jinan 2.4 earthquake")</f>
        <v>Jinan 2.4 earthquake</v>
      </c>
      <c r="D5260" s="5" t="s">
        <v>12021</v>
      </c>
      <c r="E5260" s="4">
        <v>1080312</v>
      </c>
    </row>
    <row r="5261" spans="1:6" ht="13.5" hidden="1" customHeight="1">
      <c r="A5261" s="4" t="s">
        <v>12022</v>
      </c>
      <c r="B5261" s="4" t="s">
        <v>12023</v>
      </c>
      <c r="C5261" s="4" t="str">
        <f ca="1">IFERROR(__xludf.DUMMYFUNCTION("GOOGLETRANSLATE(D:D,""auto"",""en"")"),"Guangzhou revocation of all the city's highway toll station measurement points")</f>
        <v>Guangzhou revocation of all the city's highway toll station measurement points</v>
      </c>
      <c r="D5261" s="5" t="s">
        <v>12024</v>
      </c>
      <c r="E5261" s="4">
        <v>1060958</v>
      </c>
    </row>
    <row r="5262" spans="1:6" ht="13.5" hidden="1" customHeight="1">
      <c r="A5262" s="4" t="s">
        <v>12025</v>
      </c>
      <c r="B5262" s="4" t="s">
        <v>12026</v>
      </c>
      <c r="C5262" s="4" t="str">
        <f ca="1">IFERROR(__xludf.DUMMYFUNCTION("GOOGLETRANSLATE(D:D,""auto"",""en"")"),"A small amount of alcohol cotton pad cotton balls into the Beijing Subway")</f>
        <v>A small amount of alcohol cotton pad cotton balls into the Beijing Subway</v>
      </c>
      <c r="D5262" s="5" t="s">
        <v>12027</v>
      </c>
      <c r="E5262" s="4">
        <v>937463</v>
      </c>
    </row>
    <row r="5263" spans="1:6" ht="13.5" hidden="1" customHeight="1">
      <c r="A5263" s="4" t="s">
        <v>11974</v>
      </c>
      <c r="B5263" s="4" t="s">
        <v>12028</v>
      </c>
      <c r="C5263" s="4" t="str">
        <f ca="1">IFERROR(__xludf.DUMMYFUNCTION("GOOGLETRANSLATE(D:D,""auto"",""en"")"),"Net comprehensive program content audit standards Details")</f>
        <v>Net comprehensive program content audit standards Details</v>
      </c>
      <c r="D5263" s="5" t="s">
        <v>12029</v>
      </c>
      <c r="E5263" s="4">
        <v>924901</v>
      </c>
    </row>
    <row r="5264" spans="1:6" ht="13.5" hidden="1" customHeight="1">
      <c r="A5264" s="4" t="s">
        <v>9133</v>
      </c>
      <c r="B5264" s="4" t="s">
        <v>8901</v>
      </c>
      <c r="C5264" s="4" t="str">
        <f ca="1">IFERROR(__xludf.DUMMYFUNCTION("GOOGLETRANSLATE(D:D,""auto"",""en"")"),"Itaewon CLASS")</f>
        <v>Itaewon CLASS</v>
      </c>
      <c r="D5264" s="5" t="s">
        <v>9134</v>
      </c>
      <c r="E5264" s="4">
        <v>829181</v>
      </c>
    </row>
    <row r="5265" spans="1:6" ht="13.5" hidden="1" customHeight="1">
      <c r="A5265" s="4" t="s">
        <v>11854</v>
      </c>
      <c r="B5265" s="4" t="s">
        <v>12030</v>
      </c>
      <c r="C5265" s="4" t="str">
        <f ca="1">IFERROR(__xludf.DUMMYFUNCTION("GOOGLETRANSLATE(D:D,""auto"",""en"")"),"Itaewon hairstyle")</f>
        <v>Itaewon hairstyle</v>
      </c>
      <c r="D5265" s="5" t="s">
        <v>12031</v>
      </c>
      <c r="E5265" s="4">
        <v>794438</v>
      </c>
    </row>
    <row r="5266" spans="1:6" ht="13.5" hidden="1" customHeight="1">
      <c r="A5266" s="4" t="s">
        <v>12032</v>
      </c>
      <c r="B5266" s="4" t="s">
        <v>12033</v>
      </c>
      <c r="C5266" s="4" t="str">
        <f ca="1">IFERROR(__xludf.DUMMYFUNCTION("GOOGLETRANSLATE(D:D,""auto"",""en"")"),"Chen Yu Qi costume")</f>
        <v>Chen Yu Qi costume</v>
      </c>
      <c r="D5266" s="5" t="s">
        <v>12034</v>
      </c>
      <c r="E5266" s="4">
        <v>790042</v>
      </c>
    </row>
    <row r="5267" spans="1:6" ht="13.5" customHeight="1">
      <c r="A5267" s="4" t="s">
        <v>12035</v>
      </c>
      <c r="B5267" s="4" t="s">
        <v>12036</v>
      </c>
      <c r="C5267" s="4" t="str">
        <f ca="1">IFERROR(__xludf.DUMMYFUNCTION("GOOGLETRANSLATE(D:D,""auto"",""en"")"),"Japan moratorium on the production of white lover")</f>
        <v>Japan moratorium on the production of white lover</v>
      </c>
      <c r="D5267" s="5" t="s">
        <v>12037</v>
      </c>
      <c r="E5267" s="4">
        <v>720977</v>
      </c>
      <c r="F5267">
        <v>1</v>
      </c>
    </row>
    <row r="5268" spans="1:6" ht="13.5" customHeight="1">
      <c r="A5268" s="4" t="s">
        <v>12038</v>
      </c>
      <c r="B5268" s="4" t="s">
        <v>12039</v>
      </c>
      <c r="C5268" s="4" t="str">
        <f ca="1">IFERROR(__xludf.DUMMYFUNCTION("GOOGLETRANSLATE(D:D,""auto"",""en"")"),"South Korea presidential palace dozen guards inside isolated")</f>
        <v>South Korea presidential palace dozen guards inside isolated</v>
      </c>
      <c r="D5268" s="5" t="s">
        <v>12040</v>
      </c>
      <c r="E5268" s="4">
        <v>633428</v>
      </c>
      <c r="F5268">
        <v>1</v>
      </c>
    </row>
    <row r="5269" spans="1:6" ht="13.5" hidden="1" customHeight="1">
      <c r="A5269" s="4" t="s">
        <v>11980</v>
      </c>
      <c r="B5269" s="4" t="s">
        <v>11978</v>
      </c>
      <c r="C5269" s="4" t="str">
        <f ca="1">IFERROR(__xludf.DUMMYFUNCTION("GOOGLETRANSLATE(D:D,""auto"",""en"")"),"Jia Ling laughing and crying Cross")</f>
        <v>Jia Ling laughing and crying Cross</v>
      </c>
      <c r="D5269" s="5" t="s">
        <v>12041</v>
      </c>
      <c r="E5269" s="4">
        <v>573883</v>
      </c>
    </row>
    <row r="5270" spans="1:6" ht="13.5" hidden="1" customHeight="1">
      <c r="A5270" s="4" t="s">
        <v>12042</v>
      </c>
      <c r="B5270" s="4" t="s">
        <v>11911</v>
      </c>
      <c r="C5270" s="4" t="str">
        <f ca="1">IFERROR(__xludf.DUMMYFUNCTION("GOOGLETRANSLATE(D:D,""auto"",""en"")"),"Xu Guang")</f>
        <v>Xu Guang</v>
      </c>
      <c r="D5270" s="5" t="s">
        <v>12043</v>
      </c>
      <c r="E5270" s="4">
        <v>501955</v>
      </c>
    </row>
    <row r="5271" spans="1:6" ht="13.5" hidden="1" customHeight="1">
      <c r="A5271" s="4" t="s">
        <v>12044</v>
      </c>
      <c r="B5271" s="4" t="s">
        <v>12030</v>
      </c>
      <c r="C5271" s="4" t="str">
        <f ca="1">IFERROR(__xludf.DUMMYFUNCTION("GOOGLETRANSLATE(D:D,""auto"",""en"")"),"Wang Fei said short hair is a big S Blow")</f>
        <v>Wang Fei said short hair is a big S Blow</v>
      </c>
      <c r="D5271" s="5" t="s">
        <v>12045</v>
      </c>
      <c r="E5271" s="4">
        <v>499491</v>
      </c>
    </row>
    <row r="5272" spans="1:6" ht="13.5" customHeight="1">
      <c r="A5272" s="4" t="s">
        <v>12046</v>
      </c>
      <c r="B5272" s="4" t="s">
        <v>11997</v>
      </c>
      <c r="C5272" s="4" t="str">
        <f ca="1">IFERROR(__xludf.DUMMYFUNCTION("GOOGLETRANSLATE(D:D,""auto"",""en"")"),"7 people avoid isolation class back to Beijing 14 days")</f>
        <v>7 people avoid isolation class back to Beijing 14 days</v>
      </c>
      <c r="D5272" s="5" t="s">
        <v>12047</v>
      </c>
      <c r="E5272" s="4">
        <v>489470</v>
      </c>
      <c r="F5272">
        <v>1</v>
      </c>
    </row>
    <row r="5273" spans="1:6" ht="13.5" hidden="1" customHeight="1">
      <c r="A5273" s="4" t="s">
        <v>12048</v>
      </c>
      <c r="B5273" s="4" t="s">
        <v>12004</v>
      </c>
      <c r="C5273" s="4" t="str">
        <f ca="1">IFERROR(__xludf.DUMMYFUNCTION("GOOGLETRANSLATE(D:D,""auto"",""en"")"),"Breathtaking eye")</f>
        <v>Breathtaking eye</v>
      </c>
      <c r="D5273" s="5" t="s">
        <v>12049</v>
      </c>
      <c r="E5273" s="4">
        <v>468048</v>
      </c>
    </row>
    <row r="5274" spans="1:6" ht="13.5" customHeight="1">
      <c r="A5274" s="4" t="s">
        <v>12050</v>
      </c>
      <c r="B5274" s="4" t="s">
        <v>12051</v>
      </c>
      <c r="C5274" s="4" t="str">
        <f ca="1">IFERROR(__xludf.DUMMYFUNCTION("GOOGLETRANSLATE(D:D,""auto"",""en"")"),"New employees crown pneumonia infection can not be identified work-related injuries")</f>
        <v>New employees crown pneumonia infection can not be identified work-related injuries</v>
      </c>
      <c r="D5274" s="5" t="s">
        <v>12052</v>
      </c>
      <c r="E5274" s="4">
        <v>403468</v>
      </c>
      <c r="F5274">
        <v>1</v>
      </c>
    </row>
    <row r="5275" spans="1:6" ht="13.5" hidden="1" customHeight="1">
      <c r="A5275" s="4" t="s">
        <v>7882</v>
      </c>
      <c r="B5275" s="4" t="s">
        <v>7883</v>
      </c>
      <c r="C5275" s="4" t="str">
        <f ca="1">IFERROR(__xludf.DUMMYFUNCTION("GOOGLETRANSLATE(D:D,""auto"",""en"")"),"Li Lanjuan")</f>
        <v>Li Lanjuan</v>
      </c>
      <c r="D5275" s="5" t="s">
        <v>7884</v>
      </c>
      <c r="E5275" s="4">
        <v>375711</v>
      </c>
    </row>
    <row r="5276" spans="1:6" ht="13.5" hidden="1" customHeight="1">
      <c r="A5276" s="4" t="s">
        <v>12053</v>
      </c>
      <c r="B5276" s="4" t="s">
        <v>12054</v>
      </c>
      <c r="C5276" s="4" t="str">
        <f ca="1">IFERROR(__xludf.DUMMYFUNCTION("GOOGLETRANSLATE(D:D,""auto"",""en"")"),"The real reason to go out make-up girls")</f>
        <v>The real reason to go out make-up girls</v>
      </c>
      <c r="D5276" s="5" t="s">
        <v>12055</v>
      </c>
      <c r="E5276" s="4">
        <v>370638</v>
      </c>
    </row>
    <row r="5277" spans="1:6" ht="13.5" customHeight="1">
      <c r="A5277" s="4" t="s">
        <v>12053</v>
      </c>
      <c r="B5277" s="4" t="s">
        <v>12056</v>
      </c>
      <c r="C5277" s="4" t="str">
        <f ca="1">IFERROR(__xludf.DUMMYFUNCTION("GOOGLETRANSLATE(D:D,""auto"",""en"")"),"The new crown the number of pneumonia diagnosed Japan 737")</f>
        <v>The new crown the number of pneumonia diagnosed Japan 737</v>
      </c>
      <c r="D5277" s="5" t="s">
        <v>12057</v>
      </c>
      <c r="E5277" s="4">
        <v>348061</v>
      </c>
      <c r="F5277">
        <v>1</v>
      </c>
    </row>
    <row r="5278" spans="1:6" ht="13.5" hidden="1" customHeight="1">
      <c r="A5278" s="4" t="s">
        <v>12058</v>
      </c>
      <c r="B5278" s="4" t="s">
        <v>12059</v>
      </c>
      <c r="C5278" s="4" t="str">
        <f ca="1">IFERROR(__xludf.DUMMYFUNCTION("GOOGLETRANSLATE(D:D,""auto"",""en"")"),"An unfinished wedding")</f>
        <v>An unfinished wedding</v>
      </c>
      <c r="D5278" s="5" t="s">
        <v>12060</v>
      </c>
      <c r="E5278" s="4">
        <v>343043</v>
      </c>
    </row>
    <row r="5279" spans="1:6" ht="13.5" hidden="1" customHeight="1">
      <c r="A5279" s="4" t="s">
        <v>11991</v>
      </c>
      <c r="B5279" s="4" t="s">
        <v>12061</v>
      </c>
      <c r="C5279" s="4" t="str">
        <f ca="1">IFERROR(__xludf.DUMMYFUNCTION("GOOGLETRANSLATE(D:D,""auto"",""en"")"),"Trend Partner")</f>
        <v>Trend Partner</v>
      </c>
      <c r="D5279" s="5" t="s">
        <v>12062</v>
      </c>
      <c r="E5279" s="4">
        <v>339328</v>
      </c>
    </row>
    <row r="5280" spans="1:6" ht="13.5" hidden="1" customHeight="1">
      <c r="A5280" s="4" t="s">
        <v>12063</v>
      </c>
      <c r="B5280" s="4" t="s">
        <v>12051</v>
      </c>
      <c r="C5280" s="4" t="str">
        <f ca="1">IFERROR(__xludf.DUMMYFUNCTION("GOOGLETRANSLATE(D:D,""auto"",""en"")"),"settle down")</f>
        <v>settle down</v>
      </c>
      <c r="D5280" s="5" t="s">
        <v>12064</v>
      </c>
      <c r="E5280" s="4">
        <v>324461</v>
      </c>
    </row>
    <row r="5281" spans="1:6" ht="13.5" hidden="1" customHeight="1">
      <c r="A5281" s="4" t="s">
        <v>12042</v>
      </c>
      <c r="B5281" s="4" t="s">
        <v>12065</v>
      </c>
      <c r="C5281" s="4" t="str">
        <f ca="1">IFERROR(__xludf.DUMMYFUNCTION("GOOGLETRANSLATE(D:D,""auto"",""en"")"),"The most common lie four")</f>
        <v>The most common lie four</v>
      </c>
      <c r="D5281" s="5" t="s">
        <v>12066</v>
      </c>
      <c r="E5281" s="4">
        <v>271270</v>
      </c>
    </row>
    <row r="5282" spans="1:6" ht="13.5" customHeight="1">
      <c r="A5282" s="4" t="s">
        <v>12067</v>
      </c>
      <c r="B5282" s="4" t="s">
        <v>11984</v>
      </c>
      <c r="C5282" s="4" t="str">
        <f ca="1">IFERROR(__xludf.DUMMYFUNCTION("GOOGLETRANSLATE(D:D,""auto"",""en"")"),"Diamond Princess passengers disembark end")</f>
        <v>Diamond Princess passengers disembark end</v>
      </c>
      <c r="D5282" s="5" t="s">
        <v>12068</v>
      </c>
      <c r="E5282" s="4">
        <v>243384</v>
      </c>
      <c r="F5282">
        <v>1</v>
      </c>
    </row>
    <row r="5283" spans="1:6" ht="13.5" customHeight="1">
      <c r="A5283" s="4" t="s">
        <v>12069</v>
      </c>
      <c r="B5283" s="4" t="s">
        <v>12070</v>
      </c>
      <c r="C5283" s="4" t="str">
        <f ca="1">IFERROR(__xludf.DUMMYFUNCTION("GOOGLETRANSLATE(D:D,""auto"",""en"")"),"12 cases were diagnosed in Wuhan City Social Welfare Institute")</f>
        <v>12 cases were diagnosed in Wuhan City Social Welfare Institute</v>
      </c>
      <c r="D5283" s="5" t="s">
        <v>12071</v>
      </c>
      <c r="E5283" s="4">
        <v>224837</v>
      </c>
      <c r="F5283">
        <v>1</v>
      </c>
    </row>
    <row r="5284" spans="1:6" ht="13.5" hidden="1" customHeight="1">
      <c r="A5284" s="4" t="s">
        <v>12009</v>
      </c>
      <c r="B5284" s="4" t="s">
        <v>12072</v>
      </c>
      <c r="C5284" s="4" t="str">
        <f ca="1">IFERROR(__xludf.DUMMYFUNCTION("GOOGLETRANSLATE(D:D,""auto"",""en"")"),"Wonderful sport high heels")</f>
        <v>Wonderful sport high heels</v>
      </c>
      <c r="D5284" s="5" t="s">
        <v>12073</v>
      </c>
      <c r="E5284" s="4">
        <v>214151</v>
      </c>
    </row>
    <row r="5285" spans="1:6" ht="13.5" hidden="1" customHeight="1">
      <c r="A5285" s="4" t="s">
        <v>12074</v>
      </c>
      <c r="B5285" s="4" t="s">
        <v>12075</v>
      </c>
      <c r="C5285" s="4" t="str">
        <f ca="1">IFERROR(__xludf.DUMMYFUNCTION("GOOGLETRANSLATE(D:D,""auto"",""en"")"),"Distressed King speech")</f>
        <v>Distressed King speech</v>
      </c>
      <c r="D5285" s="5" t="s">
        <v>12076</v>
      </c>
      <c r="E5285" s="4">
        <v>201013</v>
      </c>
    </row>
    <row r="5286" spans="1:6" ht="13.5" hidden="1" customHeight="1">
      <c r="A5286" s="4" t="s">
        <v>12077</v>
      </c>
      <c r="B5286" s="4" t="s">
        <v>12078</v>
      </c>
      <c r="C5286" s="4" t="str">
        <f ca="1">IFERROR(__xludf.DUMMYFUNCTION("GOOGLETRANSLATE(D:D,""auto"",""en"")"),"Album of the reality gas")</f>
        <v>Album of the reality gas</v>
      </c>
      <c r="D5286" s="5" t="s">
        <v>12079</v>
      </c>
      <c r="E5286" s="4">
        <v>193551</v>
      </c>
    </row>
    <row r="5287" spans="1:6" ht="13.5" hidden="1" customHeight="1">
      <c r="A5287" s="4" t="s">
        <v>12009</v>
      </c>
      <c r="B5287" s="4" t="s">
        <v>12080</v>
      </c>
      <c r="C5287" s="4" t="str">
        <f ca="1">IFERROR(__xludf.DUMMYFUNCTION("GOOGLETRANSLATE(D:D,""auto"",""en"")"),"300 acres of plum sky cloud reward")</f>
        <v>300 acres of plum sky cloud reward</v>
      </c>
      <c r="D5287" s="5" t="s">
        <v>12081</v>
      </c>
      <c r="E5287" s="4">
        <v>185643</v>
      </c>
    </row>
    <row r="5288" spans="1:6" ht="13.5" hidden="1" customHeight="1">
      <c r="A5288" s="4" t="s">
        <v>12082</v>
      </c>
      <c r="B5288" s="4" t="s">
        <v>11867</v>
      </c>
      <c r="C5288" s="4" t="str">
        <f ca="1">IFERROR(__xludf.DUMMYFUNCTION("GOOGLETRANSLATE(D:D,""auto"",""en"")"),"March Jiangsu, middle and high school to continue teaching online")</f>
        <v>March Jiangsu, middle and high school to continue teaching online</v>
      </c>
      <c r="D5288" s="5" t="s">
        <v>12083</v>
      </c>
      <c r="E5288" s="4">
        <v>172958</v>
      </c>
    </row>
    <row r="5289" spans="1:6" ht="13.5" hidden="1" customHeight="1">
      <c r="A5289" s="4" t="s">
        <v>12084</v>
      </c>
      <c r="B5289" s="4" t="s">
        <v>12085</v>
      </c>
      <c r="C5289" s="4" t="str">
        <f ca="1">IFERROR(__xludf.DUMMYFUNCTION("GOOGLETRANSLATE(D:D,""auto"",""en"")"),"Shandong people to donate 12 tons Spanish mackerel dumplings")</f>
        <v>Shandong people to donate 12 tons Spanish mackerel dumplings</v>
      </c>
      <c r="D5289" s="5" t="s">
        <v>12086</v>
      </c>
      <c r="E5289" s="4">
        <v>126003</v>
      </c>
    </row>
    <row r="5290" spans="1:6" ht="13.5" customHeight="1">
      <c r="A5290" s="4" t="s">
        <v>12087</v>
      </c>
      <c r="B5290" s="4" t="s">
        <v>12088</v>
      </c>
      <c r="C5290" s="4" t="str">
        <f ca="1">IFERROR(__xludf.DUMMYFUNCTION("GOOGLETRANSLATE(D:D,""auto"",""en"")"),"Doctors Wuhan Peng Yinhua")</f>
        <v>Doctors Wuhan Peng Yinhua</v>
      </c>
      <c r="D5290" s="5" t="s">
        <v>12089</v>
      </c>
      <c r="E5290" s="4">
        <v>123484</v>
      </c>
      <c r="F5290">
        <v>1</v>
      </c>
    </row>
    <row r="5291" spans="1:6" ht="13.5" hidden="1" customHeight="1">
      <c r="A5291" s="4" t="s">
        <v>12090</v>
      </c>
      <c r="B5291" s="4" t="s">
        <v>12091</v>
      </c>
      <c r="C5291" s="4" t="str">
        <f ca="1">IFERROR(__xludf.DUMMYFUNCTION("GOOGLETRANSLATE(D:D,""auto"",""en"")"),"Do you want to work real purpose")</f>
        <v>Do you want to work real purpose</v>
      </c>
      <c r="D5291" s="5" t="s">
        <v>12092</v>
      </c>
      <c r="E5291" s="4">
        <v>122090</v>
      </c>
    </row>
    <row r="5292" spans="1:6" ht="13.5" hidden="1" customHeight="1">
      <c r="C5292" s="4" t="str">
        <f ca="1">IFERROR(__xludf.DUMMYFUNCTION("GOOGLETRANSLATE(D:D,""auto"",""en"")"),"#VALUE!")</f>
        <v>#VALUE!</v>
      </c>
    </row>
    <row r="5293" spans="1:6" ht="13.5" customHeight="1">
      <c r="A5293" s="4" t="s">
        <v>12093</v>
      </c>
      <c r="B5293" s="4" t="s">
        <v>12094</v>
      </c>
      <c r="C5293" s="4" t="str">
        <f ca="1">IFERROR(__xludf.DUMMYFUNCTION("GOOGLETRANSLATE(D:D,""auto"",""en"")"),"Statistics epidemic has been allowed to subtract confirmed cases")</f>
        <v>Statistics epidemic has been allowed to subtract confirmed cases</v>
      </c>
      <c r="D5293" s="4" t="s">
        <v>12095</v>
      </c>
      <c r="E5293" s="4">
        <v>3099604</v>
      </c>
      <c r="F5293">
        <v>1</v>
      </c>
    </row>
    <row r="5294" spans="1:6" ht="13.5" customHeight="1">
      <c r="A5294" s="4" t="s">
        <v>12096</v>
      </c>
      <c r="B5294" s="4" t="s">
        <v>12097</v>
      </c>
      <c r="C5294" s="4" t="str">
        <f ca="1">IFERROR(__xludf.DUMMYFUNCTION("GOOGLETRANSLATE(D:D,""auto"",""en"")"),"Zhejiang Feng ten new prison two cases of confirmed cases")</f>
        <v>Zhejiang Feng ten new prison two cases of confirmed cases</v>
      </c>
      <c r="D5294" s="5" t="s">
        <v>12098</v>
      </c>
      <c r="E5294" s="4">
        <v>2583344</v>
      </c>
      <c r="F5294">
        <v>1</v>
      </c>
    </row>
    <row r="5295" spans="1:6" ht="13.5" customHeight="1">
      <c r="A5295" s="4" t="s">
        <v>12099</v>
      </c>
      <c r="B5295" s="4" t="s">
        <v>12100</v>
      </c>
      <c r="C5295" s="4" t="str">
        <f ca="1">IFERROR(__xludf.DUMMYFUNCTION("GOOGLETRANSLATE(D:D,""auto"",""en"")"),"One person information disclosure is the best vaccine")</f>
        <v>One person information disclosure is the best vaccine</v>
      </c>
      <c r="D5295" s="5" t="s">
        <v>12101</v>
      </c>
      <c r="E5295" s="4">
        <v>2313081</v>
      </c>
      <c r="F5295">
        <v>1</v>
      </c>
    </row>
    <row r="5296" spans="1:6" ht="13.5" customHeight="1">
      <c r="A5296" s="4" t="s">
        <v>12102</v>
      </c>
      <c r="B5296" s="4" t="s">
        <v>12103</v>
      </c>
      <c r="C5296" s="4" t="str">
        <f ca="1">IFERROR(__xludf.DUMMYFUNCTION("GOOGLETRANSLATE(D:D,""auto"",""en"")"),"Wuhan run single king 18 days to send 1125 single takeaway")</f>
        <v>Wuhan run single king 18 days to send 1125 single takeaway</v>
      </c>
      <c r="D5296" s="5" t="s">
        <v>12104</v>
      </c>
      <c r="E5296" s="4">
        <v>2097718</v>
      </c>
      <c r="F5296">
        <v>1</v>
      </c>
    </row>
    <row r="5297" spans="1:6" ht="13.5" customHeight="1">
      <c r="A5297" s="4" t="s">
        <v>12105</v>
      </c>
      <c r="B5297" s="4" t="s">
        <v>12106</v>
      </c>
      <c r="C5297" s="4" t="str">
        <f ca="1">IFERROR(__xludf.DUMMYFUNCTION("GOOGLETRANSLATE(D:D,""auto"",""en"")"),"Liu Cheng Japanese people called for the cancellation Olympics")</f>
        <v>Liu Cheng Japanese people called for the cancellation Olympics</v>
      </c>
      <c r="D5297" s="5" t="s">
        <v>12107</v>
      </c>
      <c r="E5297" s="4">
        <v>2069434</v>
      </c>
      <c r="F5297">
        <v>1</v>
      </c>
    </row>
    <row r="5298" spans="1:6" ht="13.5" hidden="1" customHeight="1">
      <c r="A5298" s="4" t="s">
        <v>12108</v>
      </c>
      <c r="B5298" s="4" t="s">
        <v>12109</v>
      </c>
      <c r="C5298" s="4" t="str">
        <f ca="1">IFERROR(__xludf.DUMMYFUNCTION("GOOGLETRANSLATE(D:D,""auto"",""en"")"),"First Incense stills")</f>
        <v>First Incense stills</v>
      </c>
      <c r="D5298" s="5" t="s">
        <v>12110</v>
      </c>
      <c r="E5298" s="4">
        <v>1701850</v>
      </c>
    </row>
    <row r="5299" spans="1:6" ht="13.5" hidden="1" customHeight="1">
      <c r="A5299" s="4" t="s">
        <v>12111</v>
      </c>
      <c r="B5299" s="4" t="s">
        <v>12112</v>
      </c>
      <c r="C5299" s="4" t="str">
        <f ca="1">IFERROR(__xludf.DUMMYFUNCTION("GOOGLETRANSLATE(D:D,""auto"",""en"")"),"Huachen Yu")</f>
        <v>Huachen Yu</v>
      </c>
      <c r="D5299" s="5" t="s">
        <v>12113</v>
      </c>
      <c r="E5299" s="4">
        <v>1597464</v>
      </c>
    </row>
    <row r="5300" spans="1:6" ht="13.5" hidden="1" customHeight="1">
      <c r="A5300" s="4" t="s">
        <v>12114</v>
      </c>
      <c r="B5300" s="4" t="s">
        <v>12038</v>
      </c>
      <c r="C5300" s="4" t="str">
        <f ca="1">IFERROR(__xludf.DUMMYFUNCTION("GOOGLETRANSLATE(D:D,""auto"",""en"")"),"Sun Li acting")</f>
        <v>Sun Li acting</v>
      </c>
      <c r="D5300" s="5" t="s">
        <v>12115</v>
      </c>
      <c r="E5300" s="4">
        <v>1389259</v>
      </c>
    </row>
    <row r="5301" spans="1:6" ht="13.5" hidden="1" customHeight="1">
      <c r="A5301" s="4" t="s">
        <v>12116</v>
      </c>
      <c r="B5301" s="4" t="s">
        <v>12074</v>
      </c>
      <c r="C5301" s="4" t="str">
        <f ca="1">IFERROR(__xludf.DUMMYFUNCTION("GOOGLETRANSLATE(D:D,""auto"",""en"")"),"Ni Ni makeup")</f>
        <v>Ni Ni makeup</v>
      </c>
      <c r="D5301" s="5" t="s">
        <v>12117</v>
      </c>
      <c r="E5301" s="4">
        <v>1263543</v>
      </c>
    </row>
    <row r="5302" spans="1:6" ht="13.5" hidden="1" customHeight="1">
      <c r="A5302" s="4" t="s">
        <v>12118</v>
      </c>
      <c r="B5302" s="4" t="s">
        <v>12042</v>
      </c>
      <c r="C5302" s="4" t="str">
        <f ca="1">IFERROR(__xludf.DUMMYFUNCTION("GOOGLETRANSLATE(D:D,""auto"",""en"")"),"Busan line director regret dead Gong Yoo wrote role")</f>
        <v>Busan line director regret dead Gong Yoo wrote role</v>
      </c>
      <c r="D5302" s="5" t="s">
        <v>12119</v>
      </c>
      <c r="E5302" s="4">
        <v>1218581</v>
      </c>
    </row>
    <row r="5303" spans="1:6" ht="13.5" hidden="1" customHeight="1">
      <c r="A5303" s="4" t="s">
        <v>12120</v>
      </c>
      <c r="B5303" s="4" t="s">
        <v>12121</v>
      </c>
      <c r="C5303" s="4" t="str">
        <f ca="1">IFERROR(__xludf.DUMMYFUNCTION("GOOGLETRANSLATE(D:D,""auto"",""en"")"),"Shen Teng blue version Forgetting")</f>
        <v>Shen Teng blue version Forgetting</v>
      </c>
      <c r="D5303" s="5" t="s">
        <v>12122</v>
      </c>
      <c r="E5303" s="4">
        <v>1207736</v>
      </c>
    </row>
    <row r="5304" spans="1:6" ht="13.5" hidden="1" customHeight="1">
      <c r="A5304" s="4" t="s">
        <v>12123</v>
      </c>
      <c r="B5304" s="4" t="s">
        <v>12124</v>
      </c>
      <c r="C5304" s="4" t="str">
        <f ca="1">IFERROR(__xludf.DUMMYFUNCTION("GOOGLETRANSLATE(D:D,""auto"",""en"")"),"Japan welcomes Chinese team training camp in Japan before Olympics")</f>
        <v>Japan welcomes Chinese team training camp in Japan before Olympics</v>
      </c>
      <c r="D5304" s="5" t="s">
        <v>12125</v>
      </c>
      <c r="E5304" s="4">
        <v>1201885</v>
      </c>
    </row>
    <row r="5305" spans="1:6" ht="13.5" customHeight="1">
      <c r="A5305" s="4" t="s">
        <v>12126</v>
      </c>
      <c r="B5305" s="4" t="s">
        <v>12127</v>
      </c>
      <c r="C5305" s="4" t="str">
        <f ca="1">IFERROR(__xludf.DUMMYFUNCTION("GOOGLETRANSLATE(D:D,""auto"",""en"")"),"Korea epidemic")</f>
        <v>Korea epidemic</v>
      </c>
      <c r="D5305" s="5" t="s">
        <v>12128</v>
      </c>
      <c r="E5305" s="4">
        <v>1192923</v>
      </c>
      <c r="F5305">
        <v>1</v>
      </c>
    </row>
    <row r="5306" spans="1:6" ht="13.5" customHeight="1">
      <c r="A5306" s="4" t="s">
        <v>12129</v>
      </c>
      <c r="B5306" s="4" t="s">
        <v>11999</v>
      </c>
      <c r="C5306" s="4" t="str">
        <f ca="1">IFERROR(__xludf.DUMMYFUNCTION("GOOGLETRANSLATE(D:D,""auto"",""en"")"),"Men do not want to go to work lied to his wife and daughter diagnosed")</f>
        <v>Men do not want to go to work lied to his wife and daughter diagnosed</v>
      </c>
      <c r="D5306" s="5" t="s">
        <v>12130</v>
      </c>
      <c r="E5306" s="4">
        <v>1182944</v>
      </c>
      <c r="F5306">
        <v>1</v>
      </c>
    </row>
    <row r="5307" spans="1:6" ht="13.5" customHeight="1">
      <c r="A5307" s="4" t="s">
        <v>12131</v>
      </c>
      <c r="B5307" s="4" t="s">
        <v>11932</v>
      </c>
      <c r="C5307" s="4" t="str">
        <f ca="1">IFERROR(__xludf.DUMMYFUNCTION("GOOGLETRANSLATE(D:D,""auto"",""en"")"),"Vulcan Mountain in the ICU nurse after 90")</f>
        <v>Vulcan Mountain in the ICU nurse after 90</v>
      </c>
      <c r="D5307" s="5" t="s">
        <v>12132</v>
      </c>
      <c r="E5307" s="4">
        <v>1163482</v>
      </c>
      <c r="F5307">
        <v>1</v>
      </c>
    </row>
    <row r="5308" spans="1:6" ht="13.5" customHeight="1">
      <c r="A5308" s="4" t="s">
        <v>12133</v>
      </c>
      <c r="B5308" s="4" t="s">
        <v>11980</v>
      </c>
      <c r="C5308" s="4" t="str">
        <f ca="1">IFERROR(__xludf.DUMMYFUNCTION("GOOGLETRANSLATE(D:D,""auto"",""en"")"),"If schools do school")</f>
        <v>If schools do school</v>
      </c>
      <c r="D5308" s="5" t="s">
        <v>12134</v>
      </c>
      <c r="E5308" s="4">
        <v>1153424</v>
      </c>
      <c r="F5308">
        <v>1</v>
      </c>
    </row>
    <row r="5309" spans="1:6" ht="13.5" customHeight="1">
      <c r="A5309" s="4" t="s">
        <v>12135</v>
      </c>
      <c r="B5309" s="4" t="s">
        <v>12136</v>
      </c>
      <c r="C5309" s="4" t="str">
        <f ca="1">IFERROR(__xludf.DUMMYFUNCTION("GOOGLETRANSLATE(D:D,""auto"",""en"")"),"Guangyuan City, Sichuan people get together to drink tea unload masks")</f>
        <v>Guangyuan City, Sichuan people get together to drink tea unload masks</v>
      </c>
      <c r="D5309" s="5" t="s">
        <v>12137</v>
      </c>
      <c r="E5309" s="4">
        <v>1151441</v>
      </c>
      <c r="F5309">
        <v>1</v>
      </c>
    </row>
    <row r="5310" spans="1:6" ht="13.5" hidden="1" customHeight="1">
      <c r="A5310" s="4" t="s">
        <v>12138</v>
      </c>
      <c r="B5310" s="4" t="s">
        <v>12136</v>
      </c>
      <c r="C5310" s="4" t="str">
        <f ca="1">IFERROR(__xludf.DUMMYFUNCTION("GOOGLETRANSLATE(D:D,""auto"",""en"")"),"Former vice governor of Henan Xu Guang was double open")</f>
        <v>Former vice governor of Henan Xu Guang was double open</v>
      </c>
      <c r="D5310" s="5" t="s">
        <v>12139</v>
      </c>
      <c r="E5310" s="4">
        <v>1121231</v>
      </c>
    </row>
    <row r="5311" spans="1:6" ht="13.5" customHeight="1">
      <c r="A5311" s="4" t="s">
        <v>12140</v>
      </c>
      <c r="B5311" s="4" t="s">
        <v>12103</v>
      </c>
      <c r="C5311" s="4" t="str">
        <f ca="1">IFERROR(__xludf.DUMMYFUNCTION("GOOGLETRANSLATE(D:D,""auto"",""en"")"),"My real reason anxious to return to work")</f>
        <v>My real reason anxious to return to work</v>
      </c>
      <c r="D5311" s="5" t="s">
        <v>12141</v>
      </c>
      <c r="E5311" s="4">
        <v>932529</v>
      </c>
      <c r="F5311">
        <v>1</v>
      </c>
    </row>
    <row r="5312" spans="1:6" ht="13.5" hidden="1" customHeight="1">
      <c r="A5312" s="4" t="s">
        <v>12142</v>
      </c>
      <c r="B5312" s="4" t="s">
        <v>12077</v>
      </c>
      <c r="C5312" s="4" t="str">
        <f ca="1">IFERROR(__xludf.DUMMYFUNCTION("GOOGLETRANSLATE(D:D,""auto"",""en"")"),"Liu Hao Ran at home writing papers")</f>
        <v>Liu Hao Ran at home writing papers</v>
      </c>
      <c r="D5312" s="5" t="s">
        <v>12143</v>
      </c>
      <c r="E5312" s="4">
        <v>810070</v>
      </c>
    </row>
    <row r="5313" spans="1:6" ht="13.5" hidden="1" customHeight="1">
      <c r="A5313" s="4" t="s">
        <v>12144</v>
      </c>
      <c r="B5313" s="4" t="s">
        <v>11994</v>
      </c>
      <c r="C5313" s="4" t="str">
        <f ca="1">IFERROR(__xludf.DUMMYFUNCTION("GOOGLETRANSLATE(D:D,""auto"",""en"")"),"Cerebral palsy brother takeaway respond photographer shot put question")</f>
        <v>Cerebral palsy brother takeaway respond photographer shot put question</v>
      </c>
      <c r="D5313" s="5" t="s">
        <v>12145</v>
      </c>
      <c r="E5313" s="4">
        <v>732754</v>
      </c>
    </row>
    <row r="5314" spans="1:6" ht="13.5" hidden="1" customHeight="1">
      <c r="A5314" s="4" t="s">
        <v>12146</v>
      </c>
      <c r="B5314" s="4" t="s">
        <v>12077</v>
      </c>
      <c r="C5314" s="4" t="str">
        <f ca="1">IFERROR(__xludf.DUMMYFUNCTION("GOOGLETRANSLATE(D:D,""auto"",""en"")"),"North Exam")</f>
        <v>North Exam</v>
      </c>
      <c r="D5314" s="5" t="s">
        <v>12147</v>
      </c>
      <c r="E5314" s="4">
        <v>566921</v>
      </c>
    </row>
    <row r="5315" spans="1:6" ht="13.5" hidden="1" customHeight="1">
      <c r="A5315" s="4" t="s">
        <v>12148</v>
      </c>
      <c r="B5315" s="4" t="s">
        <v>11974</v>
      </c>
      <c r="C5315" s="4" t="str">
        <f ca="1">IFERROR(__xludf.DUMMYFUNCTION("GOOGLETRANSLATE(D:D,""auto"",""en"")"),"US GOLD")</f>
        <v>US GOLD</v>
      </c>
      <c r="D5315" s="5" t="s">
        <v>12149</v>
      </c>
      <c r="E5315" s="4">
        <v>552344</v>
      </c>
    </row>
    <row r="5316" spans="1:6" ht="13.5" hidden="1" customHeight="1">
      <c r="A5316" s="4" t="s">
        <v>12150</v>
      </c>
      <c r="B5316" s="4" t="s">
        <v>12151</v>
      </c>
      <c r="C5316" s="4" t="str">
        <f ca="1">IFERROR(__xludf.DUMMYFUNCTION("GOOGLETRANSLATE(D:D,""auto"",""en"")"),"Seoul prohibiting large gatherings")</f>
        <v>Seoul prohibiting large gatherings</v>
      </c>
      <c r="D5316" s="5" t="s">
        <v>12152</v>
      </c>
      <c r="E5316" s="4">
        <v>528984</v>
      </c>
    </row>
    <row r="5317" spans="1:6" ht="13.5" customHeight="1">
      <c r="A5317" s="4" t="s">
        <v>10672</v>
      </c>
      <c r="B5317" s="4" t="s">
        <v>10673</v>
      </c>
      <c r="C5317" s="4" t="str">
        <f ca="1">IFERROR(__xludf.DUMMYFUNCTION("GOOGLETRANSLATE(D:D,""auto"",""en"")"),"Japan epidemic")</f>
        <v>Japan epidemic</v>
      </c>
      <c r="D5317" s="5" t="s">
        <v>10674</v>
      </c>
      <c r="E5317" s="4">
        <v>520357</v>
      </c>
      <c r="F5317">
        <v>1</v>
      </c>
    </row>
    <row r="5318" spans="1:6" ht="13.5" customHeight="1">
      <c r="A5318" s="4" t="s">
        <v>12153</v>
      </c>
      <c r="B5318" s="4" t="s">
        <v>12154</v>
      </c>
      <c r="C5318" s="4" t="str">
        <f ca="1">IFERROR(__xludf.DUMMYFUNCTION("GOOGLETRANSLATE(D:D,""auto"",""en"")"),"Liaoning emergency response adjustment for the three")</f>
        <v>Liaoning emergency response adjustment for the three</v>
      </c>
      <c r="D5318" s="5" t="s">
        <v>12155</v>
      </c>
      <c r="E5318" s="4">
        <v>468174</v>
      </c>
      <c r="F5318">
        <v>1</v>
      </c>
    </row>
    <row r="5319" spans="1:6" ht="13.5" customHeight="1">
      <c r="A5319" s="4" t="s">
        <v>12156</v>
      </c>
      <c r="B5319" s="4" t="s">
        <v>12157</v>
      </c>
      <c r="C5319" s="4" t="str">
        <f ca="1">IFERROR(__xludf.DUMMYFUNCTION("GOOGLETRANSLATE(D:D,""auto"",""en"")"),"World's fastest production mask machine Guangzhou")</f>
        <v>World's fastest production mask machine Guangzhou</v>
      </c>
      <c r="D5319" s="5" t="s">
        <v>12158</v>
      </c>
      <c r="E5319" s="4">
        <v>444152</v>
      </c>
      <c r="F5319">
        <v>1</v>
      </c>
    </row>
    <row r="5320" spans="1:6" ht="13.5" hidden="1" customHeight="1">
      <c r="A5320" s="4" t="s">
        <v>12159</v>
      </c>
      <c r="B5320" s="4" t="s">
        <v>12160</v>
      </c>
      <c r="C5320" s="4" t="str">
        <f ca="1">IFERROR(__xludf.DUMMYFUNCTION("GOOGLETRANSLATE(D:D,""auto"",""en"")"),"Middle School teacher live in tears several times")</f>
        <v>Middle School teacher live in tears several times</v>
      </c>
      <c r="D5320" s="5" t="s">
        <v>12161</v>
      </c>
      <c r="E5320" s="4">
        <v>437899</v>
      </c>
    </row>
    <row r="5321" spans="1:6" ht="13.5" customHeight="1">
      <c r="A5321" s="4" t="s">
        <v>12156</v>
      </c>
      <c r="B5321" s="4" t="s">
        <v>12162</v>
      </c>
      <c r="C5321" s="4" t="str">
        <f ca="1">IFERROR(__xludf.DUMMYFUNCTION("GOOGLETRANSLATE(D:D,""auto"",""en"")"),"18 new cases nationwide to 0")</f>
        <v>18 new cases nationwide to 0</v>
      </c>
      <c r="D5321" s="5" t="s">
        <v>12163</v>
      </c>
      <c r="E5321" s="4">
        <v>430650</v>
      </c>
      <c r="F5321">
        <v>1</v>
      </c>
    </row>
    <row r="5322" spans="1:6" ht="13.5" hidden="1" customHeight="1">
      <c r="A5322" s="4" t="s">
        <v>12164</v>
      </c>
      <c r="B5322" s="4" t="s">
        <v>11994</v>
      </c>
      <c r="C5322" s="4" t="str">
        <f ca="1">IFERROR(__xludf.DUMMYFUNCTION("GOOGLETRANSLATE(D:D,""auto"",""en"")"),"Roasted cherry tomatoes")</f>
        <v>Roasted cherry tomatoes</v>
      </c>
      <c r="D5322" s="5" t="s">
        <v>12165</v>
      </c>
      <c r="E5322" s="4">
        <v>421327</v>
      </c>
    </row>
    <row r="5323" spans="1:6" ht="13.5" customHeight="1">
      <c r="A5323" s="4" t="s">
        <v>12166</v>
      </c>
      <c r="B5323" s="4" t="s">
        <v>12167</v>
      </c>
      <c r="C5323" s="4" t="str">
        <f ca="1">IFERROR(__xludf.DUMMYFUNCTION("GOOGLETRANSLATE(D:D,""auto"",""en"")"),"Dr. Peng Yinhua sound wife")</f>
        <v>Dr. Peng Yinhua sound wife</v>
      </c>
      <c r="D5323" s="5" t="s">
        <v>12168</v>
      </c>
      <c r="E5323" s="4">
        <v>393919</v>
      </c>
      <c r="F5323">
        <v>1</v>
      </c>
    </row>
    <row r="5324" spans="1:6" ht="13.5" hidden="1" customHeight="1">
      <c r="A5324" s="4" t="s">
        <v>12164</v>
      </c>
      <c r="B5324" s="4" t="s">
        <v>12169</v>
      </c>
      <c r="C5324" s="4" t="str">
        <f ca="1">IFERROR(__xludf.DUMMYFUNCTION("GOOGLETRANSLATE(D:D,""auto"",""en"")"),"Bill Gates")</f>
        <v>Bill Gates</v>
      </c>
      <c r="D5324" s="5" t="s">
        <v>12170</v>
      </c>
      <c r="E5324" s="4">
        <v>390776</v>
      </c>
    </row>
    <row r="5325" spans="1:6" ht="13.5" customHeight="1">
      <c r="A5325" s="4" t="s">
        <v>12164</v>
      </c>
      <c r="B5325" s="4" t="s">
        <v>12171</v>
      </c>
      <c r="C5325" s="4" t="str">
        <f ca="1">IFERROR(__xludf.DUMMYFUNCTION("GOOGLETRANSLATE(D:D,""auto"",""en"")"),"The new crown pneumonia English revised COVID-19")</f>
        <v>The new crown pneumonia English revised COVID-19</v>
      </c>
      <c r="D5325" s="5" t="s">
        <v>12172</v>
      </c>
      <c r="E5325" s="4">
        <v>377065</v>
      </c>
      <c r="F5325">
        <v>1</v>
      </c>
    </row>
    <row r="5326" spans="1:6" ht="13.5" hidden="1" customHeight="1">
      <c r="A5326" s="4" t="s">
        <v>12173</v>
      </c>
      <c r="B5326" s="4" t="s">
        <v>12174</v>
      </c>
      <c r="C5326" s="4" t="str">
        <f ca="1">IFERROR(__xludf.DUMMYFUNCTION("GOOGLETRANSLATE(D:D,""auto"",""en"")"),"Fair Princess crew reunion")</f>
        <v>Fair Princess crew reunion</v>
      </c>
      <c r="D5326" s="5" t="s">
        <v>12175</v>
      </c>
      <c r="E5326" s="4">
        <v>376723</v>
      </c>
    </row>
    <row r="5327" spans="1:6" ht="13.5" hidden="1" customHeight="1">
      <c r="A5327" s="4" t="s">
        <v>12176</v>
      </c>
      <c r="B5327" s="4" t="s">
        <v>12094</v>
      </c>
      <c r="C5327" s="4" t="str">
        <f ca="1">IFERROR(__xludf.DUMMYFUNCTION("GOOGLETRANSLATE(D:D,""auto"",""en"")"),"Roadside luxury reunion")</f>
        <v>Roadside luxury reunion</v>
      </c>
      <c r="D5327" s="5" t="s">
        <v>12177</v>
      </c>
      <c r="E5327" s="4">
        <v>355555</v>
      </c>
    </row>
    <row r="5328" spans="1:6" ht="13.5" hidden="1" customHeight="1">
      <c r="A5328" s="4" t="s">
        <v>12013</v>
      </c>
      <c r="B5328" s="4" t="s">
        <v>12014</v>
      </c>
      <c r="C5328" s="4" t="str">
        <f ca="1">IFERROR(__xludf.DUMMYFUNCTION("GOOGLETRANSLATE(D:D,""auto"",""en"")"),"Ningxia University")</f>
        <v>Ningxia University</v>
      </c>
      <c r="D5328" s="5" t="s">
        <v>12015</v>
      </c>
      <c r="E5328" s="4">
        <v>332146</v>
      </c>
    </row>
    <row r="5329" spans="1:6" ht="13.5" customHeight="1">
      <c r="A5329" s="4" t="s">
        <v>12178</v>
      </c>
      <c r="B5329" s="4" t="s">
        <v>12179</v>
      </c>
      <c r="C5329" s="4" t="str">
        <f ca="1">IFERROR(__xludf.DUMMYFUNCTION("GOOGLETRANSLATE(D:D,""auto"",""en"")"),"Hubei 3 consecutive days over new cases of the new discharge")</f>
        <v>Hubei 3 consecutive days over new cases of the new discharge</v>
      </c>
      <c r="D5329" s="5" t="s">
        <v>12180</v>
      </c>
      <c r="E5329" s="4">
        <v>319587</v>
      </c>
      <c r="F5329">
        <v>1</v>
      </c>
    </row>
    <row r="5330" spans="1:6" ht="13.5" hidden="1" customHeight="1">
      <c r="A5330" s="4" t="s">
        <v>12181</v>
      </c>
      <c r="B5330" s="4" t="s">
        <v>12151</v>
      </c>
      <c r="C5330" s="4" t="str">
        <f ca="1">IFERROR(__xludf.DUMMYFUNCTION("GOOGLETRANSLATE(D:D,""auto"",""en"")"),"Former South Korean finance minister as chairman of Samsung Electronics")</f>
        <v>Former South Korean finance minister as chairman of Samsung Electronics</v>
      </c>
      <c r="D5330" s="5" t="s">
        <v>12182</v>
      </c>
      <c r="E5330" s="4">
        <v>312292</v>
      </c>
    </row>
    <row r="5331" spans="1:6" ht="13.5" customHeight="1">
      <c r="A5331" s="4" t="s">
        <v>12096</v>
      </c>
      <c r="B5331" s="4" t="s">
        <v>12103</v>
      </c>
      <c r="C5331" s="4" t="str">
        <f ca="1">IFERROR(__xludf.DUMMYFUNCTION("GOOGLETRANSLATE(D:D,""auto"",""en"")"),"Blue Rescue team members killed in a car accident during the fight against SARS")</f>
        <v>Blue Rescue team members killed in a car accident during the fight against SARS</v>
      </c>
      <c r="D5331" s="5" t="s">
        <v>12183</v>
      </c>
      <c r="E5331" s="4">
        <v>309805</v>
      </c>
      <c r="F5331">
        <v>1</v>
      </c>
    </row>
    <row r="5332" spans="1:6" ht="13.5" hidden="1" customHeight="1">
      <c r="A5332" s="4" t="s">
        <v>12184</v>
      </c>
      <c r="B5332" s="4" t="s">
        <v>12154</v>
      </c>
      <c r="C5332" s="4" t="str">
        <f ca="1">IFERROR(__xludf.DUMMYFUNCTION("GOOGLETRANSLATE(D:D,""auto"",""en"")"),"South Korea began to limit officers to go out")</f>
        <v>South Korea began to limit officers to go out</v>
      </c>
      <c r="D5332" s="5" t="s">
        <v>12185</v>
      </c>
      <c r="E5332" s="4">
        <v>309372</v>
      </c>
    </row>
    <row r="5333" spans="1:6" ht="13.5" customHeight="1">
      <c r="A5333" s="4" t="s">
        <v>12186</v>
      </c>
      <c r="B5333" s="4" t="s">
        <v>12187</v>
      </c>
      <c r="C5333" s="4" t="str">
        <f ca="1">IFERROR(__xludf.DUMMYFUNCTION("GOOGLETRANSLATE(D:D,""auto"",""en"")"),"The new crown up to 34 cases of pneumonia cases in the United States")</f>
        <v>The new crown up to 34 cases of pneumonia cases in the United States</v>
      </c>
      <c r="D5333" s="5" t="s">
        <v>12188</v>
      </c>
      <c r="E5333" s="4">
        <v>298547</v>
      </c>
      <c r="F5333">
        <v>1</v>
      </c>
    </row>
    <row r="5334" spans="1:6" ht="13.5" hidden="1" customHeight="1">
      <c r="A5334" s="4" t="s">
        <v>12189</v>
      </c>
      <c r="B5334" s="4" t="s">
        <v>12190</v>
      </c>
      <c r="C5334" s="4" t="str">
        <f ca="1">IFERROR(__xludf.DUMMYFUNCTION("GOOGLETRANSLATE(D:D,""auto"",""en"")"),"Domestic professional theater")</f>
        <v>Domestic professional theater</v>
      </c>
      <c r="D5334" s="5" t="s">
        <v>12191</v>
      </c>
      <c r="E5334" s="4">
        <v>286496</v>
      </c>
    </row>
    <row r="5335" spans="1:6" ht="13.5" hidden="1" customHeight="1">
      <c r="A5335" s="4" t="s">
        <v>12192</v>
      </c>
      <c r="B5335" s="4" t="s">
        <v>12193</v>
      </c>
      <c r="C5335" s="4" t="str">
        <f ca="1">IFERROR(__xludf.DUMMYFUNCTION("GOOGLETRANSLATE(D:D,""auto"",""en"")"),"The village of the dragon's scales give you the hardest")</f>
        <v>The village of the dragon's scales give you the hardest</v>
      </c>
      <c r="D5335" s="5" t="s">
        <v>12194</v>
      </c>
      <c r="E5335" s="4">
        <v>284034</v>
      </c>
    </row>
    <row r="5336" spans="1:6" ht="13.5" customHeight="1">
      <c r="A5336" s="4" t="s">
        <v>12195</v>
      </c>
      <c r="B5336" s="4" t="s">
        <v>12196</v>
      </c>
      <c r="C5336" s="4" t="str">
        <f ca="1">IFERROR(__xludf.DUMMYFUNCTION("GOOGLETRANSLATE(D:D,""auto"",""en"")"),"The new crown two days before the onset of pneumonia has been contagious")</f>
        <v>The new crown two days before the onset of pneumonia has been contagious</v>
      </c>
      <c r="D5336" s="5" t="s">
        <v>12197</v>
      </c>
      <c r="E5336" s="4">
        <v>282036</v>
      </c>
      <c r="F5336">
        <v>1</v>
      </c>
    </row>
    <row r="5337" spans="1:6" ht="13.5" hidden="1" customHeight="1">
      <c r="A5337" s="4" t="s">
        <v>12198</v>
      </c>
      <c r="B5337" s="4" t="s">
        <v>12199</v>
      </c>
      <c r="C5337" s="4" t="str">
        <f ca="1">IFERROR(__xludf.DUMMYFUNCTION("GOOGLETRANSLATE(D:D,""auto"",""en"")"),"Swing-type contactless sell fried cake")</f>
        <v>Swing-type contactless sell fried cake</v>
      </c>
      <c r="D5337" s="5" t="s">
        <v>12200</v>
      </c>
      <c r="E5337" s="4">
        <v>281925</v>
      </c>
    </row>
    <row r="5338" spans="1:6" ht="13.5" customHeight="1">
      <c r="A5338" s="4" t="s">
        <v>12173</v>
      </c>
      <c r="B5338" s="4" t="s">
        <v>12201</v>
      </c>
      <c r="C5338" s="4" t="str">
        <f ca="1">IFERROR(__xludf.DUMMYFUNCTION("GOOGLETRANSLATE(D:D,""auto"",""en"")"),"Photo studio Batman")</f>
        <v>Photo studio Batman</v>
      </c>
      <c r="D5338" s="5" t="s">
        <v>12202</v>
      </c>
      <c r="E5338" s="4">
        <v>281844</v>
      </c>
      <c r="F5338">
        <v>1</v>
      </c>
    </row>
    <row r="5339" spans="1:6" ht="13.5" hidden="1" customHeight="1">
      <c r="A5339" s="4" t="s">
        <v>12203</v>
      </c>
      <c r="B5339" s="4" t="s">
        <v>12204</v>
      </c>
      <c r="C5339" s="4" t="str">
        <f ca="1">IFERROR(__xludf.DUMMYFUNCTION("GOOGLETRANSLATE(D:D,""auto"",""en"")"),"Patrick shorts")</f>
        <v>Patrick shorts</v>
      </c>
      <c r="D5339" s="5" t="s">
        <v>12205</v>
      </c>
      <c r="E5339" s="4">
        <v>266326</v>
      </c>
    </row>
    <row r="5340" spans="1:6" ht="13.5" customHeight="1">
      <c r="A5340" s="4" t="s">
        <v>12206</v>
      </c>
      <c r="B5340" s="4" t="s">
        <v>12199</v>
      </c>
      <c r="C5340" s="4" t="str">
        <f ca="1">IFERROR(__xludf.DUMMYFUNCTION("GOOGLETRANSLATE(D:D,""auto"",""en"")"),"Your change during the epidemic")</f>
        <v>Your change during the epidemic</v>
      </c>
      <c r="D5340" s="5" t="s">
        <v>12207</v>
      </c>
      <c r="E5340" s="4">
        <v>255777</v>
      </c>
      <c r="F5340">
        <v>1</v>
      </c>
    </row>
    <row r="5341" spans="1:6" ht="13.5" customHeight="1">
      <c r="A5341" s="4" t="s">
        <v>12208</v>
      </c>
      <c r="B5341" s="4" t="s">
        <v>12209</v>
      </c>
      <c r="C5341" s="4" t="str">
        <f ca="1">IFERROR(__xludf.DUMMYFUNCTION("GOOGLETRANSLATE(D:D,""auto"",""en"")"),"The national new 397 cases of pneumonia new crown")</f>
        <v>The national new 397 cases of pneumonia new crown</v>
      </c>
      <c r="D5341" s="5" t="s">
        <v>12210</v>
      </c>
      <c r="E5341" s="4">
        <v>255584</v>
      </c>
      <c r="F5341">
        <v>1</v>
      </c>
    </row>
    <row r="5342" spans="1:6" ht="13.5" customHeight="1">
      <c r="A5342" s="4" t="s">
        <v>12211</v>
      </c>
      <c r="B5342" s="4" t="s">
        <v>12212</v>
      </c>
      <c r="C5342" s="4" t="str">
        <f ca="1">IFERROR(__xludf.DUMMYFUNCTION("GOOGLETRANSLATE(D:D,""auto"",""en"")"),"Illegal allocation of donations to the police station long been suspended")</f>
        <v>Illegal allocation of donations to the police station long been suspended</v>
      </c>
      <c r="D5342" s="5" t="s">
        <v>12213</v>
      </c>
      <c r="E5342" s="4">
        <v>245532</v>
      </c>
      <c r="F5342">
        <v>1</v>
      </c>
    </row>
    <row r="5343" spans="1:6" ht="13.5" hidden="1" customHeight="1">
      <c r="C5343" s="4" t="str">
        <f ca="1">IFERROR(__xludf.DUMMYFUNCTION("GOOGLETRANSLATE(D:D,""auto"",""en"")"),"#VALUE!")</f>
        <v>#VALUE!</v>
      </c>
    </row>
    <row r="5344" spans="1:6" ht="13.5" customHeight="1">
      <c r="A5344" s="4" t="s">
        <v>12214</v>
      </c>
      <c r="B5344" s="4" t="s">
        <v>12215</v>
      </c>
      <c r="C5344" s="4" t="str">
        <f ca="1">IFERROR(__xludf.DUMMYFUNCTION("GOOGLETRANSLATE(D:D,""auto"",""en"")"),"South China Seafood Market is not a new virus birthplace crown")</f>
        <v>South China Seafood Market is not a new virus birthplace crown</v>
      </c>
      <c r="D5344" s="4" t="s">
        <v>12216</v>
      </c>
      <c r="E5344" s="4">
        <v>2620778</v>
      </c>
      <c r="F5344">
        <v>1</v>
      </c>
    </row>
    <row r="5345" spans="1:6" ht="13.5" customHeight="1">
      <c r="A5345" s="4" t="s">
        <v>12217</v>
      </c>
      <c r="B5345" s="4" t="s">
        <v>12218</v>
      </c>
      <c r="C5345" s="4" t="str">
        <f ca="1">IFERROR(__xludf.DUMMYFUNCTION("GOOGLETRANSLATE(D:D,""auto"",""en"")"),"Japan 15,000 people wearing masks watching football")</f>
        <v>Japan 15,000 people wearing masks watching football</v>
      </c>
      <c r="D5345" s="5" t="s">
        <v>12219</v>
      </c>
      <c r="E5345" s="4">
        <v>2362674</v>
      </c>
      <c r="F5345">
        <v>1</v>
      </c>
    </row>
    <row r="5346" spans="1:6" ht="13.5" customHeight="1">
      <c r="A5346" s="4" t="s">
        <v>12220</v>
      </c>
      <c r="B5346" s="4" t="s">
        <v>12221</v>
      </c>
      <c r="C5346" s="4" t="str">
        <f ca="1">IFERROR(__xludf.DUMMYFUNCTION("GOOGLETRANSLATE(D:D,""auto"",""en"")"),"Diamond Princess 23 were not disembark virus detection")</f>
        <v>Diamond Princess 23 were not disembark virus detection</v>
      </c>
      <c r="D5346" s="5" t="s">
        <v>12222</v>
      </c>
      <c r="E5346" s="4">
        <v>2244840</v>
      </c>
      <c r="F5346">
        <v>1</v>
      </c>
    </row>
    <row r="5347" spans="1:6" ht="13.5" hidden="1" customHeight="1">
      <c r="A5347" s="4" t="s">
        <v>12223</v>
      </c>
      <c r="B5347" s="4" t="s">
        <v>12224</v>
      </c>
      <c r="C5347" s="4" t="str">
        <f ca="1">IFERROR(__xludf.DUMMYFUNCTION("GOOGLETRANSLATE(D:D,""auto"",""en"")"),"Zhang Yixing Spring Festival Evening dress rehearsal fall backflip")</f>
        <v>Zhang Yixing Spring Festival Evening dress rehearsal fall backflip</v>
      </c>
      <c r="D5347" s="5" t="s">
        <v>12225</v>
      </c>
      <c r="E5347" s="4">
        <v>2176091</v>
      </c>
    </row>
    <row r="5348" spans="1:6" ht="13.5" hidden="1" customHeight="1">
      <c r="A5348" s="4" t="s">
        <v>1155</v>
      </c>
      <c r="B5348" s="4" t="s">
        <v>1156</v>
      </c>
      <c r="C5348" s="4" t="str">
        <f ca="1">IFERROR(__xludf.DUMMYFUNCTION("GOOGLETRANSLATE(D:D,""auto"",""en"")"),"Happy Camp")</f>
        <v>Happy Camp</v>
      </c>
      <c r="D5348" s="5" t="s">
        <v>1157</v>
      </c>
      <c r="E5348" s="4">
        <v>1655857</v>
      </c>
    </row>
    <row r="5349" spans="1:6" ht="13.5" customHeight="1">
      <c r="A5349" s="4" t="s">
        <v>12226</v>
      </c>
      <c r="B5349" s="4" t="s">
        <v>12227</v>
      </c>
      <c r="C5349" s="4" t="str">
        <f ca="1">IFERROR(__xludf.DUMMYFUNCTION("GOOGLETRANSLATE(D:D,""auto"",""en"")"),"Samsung's South Korean factories cases diagnosed one case of a new crown")</f>
        <v>Samsung's South Korean factories cases diagnosed one case of a new crown</v>
      </c>
      <c r="D5349" s="5" t="s">
        <v>12228</v>
      </c>
      <c r="E5349" s="4">
        <v>1638541</v>
      </c>
      <c r="F5349">
        <v>1</v>
      </c>
    </row>
    <row r="5350" spans="1:6" ht="13.5" hidden="1" customHeight="1">
      <c r="A5350" s="4" t="s">
        <v>12229</v>
      </c>
      <c r="B5350" s="4" t="s">
        <v>12230</v>
      </c>
      <c r="C5350" s="4" t="str">
        <f ca="1">IFERROR(__xludf.DUMMYFUNCTION("GOOGLETRANSLATE(D:D,""auto"",""en"")"),"Rice cooker cake large-scale roll-over site")</f>
        <v>Rice cooker cake large-scale roll-over site</v>
      </c>
      <c r="D5350" s="5" t="s">
        <v>12231</v>
      </c>
      <c r="E5350" s="4">
        <v>1613753</v>
      </c>
    </row>
    <row r="5351" spans="1:6" ht="13.5" hidden="1" customHeight="1">
      <c r="A5351" s="4" t="s">
        <v>12232</v>
      </c>
      <c r="B5351" s="4" t="s">
        <v>12233</v>
      </c>
      <c r="C5351" s="4" t="str">
        <f ca="1">IFERROR(__xludf.DUMMYFUNCTION("GOOGLETRANSLATE(D:D,""auto"",""en"")"),"Blue Rescue team members Xu Peng")</f>
        <v>Blue Rescue team members Xu Peng</v>
      </c>
      <c r="D5351" s="5" t="s">
        <v>12234</v>
      </c>
      <c r="E5351" s="4">
        <v>1586668</v>
      </c>
    </row>
    <row r="5352" spans="1:6" ht="13.5" customHeight="1">
      <c r="A5352" s="4" t="s">
        <v>12235</v>
      </c>
      <c r="B5352" s="4" t="s">
        <v>12236</v>
      </c>
      <c r="C5352" s="4" t="str">
        <f ca="1">IFERROR(__xludf.DUMMYFUNCTION("GOOGLETRANSLATE(D:D,""auto"",""en"")"),"Contagion ease sisters action Liang Yu")</f>
        <v>Contagion ease sisters action Liang Yu</v>
      </c>
      <c r="D5352" s="5" t="s">
        <v>12237</v>
      </c>
      <c r="E5352" s="4">
        <v>1555450</v>
      </c>
      <c r="F5352">
        <v>1</v>
      </c>
    </row>
    <row r="5353" spans="1:6" ht="13.5" hidden="1" customHeight="1">
      <c r="A5353" s="4" t="s">
        <v>12238</v>
      </c>
      <c r="B5353" s="4" t="s">
        <v>12239</v>
      </c>
      <c r="C5353" s="4" t="str">
        <f ca="1">IFERROR(__xludf.DUMMYFUNCTION("GOOGLETRANSLATE(D:D,""auto"",""en"")"),"Ding Tai Shing Wang Xi Reviews")</f>
        <v>Ding Tai Shing Wang Xi Reviews</v>
      </c>
      <c r="D5353" s="5" t="s">
        <v>12240</v>
      </c>
      <c r="E5353" s="4">
        <v>1536356</v>
      </c>
    </row>
    <row r="5354" spans="1:6" ht="13.5" hidden="1" customHeight="1">
      <c r="A5354" s="4" t="s">
        <v>974</v>
      </c>
      <c r="B5354" s="4" t="s">
        <v>975</v>
      </c>
      <c r="C5354" s="4" t="str">
        <f ca="1">IFERROR(__xludf.DUMMYFUNCTION("GOOGLETRANSLATE(D:D,""auto"",""en"")"),"Sound clinical environment")</f>
        <v>Sound clinical environment</v>
      </c>
      <c r="D5354" s="5" t="s">
        <v>976</v>
      </c>
      <c r="E5354" s="4">
        <v>1522637</v>
      </c>
    </row>
    <row r="5355" spans="1:6" ht="13.5" hidden="1" customHeight="1">
      <c r="A5355" s="4" t="s">
        <v>12063</v>
      </c>
      <c r="B5355" s="4" t="s">
        <v>12051</v>
      </c>
      <c r="C5355" s="4" t="str">
        <f ca="1">IFERROR(__xludf.DUMMYFUNCTION("GOOGLETRANSLATE(D:D,""auto"",""en"")"),"settle down")</f>
        <v>settle down</v>
      </c>
      <c r="D5355" s="5" t="s">
        <v>12064</v>
      </c>
      <c r="E5355" s="4">
        <v>1488693</v>
      </c>
    </row>
    <row r="5356" spans="1:6" ht="13.5" customHeight="1">
      <c r="A5356" s="4" t="s">
        <v>12241</v>
      </c>
      <c r="B5356" s="4" t="s">
        <v>12242</v>
      </c>
      <c r="C5356" s="4" t="str">
        <f ca="1">IFERROR(__xludf.DUMMYFUNCTION("GOOGLETRANSLATE(D:D,""auto"",""en"")"),"Zhejiang first batch of vaccines produce antibodies")</f>
        <v>Zhejiang first batch of vaccines produce antibodies</v>
      </c>
      <c r="D5356" s="5" t="s">
        <v>12243</v>
      </c>
      <c r="E5356" s="4">
        <v>1456974</v>
      </c>
      <c r="F5356">
        <v>1</v>
      </c>
    </row>
    <row r="5357" spans="1:6" ht="13.5" hidden="1" customHeight="1">
      <c r="A5357" s="4" t="s">
        <v>12244</v>
      </c>
      <c r="B5357" s="4" t="s">
        <v>12245</v>
      </c>
      <c r="C5357" s="4" t="str">
        <f ca="1">IFERROR(__xludf.DUMMYFUNCTION("GOOGLETRANSLATE(D:D,""auto"",""en"")"),"Grab one bright room")</f>
        <v>Grab one bright room</v>
      </c>
      <c r="D5357" s="5" t="s">
        <v>12246</v>
      </c>
      <c r="E5357" s="4">
        <v>1447033</v>
      </c>
    </row>
    <row r="5358" spans="1:6" ht="13.5" customHeight="1">
      <c r="A5358" s="4" t="s">
        <v>12247</v>
      </c>
      <c r="B5358" s="4" t="s">
        <v>12248</v>
      </c>
      <c r="C5358" s="4" t="str">
        <f ca="1">IFERROR(__xludf.DUMMYFUNCTION("GOOGLETRANSLATE(D:D,""auto"",""en"")"),"Dangdang responsible person who confirmed the new staff to be interviewed crown pneumonia")</f>
        <v>Dangdang responsible person who confirmed the new staff to be interviewed crown pneumonia</v>
      </c>
      <c r="D5358" s="5" t="s">
        <v>12249</v>
      </c>
      <c r="E5358" s="4">
        <v>1407042</v>
      </c>
      <c r="F5358">
        <v>1</v>
      </c>
    </row>
    <row r="5359" spans="1:6" ht="13.5" hidden="1" customHeight="1">
      <c r="A5359" s="4" t="s">
        <v>12250</v>
      </c>
      <c r="B5359" s="4" t="s">
        <v>12251</v>
      </c>
      <c r="C5359" s="4" t="str">
        <f ca="1">IFERROR(__xludf.DUMMYFUNCTION("GOOGLETRANSLATE(D:D,""auto"",""en"")"),"Gigi's face")</f>
        <v>Gigi's face</v>
      </c>
      <c r="D5359" s="5" t="s">
        <v>12252</v>
      </c>
      <c r="E5359" s="4">
        <v>1391766</v>
      </c>
    </row>
    <row r="5360" spans="1:6" ht="13.5" hidden="1" customHeight="1">
      <c r="A5360" s="4" t="s">
        <v>12253</v>
      </c>
      <c r="B5360" s="4" t="s">
        <v>12254</v>
      </c>
      <c r="C5360" s="4" t="str">
        <f ca="1">IFERROR(__xludf.DUMMYFUNCTION("GOOGLETRANSLATE(D:D,""auto"",""en"")"),"Should real estate license plus the name of daughter")</f>
        <v>Should real estate license plus the name of daughter</v>
      </c>
      <c r="D5360" s="5" t="s">
        <v>12255</v>
      </c>
      <c r="E5360" s="4">
        <v>1374582</v>
      </c>
    </row>
    <row r="5361" spans="1:6" ht="13.5" customHeight="1">
      <c r="A5361" s="4" t="s">
        <v>12256</v>
      </c>
      <c r="B5361" s="4" t="s">
        <v>12257</v>
      </c>
      <c r="C5361" s="4" t="str">
        <f ca="1">IFERROR(__xludf.DUMMYFUNCTION("GOOGLETRANSLATE(D:D,""auto"",""en"")"),"The difference between high school and freshman classes online")</f>
        <v>The difference between high school and freshman classes online</v>
      </c>
      <c r="D5361" s="5" t="s">
        <v>12258</v>
      </c>
      <c r="E5361" s="4">
        <v>1287394</v>
      </c>
      <c r="F5361">
        <v>1</v>
      </c>
    </row>
    <row r="5362" spans="1:6" ht="13.5" hidden="1" customHeight="1">
      <c r="A5362" s="4" t="s">
        <v>9021</v>
      </c>
      <c r="B5362" s="4" t="s">
        <v>9022</v>
      </c>
      <c r="C5362" s="4" t="str">
        <f ca="1">IFERROR(__xludf.DUMMYFUNCTION("GOOGLETRANSLATE(D:D,""auto"",""en"")"),"Li Jiaqi live")</f>
        <v>Li Jiaqi live</v>
      </c>
      <c r="D5362" s="5" t="s">
        <v>9023</v>
      </c>
      <c r="E5362" s="4">
        <v>1250704</v>
      </c>
    </row>
    <row r="5363" spans="1:6" ht="13.5" hidden="1" customHeight="1">
      <c r="A5363" s="4" t="s">
        <v>12259</v>
      </c>
      <c r="B5363" s="4" t="s">
        <v>12260</v>
      </c>
      <c r="C5363" s="4" t="str">
        <f ca="1">IFERROR(__xludf.DUMMYFUNCTION("GOOGLETRANSLATE(D:D,""auto"",""en"")"),"The first bomb collapse")</f>
        <v>The first bomb collapse</v>
      </c>
      <c r="D5363" s="5" t="s">
        <v>12261</v>
      </c>
      <c r="E5363" s="4">
        <v>1226256</v>
      </c>
    </row>
    <row r="5364" spans="1:6" ht="13.5" customHeight="1">
      <c r="A5364" s="4" t="s">
        <v>12262</v>
      </c>
      <c r="B5364" s="4" t="s">
        <v>12236</v>
      </c>
      <c r="C5364" s="4" t="str">
        <f ca="1">IFERROR(__xludf.DUMMYFUNCTION("GOOGLETRANSLATE(D:D,""auto"",""en"")"),"After Japan's first case of confirmed cases of infection disembark")</f>
        <v>After Japan's first case of confirmed cases of infection disembark</v>
      </c>
      <c r="D5364" s="5" t="s">
        <v>12263</v>
      </c>
      <c r="E5364" s="4">
        <v>1140765</v>
      </c>
      <c r="F5364">
        <v>1</v>
      </c>
    </row>
    <row r="5365" spans="1:6" ht="13.5" hidden="1" customHeight="1">
      <c r="A5365" s="4" t="s">
        <v>12264</v>
      </c>
      <c r="B5365" s="4" t="s">
        <v>12236</v>
      </c>
      <c r="C5365" s="4" t="str">
        <f ca="1">IFERROR(__xludf.DUMMYFUNCTION("GOOGLETRANSLATE(D:D,""auto"",""en"")"),"Harbin initiative does not go public in February haircut")</f>
        <v>Harbin initiative does not go public in February haircut</v>
      </c>
      <c r="D5365" s="5" t="s">
        <v>12265</v>
      </c>
      <c r="E5365" s="4">
        <v>662997</v>
      </c>
    </row>
    <row r="5366" spans="1:6" ht="13.5" hidden="1" customHeight="1">
      <c r="A5366" s="4" t="s">
        <v>12266</v>
      </c>
      <c r="B5366" s="4" t="s">
        <v>12267</v>
      </c>
      <c r="C5366" s="4" t="str">
        <f ca="1">IFERROR(__xludf.DUMMYFUNCTION("GOOGLETRANSLATE(D:D,""auto"",""en"")"),"Happy Camp trailer")</f>
        <v>Happy Camp trailer</v>
      </c>
      <c r="D5366" s="5" t="s">
        <v>12268</v>
      </c>
      <c r="E5366" s="4">
        <v>585056</v>
      </c>
    </row>
    <row r="5367" spans="1:6" ht="13.5" hidden="1" customHeight="1">
      <c r="A5367" s="4" t="s">
        <v>12269</v>
      </c>
      <c r="B5367" s="4" t="s">
        <v>12270</v>
      </c>
      <c r="C5367" s="4" t="str">
        <f ca="1">IFERROR(__xludf.DUMMYFUNCTION("GOOGLETRANSLATE(D:D,""auto"",""en"")"),"Yang Yang handsome")</f>
        <v>Yang Yang handsome</v>
      </c>
      <c r="D5367" s="5" t="s">
        <v>12271</v>
      </c>
      <c r="E5367" s="4">
        <v>517925</v>
      </c>
    </row>
    <row r="5368" spans="1:6" ht="13.5" hidden="1" customHeight="1">
      <c r="A5368" s="4" t="s">
        <v>12272</v>
      </c>
      <c r="B5368" s="4" t="s">
        <v>12257</v>
      </c>
      <c r="C5368" s="4" t="str">
        <f ca="1">IFERROR(__xludf.DUMMYFUNCTION("GOOGLETRANSLATE(D:D,""auto"",""en"")"),"I did not do things very guilty")</f>
        <v>I did not do things very guilty</v>
      </c>
      <c r="D5368" s="5" t="s">
        <v>12273</v>
      </c>
      <c r="E5368" s="4">
        <v>467174</v>
      </c>
    </row>
    <row r="5369" spans="1:6" ht="13.5" customHeight="1">
      <c r="A5369" s="4" t="s">
        <v>12226</v>
      </c>
      <c r="B5369" s="4" t="s">
        <v>12239</v>
      </c>
      <c r="C5369" s="4" t="str">
        <f ca="1">IFERROR(__xludf.DUMMYFUNCTION("GOOGLETRANSLATE(D:D,""auto"",""en"")"),"Vulcan salute on the Hill Hospital ICU beds")</f>
        <v>Vulcan salute on the Hill Hospital ICU beds</v>
      </c>
      <c r="D5369" s="5" t="s">
        <v>12274</v>
      </c>
      <c r="E5369" s="4">
        <v>464668</v>
      </c>
      <c r="F5369">
        <v>1</v>
      </c>
    </row>
    <row r="5370" spans="1:6" ht="13.5" hidden="1" customHeight="1">
      <c r="A5370" s="4" t="s">
        <v>12275</v>
      </c>
      <c r="B5370" s="4" t="s">
        <v>12198</v>
      </c>
      <c r="C5370" s="4" t="str">
        <f ca="1">IFERROR(__xludf.DUMMYFUNCTION("GOOGLETRANSLATE(D:D,""auto"",""en"")"),"Xiangshan")</f>
        <v>Xiangshan</v>
      </c>
      <c r="D5370" s="5" t="s">
        <v>12276</v>
      </c>
      <c r="E5370" s="4">
        <v>464630</v>
      </c>
    </row>
    <row r="5371" spans="1:6" ht="13.5" hidden="1" customHeight="1">
      <c r="A5371" s="4" t="s">
        <v>12277</v>
      </c>
      <c r="B5371" s="4" t="s">
        <v>12278</v>
      </c>
      <c r="C5371" s="4" t="str">
        <f ca="1">IFERROR(__xludf.DUMMYFUNCTION("GOOGLETRANSLATE(D:D,""auto"",""en"")"),"Luhan do fritters")</f>
        <v>Luhan do fritters</v>
      </c>
      <c r="D5371" s="5" t="s">
        <v>12279</v>
      </c>
      <c r="E5371" s="4">
        <v>445978</v>
      </c>
    </row>
    <row r="5372" spans="1:6" ht="13.5" hidden="1" customHeight="1">
      <c r="A5372" s="4" t="s">
        <v>12280</v>
      </c>
      <c r="B5372" s="4" t="s">
        <v>12281</v>
      </c>
      <c r="C5372" s="4" t="str">
        <f ca="1">IFERROR(__xludf.DUMMYFUNCTION("GOOGLETRANSLATE(D:D,""auto"",""en"")"),"Tokyo governor took over in response to the London Olympics remarks")</f>
        <v>Tokyo governor took over in response to the London Olympics remarks</v>
      </c>
      <c r="D5372" s="5" t="s">
        <v>12282</v>
      </c>
      <c r="E5372" s="4">
        <v>413597</v>
      </c>
    </row>
    <row r="5373" spans="1:6" ht="13.5" hidden="1" customHeight="1">
      <c r="A5373" s="4" t="s">
        <v>11378</v>
      </c>
      <c r="B5373" s="4" t="s">
        <v>11379</v>
      </c>
      <c r="C5373" s="4" t="str">
        <f ca="1">IFERROR(__xludf.DUMMYFUNCTION("GOOGLETRANSLATE(D:D,""auto"",""en"")"),"Perfect relationship")</f>
        <v>Perfect relationship</v>
      </c>
      <c r="D5373" s="5" t="s">
        <v>11380</v>
      </c>
      <c r="E5373" s="4">
        <v>411775</v>
      </c>
    </row>
    <row r="5374" spans="1:6" ht="13.5" hidden="1" customHeight="1">
      <c r="A5374" s="4" t="s">
        <v>12262</v>
      </c>
      <c r="B5374" s="4" t="s">
        <v>12283</v>
      </c>
      <c r="C5374" s="4" t="str">
        <f ca="1">IFERROR(__xludf.DUMMYFUNCTION("GOOGLETRANSLATE(D:D,""auto"",""en"")"),"The idea is the same guy")</f>
        <v>The idea is the same guy</v>
      </c>
      <c r="D5374" s="5" t="s">
        <v>12284</v>
      </c>
      <c r="E5374" s="4">
        <v>368822</v>
      </c>
    </row>
    <row r="5375" spans="1:6" ht="13.5" customHeight="1">
      <c r="A5375" s="4" t="s">
        <v>12272</v>
      </c>
      <c r="B5375" s="4" t="s">
        <v>12285</v>
      </c>
      <c r="C5375" s="4" t="str">
        <f ca="1">IFERROR(__xludf.DUMMYFUNCTION("GOOGLETRANSLATE(D:D,""auto"",""en"")"),"Consciously clean hotel in Wuhan isolation sanitation workers after check-out")</f>
        <v>Consciously clean hotel in Wuhan isolation sanitation workers after check-out</v>
      </c>
      <c r="D5375" s="5" t="s">
        <v>12286</v>
      </c>
      <c r="E5375" s="4">
        <v>365197</v>
      </c>
      <c r="F5375">
        <v>1</v>
      </c>
    </row>
    <row r="5376" spans="1:6" ht="13.5" hidden="1" customHeight="1">
      <c r="A5376" s="4" t="s">
        <v>10629</v>
      </c>
      <c r="B5376" s="4" t="s">
        <v>10630</v>
      </c>
      <c r="C5376" s="4" t="str">
        <f ca="1">IFERROR(__xludf.DUMMYFUNCTION("GOOGLETRANSLATE(D:D,""auto"",""en"")"),"Heaven-sent voice")</f>
        <v>Heaven-sent voice</v>
      </c>
      <c r="D5376" s="5" t="s">
        <v>10631</v>
      </c>
      <c r="E5376" s="4">
        <v>340756</v>
      </c>
    </row>
    <row r="5377" spans="1:6" ht="13.5" customHeight="1">
      <c r="A5377" s="4" t="s">
        <v>12287</v>
      </c>
      <c r="B5377" s="4" t="s">
        <v>12186</v>
      </c>
      <c r="C5377" s="4" t="str">
        <f ca="1">IFERROR(__xludf.DUMMYFUNCTION("GOOGLETRANSLATE(D:D,""auto"",""en"")"),"Wuhan Municipal Party Committee Secretary-General Tsai Jie is the former double open")</f>
        <v>Wuhan Municipal Party Committee Secretary-General Tsai Jie is the former double open</v>
      </c>
      <c r="D5377" s="5" t="s">
        <v>12288</v>
      </c>
      <c r="E5377" s="4">
        <v>313409</v>
      </c>
      <c r="F5377">
        <v>1</v>
      </c>
    </row>
    <row r="5378" spans="1:6" ht="13.5" customHeight="1">
      <c r="A5378" s="4" t="s">
        <v>12289</v>
      </c>
      <c r="B5378" s="4" t="s">
        <v>12290</v>
      </c>
      <c r="C5378" s="4" t="str">
        <f ca="1">IFERROR(__xludf.DUMMYFUNCTION("GOOGLETRANSLATE(D:D,""auto"",""en"")"),"Traffic police are tanned face masks")</f>
        <v>Traffic police are tanned face masks</v>
      </c>
      <c r="D5378" s="5" t="s">
        <v>12291</v>
      </c>
      <c r="E5378" s="4">
        <v>308278</v>
      </c>
      <c r="F5378">
        <v>1</v>
      </c>
    </row>
    <row r="5379" spans="1:6" ht="13.5" hidden="1" customHeight="1">
      <c r="A5379" s="4" t="s">
        <v>12292</v>
      </c>
      <c r="B5379" s="4" t="s">
        <v>12293</v>
      </c>
      <c r="C5379" s="4" t="str">
        <f ca="1">IFERROR(__xludf.DUMMYFUNCTION("GOOGLETRANSLATE(D:D,""auto"",""en"")"),"24-year-old girl smothering parents were buried playground area")</f>
        <v>24-year-old girl smothering parents were buried playground area</v>
      </c>
      <c r="D5379" s="5" t="s">
        <v>12294</v>
      </c>
      <c r="E5379" s="4">
        <v>303128</v>
      </c>
    </row>
    <row r="5380" spans="1:6" ht="13.5" customHeight="1">
      <c r="A5380" s="4" t="s">
        <v>12295</v>
      </c>
      <c r="B5380" s="4" t="s">
        <v>12296</v>
      </c>
      <c r="C5380" s="4" t="str">
        <f ca="1">IFERROR(__xludf.DUMMYFUNCTION("GOOGLETRANSLATE(D:D,""auto"",""en"")"),"Japan reported a total of 763 cases of confirmed cases")</f>
        <v>Japan reported a total of 763 cases of confirmed cases</v>
      </c>
      <c r="D5380" s="5" t="s">
        <v>12297</v>
      </c>
      <c r="E5380" s="4">
        <v>286136</v>
      </c>
      <c r="F5380">
        <v>1</v>
      </c>
    </row>
    <row r="5381" spans="1:6" ht="13.5" hidden="1" customHeight="1">
      <c r="A5381" s="4" t="s">
        <v>10528</v>
      </c>
      <c r="B5381" s="4" t="s">
        <v>10351</v>
      </c>
      <c r="C5381" s="4" t="str">
        <f ca="1">IFERROR(__xludf.DUMMYFUNCTION("GOOGLETRANSLATE(D:D,""auto"",""en"")"),"locust")</f>
        <v>locust</v>
      </c>
      <c r="D5381" s="5" t="s">
        <v>10529</v>
      </c>
      <c r="E5381" s="4">
        <v>267273</v>
      </c>
    </row>
    <row r="5382" spans="1:6" ht="13.5" customHeight="1">
      <c r="A5382" s="4" t="s">
        <v>12241</v>
      </c>
      <c r="B5382" s="4" t="s">
        <v>12298</v>
      </c>
      <c r="C5382" s="4" t="str">
        <f ca="1">IFERROR(__xludf.DUMMYFUNCTION("GOOGLETRANSLATE(D:D,""auto"",""en"")"),"Central Steering Group in Hubei 27 days")</f>
        <v>Central Steering Group in Hubei 27 days</v>
      </c>
      <c r="D5382" s="5" t="s">
        <v>12299</v>
      </c>
      <c r="E5382" s="4">
        <v>250854</v>
      </c>
      <c r="F5382">
        <v>1</v>
      </c>
    </row>
    <row r="5383" spans="1:6" ht="13.5" hidden="1" customHeight="1">
      <c r="A5383" s="4" t="s">
        <v>2680</v>
      </c>
      <c r="B5383" s="4" t="s">
        <v>2681</v>
      </c>
      <c r="C5383" s="4" t="str">
        <f ca="1">IFERROR(__xludf.DUMMYFUNCTION("GOOGLETRANSLATE(D:D,""auto"",""en"")"),"You Are the One")</f>
        <v>You Are the One</v>
      </c>
      <c r="D5383" s="5" t="s">
        <v>2682</v>
      </c>
      <c r="E5383" s="4">
        <v>244948</v>
      </c>
    </row>
    <row r="5384" spans="1:6" ht="13.5" hidden="1" customHeight="1">
      <c r="A5384" s="4" t="s">
        <v>12300</v>
      </c>
      <c r="B5384" s="4" t="s">
        <v>12301</v>
      </c>
      <c r="C5384" s="4" t="str">
        <f ca="1">IFERROR(__xludf.DUMMYFUNCTION("GOOGLETRANSLATE(D:D,""auto"",""en"")"),"Global Traffic Division will lose $ 29 billion revenue")</f>
        <v>Global Traffic Division will lose $ 29 billion revenue</v>
      </c>
      <c r="D5384" s="5" t="s">
        <v>12302</v>
      </c>
      <c r="E5384" s="4">
        <v>233821</v>
      </c>
    </row>
    <row r="5385" spans="1:6" ht="13.5" hidden="1" customHeight="1">
      <c r="A5385" s="4" t="s">
        <v>12303</v>
      </c>
      <c r="B5385" s="4" t="s">
        <v>12304</v>
      </c>
      <c r="C5385" s="4" t="str">
        <f ca="1">IFERROR(__xludf.DUMMYFUNCTION("GOOGLETRANSLATE(D:D,""auto"",""en"")"),"Weihai Mart")</f>
        <v>Weihai Mart</v>
      </c>
      <c r="D5385" s="5" t="s">
        <v>12305</v>
      </c>
      <c r="E5385" s="4">
        <v>233049</v>
      </c>
    </row>
    <row r="5386" spans="1:6" ht="13.5" customHeight="1">
      <c r="A5386" s="4" t="s">
        <v>12289</v>
      </c>
      <c r="B5386" s="4" t="s">
        <v>12306</v>
      </c>
      <c r="C5386" s="4" t="str">
        <f ca="1">IFERROR(__xludf.DUMMYFUNCTION("GOOGLETRANSLATE(D:D,""auto"",""en"")"),"44-year-old died in Hunan police post Contagion")</f>
        <v>44-year-old died in Hunan police post Contagion</v>
      </c>
      <c r="D5386" s="5" t="s">
        <v>12307</v>
      </c>
      <c r="E5386" s="4">
        <v>228200</v>
      </c>
      <c r="F5386">
        <v>1</v>
      </c>
    </row>
    <row r="5387" spans="1:6" ht="13.5" hidden="1" customHeight="1">
      <c r="A5387" s="4" t="s">
        <v>12289</v>
      </c>
      <c r="B5387" s="4" t="s">
        <v>12198</v>
      </c>
      <c r="C5387" s="4" t="str">
        <f ca="1">IFERROR(__xludf.DUMMYFUNCTION("GOOGLETRANSLATE(D:D,""auto"",""en"")"),"One day a family of five people a happy life")</f>
        <v>One day a family of five people a happy life</v>
      </c>
      <c r="D5387" s="5" t="s">
        <v>12308</v>
      </c>
      <c r="E5387" s="4">
        <v>221265</v>
      </c>
    </row>
    <row r="5388" spans="1:6" ht="13.5" hidden="1" customHeight="1">
      <c r="A5388" s="4" t="s">
        <v>12309</v>
      </c>
      <c r="B5388" s="4" t="s">
        <v>12310</v>
      </c>
      <c r="C5388" s="4" t="str">
        <f ca="1">IFERROR(__xludf.DUMMYFUNCTION("GOOGLETRANSLATE(D:D,""auto"",""en"")"),"Enterprises should be suspended fingerprint attendance")</f>
        <v>Enterprises should be suspended fingerprint attendance</v>
      </c>
      <c r="D5388" s="5" t="s">
        <v>12311</v>
      </c>
      <c r="E5388" s="4">
        <v>199527</v>
      </c>
    </row>
    <row r="5389" spans="1:6" ht="13.5" hidden="1" customHeight="1">
      <c r="A5389" s="4" t="s">
        <v>12312</v>
      </c>
      <c r="B5389" s="4" t="s">
        <v>12313</v>
      </c>
      <c r="C5389" s="4" t="str">
        <f ca="1">IFERROR(__xludf.DUMMYFUNCTION("GOOGLETRANSLATE(D:D,""auto"",""en"")"),"Father and mother caring trunk area")</f>
        <v>Father and mother caring trunk area</v>
      </c>
      <c r="D5389" s="5" t="s">
        <v>12314</v>
      </c>
      <c r="E5389" s="4">
        <v>185299</v>
      </c>
    </row>
    <row r="5390" spans="1:6" ht="13.5" hidden="1" customHeight="1">
      <c r="A5390" s="4" t="s">
        <v>12315</v>
      </c>
      <c r="B5390" s="4" t="s">
        <v>12218</v>
      </c>
      <c r="C5390" s="4" t="str">
        <f ca="1">IFERROR(__xludf.DUMMYFUNCTION("GOOGLETRANSLATE(D:D,""auto"",""en"")"),"Banning can not express pickup and delivery")</f>
        <v>Banning can not express pickup and delivery</v>
      </c>
      <c r="D5390" s="5" t="s">
        <v>12316</v>
      </c>
      <c r="E5390" s="4">
        <v>181225</v>
      </c>
    </row>
    <row r="5391" spans="1:6" ht="13.5" customHeight="1">
      <c r="A5391" s="4" t="s">
        <v>12317</v>
      </c>
      <c r="B5391" s="4" t="s">
        <v>12318</v>
      </c>
      <c r="C5391" s="4" t="str">
        <f ca="1">IFERROR(__xludf.DUMMYFUNCTION("GOOGLETRANSLATE(D:D,""auto"",""en"")"),"General not to conduct a comprehensive sterilization room")</f>
        <v>General not to conduct a comprehensive sterilization room</v>
      </c>
      <c r="D5391" s="5" t="s">
        <v>12319</v>
      </c>
      <c r="E5391" s="4">
        <v>180526</v>
      </c>
      <c r="F5391">
        <v>1</v>
      </c>
    </row>
    <row r="5392" spans="1:6" ht="13.5" hidden="1" customHeight="1">
      <c r="A5392" s="4" t="s">
        <v>12247</v>
      </c>
      <c r="B5392" s="4" t="s">
        <v>12320</v>
      </c>
      <c r="C5392" s="4" t="str">
        <f ca="1">IFERROR(__xludf.DUMMYFUNCTION("GOOGLETRANSLATE(D:D,""auto"",""en"")"),"When you play games at home in the tank")</f>
        <v>When you play games at home in the tank</v>
      </c>
      <c r="D5392" s="5" t="s">
        <v>12321</v>
      </c>
      <c r="E5392" s="4">
        <v>158303</v>
      </c>
    </row>
    <row r="5393" spans="1:6" ht="13.5" hidden="1" customHeight="1">
      <c r="A5393" s="4" t="s">
        <v>12322</v>
      </c>
      <c r="B5393" s="4" t="s">
        <v>12323</v>
      </c>
      <c r="C5393" s="4" t="str">
        <f ca="1">IFERROR(__xludf.DUMMYFUNCTION("GOOGLETRANSLATE(D:D,""auto"",""en"")"),"James missing Xi Weide jersey retirement ceremony")</f>
        <v>James missing Xi Weide jersey retirement ceremony</v>
      </c>
      <c r="D5393" s="5" t="s">
        <v>12324</v>
      </c>
      <c r="E5393" s="4">
        <v>95701</v>
      </c>
    </row>
    <row r="5394" spans="1:6" ht="13.5" hidden="1" customHeight="1">
      <c r="C5394" s="4" t="str">
        <f ca="1">IFERROR(__xludf.DUMMYFUNCTION("GOOGLETRANSLATE(D:D,""auto"",""en"")"),"#VALUE!")</f>
        <v>#VALUE!</v>
      </c>
    </row>
    <row r="5395" spans="1:6" ht="13.5" customHeight="1">
      <c r="A5395" s="4" t="s">
        <v>12325</v>
      </c>
      <c r="B5395" s="4" t="s">
        <v>12326</v>
      </c>
      <c r="C5395" s="4" t="str">
        <f ca="1">IFERROR(__xludf.DUMMYFUNCTION("GOOGLETRANSLATE(D:D,""auto"",""en"")"),"China's first reusable masks")</f>
        <v>China's first reusable masks</v>
      </c>
      <c r="D5395" s="4" t="s">
        <v>12327</v>
      </c>
      <c r="E5395" s="4">
        <v>3017808</v>
      </c>
      <c r="F5395">
        <v>1</v>
      </c>
    </row>
    <row r="5396" spans="1:6" ht="13.5" hidden="1" customHeight="1">
      <c r="A5396" s="4" t="s">
        <v>12328</v>
      </c>
      <c r="B5396" s="4" t="s">
        <v>12329</v>
      </c>
      <c r="C5396" s="4" t="str">
        <f ca="1">IFERROR(__xludf.DUMMYFUNCTION("GOOGLETRANSLATE(D:D,""auto"",""en"")"),"Wu Lei was appointed director of Prison Administration of Shandong Province")</f>
        <v>Wu Lei was appointed director of Prison Administration of Shandong Province</v>
      </c>
      <c r="D5396" s="5" t="s">
        <v>12330</v>
      </c>
      <c r="E5396" s="4">
        <v>2541710</v>
      </c>
    </row>
    <row r="5397" spans="1:6" ht="13.5" customHeight="1">
      <c r="A5397" s="4" t="s">
        <v>12331</v>
      </c>
      <c r="B5397" s="4" t="s">
        <v>12332</v>
      </c>
      <c r="C5397" s="4" t="str">
        <f ca="1">IFERROR(__xludf.DUMMYFUNCTION("GOOGLETRANSLATE(D:D,""auto"",""en"")"),"Wuhan bus driver Niesan Hua")</f>
        <v>Wuhan bus driver Niesan Hua</v>
      </c>
      <c r="D5397" s="5" t="s">
        <v>12333</v>
      </c>
      <c r="E5397" s="4">
        <v>1674139</v>
      </c>
      <c r="F5397">
        <v>1</v>
      </c>
    </row>
    <row r="5398" spans="1:6" ht="13.5" hidden="1" customHeight="1">
      <c r="A5398" s="4" t="s">
        <v>12334</v>
      </c>
      <c r="B5398" s="4" t="s">
        <v>12335</v>
      </c>
      <c r="C5398" s="4" t="str">
        <f ca="1">IFERROR(__xludf.DUMMYFUNCTION("GOOGLETRANSLATE(D:D,""auto"",""en"")"),"Ma small jump final")</f>
        <v>Ma small jump final</v>
      </c>
      <c r="D5398" s="5" t="s">
        <v>12336</v>
      </c>
      <c r="E5398" s="4">
        <v>1623597</v>
      </c>
    </row>
    <row r="5399" spans="1:6" ht="13.5" hidden="1" customHeight="1">
      <c r="A5399" s="4" t="s">
        <v>12337</v>
      </c>
      <c r="B5399" s="4" t="s">
        <v>12338</v>
      </c>
      <c r="C5399" s="4" t="str">
        <f ca="1">IFERROR(__xludf.DUMMYFUNCTION("GOOGLETRANSLATE(D:D,""auto"",""en"")"),"6-year-old brother, 4-year-old brother enlighten")</f>
        <v>6-year-old brother, 4-year-old brother enlighten</v>
      </c>
      <c r="D5399" s="5" t="s">
        <v>12339</v>
      </c>
      <c r="E5399" s="4">
        <v>1484529</v>
      </c>
    </row>
    <row r="5400" spans="1:6" ht="13.5" hidden="1" customHeight="1">
      <c r="A5400" s="4" t="s">
        <v>12340</v>
      </c>
      <c r="B5400" s="4" t="s">
        <v>12341</v>
      </c>
      <c r="C5400" s="4" t="str">
        <f ca="1">IFERROR(__xludf.DUMMYFUNCTION("GOOGLETRANSLATE(D:D,""auto"",""en"")"),"Anson Hu Wen Wen quarrel in style duet")</f>
        <v>Anson Hu Wen Wen quarrel in style duet</v>
      </c>
      <c r="D5400" s="5" t="s">
        <v>12342</v>
      </c>
      <c r="E5400" s="4">
        <v>1453711</v>
      </c>
    </row>
    <row r="5401" spans="1:6" ht="13.5" hidden="1" customHeight="1">
      <c r="A5401" s="4" t="s">
        <v>12331</v>
      </c>
      <c r="B5401" s="4" t="s">
        <v>12343</v>
      </c>
      <c r="C5401" s="4" t="str">
        <f ca="1">IFERROR(__xludf.DUMMYFUNCTION("GOOGLETRANSLATE(D:D,""auto"",""en"")"),"South Korea is a flight after Israel refused to backtrack")</f>
        <v>South Korea is a flight after Israel refused to backtrack</v>
      </c>
      <c r="D5401" s="5" t="s">
        <v>12344</v>
      </c>
      <c r="E5401" s="4">
        <v>1207442</v>
      </c>
    </row>
    <row r="5402" spans="1:6" ht="13.5" customHeight="1">
      <c r="A5402" s="4" t="s">
        <v>12345</v>
      </c>
      <c r="B5402" s="4" t="s">
        <v>12287</v>
      </c>
      <c r="C5402" s="4" t="str">
        <f ca="1">IFERROR(__xludf.DUMMYFUNCTION("GOOGLETRANSLATE(D:D,""auto"",""en"")"),"The national total of 76,936 cases of pneumonia diagnosed with the new crown")</f>
        <v>The national total of 76,936 cases of pneumonia diagnosed with the new crown</v>
      </c>
      <c r="D5402" s="5" t="s">
        <v>12346</v>
      </c>
      <c r="E5402" s="4">
        <v>1100936</v>
      </c>
      <c r="F5402">
        <v>1</v>
      </c>
    </row>
    <row r="5403" spans="1:6" ht="13.5" hidden="1" customHeight="1">
      <c r="A5403" s="4" t="s">
        <v>12347</v>
      </c>
      <c r="B5403" s="4" t="s">
        <v>12348</v>
      </c>
      <c r="C5403" s="4" t="str">
        <f ca="1">IFERROR(__xludf.DUMMYFUNCTION("GOOGLETRANSLATE(D:D,""auto"",""en"")"),"Seoul mayor advised residents were disbanded siege")</f>
        <v>Seoul mayor advised residents were disbanded siege</v>
      </c>
      <c r="D5403" s="5" t="s">
        <v>12349</v>
      </c>
      <c r="E5403" s="4">
        <v>1088699</v>
      </c>
    </row>
    <row r="5404" spans="1:6" ht="13.5" hidden="1" customHeight="1">
      <c r="A5404" s="4" t="s">
        <v>12350</v>
      </c>
      <c r="B5404" s="4" t="s">
        <v>12351</v>
      </c>
      <c r="C5404" s="4" t="str">
        <f ca="1">IFERROR(__xludf.DUMMYFUNCTION("GOOGLETRANSLATE(D:D,""auto"",""en"")"),"Du Yulu died performing artists")</f>
        <v>Du Yulu died performing artists</v>
      </c>
      <c r="D5404" s="5" t="s">
        <v>12352</v>
      </c>
      <c r="E5404" s="4">
        <v>1088334</v>
      </c>
    </row>
    <row r="5405" spans="1:6" ht="13.5" customHeight="1">
      <c r="A5405" s="4" t="s">
        <v>12353</v>
      </c>
      <c r="B5405" s="4" t="s">
        <v>12354</v>
      </c>
      <c r="C5405" s="4" t="str">
        <f ca="1">IFERROR(__xludf.DUMMYFUNCTION("GOOGLETRANSLATE(D:D,""auto"",""en"")"),"Korea appears Fourth deaths")</f>
        <v>Korea appears Fourth deaths</v>
      </c>
      <c r="D5405" s="5" t="s">
        <v>12355</v>
      </c>
      <c r="E5405" s="4">
        <v>1086273</v>
      </c>
      <c r="F5405">
        <v>1</v>
      </c>
    </row>
    <row r="5406" spans="1:6" ht="13.5" customHeight="1">
      <c r="A5406" s="4" t="s">
        <v>12356</v>
      </c>
      <c r="B5406" s="4" t="s">
        <v>12357</v>
      </c>
      <c r="C5406" s="4" t="str">
        <f ca="1">IFERROR(__xludf.DUMMYFUNCTION("GOOGLETRANSLATE(D:D,""auto"",""en"")"),"South Korea confirmed a total of 556 cases of pneumonia new crown")</f>
        <v>South Korea confirmed a total of 556 cases of pneumonia new crown</v>
      </c>
      <c r="D5406" s="5" t="s">
        <v>12358</v>
      </c>
      <c r="E5406" s="4">
        <v>1084058</v>
      </c>
      <c r="F5406">
        <v>1</v>
      </c>
    </row>
    <row r="5407" spans="1:6" ht="13.5" hidden="1" customHeight="1">
      <c r="A5407" s="4" t="s">
        <v>12359</v>
      </c>
      <c r="B5407" s="4" t="s">
        <v>12360</v>
      </c>
      <c r="C5407" s="4" t="str">
        <f ca="1">IFERROR(__xludf.DUMMYFUNCTION("GOOGLETRANSLATE(D:D,""auto"",""en"")"),"Chengdu implementation of the two first-line mode of commuting")</f>
        <v>Chengdu implementation of the two first-line mode of commuting</v>
      </c>
      <c r="D5407" s="5" t="s">
        <v>12361</v>
      </c>
      <c r="E5407" s="4">
        <v>1082732</v>
      </c>
    </row>
    <row r="5408" spans="1:6" ht="13.5" hidden="1" customHeight="1">
      <c r="A5408" s="4" t="s">
        <v>12362</v>
      </c>
      <c r="B5408" s="4" t="s">
        <v>12351</v>
      </c>
      <c r="C5408" s="4" t="str">
        <f ca="1">IFERROR(__xludf.DUMMYFUNCTION("GOOGLETRANSLATE(D:D,""auto"",""en"")"),"Messi Luckiest Man")</f>
        <v>Messi Luckiest Man</v>
      </c>
      <c r="D5408" s="5" t="s">
        <v>12363</v>
      </c>
      <c r="E5408" s="4">
        <v>1080484</v>
      </c>
    </row>
    <row r="5409" spans="1:6" ht="13.5" hidden="1" customHeight="1">
      <c r="A5409" s="4" t="s">
        <v>12364</v>
      </c>
      <c r="B5409" s="4" t="s">
        <v>12365</v>
      </c>
      <c r="C5409" s="4" t="str">
        <f ca="1">IFERROR(__xludf.DUMMYFUNCTION("GOOGLETRANSLATE(D:D,""auto"",""en"")"),"See you Highlights")</f>
        <v>See you Highlights</v>
      </c>
      <c r="D5409" s="5" t="s">
        <v>12366</v>
      </c>
      <c r="E5409" s="4">
        <v>1079363</v>
      </c>
    </row>
    <row r="5410" spans="1:6" ht="13.5" hidden="1" customHeight="1">
      <c r="A5410" s="4" t="s">
        <v>12367</v>
      </c>
      <c r="B5410" s="4" t="s">
        <v>12357</v>
      </c>
      <c r="C5410" s="4" t="str">
        <f ca="1">IFERROR(__xludf.DUMMYFUNCTION("GOOGLETRANSLATE(D:D,""auto"",""en"")"),"Song Hye Kyo raw map")</f>
        <v>Song Hye Kyo raw map</v>
      </c>
      <c r="D5410" s="5" t="s">
        <v>12368</v>
      </c>
      <c r="E5410" s="4">
        <v>1077480</v>
      </c>
    </row>
    <row r="5411" spans="1:6" ht="13.5" hidden="1" customHeight="1">
      <c r="A5411" s="4" t="s">
        <v>12369</v>
      </c>
      <c r="B5411" s="4" t="s">
        <v>12370</v>
      </c>
      <c r="C5411" s="4" t="str">
        <f ca="1">IFERROR(__xludf.DUMMYFUNCTION("GOOGLETRANSLATE(D:D,""auto"",""en"")"),"Spirited Away background")</f>
        <v>Spirited Away background</v>
      </c>
      <c r="D5411" s="5" t="s">
        <v>12371</v>
      </c>
      <c r="E5411" s="4">
        <v>1076208</v>
      </c>
    </row>
    <row r="5412" spans="1:6" ht="13.5" customHeight="1">
      <c r="A5412" s="4" t="s">
        <v>12372</v>
      </c>
      <c r="B5412" s="4" t="s">
        <v>12223</v>
      </c>
      <c r="C5412" s="4" t="str">
        <f ca="1">IFERROR(__xludf.DUMMYFUNCTION("GOOGLETRANSLATE(D:D,""auto"",""en"")"),"His wife take off protective clothing husband into the isolation ward")</f>
        <v>His wife take off protective clothing husband into the isolation ward</v>
      </c>
      <c r="D5412" s="5" t="s">
        <v>12373</v>
      </c>
      <c r="E5412" s="4">
        <v>1014303</v>
      </c>
      <c r="F5412">
        <v>1</v>
      </c>
    </row>
    <row r="5413" spans="1:6" ht="13.5" hidden="1" customHeight="1">
      <c r="A5413" s="4" t="s">
        <v>12374</v>
      </c>
      <c r="B5413" s="4" t="s">
        <v>12375</v>
      </c>
      <c r="C5413" s="4" t="str">
        <f ca="1">IFERROR(__xludf.DUMMYFUNCTION("GOOGLETRANSLATE(D:D,""auto"",""en"")"),"Scallion noodles")</f>
        <v>Scallion noodles</v>
      </c>
      <c r="D5413" s="5" t="s">
        <v>12376</v>
      </c>
      <c r="E5413" s="4">
        <v>865351</v>
      </c>
    </row>
    <row r="5414" spans="1:6" ht="13.5" customHeight="1">
      <c r="A5414" s="4" t="s">
        <v>12377</v>
      </c>
      <c r="B5414" s="4" t="s">
        <v>12378</v>
      </c>
      <c r="C5414" s="4" t="str">
        <f ca="1">IFERROR(__xludf.DUMMYFUNCTION("GOOGLETRANSLATE(D:D,""auto"",""en"")"),"Outbreak does not affect the Beijing organizing the Winter Olympics")</f>
        <v>Outbreak does not affect the Beijing organizing the Winter Olympics</v>
      </c>
      <c r="D5414" s="5" t="s">
        <v>12379</v>
      </c>
      <c r="E5414" s="4">
        <v>785574</v>
      </c>
      <c r="F5414">
        <v>1</v>
      </c>
    </row>
    <row r="5415" spans="1:6" ht="13.5" hidden="1" customHeight="1">
      <c r="A5415" s="4" t="s">
        <v>12380</v>
      </c>
      <c r="B5415" s="4" t="s">
        <v>12381</v>
      </c>
      <c r="C5415" s="4" t="str">
        <f ca="1">IFERROR(__xludf.DUMMYFUNCTION("GOOGLETRANSLATE(D:D,""auto"",""en"")"),"Win in the starting line last name")</f>
        <v>Win in the starting line last name</v>
      </c>
      <c r="D5415" s="5" t="s">
        <v>12382</v>
      </c>
      <c r="E5415" s="4">
        <v>738473</v>
      </c>
    </row>
    <row r="5416" spans="1:6" ht="13.5" hidden="1" customHeight="1">
      <c r="A5416" s="4" t="s">
        <v>12383</v>
      </c>
      <c r="B5416" s="4" t="s">
        <v>12300</v>
      </c>
      <c r="C5416" s="4" t="str">
        <f ca="1">IFERROR(__xludf.DUMMYFUNCTION("GOOGLETRANSLATE(D:D,""auto"",""en"")"),"Students suffering from flu death")</f>
        <v>Students suffering from flu death</v>
      </c>
      <c r="D5416" s="5" t="s">
        <v>12384</v>
      </c>
      <c r="E5416" s="4">
        <v>701182</v>
      </c>
    </row>
    <row r="5417" spans="1:6" ht="13.5" customHeight="1">
      <c r="A5417" s="4" t="s">
        <v>12385</v>
      </c>
      <c r="B5417" s="4" t="s">
        <v>12386</v>
      </c>
      <c r="C5417" s="4" t="str">
        <f ca="1">IFERROR(__xludf.DUMMYFUNCTION("GOOGLETRANSLATE(D:D,""auto"",""en"")"),"Isolation of the elderly to escape from the hospital to go home to eat noodles")</f>
        <v>Isolation of the elderly to escape from the hospital to go home to eat noodles</v>
      </c>
      <c r="D5417" s="5" t="s">
        <v>12387</v>
      </c>
      <c r="E5417" s="4">
        <v>599832</v>
      </c>
      <c r="F5417">
        <v>1</v>
      </c>
    </row>
    <row r="5418" spans="1:6" ht="13.5" hidden="1" customHeight="1">
      <c r="A5418" s="4" t="s">
        <v>12388</v>
      </c>
      <c r="B5418" s="4" t="s">
        <v>12389</v>
      </c>
      <c r="C5418" s="4" t="str">
        <f ca="1">IFERROR(__xludf.DUMMYFUNCTION("GOOGLETRANSLATE(D:D,""auto"",""en"")"),"CCTV Interview virus hunter")</f>
        <v>CCTV Interview virus hunter</v>
      </c>
      <c r="D5418" s="5" t="s">
        <v>12390</v>
      </c>
      <c r="E5418" s="4">
        <v>556887</v>
      </c>
    </row>
    <row r="5419" spans="1:6" ht="13.5" customHeight="1">
      <c r="A5419" s="4" t="s">
        <v>12391</v>
      </c>
      <c r="B5419" s="4" t="s">
        <v>12332</v>
      </c>
      <c r="C5419" s="4" t="str">
        <f ca="1">IFERROR(__xludf.DUMMYFUNCTION("GOOGLETRANSLATE(D:D,""auto"",""en"")"),"Thanks to this network so I appreciate the lesson")</f>
        <v>Thanks to this network so I appreciate the lesson</v>
      </c>
      <c r="D5419" s="5" t="s">
        <v>12392</v>
      </c>
      <c r="E5419" s="4">
        <v>554452</v>
      </c>
      <c r="F5419">
        <v>1</v>
      </c>
    </row>
    <row r="5420" spans="1:6" ht="13.5" customHeight="1">
      <c r="A5420" s="4" t="s">
        <v>12393</v>
      </c>
      <c r="B5420" s="4" t="s">
        <v>12256</v>
      </c>
      <c r="C5420" s="4" t="str">
        <f ca="1">IFERROR(__xludf.DUMMYFUNCTION("GOOGLETRANSLATE(D:D,""auto"",""en"")"),"Huangshan restored and opened to visitors only come one")</f>
        <v>Huangshan restored and opened to visitors only come one</v>
      </c>
      <c r="D5420" s="5" t="s">
        <v>12394</v>
      </c>
      <c r="E5420" s="4">
        <v>545499</v>
      </c>
      <c r="F5420">
        <v>1</v>
      </c>
    </row>
    <row r="5421" spans="1:6" ht="13.5" hidden="1" customHeight="1">
      <c r="A5421" s="4" t="s">
        <v>12356</v>
      </c>
      <c r="B5421" s="4" t="s">
        <v>12303</v>
      </c>
      <c r="C5421" s="4" t="str">
        <f ca="1">IFERROR(__xludf.DUMMYFUNCTION("GOOGLETRANSLATE(D:D,""auto"",""en"")"),"Alec Su Chen Zhipeng fit")</f>
        <v>Alec Su Chen Zhipeng fit</v>
      </c>
      <c r="D5421" s="5" t="s">
        <v>12395</v>
      </c>
      <c r="E5421" s="4">
        <v>543523</v>
      </c>
    </row>
    <row r="5422" spans="1:6" ht="13.5" hidden="1" customHeight="1">
      <c r="A5422" s="4" t="s">
        <v>12396</v>
      </c>
      <c r="B5422" s="4" t="s">
        <v>12397</v>
      </c>
      <c r="C5422" s="4" t="str">
        <f ca="1">IFERROR(__xludf.DUMMYFUNCTION("GOOGLETRANSLATE(D:D,""auto"",""en"")"),"If my body is good")</f>
        <v>If my body is good</v>
      </c>
      <c r="D5422" s="5" t="s">
        <v>12398</v>
      </c>
      <c r="E5422" s="4">
        <v>483935</v>
      </c>
    </row>
    <row r="5423" spans="1:6" ht="13.5" hidden="1" customHeight="1">
      <c r="A5423" s="4" t="s">
        <v>12232</v>
      </c>
      <c r="B5423" s="4" t="s">
        <v>12233</v>
      </c>
      <c r="C5423" s="4" t="str">
        <f ca="1">IFERROR(__xludf.DUMMYFUNCTION("GOOGLETRANSLATE(D:D,""auto"",""en"")"),"Blue Rescue team members Xu Peng")</f>
        <v>Blue Rescue team members Xu Peng</v>
      </c>
      <c r="D5423" s="5" t="s">
        <v>12234</v>
      </c>
      <c r="E5423" s="4">
        <v>431286</v>
      </c>
    </row>
    <row r="5424" spans="1:6" ht="13.5" hidden="1" customHeight="1">
      <c r="A5424" s="4" t="s">
        <v>12399</v>
      </c>
      <c r="B5424" s="4" t="s">
        <v>12400</v>
      </c>
      <c r="C5424" s="4" t="str">
        <f ca="1">IFERROR(__xludf.DUMMYFUNCTION("GOOGLETRANSLATE(D:D,""auto"",""en"")"),"Storm Group was ruled to pay 470 million to Shanghai gopher")</f>
        <v>Storm Group was ruled to pay 470 million to Shanghai gopher</v>
      </c>
      <c r="D5424" s="5" t="s">
        <v>12401</v>
      </c>
      <c r="E5424" s="4">
        <v>406825</v>
      </c>
    </row>
    <row r="5425" spans="1:6" ht="13.5" customHeight="1">
      <c r="A5425" s="4" t="s">
        <v>12402</v>
      </c>
      <c r="B5425" s="4" t="s">
        <v>12365</v>
      </c>
      <c r="C5425" s="4" t="str">
        <f ca="1">IFERROR(__xludf.DUMMYFUNCTION("GOOGLETRANSLATE(D:D,""auto"",""en"")"),"Hubei new crown the new 630 cases of pneumonia")</f>
        <v>Hubei new crown the new 630 cases of pneumonia</v>
      </c>
      <c r="D5425" s="5" t="s">
        <v>12403</v>
      </c>
      <c r="E5425" s="4">
        <v>402344</v>
      </c>
      <c r="F5425">
        <v>1</v>
      </c>
    </row>
    <row r="5426" spans="1:6" ht="13.5" hidden="1" customHeight="1">
      <c r="A5426" s="4" t="s">
        <v>12404</v>
      </c>
      <c r="B5426" s="4" t="s">
        <v>12405</v>
      </c>
      <c r="C5426" s="4" t="str">
        <f ca="1">IFERROR(__xludf.DUMMYFUNCTION("GOOGLETRANSLATE(D:D,""auto"",""en"")"),"Initially I thought it was food Tutorial")</f>
        <v>Initially I thought it was food Tutorial</v>
      </c>
      <c r="D5426" s="5" t="s">
        <v>12406</v>
      </c>
      <c r="E5426" s="4">
        <v>386765</v>
      </c>
    </row>
    <row r="5427" spans="1:6" ht="13.5" customHeight="1">
      <c r="A5427" s="4" t="s">
        <v>12407</v>
      </c>
      <c r="B5427" s="4" t="s">
        <v>12292</v>
      </c>
      <c r="C5427" s="4" t="str">
        <f ca="1">IFERROR(__xludf.DUMMYFUNCTION("GOOGLETRANSLATE(D:D,""auto"",""en"")"),"If you do not return to work")</f>
        <v>If you do not return to work</v>
      </c>
      <c r="D5427" s="5" t="s">
        <v>12408</v>
      </c>
      <c r="E5427" s="4">
        <v>384429</v>
      </c>
      <c r="F5427">
        <v>1</v>
      </c>
    </row>
    <row r="5428" spans="1:6" ht="13.5" hidden="1" customHeight="1">
      <c r="A5428" s="4" t="s">
        <v>12280</v>
      </c>
      <c r="B5428" s="4" t="s">
        <v>12281</v>
      </c>
      <c r="C5428" s="4" t="str">
        <f ca="1">IFERROR(__xludf.DUMMYFUNCTION("GOOGLETRANSLATE(D:D,""auto"",""en"")"),"Tokyo governor took over in response to the London Olympics remarks")</f>
        <v>Tokyo governor took over in response to the London Olympics remarks</v>
      </c>
      <c r="D5428" s="5" t="s">
        <v>12282</v>
      </c>
      <c r="E5428" s="4">
        <v>346677</v>
      </c>
    </row>
    <row r="5429" spans="1:6" ht="13.5" hidden="1" customHeight="1">
      <c r="A5429" s="4" t="s">
        <v>12409</v>
      </c>
      <c r="B5429" s="4" t="s">
        <v>12410</v>
      </c>
      <c r="C5429" s="4" t="str">
        <f ca="1">IFERROR(__xludf.DUMMYFUNCTION("GOOGLETRANSLATE(D:D,""auto"",""en"")"),"Shanghai cured 74% rate break")</f>
        <v>Shanghai cured 74% rate break</v>
      </c>
      <c r="D5429" s="5" t="s">
        <v>12411</v>
      </c>
      <c r="E5429" s="4">
        <v>334972</v>
      </c>
    </row>
    <row r="5430" spans="1:6" ht="13.5" hidden="1" customHeight="1">
      <c r="A5430" s="4" t="s">
        <v>12412</v>
      </c>
      <c r="B5430" s="4" t="s">
        <v>12413</v>
      </c>
      <c r="C5430" s="4" t="str">
        <f ca="1">IFERROR(__xludf.DUMMYFUNCTION("GOOGLETRANSLATE(D:D,""auto"",""en"")"),"Stella smashed cars")</f>
        <v>Stella smashed cars</v>
      </c>
      <c r="D5430" s="5" t="s">
        <v>12414</v>
      </c>
      <c r="E5430" s="4">
        <v>285832</v>
      </c>
    </row>
    <row r="5431" spans="1:6" ht="13.5" hidden="1" customHeight="1">
      <c r="A5431" s="4" t="s">
        <v>12250</v>
      </c>
      <c r="B5431" s="4" t="s">
        <v>12415</v>
      </c>
      <c r="C5431" s="4" t="str">
        <f ca="1">IFERROR(__xludf.DUMMYFUNCTION("GOOGLETRANSLATE(D:D,""auto"",""en"")"),"Shandong lit the City Landmark building 16 big screen")</f>
        <v>Shandong lit the City Landmark building 16 big screen</v>
      </c>
      <c r="D5431" s="5" t="s">
        <v>12416</v>
      </c>
      <c r="E5431" s="4">
        <v>264147</v>
      </c>
    </row>
    <row r="5432" spans="1:6" ht="13.5" hidden="1" customHeight="1">
      <c r="A5432" s="4" t="s">
        <v>12417</v>
      </c>
      <c r="B5432" s="4" t="s">
        <v>12418</v>
      </c>
      <c r="C5432" s="4" t="str">
        <f ca="1">IFERROR(__xludf.DUMMYFUNCTION("GOOGLETRANSLATE(D:D,""auto"",""en"")"),"Your name is learning slag")</f>
        <v>Your name is learning slag</v>
      </c>
      <c r="D5432" s="5" t="s">
        <v>12419</v>
      </c>
      <c r="E5432" s="4">
        <v>259574</v>
      </c>
    </row>
    <row r="5433" spans="1:6" ht="13.5" customHeight="1">
      <c r="A5433" s="4" t="s">
        <v>12420</v>
      </c>
      <c r="B5433" s="4" t="s">
        <v>12421</v>
      </c>
      <c r="C5433" s="4" t="str">
        <f ca="1">IFERROR(__xludf.DUMMYFUNCTION("GOOGLETRANSLATE(D:D,""auto"",""en"")"),"ZHANG Wen-hong after the epidemic calls for reducing the burden to the doctor")</f>
        <v>ZHANG Wen-hong after the epidemic calls for reducing the burden to the doctor</v>
      </c>
      <c r="D5433" s="5" t="s">
        <v>12422</v>
      </c>
      <c r="E5433" s="4">
        <v>256535</v>
      </c>
      <c r="F5433">
        <v>1</v>
      </c>
    </row>
    <row r="5434" spans="1:6" ht="13.5" hidden="1" customHeight="1">
      <c r="A5434" s="4" t="s">
        <v>12423</v>
      </c>
      <c r="B5434" s="4" t="s">
        <v>12424</v>
      </c>
      <c r="C5434" s="4" t="str">
        <f ca="1">IFERROR(__xludf.DUMMYFUNCTION("GOOGLETRANSLATE(D:D,""auto"",""en"")"),"Wade Bryant thanks")</f>
        <v>Wade Bryant thanks</v>
      </c>
      <c r="D5434" s="5" t="s">
        <v>12425</v>
      </c>
      <c r="E5434" s="4">
        <v>255719</v>
      </c>
    </row>
    <row r="5435" spans="1:6" ht="13.5" customHeight="1">
      <c r="A5435" s="4" t="s">
        <v>12340</v>
      </c>
      <c r="B5435" s="4" t="s">
        <v>12253</v>
      </c>
      <c r="C5435" s="4" t="str">
        <f ca="1">IFERROR(__xludf.DUMMYFUNCTION("GOOGLETRANSLATE(D:D,""auto"",""en"")"),"Korea minimum 4-year-old patient diagnosed")</f>
        <v>Korea minimum 4-year-old patient diagnosed</v>
      </c>
      <c r="D5435" s="5" t="s">
        <v>12426</v>
      </c>
      <c r="E5435" s="4">
        <v>254755</v>
      </c>
      <c r="F5435">
        <v>1</v>
      </c>
    </row>
    <row r="5436" spans="1:6" ht="13.5" hidden="1" customHeight="1">
      <c r="A5436" s="4" t="s">
        <v>12427</v>
      </c>
      <c r="B5436" s="4" t="s">
        <v>12428</v>
      </c>
      <c r="C5436" s="4" t="str">
        <f ca="1">IFERROR(__xludf.DUMMYFUNCTION("GOOGLETRANSLATE(D:D,""auto"",""en"")"),"God translation site")</f>
        <v>God translation site</v>
      </c>
      <c r="D5436" s="5" t="s">
        <v>12429</v>
      </c>
      <c r="E5436" s="4">
        <v>253391</v>
      </c>
    </row>
    <row r="5437" spans="1:6" ht="13.5" hidden="1" customHeight="1">
      <c r="A5437" s="4" t="s">
        <v>12430</v>
      </c>
      <c r="B5437" s="4" t="s">
        <v>12431</v>
      </c>
      <c r="C5437" s="4" t="str">
        <f ca="1">IFERROR(__xludf.DUMMYFUNCTION("GOOGLETRANSLATE(D:D,""auto"",""en"")"),"Large roll-site cooking")</f>
        <v>Large roll-site cooking</v>
      </c>
      <c r="D5437" s="5" t="s">
        <v>12432</v>
      </c>
      <c r="E5437" s="4">
        <v>251356</v>
      </c>
    </row>
    <row r="5438" spans="1:6" ht="13.5" hidden="1" customHeight="1">
      <c r="A5438" s="4" t="s">
        <v>12433</v>
      </c>
      <c r="B5438" s="4" t="s">
        <v>12428</v>
      </c>
      <c r="C5438" s="4" t="str">
        <f ca="1">IFERROR(__xludf.DUMMYFUNCTION("GOOGLETRANSLATE(D:D,""auto"",""en"")"),"LPL Baida classic battle")</f>
        <v>LPL Baida classic battle</v>
      </c>
      <c r="D5438" s="5" t="s">
        <v>12434</v>
      </c>
      <c r="E5438" s="4">
        <v>250507</v>
      </c>
    </row>
    <row r="5439" spans="1:6" ht="13.5" customHeight="1">
      <c r="A5439" s="4" t="s">
        <v>12435</v>
      </c>
      <c r="B5439" s="4" t="s">
        <v>12436</v>
      </c>
      <c r="C5439" s="4" t="str">
        <f ca="1">IFERROR(__xludf.DUMMYFUNCTION("GOOGLETRANSLATE(D:D,""auto"",""en"")"),"New zero risk is not zero")</f>
        <v>New zero risk is not zero</v>
      </c>
      <c r="D5439" s="5" t="s">
        <v>12437</v>
      </c>
      <c r="E5439" s="4">
        <v>248636</v>
      </c>
      <c r="F5439">
        <v>1</v>
      </c>
    </row>
    <row r="5440" spans="1:6" ht="13.5" hidden="1" customHeight="1">
      <c r="A5440" s="4" t="s">
        <v>12438</v>
      </c>
      <c r="B5440" s="4" t="s">
        <v>12436</v>
      </c>
      <c r="C5440" s="4" t="str">
        <f ca="1">IFERROR(__xludf.DUMMYFUNCTION("GOOGLETRANSLATE(D:D,""auto"",""en"")"),"Silver CIRC end takeover of Airborne Group")</f>
        <v>Silver CIRC end takeover of Airborne Group</v>
      </c>
      <c r="D5440" s="5" t="s">
        <v>12439</v>
      </c>
      <c r="E5440" s="4">
        <v>248275</v>
      </c>
    </row>
    <row r="5441" spans="1:6" ht="13.5" hidden="1" customHeight="1">
      <c r="A5441" s="4" t="s">
        <v>12409</v>
      </c>
      <c r="B5441" s="4" t="s">
        <v>12440</v>
      </c>
      <c r="C5441" s="4" t="str">
        <f ca="1">IFERROR(__xludf.DUMMYFUNCTION("GOOGLETRANSLATE(D:D,""auto"",""en"")"),"Shanxi Mature Vinegar bottle of medical staff")</f>
        <v>Shanxi Mature Vinegar bottle of medical staff</v>
      </c>
      <c r="D5441" s="5" t="s">
        <v>12441</v>
      </c>
      <c r="E5441" s="4">
        <v>246918</v>
      </c>
    </row>
    <row r="5442" spans="1:6" ht="13.5" hidden="1" customHeight="1">
      <c r="A5442" s="4" t="s">
        <v>12250</v>
      </c>
      <c r="B5442" s="4" t="s">
        <v>12251</v>
      </c>
      <c r="C5442" s="4" t="str">
        <f ca="1">IFERROR(__xludf.DUMMYFUNCTION("GOOGLETRANSLATE(D:D,""auto"",""en"")"),"Gigi's face")</f>
        <v>Gigi's face</v>
      </c>
      <c r="D5442" s="5" t="s">
        <v>12252</v>
      </c>
      <c r="E5442" s="4">
        <v>239196</v>
      </c>
    </row>
    <row r="5443" spans="1:6" ht="13.5" hidden="1" customHeight="1">
      <c r="A5443" s="4" t="s">
        <v>12442</v>
      </c>
      <c r="B5443" s="4" t="s">
        <v>12289</v>
      </c>
      <c r="C5443" s="4" t="str">
        <f ca="1">IFERROR(__xludf.DUMMYFUNCTION("GOOGLETRANSLATE(D:D,""auto"",""en"")"),"How can happiness be favored")</f>
        <v>How can happiness be favored</v>
      </c>
      <c r="D5443" s="5" t="s">
        <v>12443</v>
      </c>
      <c r="E5443" s="4">
        <v>224476</v>
      </c>
    </row>
    <row r="5444" spans="1:6" ht="13.5" hidden="1" customHeight="1">
      <c r="A5444" s="4" t="s">
        <v>12444</v>
      </c>
      <c r="B5444" s="4" t="s">
        <v>12445</v>
      </c>
      <c r="C5444" s="4" t="str">
        <f ca="1">IFERROR(__xludf.DUMMYFUNCTION("GOOGLETRANSLATE(D:D,""auto"",""en"")"),"Dangdang clarification statement")</f>
        <v>Dangdang clarification statement</v>
      </c>
      <c r="D5444" s="5" t="s">
        <v>12446</v>
      </c>
      <c r="E5444" s="4">
        <v>213216</v>
      </c>
    </row>
    <row r="5445" spans="1:6" ht="13.5" hidden="1" customHeight="1">
      <c r="C5445" s="4" t="str">
        <f ca="1">IFERROR(__xludf.DUMMYFUNCTION("GOOGLETRANSLATE(D:D,""auto"",""en"")"),"#VALUE!")</f>
        <v>#VALUE!</v>
      </c>
    </row>
    <row r="5446" spans="1:6" ht="13.5" hidden="1" customHeight="1">
      <c r="A5446" s="4" t="s">
        <v>12447</v>
      </c>
      <c r="B5446" s="4" t="s">
        <v>12448</v>
      </c>
      <c r="C5446" s="4" t="str">
        <f ca="1">IFERROR(__xludf.DUMMYFUNCTION("GOOGLETRANSLATE(D:D,""auto"",""en"")"),"28 years ago, Southern Medical cracked the case of the girls were killed")</f>
        <v>28 years ago, Southern Medical cracked the case of the girls were killed</v>
      </c>
      <c r="D5446" s="4" t="s">
        <v>12449</v>
      </c>
      <c r="E5446" s="4">
        <v>2620339</v>
      </c>
    </row>
    <row r="5447" spans="1:6" ht="13.5" hidden="1" customHeight="1">
      <c r="A5447" s="4" t="s">
        <v>12450</v>
      </c>
      <c r="B5447" s="4" t="s">
        <v>12451</v>
      </c>
      <c r="C5447" s="4" t="str">
        <f ca="1">IFERROR(__xludf.DUMMYFUNCTION("GOOGLETRANSLATE(D:D,""auto"",""en"")"),"South Korea gathered a psychiatric hospital infections occur")</f>
        <v>South Korea gathered a psychiatric hospital infections occur</v>
      </c>
      <c r="D5447" s="5" t="s">
        <v>12452</v>
      </c>
      <c r="E5447" s="4">
        <v>2605919</v>
      </c>
    </row>
    <row r="5448" spans="1:6" ht="13.5" customHeight="1">
      <c r="A5448" s="4" t="s">
        <v>12453</v>
      </c>
      <c r="B5448" s="4" t="s">
        <v>12454</v>
      </c>
      <c r="C5448" s="4" t="str">
        <f ca="1">IFERROR(__xludf.DUMMYFUNCTION("GOOGLETRANSLATE(D:D,""auto"",""en"")"),"Dr Huang Wenjun died of pneumonia infecting new crown")</f>
        <v>Dr Huang Wenjun died of pneumonia infecting new crown</v>
      </c>
      <c r="D5448" s="5" t="s">
        <v>12455</v>
      </c>
      <c r="E5448" s="4">
        <v>1861511</v>
      </c>
      <c r="F5448">
        <v>1</v>
      </c>
    </row>
    <row r="5449" spans="1:6" ht="13.5" hidden="1" customHeight="1">
      <c r="A5449" s="4" t="s">
        <v>12456</v>
      </c>
      <c r="B5449" s="4" t="s">
        <v>12457</v>
      </c>
      <c r="C5449" s="4" t="str">
        <f ca="1">IFERROR(__xludf.DUMMYFUNCTION("GOOGLETRANSLATE(D:D,""auto"",""en"")"),"Soda fit")</f>
        <v>Soda fit</v>
      </c>
      <c r="D5449" s="5" t="s">
        <v>12458</v>
      </c>
      <c r="E5449" s="4">
        <v>1375902</v>
      </c>
    </row>
    <row r="5450" spans="1:6" ht="13.5" hidden="1" customHeight="1">
      <c r="A5450" s="4" t="s">
        <v>12063</v>
      </c>
      <c r="B5450" s="4" t="s">
        <v>12051</v>
      </c>
      <c r="C5450" s="4" t="str">
        <f ca="1">IFERROR(__xludf.DUMMYFUNCTION("GOOGLETRANSLATE(D:D,""auto"",""en"")"),"settle down")</f>
        <v>settle down</v>
      </c>
      <c r="D5450" s="5" t="s">
        <v>12064</v>
      </c>
      <c r="E5450" s="4">
        <v>1266203</v>
      </c>
    </row>
    <row r="5451" spans="1:6" ht="13.5" customHeight="1">
      <c r="A5451" s="4" t="s">
        <v>12459</v>
      </c>
      <c r="B5451" s="4" t="s">
        <v>12460</v>
      </c>
      <c r="C5451" s="4" t="str">
        <f ca="1">IFERROR(__xludf.DUMMYFUNCTION("GOOGLETRANSLATE(D:D,""auto"",""en"")"),"Zhong Nanshan said that top priority to identify new influenza and pneumonia crown")</f>
        <v>Zhong Nanshan said that top priority to identify new influenza and pneumonia crown</v>
      </c>
      <c r="D5451" s="5" t="s">
        <v>12461</v>
      </c>
      <c r="E5451" s="4">
        <v>974622</v>
      </c>
      <c r="F5451">
        <v>1</v>
      </c>
    </row>
    <row r="5452" spans="1:6" ht="13.5" hidden="1" customHeight="1">
      <c r="A5452" s="4" t="s">
        <v>12462</v>
      </c>
      <c r="B5452" s="4" t="s">
        <v>12463</v>
      </c>
      <c r="C5452" s="4" t="str">
        <f ca="1">IFERROR(__xludf.DUMMYFUNCTION("GOOGLETRANSLATE(D:D,""auto"",""en"")"),"Prevention and control is at the most critical stage of Chi Jin")</f>
        <v>Prevention and control is at the most critical stage of Chi Jin</v>
      </c>
      <c r="D5452" s="5" t="s">
        <v>12464</v>
      </c>
      <c r="E5452" s="4">
        <v>865536</v>
      </c>
    </row>
    <row r="5453" spans="1:6" ht="13.5" customHeight="1">
      <c r="A5453" s="4" t="s">
        <v>12465</v>
      </c>
      <c r="B5453" s="4" t="s">
        <v>12466</v>
      </c>
      <c r="C5453" s="4" t="str">
        <f ca="1">IFERROR(__xludf.DUMMYFUNCTION("GOOGLETRANSLATE(D:D,""auto"",""en"")"),"No time to get together and pick a mask")</f>
        <v>No time to get together and pick a mask</v>
      </c>
      <c r="D5453" s="5" t="s">
        <v>12467</v>
      </c>
      <c r="E5453" s="4">
        <v>838134</v>
      </c>
      <c r="F5453">
        <v>1</v>
      </c>
    </row>
    <row r="5454" spans="1:6" ht="13.5" customHeight="1">
      <c r="A5454" s="4" t="s">
        <v>12468</v>
      </c>
      <c r="B5454" s="4" t="s">
        <v>12469</v>
      </c>
      <c r="C5454" s="4" t="str">
        <f ca="1">IFERROR(__xludf.DUMMYFUNCTION("GOOGLETRANSLATE(D:D,""auto"",""en"")"),"Dr Huang Wenjun")</f>
        <v>Dr Huang Wenjun</v>
      </c>
      <c r="D5454" s="5" t="s">
        <v>12470</v>
      </c>
      <c r="E5454" s="4">
        <v>824814</v>
      </c>
      <c r="F5454">
        <v>1</v>
      </c>
    </row>
    <row r="5455" spans="1:6" ht="13.5" customHeight="1">
      <c r="A5455" s="4" t="s">
        <v>12471</v>
      </c>
      <c r="B5455" s="4" t="s">
        <v>12472</v>
      </c>
      <c r="C5455" s="4" t="str">
        <f ca="1">IFERROR(__xludf.DUMMYFUNCTION("GOOGLETRANSLATE(D:D,""auto"",""en"")"),"Wuhan district village administration will continue for 24 hours closed")</f>
        <v>Wuhan district village administration will continue for 24 hours closed</v>
      </c>
      <c r="D5455" s="5" t="s">
        <v>12473</v>
      </c>
      <c r="E5455" s="4">
        <v>812280</v>
      </c>
      <c r="F5455">
        <v>1</v>
      </c>
    </row>
    <row r="5456" spans="1:6" ht="13.5" hidden="1" customHeight="1">
      <c r="A5456" s="4" t="s">
        <v>12474</v>
      </c>
      <c r="B5456" s="4" t="s">
        <v>12475</v>
      </c>
      <c r="C5456" s="4" t="str">
        <f ca="1">IFERROR(__xludf.DUMMYFUNCTION("GOOGLETRANSLATE(D:D,""auto"",""en"")"),"Jacky Cheung Jay Chou after the storm")</f>
        <v>Jacky Cheung Jay Chou after the storm</v>
      </c>
      <c r="D5456" s="5" t="s">
        <v>12476</v>
      </c>
      <c r="E5456" s="4">
        <v>808342</v>
      </c>
    </row>
    <row r="5457" spans="1:6" ht="13.5" hidden="1" customHeight="1">
      <c r="A5457" s="4" t="s">
        <v>12477</v>
      </c>
      <c r="B5457" s="4" t="s">
        <v>12478</v>
      </c>
      <c r="C5457" s="4" t="str">
        <f ca="1">IFERROR(__xludf.DUMMYFUNCTION("GOOGLETRANSLATE(D:D,""auto"",""en"")"),"I'll wait for you in Beijing")</f>
        <v>I'll wait for you in Beijing</v>
      </c>
      <c r="D5457" s="5" t="s">
        <v>12479</v>
      </c>
      <c r="E5457" s="4">
        <v>807880</v>
      </c>
    </row>
    <row r="5458" spans="1:6" ht="13.5" customHeight="1">
      <c r="A5458" s="4" t="s">
        <v>12480</v>
      </c>
      <c r="B5458" s="4" t="s">
        <v>12345</v>
      </c>
      <c r="C5458" s="4" t="str">
        <f ca="1">IFERROR(__xludf.DUMMYFUNCTION("GOOGLETRANSLATE(D:D,""auto"",""en"")"),"Singapore women co-infected with dengue fever and pneumonia new crown")</f>
        <v>Singapore women co-infected with dengue fever and pneumonia new crown</v>
      </c>
      <c r="D5458" s="5" t="s">
        <v>12481</v>
      </c>
      <c r="E5458" s="4">
        <v>800975</v>
      </c>
      <c r="F5458">
        <v>1</v>
      </c>
    </row>
    <row r="5459" spans="1:6" ht="13.5" hidden="1" customHeight="1">
      <c r="A5459" s="4" t="s">
        <v>11378</v>
      </c>
      <c r="B5459" s="4" t="s">
        <v>11379</v>
      </c>
      <c r="C5459" s="4" t="str">
        <f ca="1">IFERROR(__xludf.DUMMYFUNCTION("GOOGLETRANSLATE(D:D,""auto"",""en"")"),"Perfect relationship")</f>
        <v>Perfect relationship</v>
      </c>
      <c r="D5459" s="5" t="s">
        <v>11380</v>
      </c>
      <c r="E5459" s="4">
        <v>799204</v>
      </c>
    </row>
    <row r="5460" spans="1:6" ht="13.5" customHeight="1">
      <c r="A5460" s="4" t="s">
        <v>12482</v>
      </c>
      <c r="B5460" s="4" t="s">
        <v>12483</v>
      </c>
      <c r="C5460" s="4" t="str">
        <f ca="1">IFERROR(__xludf.DUMMYFUNCTION("GOOGLETRANSLATE(D:D,""auto"",""en"")"),"They will spread the virus fart")</f>
        <v>They will spread the virus fart</v>
      </c>
      <c r="D5460" s="5" t="s">
        <v>12484</v>
      </c>
      <c r="E5460" s="4">
        <v>792914</v>
      </c>
      <c r="F5460">
        <v>1</v>
      </c>
    </row>
    <row r="5461" spans="1:6" ht="13.5" hidden="1" customHeight="1">
      <c r="A5461" s="4" t="s">
        <v>12485</v>
      </c>
      <c r="B5461" s="4" t="s">
        <v>12486</v>
      </c>
      <c r="C5461" s="4" t="str">
        <f ca="1">IFERROR(__xludf.DUMMYFUNCTION("GOOGLETRANSLATE(D:D,""auto"",""en"")"),"Zhang Meng")</f>
        <v>Zhang Meng</v>
      </c>
      <c r="D5461" s="5" t="s">
        <v>12487</v>
      </c>
      <c r="E5461" s="4">
        <v>789212</v>
      </c>
    </row>
    <row r="5462" spans="1:6" ht="13.5" hidden="1" customHeight="1">
      <c r="A5462" s="4" t="s">
        <v>12488</v>
      </c>
      <c r="B5462" s="4" t="s">
        <v>12472</v>
      </c>
      <c r="C5462" s="4" t="str">
        <f ca="1">IFERROR(__xludf.DUMMYFUNCTION("GOOGLETRANSLATE(D:D,""auto"",""en"")"),"Wang Yibo imitate Henan propaganda village")</f>
        <v>Wang Yibo imitate Henan propaganda village</v>
      </c>
      <c r="D5462" s="5" t="s">
        <v>12489</v>
      </c>
      <c r="E5462" s="4">
        <v>786464</v>
      </c>
    </row>
    <row r="5463" spans="1:6" ht="13.5" hidden="1" customHeight="1">
      <c r="A5463" s="4" t="s">
        <v>12490</v>
      </c>
      <c r="B5463" s="4" t="s">
        <v>12491</v>
      </c>
      <c r="C5463" s="4" t="str">
        <f ca="1">IFERROR(__xludf.DUMMYFUNCTION("GOOGLETRANSLATE(D:D,""auto"",""en"")"),"Military Games five foreign players are suffering from malaria")</f>
        <v>Military Games five foreign players are suffering from malaria</v>
      </c>
      <c r="D5463" s="5" t="s">
        <v>12492</v>
      </c>
      <c r="E5463" s="4">
        <v>779065</v>
      </c>
    </row>
    <row r="5464" spans="1:6" ht="13.5" hidden="1" customHeight="1">
      <c r="A5464" s="4" t="s">
        <v>12493</v>
      </c>
      <c r="B5464" s="4" t="s">
        <v>12494</v>
      </c>
      <c r="C5464" s="4" t="str">
        <f ca="1">IFERROR(__xludf.DUMMYFUNCTION("GOOGLETRANSLATE(D:D,""auto"",""en"")"),"I miss you sell a hundred herbs taste")</f>
        <v>I miss you sell a hundred herbs taste</v>
      </c>
      <c r="D5464" s="5" t="s">
        <v>12495</v>
      </c>
      <c r="E5464" s="4">
        <v>778963</v>
      </c>
    </row>
    <row r="5465" spans="1:6" ht="13.5" customHeight="1">
      <c r="A5465" s="4" t="s">
        <v>12496</v>
      </c>
      <c r="B5465" s="4" t="s">
        <v>12497</v>
      </c>
      <c r="C5465" s="4" t="str">
        <f ca="1">IFERROR(__xludf.DUMMYFUNCTION("GOOGLETRANSLATE(D:D,""auto"",""en"")"),"SARFT and then donated 15 Hubei TV rights")</f>
        <v>SARFT and then donated 15 Hubei TV rights</v>
      </c>
      <c r="D5465" s="5" t="s">
        <v>12498</v>
      </c>
      <c r="E5465" s="4">
        <v>767384</v>
      </c>
      <c r="F5465">
        <v>1</v>
      </c>
    </row>
    <row r="5466" spans="1:6" ht="13.5" hidden="1" customHeight="1">
      <c r="A5466" s="4" t="s">
        <v>12499</v>
      </c>
      <c r="B5466" s="4" t="s">
        <v>12500</v>
      </c>
      <c r="C5466" s="4" t="str">
        <f ca="1">IFERROR(__xludf.DUMMYFUNCTION("GOOGLETRANSLATE(D:D,""auto"",""en"")"),"Luo Jin Xu aunt")</f>
        <v>Luo Jin Xu aunt</v>
      </c>
      <c r="D5466" s="5" t="s">
        <v>12501</v>
      </c>
      <c r="E5466" s="4">
        <v>750368</v>
      </c>
    </row>
    <row r="5467" spans="1:6" ht="13.5" customHeight="1">
      <c r="A5467" s="4" t="s">
        <v>12502</v>
      </c>
      <c r="B5467" s="4" t="s">
        <v>12503</v>
      </c>
      <c r="C5467" s="4" t="str">
        <f ca="1">IFERROR(__xludf.DUMMYFUNCTION("GOOGLETRANSLATE(D:D,""auto"",""en"")"),"Italy's new crown pneumonia epidemic")</f>
        <v>Italy's new crown pneumonia epidemic</v>
      </c>
      <c r="D5467" s="5" t="s">
        <v>12504</v>
      </c>
      <c r="E5467" s="4">
        <v>728853</v>
      </c>
      <c r="F5467">
        <v>1</v>
      </c>
    </row>
    <row r="5468" spans="1:6" ht="13.5" hidden="1" customHeight="1">
      <c r="A5468" s="4" t="s">
        <v>12505</v>
      </c>
      <c r="B5468" s="4" t="s">
        <v>12506</v>
      </c>
      <c r="C5468" s="4" t="str">
        <f ca="1">IFERROR(__xludf.DUMMYFUNCTION("GOOGLETRANSLATE(D:D,""auto"",""en"")"),"Tao Roujia Dad")</f>
        <v>Tao Roujia Dad</v>
      </c>
      <c r="D5468" s="5" t="s">
        <v>12507</v>
      </c>
      <c r="E5468" s="4">
        <v>713486</v>
      </c>
    </row>
    <row r="5469" spans="1:6" ht="13.5" hidden="1" customHeight="1">
      <c r="A5469" s="4" t="s">
        <v>12508</v>
      </c>
      <c r="B5469" s="4" t="s">
        <v>12509</v>
      </c>
      <c r="C5469" s="4" t="str">
        <f ca="1">IFERROR(__xludf.DUMMYFUNCTION("GOOGLETRANSLATE(D:D,""auto"",""en"")"),"Lin Ling Case")</f>
        <v>Lin Ling Case</v>
      </c>
      <c r="D5469" s="5" t="s">
        <v>12510</v>
      </c>
      <c r="E5469" s="4">
        <v>697010</v>
      </c>
    </row>
    <row r="5470" spans="1:6" ht="13.5" hidden="1" customHeight="1">
      <c r="A5470" s="4" t="s">
        <v>12496</v>
      </c>
      <c r="B5470" s="4" t="s">
        <v>12511</v>
      </c>
      <c r="C5470" s="4" t="str">
        <f ca="1">IFERROR(__xludf.DUMMYFUNCTION("GOOGLETRANSLATE(D:D,""auto"",""en"")"),"Li Yi Feng oxygen mask kiss")</f>
        <v>Li Yi Feng oxygen mask kiss</v>
      </c>
      <c r="D5470" s="5" t="s">
        <v>12512</v>
      </c>
      <c r="E5470" s="4">
        <v>669104</v>
      </c>
    </row>
    <row r="5471" spans="1:6" ht="13.5" hidden="1" customHeight="1">
      <c r="A5471" s="4" t="s">
        <v>12513</v>
      </c>
      <c r="B5471" s="4" t="s">
        <v>12514</v>
      </c>
      <c r="C5471" s="4" t="str">
        <f ca="1">IFERROR(__xludf.DUMMYFUNCTION("GOOGLETRANSLATE(D:D,""auto"",""en"")"),"Disney Dreams are human magic mirror")</f>
        <v>Disney Dreams are human magic mirror</v>
      </c>
      <c r="D5471" s="5" t="s">
        <v>12515</v>
      </c>
      <c r="E5471" s="4">
        <v>637857</v>
      </c>
    </row>
    <row r="5472" spans="1:6" ht="13.5" hidden="1" customHeight="1">
      <c r="A5472" s="4" t="s">
        <v>6090</v>
      </c>
      <c r="B5472" s="4" t="s">
        <v>6091</v>
      </c>
      <c r="C5472" s="4" t="str">
        <f ca="1">IFERROR(__xludf.DUMMYFUNCTION("GOOGLETRANSLATE(D:D,""auto"",""en"")"),"Japan")</f>
        <v>Japan</v>
      </c>
      <c r="D5472" s="5" t="s">
        <v>6092</v>
      </c>
      <c r="E5472" s="4">
        <v>603820</v>
      </c>
    </row>
    <row r="5473" spans="1:6" ht="13.5" customHeight="1">
      <c r="A5473" s="4" t="s">
        <v>12516</v>
      </c>
      <c r="B5473" s="4" t="s">
        <v>12517</v>
      </c>
      <c r="C5473" s="4" t="str">
        <f ca="1">IFERROR(__xludf.DUMMYFUNCTION("GOOGLETRANSLATE(D:D,""auto"",""en"")"),"South Korea and nearly half of new cases of cult-related")</f>
        <v>South Korea and nearly half of new cases of cult-related</v>
      </c>
      <c r="D5473" s="5" t="s">
        <v>12518</v>
      </c>
      <c r="E5473" s="4">
        <v>570468</v>
      </c>
      <c r="F5473">
        <v>1</v>
      </c>
    </row>
    <row r="5474" spans="1:6" ht="13.5" customHeight="1">
      <c r="A5474" s="4" t="s">
        <v>12519</v>
      </c>
      <c r="B5474" s="4" t="s">
        <v>12486</v>
      </c>
      <c r="C5474" s="4" t="str">
        <f ca="1">IFERROR(__xludf.DUMMYFUNCTION("GOOGLETRANSLATE(D:D,""auto"",""en"")"),"Yunnan, a macaque stroll the streets are isolated")</f>
        <v>Yunnan, a macaque stroll the streets are isolated</v>
      </c>
      <c r="D5474" s="5" t="s">
        <v>12520</v>
      </c>
      <c r="E5474" s="4">
        <v>479480</v>
      </c>
      <c r="F5474">
        <v>1</v>
      </c>
    </row>
    <row r="5475" spans="1:6" ht="13.5" customHeight="1">
      <c r="A5475" s="4" t="s">
        <v>12521</v>
      </c>
      <c r="B5475" s="4" t="s">
        <v>12522</v>
      </c>
      <c r="C5475" s="4" t="str">
        <f ca="1">IFERROR(__xludf.DUMMYFUNCTION("GOOGLETRANSLATE(D:D,""auto"",""en"")"),"Skewer shop return to work one day to sell 6,000 strings")</f>
        <v>Skewer shop return to work one day to sell 6,000 strings</v>
      </c>
      <c r="D5475" s="5" t="s">
        <v>12523</v>
      </c>
      <c r="E5475" s="4">
        <v>419698</v>
      </c>
      <c r="F5475">
        <v>1</v>
      </c>
    </row>
    <row r="5476" spans="1:6" ht="13.5" hidden="1" customHeight="1">
      <c r="A5476" s="4" t="s">
        <v>1209</v>
      </c>
      <c r="B5476" s="4" t="s">
        <v>1210</v>
      </c>
      <c r="C5476" s="4" t="str">
        <f ca="1">IFERROR(__xludf.DUMMYFUNCTION("GOOGLETRANSLATE(D:D,""auto"",""en"")"),"Every day")</f>
        <v>Every day</v>
      </c>
      <c r="D5476" s="5" t="s">
        <v>1211</v>
      </c>
      <c r="E5476" s="4">
        <v>408508</v>
      </c>
    </row>
    <row r="5477" spans="1:6" ht="13.5" customHeight="1">
      <c r="A5477" s="4" t="s">
        <v>12524</v>
      </c>
      <c r="B5477" s="4" t="s">
        <v>12525</v>
      </c>
      <c r="C5477" s="4" t="str">
        <f ca="1">IFERROR(__xludf.DUMMYFUNCTION("GOOGLETRANSLATE(D:D,""auto"",""en"")"),"Iran canceled the national sports events")</f>
        <v>Iran canceled the national sports events</v>
      </c>
      <c r="D5477" s="5" t="s">
        <v>12526</v>
      </c>
      <c r="E5477" s="4">
        <v>401543</v>
      </c>
      <c r="F5477">
        <v>1</v>
      </c>
    </row>
    <row r="5478" spans="1:6" ht="13.5" hidden="1" customHeight="1">
      <c r="A5478" s="4" t="s">
        <v>12527</v>
      </c>
      <c r="B5478" s="4" t="s">
        <v>12528</v>
      </c>
      <c r="C5478" s="4" t="str">
        <f ca="1">IFERROR(__xludf.DUMMYFUNCTION("GOOGLETRANSLATE(D:D,""auto"",""en"")"),"Dunhuang in the end how beautiful")</f>
        <v>Dunhuang in the end how beautiful</v>
      </c>
      <c r="D5478" s="5" t="s">
        <v>12529</v>
      </c>
      <c r="E5478" s="4">
        <v>393848</v>
      </c>
    </row>
    <row r="5479" spans="1:6" ht="13.5" hidden="1" customHeight="1">
      <c r="A5479" s="4" t="s">
        <v>12530</v>
      </c>
      <c r="B5479" s="4" t="s">
        <v>12531</v>
      </c>
      <c r="C5479" s="4" t="str">
        <f ca="1">IFERROR(__xludf.DUMMYFUNCTION("GOOGLETRANSLATE(D:D,""auto"",""en"")"),"Frontline medical pay levels increased by 2 times")</f>
        <v>Frontline medical pay levels increased by 2 times</v>
      </c>
      <c r="D5479" s="5" t="s">
        <v>12532</v>
      </c>
      <c r="E5479" s="4">
        <v>369763</v>
      </c>
    </row>
    <row r="5480" spans="1:6" ht="13.5" customHeight="1">
      <c r="A5480" s="4" t="s">
        <v>12533</v>
      </c>
      <c r="B5480" s="4" t="s">
        <v>12534</v>
      </c>
      <c r="C5480" s="4" t="str">
        <f ca="1">IFERROR(__xludf.DUMMYFUNCTION("GOOGLETRANSLATE(D:D,""auto"",""en"")"),"29-year-old female doctor killed the whole family became a doctor")</f>
        <v>29-year-old female doctor killed the whole family became a doctor</v>
      </c>
      <c r="D5480" s="5" t="s">
        <v>12535</v>
      </c>
      <c r="E5480" s="4">
        <v>349592</v>
      </c>
      <c r="F5480">
        <v>1</v>
      </c>
    </row>
    <row r="5481" spans="1:6" ht="13.5" hidden="1" customHeight="1">
      <c r="A5481" s="4" t="s">
        <v>12536</v>
      </c>
      <c r="B5481" s="4" t="s">
        <v>12380</v>
      </c>
      <c r="C5481" s="4" t="str">
        <f ca="1">IFERROR(__xludf.DUMMYFUNCTION("GOOGLETRANSLATE(D:D,""auto"",""en"")"),"Sun Li do brown rice cake")</f>
        <v>Sun Li do brown rice cake</v>
      </c>
      <c r="D5481" s="5" t="s">
        <v>12537</v>
      </c>
      <c r="E5481" s="4">
        <v>349386</v>
      </c>
    </row>
    <row r="5482" spans="1:6" ht="13.5" hidden="1" customHeight="1">
      <c r="A5482" s="4" t="s">
        <v>12538</v>
      </c>
      <c r="B5482" s="4" t="s">
        <v>12539</v>
      </c>
      <c r="C5482" s="4" t="str">
        <f ca="1">IFERROR(__xludf.DUMMYFUNCTION("GOOGLETRANSLATE(D:D,""auto"",""en"")"),"Donate 3000 pounds of bacon cooking methods also donated")</f>
        <v>Donate 3000 pounds of bacon cooking methods also donated</v>
      </c>
      <c r="D5482" s="5" t="s">
        <v>12540</v>
      </c>
      <c r="E5482" s="4">
        <v>330133</v>
      </c>
    </row>
    <row r="5483" spans="1:6" ht="13.5" hidden="1" customHeight="1">
      <c r="A5483" s="4" t="s">
        <v>12541</v>
      </c>
      <c r="B5483" s="4" t="s">
        <v>12542</v>
      </c>
      <c r="C5483" s="4" t="str">
        <f ca="1">IFERROR(__xludf.DUMMYFUNCTION("GOOGLETRANSLATE(D:D,""auto"",""en"")"),"The real cause of weight gain during the Chinese New Year")</f>
        <v>The real cause of weight gain during the Chinese New Year</v>
      </c>
      <c r="D5483" s="5" t="s">
        <v>12543</v>
      </c>
      <c r="E5483" s="4">
        <v>326229</v>
      </c>
    </row>
    <row r="5484" spans="1:6" ht="13.5" hidden="1" customHeight="1">
      <c r="A5484" s="4" t="s">
        <v>12544</v>
      </c>
      <c r="B5484" s="4" t="s">
        <v>12545</v>
      </c>
      <c r="C5484" s="4" t="str">
        <f ca="1">IFERROR(__xludf.DUMMYFUNCTION("GOOGLETRANSLATE(D:D,""auto"",""en"")"),"Southern vegetable market service too in place")</f>
        <v>Southern vegetable market service too in place</v>
      </c>
      <c r="D5484" s="5" t="s">
        <v>12546</v>
      </c>
      <c r="E5484" s="4">
        <v>320052</v>
      </c>
    </row>
    <row r="5485" spans="1:6" ht="13.5" hidden="1" customHeight="1">
      <c r="A5485" s="4" t="s">
        <v>12547</v>
      </c>
      <c r="B5485" s="4" t="s">
        <v>12454</v>
      </c>
      <c r="C5485" s="4" t="str">
        <f ca="1">IFERROR(__xludf.DUMMYFUNCTION("GOOGLETRANSLATE(D:D,""auto"",""en"")"),"Andy lyrics pay tribute to medical staff")</f>
        <v>Andy lyrics pay tribute to medical staff</v>
      </c>
      <c r="D5485" s="5" t="s">
        <v>12548</v>
      </c>
      <c r="E5485" s="4">
        <v>309228</v>
      </c>
    </row>
    <row r="5486" spans="1:6" ht="13.5" hidden="1" customHeight="1">
      <c r="A5486" s="4" t="s">
        <v>12549</v>
      </c>
      <c r="B5486" s="4" t="s">
        <v>12550</v>
      </c>
      <c r="C5486" s="4" t="str">
        <f ca="1">IFERROR(__xludf.DUMMYFUNCTION("GOOGLETRANSLATE(D:D,""auto"",""en"")"),"Lego designer before the death of Knut Anderson")</f>
        <v>Lego designer before the death of Knut Anderson</v>
      </c>
      <c r="D5486" s="5" t="s">
        <v>12551</v>
      </c>
      <c r="E5486" s="4">
        <v>282764</v>
      </c>
    </row>
    <row r="5487" spans="1:6" ht="13.5" hidden="1" customHeight="1">
      <c r="A5487" s="4" t="s">
        <v>12552</v>
      </c>
      <c r="B5487" s="4" t="s">
        <v>12553</v>
      </c>
      <c r="C5487" s="4" t="str">
        <f ca="1">IFERROR(__xludf.DUMMYFUNCTION("GOOGLETRANSLATE(D:D,""auto"",""en"")"),"The new dating of the General Assembly Yuen")</f>
        <v>The new dating of the General Assembly Yuen</v>
      </c>
      <c r="D5487" s="5" t="s">
        <v>12554</v>
      </c>
      <c r="E5487" s="4">
        <v>276252</v>
      </c>
    </row>
    <row r="5488" spans="1:6" ht="13.5" hidden="1" customHeight="1">
      <c r="A5488" s="4" t="s">
        <v>12555</v>
      </c>
      <c r="B5488" s="4" t="s">
        <v>12556</v>
      </c>
      <c r="C5488" s="4" t="str">
        <f ca="1">IFERROR(__xludf.DUMMYFUNCTION("GOOGLETRANSLATE(D:D,""auto"",""en"")"),"News Feeds")</f>
        <v>News Feeds</v>
      </c>
      <c r="D5488" s="5" t="s">
        <v>12557</v>
      </c>
      <c r="E5488" s="4">
        <v>271029</v>
      </c>
    </row>
    <row r="5489" spans="1:6" ht="13.5" hidden="1" customHeight="1">
      <c r="A5489" s="4" t="s">
        <v>12533</v>
      </c>
      <c r="B5489" s="4" t="s">
        <v>12558</v>
      </c>
      <c r="C5489" s="4" t="str">
        <f ca="1">IFERROR(__xludf.DUMMYFUNCTION("GOOGLETRANSLATE(D:D,""auto"",""en"")"),"Volunteers Wang Yong")</f>
        <v>Volunteers Wang Yong</v>
      </c>
      <c r="D5489" s="5" t="s">
        <v>12559</v>
      </c>
      <c r="E5489" s="4">
        <v>268458</v>
      </c>
    </row>
    <row r="5490" spans="1:6" ht="13.5" hidden="1" customHeight="1">
      <c r="A5490" s="4" t="s">
        <v>12560</v>
      </c>
      <c r="B5490" s="4" t="s">
        <v>12561</v>
      </c>
      <c r="C5490" s="4" t="str">
        <f ca="1">IFERROR(__xludf.DUMMYFUNCTION("GOOGLETRANSLATE(D:D,""auto"",""en"")"),"Wu Lei debut")</f>
        <v>Wu Lei debut</v>
      </c>
      <c r="D5490" s="5" t="s">
        <v>12562</v>
      </c>
      <c r="E5490" s="4">
        <v>268141</v>
      </c>
    </row>
    <row r="5491" spans="1:6" ht="13.5" hidden="1" customHeight="1">
      <c r="A5491" s="4" t="s">
        <v>12563</v>
      </c>
      <c r="B5491" s="4" t="s">
        <v>12564</v>
      </c>
      <c r="C5491" s="4" t="str">
        <f ca="1">IFERROR(__xludf.DUMMYFUNCTION("GOOGLETRANSLATE(D:D,""auto"",""en"")"),"Korea")</f>
        <v>Korea</v>
      </c>
      <c r="D5491" s="5" t="s">
        <v>12565</v>
      </c>
      <c r="E5491" s="4">
        <v>268066</v>
      </c>
    </row>
    <row r="5492" spans="1:6" ht="13.5" customHeight="1">
      <c r="A5492" s="4" t="s">
        <v>12566</v>
      </c>
      <c r="B5492" s="4" t="s">
        <v>12567</v>
      </c>
      <c r="C5492" s="4" t="str">
        <f ca="1">IFERROR(__xludf.DUMMYFUNCTION("GOOGLETRANSLATE(D:D,""auto"",""en"")"),"The doctor shook hands one hour to comfort patients")</f>
        <v>The doctor shook hands one hour to comfort patients</v>
      </c>
      <c r="D5492" s="5" t="s">
        <v>12568</v>
      </c>
      <c r="E5492" s="4">
        <v>258170</v>
      </c>
      <c r="F5492">
        <v>1</v>
      </c>
    </row>
    <row r="5493" spans="1:6" ht="13.5" customHeight="1">
      <c r="A5493" s="4" t="s">
        <v>12569</v>
      </c>
      <c r="B5493" s="4" t="s">
        <v>12570</v>
      </c>
      <c r="C5493" s="4" t="str">
        <f ca="1">IFERROR(__xludf.DUMMYFUNCTION("GOOGLETRANSLATE(D:D,""auto"",""en"")"),"Cinema ready to return to work")</f>
        <v>Cinema ready to return to work</v>
      </c>
      <c r="D5493" s="5" t="s">
        <v>12571</v>
      </c>
      <c r="E5493" s="4">
        <v>212826</v>
      </c>
      <c r="F5493">
        <v>1</v>
      </c>
    </row>
    <row r="5494" spans="1:6" ht="13.5" customHeight="1">
      <c r="A5494" s="4" t="s">
        <v>12572</v>
      </c>
      <c r="B5494" s="4" t="s">
        <v>12573</v>
      </c>
      <c r="C5494" s="4" t="str">
        <f ca="1">IFERROR(__xludf.DUMMYFUNCTION("GOOGLETRANSLATE(D:D,""auto"",""en"")"),"South Korean Prime Minister announced that the epidemic enters a critical situation")</f>
        <v>South Korean Prime Minister announced that the epidemic enters a critical situation</v>
      </c>
      <c r="D5494" s="5" t="s">
        <v>12574</v>
      </c>
      <c r="E5494" s="4">
        <v>165113</v>
      </c>
      <c r="F5494">
        <v>1</v>
      </c>
    </row>
    <row r="5495" spans="1:6" ht="13.5" hidden="1" customHeight="1">
      <c r="A5495" s="4" t="s">
        <v>12575</v>
      </c>
      <c r="B5495" s="4" t="s">
        <v>12576</v>
      </c>
      <c r="C5495" s="4" t="str">
        <f ca="1">IFERROR(__xludf.DUMMYFUNCTION("GOOGLETRANSLATE(D:D,""auto"",""en"")"),"Over 5,000 people yesterday flocked to the West Lake Broken Bridge")</f>
        <v>Over 5,000 people yesterday flocked to the West Lake Broken Bridge</v>
      </c>
      <c r="D5495" s="5" t="s">
        <v>12577</v>
      </c>
      <c r="E5495" s="4">
        <v>162831</v>
      </c>
    </row>
    <row r="5496" spans="1:6" ht="13.5" hidden="1" customHeight="1">
      <c r="C5496" s="4" t="str">
        <f ca="1">IFERROR(__xludf.DUMMYFUNCTION("GOOGLETRANSLATE(D:D,""auto"",""en"")"),"#VALUE!")</f>
        <v>#VALUE!</v>
      </c>
    </row>
    <row r="5497" spans="1:6" ht="13.5" hidden="1" customHeight="1">
      <c r="A5497" s="4" t="s">
        <v>12578</v>
      </c>
      <c r="B5497" s="4" t="s">
        <v>12579</v>
      </c>
      <c r="C5497" s="4" t="str">
        <f ca="1">IFERROR(__xludf.DUMMYFUNCTION("GOOGLETRANSLATE(D:D,""auto"",""en"")"),"Wugongshan full of tourists issued an emergency notice")</f>
        <v>Wugongshan full of tourists issued an emergency notice</v>
      </c>
      <c r="D5497" s="4" t="s">
        <v>12580</v>
      </c>
      <c r="E5497" s="4">
        <v>3126235</v>
      </c>
    </row>
    <row r="5498" spans="1:6" ht="13.5" customHeight="1">
      <c r="A5498" s="4" t="s">
        <v>12581</v>
      </c>
      <c r="B5498" s="4" t="s">
        <v>12582</v>
      </c>
      <c r="C5498" s="4" t="str">
        <f ca="1">IFERROR(__xludf.DUMMYFUNCTION("GOOGLETRANSLATE(D:D,""auto"",""en"")"),"24 new cases nationwide to 0")</f>
        <v>24 new cases nationwide to 0</v>
      </c>
      <c r="D5498" s="5" t="s">
        <v>12583</v>
      </c>
      <c r="E5498" s="4">
        <v>1876574</v>
      </c>
      <c r="F5498">
        <v>1</v>
      </c>
    </row>
    <row r="5499" spans="1:6" ht="13.5" hidden="1" customHeight="1">
      <c r="A5499" s="4" t="s">
        <v>12584</v>
      </c>
      <c r="B5499" s="4" t="s">
        <v>12585</v>
      </c>
      <c r="C5499" s="4" t="str">
        <f ca="1">IFERROR(__xludf.DUMMYFUNCTION("GOOGLETRANSLATE(D:D,""auto"",""en"")"),"To drop out of this semester to relax the credit limit in Korean Students")</f>
        <v>To drop out of this semester to relax the credit limit in Korean Students</v>
      </c>
      <c r="D5499" s="5" t="s">
        <v>12586</v>
      </c>
      <c r="E5499" s="4">
        <v>1847042</v>
      </c>
    </row>
    <row r="5500" spans="1:6" ht="13.5" hidden="1" customHeight="1">
      <c r="A5500" s="4" t="s">
        <v>12587</v>
      </c>
      <c r="B5500" s="4" t="s">
        <v>12588</v>
      </c>
      <c r="C5500" s="4" t="str">
        <f ca="1">IFERROR(__xludf.DUMMYFUNCTION("GOOGLETRANSLATE(D:D,""auto"",""en"")"),"Li Jiaqi issued")</f>
        <v>Li Jiaqi issued</v>
      </c>
      <c r="D5500" s="5" t="s">
        <v>12589</v>
      </c>
      <c r="E5500" s="4">
        <v>1767923</v>
      </c>
    </row>
    <row r="5501" spans="1:6" ht="13.5" hidden="1" customHeight="1">
      <c r="A5501" s="4" t="s">
        <v>10930</v>
      </c>
      <c r="B5501" s="4" t="s">
        <v>10931</v>
      </c>
      <c r="C5501" s="4" t="str">
        <f ca="1">IFERROR(__xludf.DUMMYFUNCTION("GOOGLETRANSLATE(D:D,""auto"",""en"")"),"Learning through collapse")</f>
        <v>Learning through collapse</v>
      </c>
      <c r="D5501" s="5" t="s">
        <v>10932</v>
      </c>
      <c r="E5501" s="4">
        <v>1446879</v>
      </c>
    </row>
    <row r="5502" spans="1:6" ht="13.5" customHeight="1">
      <c r="A5502" s="4" t="s">
        <v>12447</v>
      </c>
      <c r="B5502" s="4" t="s">
        <v>12590</v>
      </c>
      <c r="C5502" s="4" t="str">
        <f ca="1">IFERROR(__xludf.DUMMYFUNCTION("GOOGLETRANSLATE(D:D,""auto"",""en"")"),"The impact of the epidemic on the Chinese economy is temporary and short-term")</f>
        <v>The impact of the epidemic on the Chinese economy is temporary and short-term</v>
      </c>
      <c r="D5502" s="5" t="s">
        <v>12591</v>
      </c>
      <c r="E5502" s="4">
        <v>1299922</v>
      </c>
      <c r="F5502">
        <v>1</v>
      </c>
    </row>
    <row r="5503" spans="1:6" ht="13.5" customHeight="1">
      <c r="A5503" s="4" t="s">
        <v>12447</v>
      </c>
      <c r="B5503" s="4" t="s">
        <v>12592</v>
      </c>
      <c r="C5503" s="4" t="str">
        <f ca="1">IFERROR(__xludf.DUMMYFUNCTION("GOOGLETRANSLATE(D:D,""auto"",""en"")"),"The national total of 77,150 cases of pneumonia diagnosed with the new crown")</f>
        <v>The national total of 77,150 cases of pneumonia diagnosed with the new crown</v>
      </c>
      <c r="D5503" s="5" t="s">
        <v>12593</v>
      </c>
      <c r="E5503" s="4">
        <v>1085711</v>
      </c>
      <c r="F5503">
        <v>1</v>
      </c>
    </row>
    <row r="5504" spans="1:6" ht="13.5" customHeight="1">
      <c r="A5504" s="4" t="s">
        <v>12594</v>
      </c>
      <c r="B5504" s="4" t="s">
        <v>12595</v>
      </c>
      <c r="C5504" s="4" t="str">
        <f ca="1">IFERROR(__xludf.DUMMYFUNCTION("GOOGLETRANSLATE(D:D,""auto"",""en"")"),"A six isolation expires 14 days after four people diagnosed")</f>
        <v>A six isolation expires 14 days after four people diagnosed</v>
      </c>
      <c r="D5504" s="5" t="s">
        <v>12596</v>
      </c>
      <c r="E5504" s="4">
        <v>1074926</v>
      </c>
      <c r="F5504">
        <v>1</v>
      </c>
    </row>
    <row r="5505" spans="1:6" ht="13.5" hidden="1" customHeight="1">
      <c r="A5505" s="4" t="s">
        <v>12597</v>
      </c>
      <c r="B5505" s="4" t="s">
        <v>12598</v>
      </c>
      <c r="C5505" s="4" t="str">
        <f ca="1">IFERROR(__xludf.DUMMYFUNCTION("GOOGLETRANSLATE(D:D,""auto"",""en"")"),"February")</f>
        <v>February</v>
      </c>
      <c r="D5505" s="5" t="s">
        <v>12599</v>
      </c>
      <c r="E5505" s="4">
        <v>1073297</v>
      </c>
    </row>
    <row r="5506" spans="1:6" ht="13.5" hidden="1" customHeight="1">
      <c r="A5506" s="4" t="s">
        <v>12447</v>
      </c>
      <c r="B5506" s="4" t="s">
        <v>12448</v>
      </c>
      <c r="C5506" s="4" t="str">
        <f ca="1">IFERROR(__xludf.DUMMYFUNCTION("GOOGLETRANSLATE(D:D,""auto"",""en"")"),"28 years ago, Southern Medical cracked the case of the girls were killed")</f>
        <v>28 years ago, Southern Medical cracked the case of the girls were killed</v>
      </c>
      <c r="D5506" s="5" t="s">
        <v>12449</v>
      </c>
      <c r="E5506" s="4">
        <v>1072299</v>
      </c>
    </row>
    <row r="5507" spans="1:6" ht="13.5" hidden="1" customHeight="1">
      <c r="A5507" s="4" t="s">
        <v>12600</v>
      </c>
      <c r="B5507" s="4" t="s">
        <v>12601</v>
      </c>
      <c r="C5507" s="4" t="str">
        <f ca="1">IFERROR(__xludf.DUMMYFUNCTION("GOOGLETRANSLATE(D:D,""auto"",""en"")"),"A total ban on illegal wildlife trade")</f>
        <v>A total ban on illegal wildlife trade</v>
      </c>
      <c r="D5507" s="5" t="s">
        <v>12602</v>
      </c>
      <c r="E5507" s="4">
        <v>1070281</v>
      </c>
    </row>
    <row r="5508" spans="1:6" ht="13.5" customHeight="1">
      <c r="A5508" s="4" t="s">
        <v>12603</v>
      </c>
      <c r="B5508" s="4" t="s">
        <v>12604</v>
      </c>
      <c r="C5508" s="4" t="str">
        <f ca="1">IFERROR(__xludf.DUMMYFUNCTION("GOOGLETRANSLATE(D:D,""auto"",""en"")"),"Hubei to be promoted reuse of four first-line cadres fight against SARS")</f>
        <v>Hubei to be promoted reuse of four first-line cadres fight against SARS</v>
      </c>
      <c r="D5508" s="5" t="s">
        <v>12605</v>
      </c>
      <c r="E5508" s="4">
        <v>1067680</v>
      </c>
      <c r="F5508">
        <v>1</v>
      </c>
    </row>
    <row r="5509" spans="1:6" ht="13.5" customHeight="1">
      <c r="A5509" s="4" t="s">
        <v>12606</v>
      </c>
      <c r="B5509" s="4" t="s">
        <v>12607</v>
      </c>
      <c r="C5509" s="4" t="str">
        <f ca="1">IFERROR(__xludf.DUMMYFUNCTION("GOOGLETRANSLATE(D:D,""auto"",""en"")"),"And more down new crown pneumonia epidemic emergency response level")</f>
        <v>And more down new crown pneumonia epidemic emergency response level</v>
      </c>
      <c r="D5509" s="5" t="s">
        <v>12608</v>
      </c>
      <c r="E5509" s="4">
        <v>1064936</v>
      </c>
      <c r="F5509">
        <v>1</v>
      </c>
    </row>
    <row r="5510" spans="1:6" ht="13.5" customHeight="1">
      <c r="A5510" s="4" t="s">
        <v>12609</v>
      </c>
      <c r="B5510" s="4" t="s">
        <v>12519</v>
      </c>
      <c r="C5510" s="4" t="str">
        <f ca="1">IFERROR(__xludf.DUMMYFUNCTION("GOOGLETRANSLATE(D:D,""auto"",""en"")"),"It is adjusted in response to a two Guangdong")</f>
        <v>It is adjusted in response to a two Guangdong</v>
      </c>
      <c r="D5510" s="5" t="s">
        <v>12610</v>
      </c>
      <c r="E5510" s="4">
        <v>1063123</v>
      </c>
      <c r="F5510">
        <v>1</v>
      </c>
    </row>
    <row r="5511" spans="1:6" ht="13.5" customHeight="1">
      <c r="A5511" s="4" t="s">
        <v>12611</v>
      </c>
      <c r="B5511" s="4" t="s">
        <v>12612</v>
      </c>
      <c r="C5511" s="4" t="str">
        <f ca="1">IFERROR(__xludf.DUMMYFUNCTION("GOOGLETRANSLATE(D:D,""auto"",""en"")"),"Japan confirmed a total of 838 cases of pneumonia new crown")</f>
        <v>Japan confirmed a total of 838 cases of pneumonia new crown</v>
      </c>
      <c r="D5511" s="5" t="s">
        <v>12613</v>
      </c>
      <c r="E5511" s="4">
        <v>1062545</v>
      </c>
      <c r="F5511">
        <v>1</v>
      </c>
    </row>
    <row r="5512" spans="1:6" ht="13.5" hidden="1" customHeight="1">
      <c r="A5512" s="4" t="s">
        <v>12614</v>
      </c>
      <c r="B5512" s="4" t="s">
        <v>12615</v>
      </c>
      <c r="C5512" s="4" t="str">
        <f ca="1">IFERROR(__xludf.DUMMYFUNCTION("GOOGLETRANSLATE(D:D,""auto"",""en"")"),"Xie Na belly")</f>
        <v>Xie Na belly</v>
      </c>
      <c r="D5512" s="5" t="s">
        <v>12616</v>
      </c>
      <c r="E5512" s="4">
        <v>1059592</v>
      </c>
    </row>
    <row r="5513" spans="1:6" ht="13.5" hidden="1" customHeight="1">
      <c r="A5513" s="4" t="s">
        <v>12617</v>
      </c>
      <c r="B5513" s="4" t="s">
        <v>12618</v>
      </c>
      <c r="C5513" s="4" t="str">
        <f ca="1">IFERROR(__xludf.DUMMYFUNCTION("GOOGLETRANSLATE(D:D,""auto"",""en"")"),"Zhou Jun Wei Hidetoshi know early marriage")</f>
        <v>Zhou Jun Wei Hidetoshi know early marriage</v>
      </c>
      <c r="D5513" s="5" t="s">
        <v>12619</v>
      </c>
      <c r="E5513" s="4">
        <v>1057877</v>
      </c>
    </row>
    <row r="5514" spans="1:6" ht="13.5" hidden="1" customHeight="1">
      <c r="A5514" s="4" t="s">
        <v>12620</v>
      </c>
      <c r="B5514" s="4" t="s">
        <v>12621</v>
      </c>
      <c r="C5514" s="4" t="str">
        <f ca="1">IFERROR(__xludf.DUMMYFUNCTION("GOOGLETRANSLATE(D:D,""auto"",""en"")"),"Lin Ling")</f>
        <v>Lin Ling</v>
      </c>
      <c r="D5514" s="5" t="s">
        <v>12622</v>
      </c>
      <c r="E5514" s="4">
        <v>1055038</v>
      </c>
    </row>
    <row r="5515" spans="1:6" ht="13.5" hidden="1" customHeight="1">
      <c r="A5515" s="4" t="s">
        <v>887</v>
      </c>
      <c r="B5515" s="4" t="s">
        <v>888</v>
      </c>
      <c r="C5515" s="4" t="str">
        <f ca="1">IFERROR(__xludf.DUMMYFUNCTION("GOOGLETRANSLATE(D:D,""auto"",""en"")"),"Wu Lei shave")</f>
        <v>Wu Lei shave</v>
      </c>
      <c r="D5515" s="5" t="s">
        <v>889</v>
      </c>
      <c r="E5515" s="4">
        <v>1054691</v>
      </c>
    </row>
    <row r="5516" spans="1:6" ht="13.5" hidden="1" customHeight="1">
      <c r="A5516" s="4" t="s">
        <v>12623</v>
      </c>
      <c r="B5516" s="4" t="s">
        <v>12624</v>
      </c>
      <c r="C5516" s="4" t="str">
        <f ca="1">IFERROR(__xludf.DUMMYFUNCTION("GOOGLETRANSLATE(D:D,""auto"",""en"")"),"Clouds cake")</f>
        <v>Clouds cake</v>
      </c>
      <c r="D5516" s="5" t="s">
        <v>12625</v>
      </c>
      <c r="E5516" s="4">
        <v>871971</v>
      </c>
    </row>
    <row r="5517" spans="1:6" ht="13.5" hidden="1" customHeight="1">
      <c r="A5517" s="4" t="s">
        <v>12626</v>
      </c>
      <c r="B5517" s="4" t="s">
        <v>12607</v>
      </c>
      <c r="C5517" s="4" t="str">
        <f ca="1">IFERROR(__xludf.DUMMYFUNCTION("GOOGLETRANSLATE(D:D,""auto"",""en"")"),"Arctic methane")</f>
        <v>Arctic methane</v>
      </c>
      <c r="D5517" s="5" t="s">
        <v>12627</v>
      </c>
      <c r="E5517" s="4">
        <v>786004</v>
      </c>
    </row>
    <row r="5518" spans="1:6" ht="13.5" hidden="1" customHeight="1">
      <c r="A5518" s="4" t="s">
        <v>12628</v>
      </c>
      <c r="B5518" s="4" t="s">
        <v>12519</v>
      </c>
      <c r="C5518" s="4" t="str">
        <f ca="1">IFERROR(__xludf.DUMMYFUNCTION("GOOGLETRANSLATE(D:D,""auto"",""en"")"),"Following Ma Steel")</f>
        <v>Following Ma Steel</v>
      </c>
      <c r="D5518" s="5" t="s">
        <v>12629</v>
      </c>
      <c r="E5518" s="4">
        <v>754614</v>
      </c>
    </row>
    <row r="5519" spans="1:6" ht="13.5" hidden="1" customHeight="1">
      <c r="A5519" s="4" t="s">
        <v>12630</v>
      </c>
      <c r="B5519" s="4" t="s">
        <v>12624</v>
      </c>
      <c r="C5519" s="4" t="str">
        <f ca="1">IFERROR(__xludf.DUMMYFUNCTION("GOOGLETRANSLATE(D:D,""auto"",""en"")"),"Heilongjiang provisions barber shop every reception 1 person")</f>
        <v>Heilongjiang provisions barber shop every reception 1 person</v>
      </c>
      <c r="D5519" s="5" t="s">
        <v>12631</v>
      </c>
      <c r="E5519" s="4">
        <v>666345</v>
      </c>
    </row>
    <row r="5520" spans="1:6" ht="13.5" hidden="1" customHeight="1">
      <c r="A5520" s="4" t="s">
        <v>12632</v>
      </c>
      <c r="B5520" s="4" t="s">
        <v>12633</v>
      </c>
      <c r="C5520" s="4" t="str">
        <f ca="1">IFERROR(__xludf.DUMMYFUNCTION("GOOGLETRANSLATE(D:D,""auto"",""en"")"),"In order books nipple ring")</f>
        <v>In order books nipple ring</v>
      </c>
      <c r="D5520" s="5" t="s">
        <v>12634</v>
      </c>
      <c r="E5520" s="4">
        <v>633830</v>
      </c>
    </row>
    <row r="5521" spans="1:6" ht="13.5" hidden="1" customHeight="1">
      <c r="A5521" s="4" t="s">
        <v>12635</v>
      </c>
      <c r="B5521" s="4" t="s">
        <v>12480</v>
      </c>
      <c r="C5521" s="4" t="str">
        <f ca="1">IFERROR(__xludf.DUMMYFUNCTION("GOOGLETRANSLATE(D:D,""auto"",""en"")"),"It was the most painful experience physically once")</f>
        <v>It was the most painful experience physically once</v>
      </c>
      <c r="D5521" s="5" t="s">
        <v>12636</v>
      </c>
      <c r="E5521" s="4">
        <v>524551</v>
      </c>
    </row>
    <row r="5522" spans="1:6" ht="13.5" customHeight="1">
      <c r="A5522" s="4" t="s">
        <v>12637</v>
      </c>
      <c r="B5522" s="4" t="s">
        <v>12638</v>
      </c>
      <c r="C5522" s="4" t="str">
        <f ca="1">IFERROR(__xludf.DUMMYFUNCTION("GOOGLETRANSLATE(D:D,""auto"",""en"")"),"Astronomy dean Han-day crown new dioxin infection pneumonia")</f>
        <v>Astronomy dean Han-day crown new dioxin infection pneumonia</v>
      </c>
      <c r="D5522" s="5" t="s">
        <v>12639</v>
      </c>
      <c r="E5522" s="4">
        <v>499975</v>
      </c>
      <c r="F5522">
        <v>1</v>
      </c>
    </row>
    <row r="5523" spans="1:6" ht="13.5" hidden="1" customHeight="1">
      <c r="A5523" s="4" t="s">
        <v>12640</v>
      </c>
      <c r="B5523" s="4" t="s">
        <v>12641</v>
      </c>
      <c r="C5523" s="4" t="str">
        <f ca="1">IFERROR(__xludf.DUMMYFUNCTION("GOOGLETRANSLATE(D:D,""auto"",""en"")"),"10-year-old girl parents every day to deliver meals bus driver")</f>
        <v>10-year-old girl parents every day to deliver meals bus driver</v>
      </c>
      <c r="D5523" s="5" t="s">
        <v>12642</v>
      </c>
      <c r="E5523" s="4">
        <v>498396</v>
      </c>
    </row>
    <row r="5524" spans="1:6" ht="13.5" hidden="1" customHeight="1">
      <c r="A5524" s="4" t="s">
        <v>12643</v>
      </c>
      <c r="B5524" s="4" t="s">
        <v>12644</v>
      </c>
      <c r="C5524" s="4" t="str">
        <f ca="1">IFERROR(__xludf.DUMMYFUNCTION("GOOGLETRANSLATE(D:D,""auto"",""en"")"),"How to cure girls smile")</f>
        <v>How to cure girls smile</v>
      </c>
      <c r="D5524" s="5" t="s">
        <v>12645</v>
      </c>
      <c r="E5524" s="4">
        <v>462287</v>
      </c>
    </row>
    <row r="5525" spans="1:6" ht="13.5" hidden="1" customHeight="1">
      <c r="A5525" s="4" t="s">
        <v>12637</v>
      </c>
      <c r="B5525" s="4" t="s">
        <v>12646</v>
      </c>
      <c r="C5525" s="4" t="str">
        <f ca="1">IFERROR(__xludf.DUMMYFUNCTION("GOOGLETRANSLATE(D:D,""auto"",""en"")"),"A cloud ga fan club")</f>
        <v>A cloud ga fan club</v>
      </c>
      <c r="D5525" s="5" t="s">
        <v>12647</v>
      </c>
      <c r="E5525" s="4">
        <v>436307</v>
      </c>
    </row>
    <row r="5526" spans="1:6" ht="13.5" customHeight="1">
      <c r="A5526" s="4" t="s">
        <v>12648</v>
      </c>
      <c r="B5526" s="4" t="s">
        <v>12649</v>
      </c>
      <c r="C5526" s="4" t="str">
        <f ca="1">IFERROR(__xludf.DUMMYFUNCTION("GOOGLETRANSLATE(D:D,""auto"",""en"")"),"E doctor colleague aid for stitching up wounds hair")</f>
        <v>E doctor colleague aid for stitching up wounds hair</v>
      </c>
      <c r="D5526" s="5" t="s">
        <v>12650</v>
      </c>
      <c r="E5526" s="4">
        <v>413895</v>
      </c>
      <c r="F5526">
        <v>1</v>
      </c>
    </row>
    <row r="5527" spans="1:6" ht="13.5" hidden="1" customHeight="1">
      <c r="A5527" s="4" t="s">
        <v>12651</v>
      </c>
      <c r="B5527" s="4" t="s">
        <v>12652</v>
      </c>
      <c r="C5527" s="4" t="str">
        <f ca="1">IFERROR(__xludf.DUMMYFUNCTION("GOOGLETRANSLATE(D:D,""auto"",""en"")"),"The army sent 25 soldiers to go to Thailand to participate in joint exercise")</f>
        <v>The army sent 25 soldiers to go to Thailand to participate in joint exercise</v>
      </c>
      <c r="D5527" s="5" t="s">
        <v>12653</v>
      </c>
      <c r="E5527" s="4">
        <v>404568</v>
      </c>
    </row>
    <row r="5528" spans="1:6" ht="13.5" hidden="1" customHeight="1">
      <c r="A5528" s="4" t="s">
        <v>9371</v>
      </c>
      <c r="B5528" s="4" t="s">
        <v>9372</v>
      </c>
      <c r="C5528" s="4" t="str">
        <f ca="1">IFERROR(__xludf.DUMMYFUNCTION("GOOGLETRANSLATE(D:D,""auto"",""en"")"),"stock market")</f>
        <v>stock market</v>
      </c>
      <c r="D5528" s="5" t="s">
        <v>9373</v>
      </c>
      <c r="E5528" s="4">
        <v>394936</v>
      </c>
    </row>
    <row r="5529" spans="1:6" ht="13.5" hidden="1" customHeight="1">
      <c r="A5529" s="4" t="s">
        <v>12609</v>
      </c>
      <c r="B5529" s="4" t="s">
        <v>12654</v>
      </c>
      <c r="C5529" s="4" t="str">
        <f ca="1">IFERROR(__xludf.DUMMYFUNCTION("GOOGLETRANSLATE(D:D,""auto"",""en"")"),"Department who respond to the problem of graduate employment")</f>
        <v>Department who respond to the problem of graduate employment</v>
      </c>
      <c r="D5529" s="5" t="s">
        <v>12655</v>
      </c>
      <c r="E5529" s="4">
        <v>377981</v>
      </c>
    </row>
    <row r="5530" spans="1:6" ht="13.5" hidden="1" customHeight="1">
      <c r="A5530" s="4" t="s">
        <v>12656</v>
      </c>
      <c r="B5530" s="4" t="s">
        <v>12657</v>
      </c>
      <c r="C5530" s="4" t="str">
        <f ca="1">IFERROR(__xludf.DUMMYFUNCTION("GOOGLETRANSLATE(D:D,""auto"",""en"")"),"Jieyang loud noise")</f>
        <v>Jieyang loud noise</v>
      </c>
      <c r="D5530" s="5" t="s">
        <v>12658</v>
      </c>
      <c r="E5530" s="4">
        <v>365384</v>
      </c>
    </row>
    <row r="5531" spans="1:6" ht="13.5" hidden="1" customHeight="1">
      <c r="A5531" s="4" t="s">
        <v>12659</v>
      </c>
      <c r="B5531" s="4" t="s">
        <v>12660</v>
      </c>
      <c r="C5531" s="4" t="str">
        <f ca="1">IFERROR(__xludf.DUMMYFUNCTION("GOOGLETRANSLATE(D:D,""auto"",""en"")"),"Japanese idol handshake")</f>
        <v>Japanese idol handshake</v>
      </c>
      <c r="D5531" s="5" t="s">
        <v>12661</v>
      </c>
      <c r="E5531" s="4">
        <v>365376</v>
      </c>
    </row>
    <row r="5532" spans="1:6" ht="13.5" customHeight="1">
      <c r="A5532" s="4" t="s">
        <v>12603</v>
      </c>
      <c r="B5532" s="4" t="s">
        <v>12592</v>
      </c>
      <c r="C5532" s="4" t="str">
        <f ca="1">IFERROR(__xludf.DUMMYFUNCTION("GOOGLETRANSLATE(D:D,""auto"",""en"")"),"Hubei new crown the new 398 cases of pneumonia")</f>
        <v>Hubei new crown the new 398 cases of pneumonia</v>
      </c>
      <c r="D5532" s="5" t="s">
        <v>12662</v>
      </c>
      <c r="E5532" s="4">
        <v>353466</v>
      </c>
      <c r="F5532">
        <v>1</v>
      </c>
    </row>
    <row r="5533" spans="1:6" ht="13.5" customHeight="1">
      <c r="A5533" s="4" t="s">
        <v>12663</v>
      </c>
      <c r="B5533" s="4" t="s">
        <v>12585</v>
      </c>
      <c r="C5533" s="4" t="str">
        <f ca="1">IFERROR(__xludf.DUMMYFUNCTION("GOOGLETRANSLATE(D:D,""auto"",""en"")"),"Han went to Israel pilgrimage group of 28 people newly diagnosed with pneumonia crown")</f>
        <v>Han went to Israel pilgrimage group of 28 people newly diagnosed with pneumonia crown</v>
      </c>
      <c r="D5533" s="5" t="s">
        <v>12664</v>
      </c>
      <c r="E5533" s="4">
        <v>310329</v>
      </c>
      <c r="F5533">
        <v>1</v>
      </c>
    </row>
    <row r="5534" spans="1:6" ht="13.5" customHeight="1">
      <c r="A5534" s="4" t="s">
        <v>12665</v>
      </c>
      <c r="B5534" s="4" t="s">
        <v>12615</v>
      </c>
      <c r="C5534" s="4" t="str">
        <f ca="1">IFERROR(__xludf.DUMMYFUNCTION("GOOGLETRANSLATE(D:D,""auto"",""en"")"),"South Korea confirmed a total of 763 cases of pneumonia new crown")</f>
        <v>South Korea confirmed a total of 763 cases of pneumonia new crown</v>
      </c>
      <c r="D5534" s="5" t="s">
        <v>12666</v>
      </c>
      <c r="E5534" s="4">
        <v>308847</v>
      </c>
      <c r="F5534">
        <v>1</v>
      </c>
    </row>
    <row r="5535" spans="1:6" ht="13.5" customHeight="1">
      <c r="A5535" s="4" t="s">
        <v>12667</v>
      </c>
      <c r="B5535" s="4" t="s">
        <v>12459</v>
      </c>
      <c r="C5535" s="4" t="str">
        <f ca="1">IFERROR(__xludf.DUMMYFUNCTION("GOOGLETRANSLATE(D:D,""auto"",""en"")"),"South Korea 11 soldiers diagnosed with pneumonia new crown")</f>
        <v>South Korea 11 soldiers diagnosed with pneumonia new crown</v>
      </c>
      <c r="D5535" s="5" t="s">
        <v>12668</v>
      </c>
      <c r="E5535" s="4">
        <v>281317</v>
      </c>
      <c r="F5535">
        <v>1</v>
      </c>
    </row>
    <row r="5536" spans="1:6" ht="13.5" customHeight="1">
      <c r="A5536" s="4" t="s">
        <v>12669</v>
      </c>
      <c r="B5536" s="4" t="s">
        <v>12670</v>
      </c>
      <c r="C5536" s="4" t="str">
        <f ca="1">IFERROR(__xludf.DUMMYFUNCTION("GOOGLETRANSLATE(D:D,""auto"",""en"")"),"Development and Reform Commission to respond masks availability")</f>
        <v>Development and Reform Commission to respond masks availability</v>
      </c>
      <c r="D5536" s="5" t="s">
        <v>12671</v>
      </c>
      <c r="E5536" s="4">
        <v>245841</v>
      </c>
      <c r="F5536">
        <v>1</v>
      </c>
    </row>
    <row r="5537" spans="1:6" ht="13.5" hidden="1" customHeight="1">
      <c r="A5537" s="4" t="s">
        <v>12594</v>
      </c>
      <c r="B5537" s="4" t="s">
        <v>12672</v>
      </c>
      <c r="C5537" s="4" t="str">
        <f ca="1">IFERROR(__xludf.DUMMYFUNCTION("GOOGLETRANSLATE(D:D,""auto"",""en"")"),"The game most want to weaken hero")</f>
        <v>The game most want to weaken hero</v>
      </c>
      <c r="D5537" s="5" t="s">
        <v>12673</v>
      </c>
      <c r="E5537" s="4">
        <v>223528</v>
      </c>
    </row>
    <row r="5538" spans="1:6" ht="13.5" hidden="1" customHeight="1">
      <c r="A5538" s="4" t="s">
        <v>12674</v>
      </c>
      <c r="B5538" s="4" t="s">
        <v>12672</v>
      </c>
      <c r="C5538" s="4" t="str">
        <f ca="1">IFERROR(__xludf.DUMMYFUNCTION("GOOGLETRANSLATE(D:D,""auto"",""en"")"),"Job market decline in demand")</f>
        <v>Job market decline in demand</v>
      </c>
      <c r="D5538" s="5" t="s">
        <v>12675</v>
      </c>
      <c r="E5538" s="4">
        <v>222471</v>
      </c>
    </row>
    <row r="5539" spans="1:6" ht="13.5" hidden="1" customHeight="1">
      <c r="A5539" s="4" t="s">
        <v>12581</v>
      </c>
      <c r="B5539" s="4" t="s">
        <v>12468</v>
      </c>
      <c r="C5539" s="4" t="str">
        <f ca="1">IFERROR(__xludf.DUMMYFUNCTION("GOOGLETRANSLATE(D:D,""auto"",""en"")"),"BokuOsamu范")</f>
        <v>BokuOsamu范</v>
      </c>
      <c r="D5539" s="5" t="s">
        <v>12676</v>
      </c>
      <c r="E5539" s="4">
        <v>213421</v>
      </c>
    </row>
    <row r="5540" spans="1:6" ht="13.5" hidden="1" customHeight="1">
      <c r="A5540" s="4" t="s">
        <v>12669</v>
      </c>
      <c r="B5540" s="4" t="s">
        <v>12533</v>
      </c>
      <c r="C5540" s="4" t="str">
        <f ca="1">IFERROR(__xludf.DUMMYFUNCTION("GOOGLETRANSLATE(D:D,""auto"",""en"")"),"February Barber do not get together")</f>
        <v>February Barber do not get together</v>
      </c>
      <c r="D5540" s="5" t="s">
        <v>12677</v>
      </c>
      <c r="E5540" s="4">
        <v>212288</v>
      </c>
    </row>
    <row r="5541" spans="1:6" ht="13.5" customHeight="1">
      <c r="A5541" s="4" t="s">
        <v>12678</v>
      </c>
      <c r="B5541" s="4" t="s">
        <v>12468</v>
      </c>
      <c r="C5541" s="4" t="str">
        <f ca="1">IFERROR(__xludf.DUMMYFUNCTION("GOOGLETRANSLATE(D:D,""auto"",""en"")"),"Beijing confirmed cases zero growth again")</f>
        <v>Beijing confirmed cases zero growth again</v>
      </c>
      <c r="D5541" s="5" t="s">
        <v>12679</v>
      </c>
      <c r="E5541" s="4">
        <v>210019</v>
      </c>
      <c r="F5541">
        <v>1</v>
      </c>
    </row>
    <row r="5542" spans="1:6" ht="13.5" hidden="1" customHeight="1">
      <c r="A5542" s="4" t="s">
        <v>12680</v>
      </c>
      <c r="B5542" s="4" t="s">
        <v>12681</v>
      </c>
      <c r="C5542" s="4" t="str">
        <f ca="1">IFERROR(__xludf.DUMMYFUNCTION("GOOGLETRANSLATE(D:D,""auto"",""en"")"),"Sonic the Hedgehog withdraw profile")</f>
        <v>Sonic the Hedgehog withdraw profile</v>
      </c>
      <c r="D5542" s="5" t="s">
        <v>12682</v>
      </c>
      <c r="E5542" s="4">
        <v>209992</v>
      </c>
    </row>
    <row r="5543" spans="1:6" ht="13.5" hidden="1" customHeight="1">
      <c r="A5543" s="4" t="s">
        <v>12683</v>
      </c>
      <c r="B5543" s="4" t="s">
        <v>12684</v>
      </c>
      <c r="C5543" s="4" t="str">
        <f ca="1">IFERROR(__xludf.DUMMYFUNCTION("GOOGLETRANSLATE(D:D,""auto"",""en"")"),"How stray animals wanted to be liked")</f>
        <v>How stray animals wanted to be liked</v>
      </c>
      <c r="D5543" s="5" t="s">
        <v>12685</v>
      </c>
      <c r="E5543" s="4">
        <v>209992</v>
      </c>
    </row>
    <row r="5544" spans="1:6" ht="13.5" customHeight="1">
      <c r="A5544" s="4" t="s">
        <v>12686</v>
      </c>
      <c r="B5544" s="4" t="s">
        <v>12687</v>
      </c>
      <c r="C5544" s="4" t="str">
        <f ca="1">IFERROR(__xludf.DUMMYFUNCTION("GOOGLETRANSLATE(D:D,""auto"",""en"")"),"Britain 4 Diamond Princess passengers confirmed")</f>
        <v>Britain 4 Diamond Princess passengers confirmed</v>
      </c>
      <c r="D5544" s="5" t="s">
        <v>12688</v>
      </c>
      <c r="E5544" s="4">
        <v>209991</v>
      </c>
      <c r="F5544">
        <v>1</v>
      </c>
    </row>
    <row r="5545" spans="1:6" ht="13.5" hidden="1" customHeight="1">
      <c r="A5545" s="4" t="s">
        <v>12669</v>
      </c>
      <c r="B5545" s="4" t="s">
        <v>12689</v>
      </c>
      <c r="C5545" s="4" t="str">
        <f ca="1">IFERROR(__xludf.DUMMYFUNCTION("GOOGLETRANSLATE(D:D,""auto"",""en"")"),"Bryant memorial service details")</f>
        <v>Bryant memorial service details</v>
      </c>
      <c r="D5545" s="5" t="s">
        <v>12690</v>
      </c>
      <c r="E5545" s="4">
        <v>207604</v>
      </c>
    </row>
    <row r="5546" spans="1:6" ht="13.5" hidden="1" customHeight="1">
      <c r="C5546" s="4" t="str">
        <f ca="1">IFERROR(__xludf.DUMMYFUNCTION("GOOGLETRANSLATE(D:D,""auto"",""en"")"),"#VALUE!")</f>
        <v>#VALUE!</v>
      </c>
    </row>
    <row r="5547" spans="1:6" ht="13.5" hidden="1" customHeight="1">
      <c r="A5547" s="4" t="s">
        <v>12691</v>
      </c>
      <c r="B5547" s="4" t="s">
        <v>12692</v>
      </c>
      <c r="C5547" s="4" t="str">
        <f ca="1">IFERROR(__xludf.DUMMYFUNCTION("GOOGLETRANSLATE(D:D,""auto"",""en"")"),"China is the only method proved successful")</f>
        <v>China is the only method proved successful</v>
      </c>
      <c r="D5547" s="4" t="s">
        <v>12693</v>
      </c>
      <c r="E5547" s="4">
        <v>3739596</v>
      </c>
    </row>
    <row r="5548" spans="1:6" ht="13.5" customHeight="1">
      <c r="A5548" s="4" t="s">
        <v>12694</v>
      </c>
      <c r="B5548" s="4" t="s">
        <v>12695</v>
      </c>
      <c r="C5548" s="4" t="str">
        <f ca="1">IFERROR(__xludf.DUMMYFUNCTION("GOOGLETRANSLATE(D:D,""auto"",""en"")"),"Taiwan's new crown of confirmed cases increased to 30 cases of pneumonia")</f>
        <v>Taiwan's new crown of confirmed cases increased to 30 cases of pneumonia</v>
      </c>
      <c r="D5548" s="5" t="s">
        <v>12696</v>
      </c>
      <c r="E5548" s="4">
        <v>1937941</v>
      </c>
      <c r="F5548">
        <v>1</v>
      </c>
    </row>
    <row r="5549" spans="1:6" ht="13.5" hidden="1" customHeight="1">
      <c r="A5549" s="4" t="s">
        <v>12063</v>
      </c>
      <c r="B5549" s="4" t="s">
        <v>12051</v>
      </c>
      <c r="C5549" s="4" t="str">
        <f ca="1">IFERROR(__xludf.DUMMYFUNCTION("GOOGLETRANSLATE(D:D,""auto"",""en"")"),"settle down")</f>
        <v>settle down</v>
      </c>
      <c r="D5549" s="5" t="s">
        <v>12064</v>
      </c>
      <c r="E5549" s="4">
        <v>1317056</v>
      </c>
    </row>
    <row r="5550" spans="1:6" ht="13.5" customHeight="1">
      <c r="A5550" s="4" t="s">
        <v>12697</v>
      </c>
      <c r="B5550" s="4" t="s">
        <v>12698</v>
      </c>
      <c r="C5550" s="4" t="str">
        <f ca="1">IFERROR(__xludf.DUMMYFUNCTION("GOOGLETRANSLATE(D:D,""auto"",""en"")"),"Chinese girl hair masks Tokyo street")</f>
        <v>Chinese girl hair masks Tokyo street</v>
      </c>
      <c r="D5550" s="5" t="s">
        <v>12699</v>
      </c>
      <c r="E5550" s="4">
        <v>1204953</v>
      </c>
      <c r="F5550">
        <v>1</v>
      </c>
    </row>
    <row r="5551" spans="1:6" ht="13.5" hidden="1" customHeight="1">
      <c r="A5551" s="4" t="s">
        <v>11378</v>
      </c>
      <c r="B5551" s="4" t="s">
        <v>11379</v>
      </c>
      <c r="C5551" s="4" t="str">
        <f ca="1">IFERROR(__xludf.DUMMYFUNCTION("GOOGLETRANSLATE(D:D,""auto"",""en"")"),"Perfect relationship")</f>
        <v>Perfect relationship</v>
      </c>
      <c r="D5551" s="5" t="s">
        <v>11380</v>
      </c>
      <c r="E5551" s="4">
        <v>1134884</v>
      </c>
    </row>
    <row r="5552" spans="1:6" ht="13.5" customHeight="1">
      <c r="A5552" s="4" t="s">
        <v>12700</v>
      </c>
      <c r="B5552" s="4" t="s">
        <v>12701</v>
      </c>
      <c r="C5552" s="4" t="str">
        <f ca="1">IFERROR(__xludf.DUMMYFUNCTION("GOOGLETRANSLATE(D:D,""auto"",""en"")"),"Zhong Nanshan was discharged again represents a very small possibility of infection")</f>
        <v>Zhong Nanshan was discharged again represents a very small possibility of infection</v>
      </c>
      <c r="D5552" s="5" t="s">
        <v>12702</v>
      </c>
      <c r="E5552" s="4">
        <v>1044642</v>
      </c>
      <c r="F5552">
        <v>1</v>
      </c>
    </row>
    <row r="5553" spans="1:6" ht="13.5" hidden="1" customHeight="1">
      <c r="A5553" s="4" t="s">
        <v>12703</v>
      </c>
      <c r="B5553" s="4" t="s">
        <v>12704</v>
      </c>
      <c r="C5553" s="4" t="str">
        <f ca="1">IFERROR(__xludf.DUMMYFUNCTION("GOOGLETRANSLATE(D:D,""auto"",""en"")"),"Xiaozhan haircut")</f>
        <v>Xiaozhan haircut</v>
      </c>
      <c r="D5553" s="5" t="s">
        <v>12705</v>
      </c>
      <c r="E5553" s="4">
        <v>815444</v>
      </c>
    </row>
    <row r="5554" spans="1:6" ht="13.5" hidden="1" customHeight="1">
      <c r="A5554" s="4" t="s">
        <v>12706</v>
      </c>
      <c r="B5554" s="4" t="s">
        <v>12707</v>
      </c>
      <c r="C5554" s="4" t="str">
        <f ca="1">IFERROR(__xludf.DUMMYFUNCTION("GOOGLETRANSLATE(D:D,""auto"",""en"")"),"Beijing Middle School exams postponed one week instead test at home")</f>
        <v>Beijing Middle School exams postponed one week instead test at home</v>
      </c>
      <c r="D5554" s="5" t="s">
        <v>12708</v>
      </c>
      <c r="E5554" s="4">
        <v>815441</v>
      </c>
    </row>
    <row r="5555" spans="1:6" ht="13.5" hidden="1" customHeight="1">
      <c r="A5555" s="4" t="s">
        <v>12709</v>
      </c>
      <c r="B5555" s="4" t="s">
        <v>12710</v>
      </c>
      <c r="C5555" s="4" t="str">
        <f ca="1">IFERROR(__xludf.DUMMYFUNCTION("GOOGLETRANSLATE(D:D,""auto"",""en"")"),"Chinese locust prevention and control work group arrived in Pakistan")</f>
        <v>Chinese locust prevention and control work group arrived in Pakistan</v>
      </c>
      <c r="D5555" s="5" t="s">
        <v>12711</v>
      </c>
      <c r="E5555" s="4">
        <v>815094</v>
      </c>
    </row>
    <row r="5556" spans="1:6" ht="13.5" hidden="1" customHeight="1">
      <c r="A5556" s="4" t="s">
        <v>12712</v>
      </c>
      <c r="B5556" s="4" t="s">
        <v>12713</v>
      </c>
      <c r="C5556" s="4" t="str">
        <f ca="1">IFERROR(__xludf.DUMMYFUNCTION("GOOGLETRANSLATE(D:D,""auto"",""en"")"),"Southern Medical female murder arrest scene")</f>
        <v>Southern Medical female murder arrest scene</v>
      </c>
      <c r="D5556" s="5" t="s">
        <v>12714</v>
      </c>
      <c r="E5556" s="4">
        <v>814755</v>
      </c>
    </row>
    <row r="5557" spans="1:6" ht="13.5" customHeight="1">
      <c r="A5557" s="4" t="s">
        <v>12715</v>
      </c>
      <c r="B5557" s="4" t="s">
        <v>12716</v>
      </c>
      <c r="C5557" s="4" t="str">
        <f ca="1">IFERROR(__xludf.DUMMYFUNCTION("GOOGLETRANSLATE(D:D,""auto"",""en"")"),"National infected medical staff over 90% from Hubei")</f>
        <v>National infected medical staff over 90% from Hubei</v>
      </c>
      <c r="D5557" s="5" t="s">
        <v>12717</v>
      </c>
      <c r="E5557" s="4">
        <v>814338</v>
      </c>
      <c r="F5557">
        <v>1</v>
      </c>
    </row>
    <row r="5558" spans="1:6" ht="13.5" customHeight="1">
      <c r="A5558" s="4" t="s">
        <v>12718</v>
      </c>
      <c r="B5558" s="4" t="s">
        <v>12719</v>
      </c>
      <c r="C5558" s="4" t="str">
        <f ca="1">IFERROR(__xludf.DUMMYFUNCTION("GOOGLETRANSLATE(D:D,""auto"",""en"")"),"Mission Impossible 7 due to the epidemic Tingpai Italy")</f>
        <v>Mission Impossible 7 due to the epidemic Tingpai Italy</v>
      </c>
      <c r="D5558" s="5" t="s">
        <v>12720</v>
      </c>
      <c r="E5558" s="4">
        <v>814100</v>
      </c>
      <c r="F5558">
        <v>1</v>
      </c>
    </row>
    <row r="5559" spans="1:6" ht="13.5" customHeight="1">
      <c r="A5559" s="4" t="s">
        <v>12721</v>
      </c>
      <c r="B5559" s="4" t="s">
        <v>12722</v>
      </c>
      <c r="C5559" s="4" t="str">
        <f ca="1">IFERROR(__xludf.DUMMYFUNCTION("GOOGLETRANSLATE(D:D,""auto"",""en"")"),"The new confirmed cases rose to 230 cases of pneumonia in Italy")</f>
        <v>The new confirmed cases rose to 230 cases of pneumonia in Italy</v>
      </c>
      <c r="D5559" s="5" t="s">
        <v>12723</v>
      </c>
      <c r="E5559" s="4">
        <v>813822</v>
      </c>
      <c r="F5559">
        <v>1</v>
      </c>
    </row>
    <row r="5560" spans="1:6" ht="13.5" customHeight="1">
      <c r="A5560" s="4" t="s">
        <v>12724</v>
      </c>
      <c r="B5560" s="4" t="s">
        <v>12725</v>
      </c>
      <c r="C5560" s="4" t="str">
        <f ca="1">IFERROR(__xludf.DUMMYFUNCTION("GOOGLETRANSLATE(D:D,""auto"",""en"")"),"University school before the epidemic is not under control")</f>
        <v>University school before the epidemic is not under control</v>
      </c>
      <c r="D5560" s="5" t="s">
        <v>12726</v>
      </c>
      <c r="E5560" s="4">
        <v>813330</v>
      </c>
      <c r="F5560">
        <v>1</v>
      </c>
    </row>
    <row r="5561" spans="1:6" ht="13.5" hidden="1" customHeight="1">
      <c r="A5561" s="4" t="s">
        <v>12727</v>
      </c>
      <c r="B5561" s="4" t="s">
        <v>12728</v>
      </c>
      <c r="C5561" s="4" t="str">
        <f ca="1">IFERROR(__xludf.DUMMYFUNCTION("GOOGLETRANSLATE(D:D,""auto"",""en"")"),"Slovak Prime Minister")</f>
        <v>Slovak Prime Minister</v>
      </c>
      <c r="D5561" s="5" t="s">
        <v>12729</v>
      </c>
      <c r="E5561" s="4">
        <v>813146</v>
      </c>
    </row>
    <row r="5562" spans="1:6" ht="13.5" hidden="1" customHeight="1">
      <c r="A5562" s="4" t="s">
        <v>12691</v>
      </c>
      <c r="B5562" s="4" t="s">
        <v>12730</v>
      </c>
      <c r="C5562" s="4" t="str">
        <f ca="1">IFERROR(__xludf.DUMMYFUNCTION("GOOGLETRANSLATE(D:D,""auto"",""en"")"),"South Korea Qingdao")</f>
        <v>South Korea Qingdao</v>
      </c>
      <c r="D5562" s="5" t="s">
        <v>12731</v>
      </c>
      <c r="E5562" s="4">
        <v>812755</v>
      </c>
    </row>
    <row r="5563" spans="1:6" ht="13.5" hidden="1" customHeight="1">
      <c r="A5563" s="4" t="s">
        <v>12732</v>
      </c>
      <c r="B5563" s="4" t="s">
        <v>12733</v>
      </c>
      <c r="C5563" s="4" t="str">
        <f ca="1">IFERROR(__xludf.DUMMYFUNCTION("GOOGLETRANSLATE(D:D,""auto"",""en"")"),"Stella divorce")</f>
        <v>Stella divorce</v>
      </c>
      <c r="D5563" s="5" t="s">
        <v>12734</v>
      </c>
      <c r="E5563" s="4">
        <v>812400</v>
      </c>
    </row>
    <row r="5564" spans="1:6" ht="13.5" customHeight="1">
      <c r="A5564" s="4" t="s">
        <v>12735</v>
      </c>
      <c r="B5564" s="4" t="s">
        <v>12736</v>
      </c>
      <c r="C5564" s="4" t="str">
        <f ca="1">IFERROR(__xludf.DUMMYFUNCTION("GOOGLETRANSLATE(D:D,""auto"",""en"")"),"Isolation ward met the doctor northeast")</f>
        <v>Isolation ward met the doctor northeast</v>
      </c>
      <c r="D5564" s="5" t="s">
        <v>12737</v>
      </c>
      <c r="E5564" s="4">
        <v>812125</v>
      </c>
      <c r="F5564">
        <v>1</v>
      </c>
    </row>
    <row r="5565" spans="1:6" ht="13.5" hidden="1" customHeight="1">
      <c r="A5565" s="4" t="s">
        <v>12697</v>
      </c>
      <c r="B5565" s="4" t="s">
        <v>12738</v>
      </c>
      <c r="C5565" s="4" t="str">
        <f ca="1">IFERROR(__xludf.DUMMYFUNCTION("GOOGLETRANSLATE(D:D,""auto"",""en"")"),"Song Joey eat snail powder")</f>
        <v>Song Joey eat snail powder</v>
      </c>
      <c r="D5565" s="5" t="s">
        <v>12739</v>
      </c>
      <c r="E5565" s="4">
        <v>812027</v>
      </c>
    </row>
    <row r="5566" spans="1:6" ht="13.5" hidden="1" customHeight="1">
      <c r="A5566" s="4" t="s">
        <v>12740</v>
      </c>
      <c r="B5566" s="4" t="s">
        <v>12741</v>
      </c>
      <c r="C5566" s="4" t="str">
        <f ca="1">IFERROR(__xludf.DUMMYFUNCTION("GOOGLETRANSLATE(D:D,""auto"",""en"")"),"Wang Zijian rub toilet")</f>
        <v>Wang Zijian rub toilet</v>
      </c>
      <c r="D5566" s="5" t="s">
        <v>12742</v>
      </c>
      <c r="E5566" s="4">
        <v>803880</v>
      </c>
    </row>
    <row r="5567" spans="1:6" ht="13.5" hidden="1" customHeight="1">
      <c r="A5567" s="4" t="s">
        <v>12743</v>
      </c>
      <c r="B5567" s="4" t="s">
        <v>12744</v>
      </c>
      <c r="C5567" s="4" t="str">
        <f ca="1">IFERROR(__xludf.DUMMYFUNCTION("GOOGLETRANSLATE(D:D,""auto"",""en"")"),"Chen Shu live")</f>
        <v>Chen Shu live</v>
      </c>
      <c r="D5567" s="5" t="s">
        <v>12745</v>
      </c>
      <c r="E5567" s="4">
        <v>768448</v>
      </c>
    </row>
    <row r="5568" spans="1:6" ht="13.5" hidden="1" customHeight="1">
      <c r="A5568" s="4" t="s">
        <v>12746</v>
      </c>
      <c r="B5568" s="4" t="s">
        <v>12747</v>
      </c>
      <c r="C5568" s="4" t="str">
        <f ca="1">IFERROR(__xludf.DUMMYFUNCTION("GOOGLETRANSLATE(D:D,""auto"",""en"")"),"Zhang Yu Jian deadpan")</f>
        <v>Zhang Yu Jian deadpan</v>
      </c>
      <c r="D5568" s="5" t="s">
        <v>12748</v>
      </c>
      <c r="E5568" s="4">
        <v>709484</v>
      </c>
    </row>
    <row r="5569" spans="1:6" ht="13.5" hidden="1" customHeight="1">
      <c r="A5569" s="4" t="s">
        <v>12749</v>
      </c>
      <c r="B5569" s="4" t="s">
        <v>12750</v>
      </c>
      <c r="C5569" s="4" t="str">
        <f ca="1">IFERROR(__xludf.DUMMYFUNCTION("GOOGLETRANSLATE(D:D,""auto"",""en"")"),"Since the fire a city with a drama")</f>
        <v>Since the fire a city with a drama</v>
      </c>
      <c r="D5569" s="5" t="s">
        <v>12751</v>
      </c>
      <c r="E5569" s="4">
        <v>682428</v>
      </c>
    </row>
    <row r="5570" spans="1:6" ht="13.5" hidden="1" customHeight="1">
      <c r="A5570" s="4" t="s">
        <v>12752</v>
      </c>
      <c r="B5570" s="4" t="s">
        <v>12695</v>
      </c>
      <c r="C5570" s="4" t="str">
        <f ca="1">IFERROR(__xludf.DUMMYFUNCTION("GOOGLETRANSLATE(D:D,""auto"",""en"")"),"Zhang Wei Dong Xiaopeng is played")</f>
        <v>Zhang Wei Dong Xiaopeng is played</v>
      </c>
      <c r="D5570" s="5" t="s">
        <v>12753</v>
      </c>
      <c r="E5570" s="4">
        <v>640378</v>
      </c>
    </row>
    <row r="5571" spans="1:6" ht="13.5" hidden="1" customHeight="1">
      <c r="A5571" s="4" t="s">
        <v>9016</v>
      </c>
      <c r="B5571" s="4" t="s">
        <v>12754</v>
      </c>
      <c r="C5571" s="4" t="str">
        <f ca="1">IFERROR(__xludf.DUMMYFUNCTION("GOOGLETRANSLATE(D:D,""auto"",""en"")"),"Huawei conference")</f>
        <v>Huawei conference</v>
      </c>
      <c r="D5571" s="5" t="s">
        <v>12755</v>
      </c>
      <c r="E5571" s="4">
        <v>622396</v>
      </c>
    </row>
    <row r="5572" spans="1:6" ht="13.5" hidden="1" customHeight="1">
      <c r="A5572" s="4" t="s">
        <v>9021</v>
      </c>
      <c r="B5572" s="4" t="s">
        <v>9022</v>
      </c>
      <c r="C5572" s="4" t="str">
        <f ca="1">IFERROR(__xludf.DUMMYFUNCTION("GOOGLETRANSLATE(D:D,""auto"",""en"")"),"Li Jiaqi live")</f>
        <v>Li Jiaqi live</v>
      </c>
      <c r="D5572" s="5" t="s">
        <v>9023</v>
      </c>
      <c r="E5572" s="4">
        <v>616228</v>
      </c>
    </row>
    <row r="5573" spans="1:6" ht="13.5" customHeight="1">
      <c r="A5573" s="4" t="s">
        <v>12706</v>
      </c>
      <c r="B5573" s="4" t="s">
        <v>12756</v>
      </c>
      <c r="C5573" s="4" t="str">
        <f ca="1">IFERROR(__xludf.DUMMYFUNCTION("GOOGLETRANSLATE(D:D,""auto"",""en"")"),"Network lesson learned real reason not to go")</f>
        <v>Network lesson learned real reason not to go</v>
      </c>
      <c r="D5573" s="5" t="s">
        <v>12757</v>
      </c>
      <c r="E5573" s="4">
        <v>531353</v>
      </c>
      <c r="F5573">
        <v>1</v>
      </c>
    </row>
    <row r="5574" spans="1:6" ht="13.5" hidden="1" customHeight="1">
      <c r="A5574" s="4" t="s">
        <v>12758</v>
      </c>
      <c r="B5574" s="4" t="s">
        <v>12759</v>
      </c>
      <c r="C5574" s="4" t="str">
        <f ca="1">IFERROR(__xludf.DUMMYFUNCTION("GOOGLETRANSLATE(D:D,""auto"",""en"")"),"Variety show in the pet star")</f>
        <v>Variety show in the pet star</v>
      </c>
      <c r="D5574" s="5" t="s">
        <v>12760</v>
      </c>
      <c r="E5574" s="4">
        <v>493476</v>
      </c>
    </row>
    <row r="5575" spans="1:6" ht="13.5" hidden="1" customHeight="1">
      <c r="A5575" s="4" t="s">
        <v>12761</v>
      </c>
      <c r="B5575" s="4" t="s">
        <v>12762</v>
      </c>
      <c r="C5575" s="4" t="str">
        <f ca="1">IFERROR(__xludf.DUMMYFUNCTION("GOOGLETRANSLATE(D:D,""auto"",""en"")"),"Ministry of Foreign Affairs three questions Wall Street Journal")</f>
        <v>Ministry of Foreign Affairs three questions Wall Street Journal</v>
      </c>
      <c r="D5575" s="5" t="s">
        <v>12763</v>
      </c>
      <c r="E5575" s="4">
        <v>453440</v>
      </c>
    </row>
    <row r="5576" spans="1:6" ht="13.5" hidden="1" customHeight="1">
      <c r="A5576" s="4" t="s">
        <v>12764</v>
      </c>
      <c r="B5576" s="4" t="s">
        <v>12765</v>
      </c>
      <c r="C5576" s="4" t="str">
        <f ca="1">IFERROR(__xludf.DUMMYFUNCTION("GOOGLETRANSLATE(D:D,""auto"",""en"")"),"Black and white version of the parasite Korea withdraw profile")</f>
        <v>Black and white version of the parasite Korea withdraw profile</v>
      </c>
      <c r="D5576" s="5" t="s">
        <v>12766</v>
      </c>
      <c r="E5576" s="4">
        <v>445531</v>
      </c>
    </row>
    <row r="5577" spans="1:6" ht="13.5" customHeight="1">
      <c r="A5577" s="4" t="s">
        <v>12709</v>
      </c>
      <c r="B5577" s="4" t="s">
        <v>12767</v>
      </c>
      <c r="C5577" s="4" t="str">
        <f ca="1">IFERROR(__xludf.DUMMYFUNCTION("GOOGLETRANSLATE(D:D,""auto"",""en"")"),"1 Italy confirmed cases among 50,000 people")</f>
        <v>1 Italy confirmed cases among 50,000 people</v>
      </c>
      <c r="D5577" s="5" t="s">
        <v>12768</v>
      </c>
      <c r="E5577" s="4">
        <v>428064</v>
      </c>
      <c r="F5577">
        <v>1</v>
      </c>
    </row>
    <row r="5578" spans="1:6" ht="13.5" customHeight="1">
      <c r="A5578" s="4" t="s">
        <v>12769</v>
      </c>
      <c r="B5578" s="4" t="s">
        <v>12770</v>
      </c>
      <c r="C5578" s="4" t="str">
        <f ca="1">IFERROR(__xludf.DUMMYFUNCTION("GOOGLETRANSLATE(D:D,""auto"",""en"")"),"Contemporary male artist home quarantine status")</f>
        <v>Contemporary male artist home quarantine status</v>
      </c>
      <c r="D5578" s="5" t="s">
        <v>12771</v>
      </c>
      <c r="E5578" s="4">
        <v>404131</v>
      </c>
      <c r="F5578">
        <v>1</v>
      </c>
    </row>
    <row r="5579" spans="1:6" ht="13.5" hidden="1" customHeight="1">
      <c r="A5579" s="4" t="s">
        <v>12772</v>
      </c>
      <c r="B5579" s="4" t="s">
        <v>12773</v>
      </c>
      <c r="C5579" s="4" t="str">
        <f ca="1">IFERROR(__xludf.DUMMYFUNCTION("GOOGLETRANSLATE(D:D,""auto"",""en"")"),"What is the good-looking girls hand experience")</f>
        <v>What is the good-looking girls hand experience</v>
      </c>
      <c r="D5579" s="5" t="s">
        <v>12774</v>
      </c>
      <c r="E5579" s="4">
        <v>378021</v>
      </c>
    </row>
    <row r="5580" spans="1:6" ht="13.5" hidden="1" customHeight="1">
      <c r="A5580" s="4" t="s">
        <v>12775</v>
      </c>
      <c r="B5580" s="4" t="s">
        <v>12776</v>
      </c>
      <c r="C5580" s="4" t="str">
        <f ca="1">IFERROR(__xludf.DUMMYFUNCTION("GOOGLETRANSLATE(D:D,""auto"",""en"")"),"Foreign Ministry spokesman's new")</f>
        <v>Foreign Ministry spokesman's new</v>
      </c>
      <c r="D5580" s="5" t="s">
        <v>12777</v>
      </c>
      <c r="E5580" s="4">
        <v>375406</v>
      </c>
    </row>
    <row r="5581" spans="1:6" ht="13.5" hidden="1" customHeight="1">
      <c r="A5581" s="4" t="s">
        <v>12778</v>
      </c>
      <c r="B5581" s="4" t="s">
        <v>12779</v>
      </c>
      <c r="C5581" s="4" t="str">
        <f ca="1">IFERROR(__xludf.DUMMYFUNCTION("GOOGLETRANSLATE(D:D,""auto"",""en"")"),"Seen the most amazing newspaper")</f>
        <v>Seen the most amazing newspaper</v>
      </c>
      <c r="D5581" s="5" t="s">
        <v>12780</v>
      </c>
      <c r="E5581" s="4">
        <v>374778</v>
      </c>
    </row>
    <row r="5582" spans="1:6" ht="13.5" hidden="1" customHeight="1">
      <c r="A5582" s="4" t="s">
        <v>12781</v>
      </c>
      <c r="B5582" s="4" t="s">
        <v>12782</v>
      </c>
      <c r="C5582" s="4" t="str">
        <f ca="1">IFERROR(__xludf.DUMMYFUNCTION("GOOGLETRANSLATE(D:D,""auto"",""en"")"),"When you are not too long exposure to English")</f>
        <v>When you are not too long exposure to English</v>
      </c>
      <c r="D5582" s="5" t="s">
        <v>12783</v>
      </c>
      <c r="E5582" s="4">
        <v>370078</v>
      </c>
    </row>
    <row r="5583" spans="1:6" ht="13.5" hidden="1" customHeight="1">
      <c r="A5583" s="4" t="s">
        <v>12703</v>
      </c>
      <c r="B5583" s="4" t="s">
        <v>12784</v>
      </c>
      <c r="C5583" s="4" t="str">
        <f ca="1">IFERROR(__xludf.DUMMYFUNCTION("GOOGLETRANSLATE(D:D,""auto"",""en"")"),"Not to respond too licensing of Jacky Heung Hayden")</f>
        <v>Not to respond too licensing of Jacky Heung Hayden</v>
      </c>
      <c r="D5583" s="5" t="s">
        <v>12785</v>
      </c>
      <c r="E5583" s="4">
        <v>347675</v>
      </c>
    </row>
    <row r="5584" spans="1:6" ht="13.5" hidden="1" customHeight="1">
      <c r="A5584" s="4" t="s">
        <v>12786</v>
      </c>
      <c r="B5584" s="4" t="s">
        <v>12787</v>
      </c>
      <c r="C5584" s="4" t="str">
        <f ca="1">IFERROR(__xludf.DUMMYFUNCTION("GOOGLETRANSLATE(D:D,""auto"",""en"")"),"US stocks fall")</f>
        <v>US stocks fall</v>
      </c>
      <c r="D5584" s="5" t="s">
        <v>12788</v>
      </c>
      <c r="E5584" s="4">
        <v>313041</v>
      </c>
    </row>
    <row r="5585" spans="1:6" ht="13.5" hidden="1" customHeight="1">
      <c r="A5585" s="4" t="s">
        <v>12789</v>
      </c>
      <c r="B5585" s="4" t="s">
        <v>12790</v>
      </c>
      <c r="C5585" s="4" t="str">
        <f ca="1">IFERROR(__xludf.DUMMYFUNCTION("GOOGLETRANSLATE(D:D,""auto"",""en"")"),"Annoying villain is not up")</f>
        <v>Annoying villain is not up</v>
      </c>
      <c r="D5585" s="5" t="s">
        <v>12791</v>
      </c>
      <c r="E5585" s="4">
        <v>311683</v>
      </c>
    </row>
    <row r="5586" spans="1:6" ht="13.5" hidden="1" customHeight="1">
      <c r="A5586" s="4" t="s">
        <v>12792</v>
      </c>
      <c r="B5586" s="4" t="s">
        <v>12793</v>
      </c>
      <c r="C5586" s="4" t="str">
        <f ca="1">IFERROR(__xludf.DUMMYFUNCTION("GOOGLETRANSLATE(D:D,""auto"",""en"")"),"Culture &amp; Tourism Ministry recently reminded not to travel to the United States")</f>
        <v>Culture &amp; Tourism Ministry recently reminded not to travel to the United States</v>
      </c>
      <c r="D5586" s="5" t="s">
        <v>12794</v>
      </c>
      <c r="E5586" s="4">
        <v>293056</v>
      </c>
    </row>
    <row r="5587" spans="1:6" ht="13.5" hidden="1" customHeight="1">
      <c r="A5587" s="4" t="s">
        <v>12795</v>
      </c>
      <c r="B5587" s="4" t="s">
        <v>12736</v>
      </c>
      <c r="C5587" s="4" t="str">
        <f ca="1">IFERROR(__xludf.DUMMYFUNCTION("GOOGLETRANSLATE(D:D,""auto"",""en"")"),"Why re-examination nucleic acid positive patients after discharge")</f>
        <v>Why re-examination nucleic acid positive patients after discharge</v>
      </c>
      <c r="D5587" s="5" t="s">
        <v>12796</v>
      </c>
      <c r="E5587" s="4">
        <v>271900</v>
      </c>
    </row>
    <row r="5588" spans="1:6" ht="13.5" hidden="1" customHeight="1">
      <c r="A5588" s="4" t="s">
        <v>12797</v>
      </c>
      <c r="B5588" s="4" t="s">
        <v>12798</v>
      </c>
      <c r="C5588" s="4" t="str">
        <f ca="1">IFERROR(__xludf.DUMMYFUNCTION("GOOGLETRANSLATE(D:D,""auto"",""en"")"),"Xu aunt rented room bright")</f>
        <v>Xu aunt rented room bright</v>
      </c>
      <c r="D5588" s="5" t="s">
        <v>12799</v>
      </c>
      <c r="E5588" s="4">
        <v>271831</v>
      </c>
    </row>
    <row r="5589" spans="1:6" ht="13.5" hidden="1" customHeight="1">
      <c r="A5589" s="4" t="s">
        <v>12758</v>
      </c>
      <c r="B5589" s="4" t="s">
        <v>12800</v>
      </c>
      <c r="C5589" s="4" t="str">
        <f ca="1">IFERROR(__xludf.DUMMYFUNCTION("GOOGLETRANSLATE(D:D,""auto"",""en"")"),"Grilled trotters quilt")</f>
        <v>Grilled trotters quilt</v>
      </c>
      <c r="D5589" s="5" t="s">
        <v>12801</v>
      </c>
      <c r="E5589" s="4">
        <v>267755</v>
      </c>
    </row>
    <row r="5590" spans="1:6" ht="13.5" customHeight="1">
      <c r="A5590" s="4" t="s">
        <v>12802</v>
      </c>
      <c r="B5590" s="4" t="s">
        <v>12803</v>
      </c>
      <c r="C5590" s="4" t="str">
        <f ca="1">IFERROR(__xludf.DUMMYFUNCTION("GOOGLETRANSLATE(D:D,""auto"",""en"")"),"The new crown viral pneumonia epidemic spread dynamics")</f>
        <v>The new crown viral pneumonia epidemic spread dynamics</v>
      </c>
      <c r="D5590" s="5" t="s">
        <v>12804</v>
      </c>
      <c r="E5590" s="4">
        <v>247438</v>
      </c>
      <c r="F5590">
        <v>1</v>
      </c>
    </row>
    <row r="5591" spans="1:6" ht="13.5" hidden="1" customHeight="1">
      <c r="A5591" s="4" t="s">
        <v>12805</v>
      </c>
      <c r="B5591" s="4" t="s">
        <v>12806</v>
      </c>
      <c r="C5591" s="4" t="str">
        <f ca="1">IFERROR(__xludf.DUMMYFUNCTION("GOOGLETRANSLATE(D:D,""auto"",""en"")"),"Peppers stuffed with meat")</f>
        <v>Peppers stuffed with meat</v>
      </c>
      <c r="D5591" s="5" t="s">
        <v>12807</v>
      </c>
      <c r="E5591" s="4">
        <v>243136</v>
      </c>
    </row>
    <row r="5592" spans="1:6" ht="13.5" hidden="1" customHeight="1">
      <c r="A5592" s="4" t="s">
        <v>12805</v>
      </c>
      <c r="B5592" s="4" t="s">
        <v>12808</v>
      </c>
      <c r="C5592" s="4" t="str">
        <f ca="1">IFERROR(__xludf.DUMMYFUNCTION("GOOGLETRANSLATE(D:D,""auto"",""en"")"),"Filmed most large sense photo")</f>
        <v>Filmed most large sense photo</v>
      </c>
      <c r="D5592" s="5" t="s">
        <v>12809</v>
      </c>
      <c r="E5592" s="4">
        <v>234806</v>
      </c>
    </row>
    <row r="5593" spans="1:6" ht="13.5" hidden="1" customHeight="1">
      <c r="A5593" s="4" t="s">
        <v>12706</v>
      </c>
      <c r="B5593" s="4" t="s">
        <v>12713</v>
      </c>
      <c r="C5593" s="4" t="str">
        <f ca="1">IFERROR(__xludf.DUMMYFUNCTION("GOOGLETRANSLATE(D:D,""auto"",""en"")"),"Neighbors fed Gouzi finale with the hanging pole")</f>
        <v>Neighbors fed Gouzi finale with the hanging pole</v>
      </c>
      <c r="D5593" s="5" t="s">
        <v>12810</v>
      </c>
      <c r="E5593" s="4">
        <v>234077</v>
      </c>
    </row>
    <row r="5594" spans="1:6" ht="13.5" customHeight="1">
      <c r="A5594" s="4" t="s">
        <v>12811</v>
      </c>
      <c r="B5594" s="4" t="s">
        <v>12812</v>
      </c>
      <c r="C5594" s="4" t="str">
        <f ca="1">IFERROR(__xludf.DUMMYFUNCTION("GOOGLETRANSLATE(D:D,""auto"",""en"")"),"Zhong Nanshan said that to maintain long-term prevention awareness")</f>
        <v>Zhong Nanshan said that to maintain long-term prevention awareness</v>
      </c>
      <c r="D5594" s="5" t="s">
        <v>12813</v>
      </c>
      <c r="E5594" s="4">
        <v>215005</v>
      </c>
      <c r="F5594">
        <v>1</v>
      </c>
    </row>
    <row r="5595" spans="1:6" ht="13.5" hidden="1" customHeight="1">
      <c r="A5595" s="4" t="s">
        <v>12811</v>
      </c>
      <c r="B5595" s="4" t="s">
        <v>12814</v>
      </c>
      <c r="C5595" s="4" t="str">
        <f ca="1">IFERROR(__xludf.DUMMYFUNCTION("GOOGLETRANSLATE(D:D,""auto"",""en"")"),"The difference between before and after haircut")</f>
        <v>The difference between before and after haircut</v>
      </c>
      <c r="D5595" s="5" t="s">
        <v>12815</v>
      </c>
      <c r="E5595" s="4">
        <v>193950</v>
      </c>
    </row>
    <row r="5596" spans="1:6" ht="13.5" hidden="1" customHeight="1">
      <c r="C5596" s="4" t="str">
        <f ca="1">IFERROR(__xludf.DUMMYFUNCTION("GOOGLETRANSLATE(D:D,""auto"",""en"")"),"#VALUE!")</f>
        <v>#VALUE!</v>
      </c>
    </row>
    <row r="5597" spans="1:6" ht="13.5" hidden="1" customHeight="1">
      <c r="A5597" s="4" t="s">
        <v>12816</v>
      </c>
      <c r="B5597" s="4" t="s">
        <v>12817</v>
      </c>
      <c r="C5597" s="4" t="str">
        <f ca="1">IFERROR(__xludf.DUMMYFUNCTION("GOOGLETRANSLATE(D:D,""auto"",""en"")"),"Bryant wife sued the company helicopter crash")</f>
        <v>Bryant wife sued the company helicopter crash</v>
      </c>
      <c r="D5597" s="4" t="s">
        <v>12818</v>
      </c>
      <c r="E5597" s="4">
        <v>3188262</v>
      </c>
    </row>
    <row r="5598" spans="1:6" ht="13.5" customHeight="1">
      <c r="A5598" s="4" t="s">
        <v>12819</v>
      </c>
      <c r="B5598" s="4" t="s">
        <v>12820</v>
      </c>
      <c r="C5598" s="4" t="str">
        <f ca="1">IFERROR(__xludf.DUMMYFUNCTION("GOOGLETRANSLATE(D:D,""auto"",""en"")"),"Medical protective masks daily output of 844 000")</f>
        <v>Medical protective masks daily output of 844 000</v>
      </c>
      <c r="D5598" s="5" t="s">
        <v>12821</v>
      </c>
      <c r="E5598" s="4">
        <v>2737795</v>
      </c>
      <c r="F5598">
        <v>1</v>
      </c>
    </row>
    <row r="5599" spans="1:6" ht="13.5" hidden="1" customHeight="1">
      <c r="A5599" s="4" t="s">
        <v>12822</v>
      </c>
      <c r="B5599" s="4" t="s">
        <v>12724</v>
      </c>
      <c r="C5599" s="4" t="str">
        <f ca="1">IFERROR(__xludf.DUMMYFUNCTION("GOOGLETRANSLATE(D:D,""auto"",""en"")"),"Jordan cried")</f>
        <v>Jordan cried</v>
      </c>
      <c r="D5599" s="5" t="s">
        <v>12823</v>
      </c>
      <c r="E5599" s="4">
        <v>2585925</v>
      </c>
    </row>
    <row r="5600" spans="1:6" ht="13.5" hidden="1" customHeight="1">
      <c r="A5600" s="4" t="s">
        <v>12824</v>
      </c>
      <c r="B5600" s="4" t="s">
        <v>12735</v>
      </c>
      <c r="C5600" s="4" t="str">
        <f ca="1">IFERROR(__xludf.DUMMYFUNCTION("GOOGLETRANSLATE(D:D,""auto"",""en"")"),"Nan Zhang Xuguang Han If your wedding")</f>
        <v>Nan Zhang Xuguang Han If your wedding</v>
      </c>
      <c r="D5600" s="5" t="s">
        <v>12825</v>
      </c>
      <c r="E5600" s="4">
        <v>2584716</v>
      </c>
    </row>
    <row r="5601" spans="1:6" ht="13.5" hidden="1" customHeight="1">
      <c r="A5601" s="4" t="s">
        <v>12563</v>
      </c>
      <c r="B5601" s="4" t="s">
        <v>12564</v>
      </c>
      <c r="C5601" s="4" t="str">
        <f ca="1">IFERROR(__xludf.DUMMYFUNCTION("GOOGLETRANSLATE(D:D,""auto"",""en"")"),"Korea")</f>
        <v>Korea</v>
      </c>
      <c r="D5601" s="5" t="s">
        <v>12565</v>
      </c>
      <c r="E5601" s="4">
        <v>2583399</v>
      </c>
    </row>
    <row r="5602" spans="1:6" ht="13.5" hidden="1" customHeight="1">
      <c r="A5602" s="4" t="s">
        <v>12826</v>
      </c>
      <c r="B5602" s="4" t="s">
        <v>12715</v>
      </c>
      <c r="C5602" s="4" t="str">
        <f ca="1">IFERROR(__xludf.DUMMYFUNCTION("GOOGLETRANSLATE(D:D,""auto"",""en"")"),"佟丽 娅演 skills")</f>
        <v>佟丽 娅演 skills</v>
      </c>
      <c r="D5602" s="5" t="s">
        <v>12827</v>
      </c>
      <c r="E5602" s="4">
        <v>2017584</v>
      </c>
    </row>
    <row r="5603" spans="1:6" ht="13.5" customHeight="1">
      <c r="A5603" s="4" t="s">
        <v>12828</v>
      </c>
      <c r="B5603" s="4" t="s">
        <v>12735</v>
      </c>
      <c r="C5603" s="4" t="str">
        <f ca="1">IFERROR(__xludf.DUMMYFUNCTION("GOOGLETRANSLATE(D:D,""auto"",""en"")"),"Wuhan Hua Yuchen volunteers")</f>
        <v>Wuhan Hua Yuchen volunteers</v>
      </c>
      <c r="D5603" s="5" t="s">
        <v>12829</v>
      </c>
      <c r="E5603" s="4">
        <v>1933452</v>
      </c>
      <c r="F5603">
        <v>1</v>
      </c>
    </row>
    <row r="5604" spans="1:6" ht="13.5" customHeight="1">
      <c r="A5604" s="4" t="s">
        <v>12830</v>
      </c>
      <c r="B5604" s="4" t="s">
        <v>12831</v>
      </c>
      <c r="C5604" s="4" t="str">
        <f ca="1">IFERROR(__xludf.DUMMYFUNCTION("GOOGLETRANSLATE(D:D,""auto"",""en"")"),"Tianjin University Laboratory oral vaccine")</f>
        <v>Tianjin University Laboratory oral vaccine</v>
      </c>
      <c r="D5604" s="5" t="s">
        <v>12832</v>
      </c>
      <c r="E5604" s="4">
        <v>1498577</v>
      </c>
      <c r="F5604">
        <v>1</v>
      </c>
    </row>
    <row r="5605" spans="1:6" ht="13.5" hidden="1" customHeight="1">
      <c r="A5605" s="4" t="s">
        <v>12833</v>
      </c>
      <c r="B5605" s="4" t="s">
        <v>12834</v>
      </c>
      <c r="C5605" s="4" t="str">
        <f ca="1">IFERROR(__xludf.DUMMYFUNCTION("GOOGLETRANSLATE(D:D,""auto"",""en"")"),"Hengshui secondary school principals to-air playground speech")</f>
        <v>Hengshui secondary school principals to-air playground speech</v>
      </c>
      <c r="D5605" s="5" t="s">
        <v>12835</v>
      </c>
      <c r="E5605" s="4">
        <v>1164389</v>
      </c>
    </row>
    <row r="5606" spans="1:6" ht="13.5" hidden="1" customHeight="1">
      <c r="A5606" s="4" t="s">
        <v>12836</v>
      </c>
      <c r="B5606" s="4" t="s">
        <v>12837</v>
      </c>
      <c r="C5606" s="4" t="str">
        <f ca="1">IFERROR(__xludf.DUMMYFUNCTION("GOOGLETRANSLATE(D:D,""auto"",""en"")"),"Stella hate small three")</f>
        <v>Stella hate small three</v>
      </c>
      <c r="D5606" s="5" t="s">
        <v>12838</v>
      </c>
      <c r="E5606" s="4">
        <v>979985</v>
      </c>
    </row>
    <row r="5607" spans="1:6" ht="13.5" customHeight="1">
      <c r="A5607" s="4" t="s">
        <v>12839</v>
      </c>
      <c r="B5607" s="4" t="s">
        <v>12831</v>
      </c>
      <c r="C5607" s="4" t="str">
        <f ca="1">IFERROR(__xludf.DUMMYFUNCTION("GOOGLETRANSLATE(D:D,""auto"",""en"")"),"The new crown virus mutation has not happened yet clear")</f>
        <v>The new crown virus mutation has not happened yet clear</v>
      </c>
      <c r="D5607" s="5" t="s">
        <v>12840</v>
      </c>
      <c r="E5607" s="4">
        <v>899623</v>
      </c>
      <c r="F5607">
        <v>1</v>
      </c>
    </row>
    <row r="5608" spans="1:6" ht="13.5" customHeight="1">
      <c r="A5608" s="4" t="s">
        <v>12841</v>
      </c>
      <c r="B5608" s="4" t="s">
        <v>12842</v>
      </c>
      <c r="C5608" s="4" t="str">
        <f ca="1">IFERROR(__xludf.DUMMYFUNCTION("GOOGLETRANSLATE(D:D,""auto"",""en"")"),"Japan appears unable to confirm more cases of infection path")</f>
        <v>Japan appears unable to confirm more cases of infection path</v>
      </c>
      <c r="D5608" s="5" t="s">
        <v>12843</v>
      </c>
      <c r="E5608" s="4">
        <v>821923</v>
      </c>
      <c r="F5608">
        <v>1</v>
      </c>
    </row>
    <row r="5609" spans="1:6" ht="13.5" hidden="1" customHeight="1">
      <c r="A5609" s="4" t="s">
        <v>12844</v>
      </c>
      <c r="B5609" s="4" t="s">
        <v>12845</v>
      </c>
      <c r="C5609" s="4" t="str">
        <f ca="1">IFERROR(__xludf.DUMMYFUNCTION("GOOGLETRANSLATE(D:D,""auto"",""en"")"),"Jiang also academician Yuan's death")</f>
        <v>Jiang also academician Yuan's death</v>
      </c>
      <c r="D5609" s="5" t="s">
        <v>12846</v>
      </c>
      <c r="E5609" s="4">
        <v>799016</v>
      </c>
    </row>
    <row r="5610" spans="1:6" ht="13.5" customHeight="1">
      <c r="A5610" s="4" t="s">
        <v>12847</v>
      </c>
      <c r="B5610" s="4" t="s">
        <v>12848</v>
      </c>
      <c r="C5610" s="4" t="str">
        <f ca="1">IFERROR(__xludf.DUMMYFUNCTION("GOOGLETRANSLATE(D:D,""auto"",""en"")"),"Hubei government will provide relief stranded personnel in the field")</f>
        <v>Hubei government will provide relief stranded personnel in the field</v>
      </c>
      <c r="D5610" s="5" t="s">
        <v>12849</v>
      </c>
      <c r="E5610" s="4">
        <v>785366</v>
      </c>
      <c r="F5610">
        <v>1</v>
      </c>
    </row>
    <row r="5611" spans="1:6" ht="13.5" customHeight="1">
      <c r="A5611" s="4" t="s">
        <v>12850</v>
      </c>
      <c r="B5611" s="4" t="s">
        <v>12851</v>
      </c>
      <c r="C5611" s="4" t="str">
        <f ca="1">IFERROR(__xludf.DUMMYFUNCTION("GOOGLETRANSLATE(D:D,""auto"",""en"")"),"South Korea will detect all members of the Church the new world")</f>
        <v>South Korea will detect all members of the Church the new world</v>
      </c>
      <c r="D5611" s="5" t="s">
        <v>12852</v>
      </c>
      <c r="E5611" s="4">
        <v>784636</v>
      </c>
      <c r="F5611">
        <v>1</v>
      </c>
    </row>
    <row r="5612" spans="1:6" ht="13.5" hidden="1" customHeight="1">
      <c r="A5612" s="4" t="s">
        <v>12853</v>
      </c>
      <c r="B5612" s="4" t="s">
        <v>12854</v>
      </c>
      <c r="C5612" s="4" t="str">
        <f ca="1">IFERROR(__xludf.DUMMYFUNCTION("GOOGLETRANSLATE(D:D,""auto"",""en"")"),"Yi Xi smelt one thousand dirty jeans")</f>
        <v>Yi Xi smelt one thousand dirty jeans</v>
      </c>
      <c r="D5612" s="5" t="s">
        <v>12855</v>
      </c>
      <c r="E5612" s="4">
        <v>783999</v>
      </c>
    </row>
    <row r="5613" spans="1:6" ht="13.5" customHeight="1">
      <c r="A5613" s="4" t="s">
        <v>12856</v>
      </c>
      <c r="B5613" s="4" t="s">
        <v>12857</v>
      </c>
      <c r="C5613" s="4" t="str">
        <f ca="1">IFERROR(__xludf.DUMMYFUNCTION("GOOGLETRANSLATE(D:D,""auto"",""en"")"),"10-year-old son to play front-line nurse anchors 100,000 reward")</f>
        <v>10-year-old son to play front-line nurse anchors 100,000 reward</v>
      </c>
      <c r="D5613" s="5" t="s">
        <v>12858</v>
      </c>
      <c r="E5613" s="4">
        <v>783244</v>
      </c>
      <c r="F5613">
        <v>1</v>
      </c>
    </row>
    <row r="5614" spans="1:6" ht="13.5" customHeight="1">
      <c r="A5614" s="4" t="s">
        <v>12859</v>
      </c>
      <c r="B5614" s="4" t="s">
        <v>12831</v>
      </c>
      <c r="C5614" s="4" t="str">
        <f ca="1">IFERROR(__xludf.DUMMYFUNCTION("GOOGLETRANSLATE(D:D,""auto"",""en"")"),"Makeup online class girls how to fight")</f>
        <v>Makeup online class girls how to fight</v>
      </c>
      <c r="D5614" s="5" t="s">
        <v>12860</v>
      </c>
      <c r="E5614" s="4">
        <v>782422</v>
      </c>
      <c r="F5614">
        <v>1</v>
      </c>
    </row>
    <row r="5615" spans="1:6" ht="13.5" hidden="1" customHeight="1">
      <c r="A5615" s="4" t="s">
        <v>12861</v>
      </c>
      <c r="B5615" s="4" t="s">
        <v>12851</v>
      </c>
      <c r="C5615" s="4" t="str">
        <f ca="1">IFERROR(__xludf.DUMMYFUNCTION("GOOGLETRANSLATE(D:D,""auto"",""en"")"),"Sun Jianhong")</f>
        <v>Sun Jianhong</v>
      </c>
      <c r="D5615" s="5" t="s">
        <v>12862</v>
      </c>
      <c r="E5615" s="4">
        <v>781660</v>
      </c>
    </row>
    <row r="5616" spans="1:6" ht="13.5" hidden="1" customHeight="1">
      <c r="A5616" s="4" t="s">
        <v>12863</v>
      </c>
      <c r="B5616" s="4" t="s">
        <v>12817</v>
      </c>
      <c r="C5616" s="4" t="str">
        <f ca="1">IFERROR(__xludf.DUMMYFUNCTION("GOOGLETRANSLATE(D:D,""auto"",""en"")"),"Parents together surname name")</f>
        <v>Parents together surname name</v>
      </c>
      <c r="D5616" s="5" t="s">
        <v>12864</v>
      </c>
      <c r="E5616" s="4">
        <v>728045</v>
      </c>
    </row>
    <row r="5617" spans="1:6" ht="13.5" hidden="1" customHeight="1">
      <c r="A5617" s="4" t="s">
        <v>12836</v>
      </c>
      <c r="B5617" s="4" t="s">
        <v>12865</v>
      </c>
      <c r="C5617" s="4" t="str">
        <f ca="1">IFERROR(__xludf.DUMMYFUNCTION("GOOGLETRANSLATE(D:D,""auto"",""en"")"),"Zhang Ziyi to his son shaved")</f>
        <v>Zhang Ziyi to his son shaved</v>
      </c>
      <c r="D5617" s="5" t="s">
        <v>12866</v>
      </c>
      <c r="E5617" s="4">
        <v>723973</v>
      </c>
    </row>
    <row r="5618" spans="1:6" ht="13.5" hidden="1" customHeight="1">
      <c r="A5618" s="4" t="s">
        <v>12867</v>
      </c>
      <c r="B5618" s="4" t="s">
        <v>12868</v>
      </c>
      <c r="C5618" s="4" t="str">
        <f ca="1">IFERROR(__xludf.DUMMYFUNCTION("GOOGLETRANSLATE(D:D,""auto"",""en"")"),"Crayon background in hand Avatar")</f>
        <v>Crayon background in hand Avatar</v>
      </c>
      <c r="D5618" s="5" t="s">
        <v>12869</v>
      </c>
      <c r="E5618" s="4">
        <v>624677</v>
      </c>
    </row>
    <row r="5619" spans="1:6" ht="13.5" customHeight="1">
      <c r="A5619" s="4" t="s">
        <v>12870</v>
      </c>
      <c r="B5619" s="4" t="s">
        <v>12871</v>
      </c>
      <c r="C5619" s="4" t="str">
        <f ca="1">IFERROR(__xludf.DUMMYFUNCTION("GOOGLETRANSLATE(D:D,""auto"",""en"")"),"Wearing masks smile")</f>
        <v>Wearing masks smile</v>
      </c>
      <c r="D5619" s="5" t="s">
        <v>12872</v>
      </c>
      <c r="E5619" s="4">
        <v>615894</v>
      </c>
      <c r="F5619">
        <v>1</v>
      </c>
    </row>
    <row r="5620" spans="1:6" ht="13.5" hidden="1" customHeight="1">
      <c r="A5620" s="4" t="s">
        <v>12844</v>
      </c>
      <c r="B5620" s="4" t="s">
        <v>12873</v>
      </c>
      <c r="C5620" s="4" t="str">
        <f ca="1">IFERROR(__xludf.DUMMYFUNCTION("GOOGLETRANSLATE(D:D,""auto"",""en"")"),"Doinb")</f>
        <v>Doinb</v>
      </c>
      <c r="D5620" s="5" t="s">
        <v>12874</v>
      </c>
      <c r="E5620" s="4">
        <v>576998</v>
      </c>
    </row>
    <row r="5621" spans="1:6" ht="13.5" hidden="1" customHeight="1">
      <c r="A5621" s="4" t="s">
        <v>12875</v>
      </c>
      <c r="B5621" s="4" t="s">
        <v>12876</v>
      </c>
      <c r="C5621" s="4" t="str">
        <f ca="1">IFERROR(__xludf.DUMMYFUNCTION("GOOGLETRANSLATE(D:D,""auto"",""en"")"),"South Korean super control measures to be taken to Daegu")</f>
        <v>South Korean super control measures to be taken to Daegu</v>
      </c>
      <c r="D5621" s="5" t="s">
        <v>12877</v>
      </c>
      <c r="E5621" s="4">
        <v>517940</v>
      </c>
    </row>
    <row r="5622" spans="1:6" ht="13.5" customHeight="1">
      <c r="A5622" s="4" t="s">
        <v>12824</v>
      </c>
      <c r="B5622" s="4" t="s">
        <v>12878</v>
      </c>
      <c r="C5622" s="4" t="str">
        <f ca="1">IFERROR(__xludf.DUMMYFUNCTION("GOOGLETRANSLATE(D:D,""auto"",""en"")"),"Do not close their eyes during class network")</f>
        <v>Do not close their eyes during class network</v>
      </c>
      <c r="D5622" s="5" t="s">
        <v>12879</v>
      </c>
      <c r="E5622" s="4">
        <v>464477</v>
      </c>
      <c r="F5622">
        <v>1</v>
      </c>
    </row>
    <row r="5623" spans="1:6" ht="13.5" hidden="1" customHeight="1">
      <c r="A5623" s="4" t="s">
        <v>12880</v>
      </c>
      <c r="B5623" s="4" t="s">
        <v>12881</v>
      </c>
      <c r="C5623" s="4" t="str">
        <f ca="1">IFERROR(__xludf.DUMMYFUNCTION("GOOGLETRANSLATE(D:D,""auto"",""en"")"),"Beyonce Bryant memorial service performance")</f>
        <v>Beyonce Bryant memorial service performance</v>
      </c>
      <c r="D5623" s="5" t="s">
        <v>12882</v>
      </c>
      <c r="E5623" s="4">
        <v>460605</v>
      </c>
    </row>
    <row r="5624" spans="1:6" ht="13.5" customHeight="1">
      <c r="A5624" s="4" t="s">
        <v>12880</v>
      </c>
      <c r="B5624" s="4" t="s">
        <v>12883</v>
      </c>
      <c r="C5624" s="4" t="str">
        <f ca="1">IFERROR(__xludf.DUMMYFUNCTION("GOOGLETRANSLATE(D:D,""auto"",""en"")"),"Shanxi school time")</f>
        <v>Shanxi school time</v>
      </c>
      <c r="D5624" s="5" t="s">
        <v>12884</v>
      </c>
      <c r="E5624" s="4">
        <v>455779</v>
      </c>
      <c r="F5624">
        <v>1</v>
      </c>
    </row>
    <row r="5625" spans="1:6" ht="13.5" hidden="1" customHeight="1">
      <c r="A5625" s="4" t="s">
        <v>12850</v>
      </c>
      <c r="B5625" s="4" t="s">
        <v>12885</v>
      </c>
      <c r="C5625" s="4" t="str">
        <f ca="1">IFERROR(__xludf.DUMMYFUNCTION("GOOGLETRANSLATE(D:D,""auto"",""en"")"),"Li Lanjuan is discharged patients overcome awarded certificates")</f>
        <v>Li Lanjuan is discharged patients overcome awarded certificates</v>
      </c>
      <c r="D5625" s="5" t="s">
        <v>12886</v>
      </c>
      <c r="E5625" s="4">
        <v>452362</v>
      </c>
    </row>
    <row r="5626" spans="1:6" ht="13.5" hidden="1" customHeight="1">
      <c r="A5626" s="4" t="s">
        <v>7745</v>
      </c>
      <c r="B5626" s="4" t="s">
        <v>12887</v>
      </c>
      <c r="C5626" s="4" t="str">
        <f ca="1">IFERROR(__xludf.DUMMYFUNCTION("GOOGLETRANSLATE(D:D,""auto"",""en"")"),"Hong Kong's red Outbound Travel Alert for Korea")</f>
        <v>Hong Kong's red Outbound Travel Alert for Korea</v>
      </c>
      <c r="D5626" s="5" t="s">
        <v>12888</v>
      </c>
      <c r="E5626" s="4">
        <v>452055</v>
      </c>
    </row>
    <row r="5627" spans="1:6" ht="13.5" hidden="1" customHeight="1">
      <c r="A5627" s="4" t="s">
        <v>7745</v>
      </c>
      <c r="B5627" s="4" t="s">
        <v>7746</v>
      </c>
      <c r="C5627" s="4" t="str">
        <f ca="1">IFERROR(__xludf.DUMMYFUNCTION("GOOGLETRANSLATE(D:D,""auto"",""en"")"),"Kobe Bryant")</f>
        <v>Kobe Bryant</v>
      </c>
      <c r="D5627" s="5" t="s">
        <v>7747</v>
      </c>
      <c r="E5627" s="4">
        <v>414777</v>
      </c>
    </row>
    <row r="5628" spans="1:6" ht="13.5" hidden="1" customHeight="1">
      <c r="A5628" s="4" t="s">
        <v>12889</v>
      </c>
      <c r="B5628" s="4" t="s">
        <v>12834</v>
      </c>
      <c r="C5628" s="4" t="str">
        <f ca="1">IFERROR(__xludf.DUMMYFUNCTION("GOOGLETRANSLATE(D:D,""auto"",""en"")"),"France Arc de Triomphe seek to embrace Chinese")</f>
        <v>France Arc de Triomphe seek to embrace Chinese</v>
      </c>
      <c r="D5628" s="5" t="s">
        <v>12890</v>
      </c>
      <c r="E5628" s="4">
        <v>409939</v>
      </c>
    </row>
    <row r="5629" spans="1:6" ht="13.5" customHeight="1">
      <c r="A5629" s="4" t="s">
        <v>12891</v>
      </c>
      <c r="B5629" s="4" t="s">
        <v>12851</v>
      </c>
      <c r="C5629" s="4" t="str">
        <f ca="1">IFERROR(__xludf.DUMMYFUNCTION("GOOGLETRANSLATE(D:D,""auto"",""en"")"),"Jiangsu Province, a response adjustment for the two")</f>
        <v>Jiangsu Province, a response adjustment for the two</v>
      </c>
      <c r="D5629" s="5" t="s">
        <v>12892</v>
      </c>
      <c r="E5629" s="4">
        <v>394990</v>
      </c>
      <c r="F5629">
        <v>1</v>
      </c>
    </row>
    <row r="5630" spans="1:6" ht="13.5" hidden="1" customHeight="1">
      <c r="A5630" s="4" t="s">
        <v>12893</v>
      </c>
      <c r="B5630" s="4" t="s">
        <v>12894</v>
      </c>
      <c r="C5630" s="4" t="str">
        <f ca="1">IFERROR(__xludf.DUMMYFUNCTION("GOOGLETRANSLATE(D:D,""auto"",""en"")"),"Dogs all over his face expression package")</f>
        <v>Dogs all over his face expression package</v>
      </c>
      <c r="D5630" s="5" t="s">
        <v>12895</v>
      </c>
      <c r="E5630" s="4">
        <v>391293</v>
      </c>
    </row>
    <row r="5631" spans="1:6" ht="13.5" hidden="1" customHeight="1">
      <c r="A5631" s="4" t="s">
        <v>12896</v>
      </c>
      <c r="B5631" s="4" t="s">
        <v>12897</v>
      </c>
      <c r="C5631" s="4" t="str">
        <f ca="1">IFERROR(__xludf.DUMMYFUNCTION("GOOGLETRANSLATE(D:D,""auto"",""en"")"),"Zhang Ying 0 growth in the region of 28 days to re-assured")</f>
        <v>Zhang Ying 0 growth in the region of 28 days to re-assured</v>
      </c>
      <c r="D5631" s="5" t="s">
        <v>12898</v>
      </c>
      <c r="E5631" s="4">
        <v>382286</v>
      </c>
    </row>
    <row r="5632" spans="1:6" ht="13.5" customHeight="1">
      <c r="A5632" s="4" t="s">
        <v>12875</v>
      </c>
      <c r="B5632" s="4" t="s">
        <v>12883</v>
      </c>
      <c r="C5632" s="4" t="str">
        <f ca="1">IFERROR(__xludf.DUMMYFUNCTION("GOOGLETRANSLATE(D:D,""auto"",""en"")"),"Qingdao prevent the proliferation of outside input epidemic")</f>
        <v>Qingdao prevent the proliferation of outside input epidemic</v>
      </c>
      <c r="D5632" s="5" t="s">
        <v>12899</v>
      </c>
      <c r="E5632" s="4">
        <v>378899</v>
      </c>
      <c r="F5632">
        <v>1</v>
      </c>
    </row>
    <row r="5633" spans="1:6" ht="13.5" hidden="1" customHeight="1">
      <c r="A5633" s="4" t="s">
        <v>12900</v>
      </c>
      <c r="B5633" s="4" t="s">
        <v>12697</v>
      </c>
      <c r="C5633" s="4" t="str">
        <f ca="1">IFERROR(__xludf.DUMMYFUNCTION("GOOGLETRANSLATE(D:D,""auto"",""en"")"),"Ningxia University then responded that the nuclear sub is correct")</f>
        <v>Ningxia University then responded that the nuclear sub is correct</v>
      </c>
      <c r="D5633" s="5" t="s">
        <v>12901</v>
      </c>
      <c r="E5633" s="4">
        <v>362783</v>
      </c>
    </row>
    <row r="5634" spans="1:6" ht="13.5" hidden="1" customHeight="1">
      <c r="A5634" s="4" t="s">
        <v>12902</v>
      </c>
      <c r="B5634" s="4" t="s">
        <v>12831</v>
      </c>
      <c r="C5634" s="4" t="str">
        <f ca="1">IFERROR(__xludf.DUMMYFUNCTION("GOOGLETRANSLATE(D:D,""auto"",""en"")"),"Cosmetic ear rabbit beam")</f>
        <v>Cosmetic ear rabbit beam</v>
      </c>
      <c r="D5634" s="5" t="s">
        <v>12903</v>
      </c>
      <c r="E5634" s="4">
        <v>362073</v>
      </c>
    </row>
    <row r="5635" spans="1:6" ht="13.5" hidden="1" customHeight="1">
      <c r="A5635" s="4" t="s">
        <v>12904</v>
      </c>
      <c r="B5635" s="4" t="s">
        <v>12905</v>
      </c>
      <c r="C5635" s="4" t="str">
        <f ca="1">IFERROR(__xludf.DUMMYFUNCTION("GOOGLETRANSLATE(D:D,""auto"",""en"")"),"A crotch")</f>
        <v>A crotch</v>
      </c>
      <c r="D5635" s="5" t="s">
        <v>12906</v>
      </c>
      <c r="E5635" s="4">
        <v>359603</v>
      </c>
    </row>
    <row r="5636" spans="1:6" ht="13.5" hidden="1" customHeight="1">
      <c r="A5636" s="4" t="s">
        <v>12907</v>
      </c>
      <c r="B5636" s="4" t="s">
        <v>12887</v>
      </c>
      <c r="C5636" s="4" t="str">
        <f ca="1">IFERROR(__xludf.DUMMYFUNCTION("GOOGLETRANSLATE(D:D,""auto"",""en"")"),"Fish and other aquatic wildlife are not included in the scope of fasting")</f>
        <v>Fish and other aquatic wildlife are not included in the scope of fasting</v>
      </c>
      <c r="D5636" s="5" t="s">
        <v>12908</v>
      </c>
      <c r="E5636" s="4">
        <v>357283</v>
      </c>
    </row>
    <row r="5637" spans="1:6" ht="13.5" hidden="1" customHeight="1">
      <c r="A5637" s="4" t="s">
        <v>12909</v>
      </c>
      <c r="B5637" s="4" t="s">
        <v>12905</v>
      </c>
      <c r="C5637" s="4" t="str">
        <f ca="1">IFERROR(__xludf.DUMMYFUNCTION("GOOGLETRANSLATE(D:D,""auto"",""en"")"),"Little-known hometown snacks")</f>
        <v>Little-known hometown snacks</v>
      </c>
      <c r="D5637" s="5" t="s">
        <v>12910</v>
      </c>
      <c r="E5637" s="4">
        <v>355072</v>
      </c>
    </row>
    <row r="5638" spans="1:6" ht="13.5" hidden="1" customHeight="1">
      <c r="A5638" s="4" t="s">
        <v>12863</v>
      </c>
      <c r="B5638" s="4" t="s">
        <v>12911</v>
      </c>
      <c r="C5638" s="4" t="str">
        <f ca="1">IFERROR(__xludf.DUMMYFUNCTION("GOOGLETRANSLATE(D:D,""auto"",""en"")"),"Beijing over 46.7 million people apply for a new energy indicators")</f>
        <v>Beijing over 46.7 million people apply for a new energy indicators</v>
      </c>
      <c r="D5638" s="5" t="s">
        <v>12912</v>
      </c>
      <c r="E5638" s="4">
        <v>353023</v>
      </c>
    </row>
    <row r="5639" spans="1:6" ht="13.5" hidden="1" customHeight="1">
      <c r="A5639" s="4" t="s">
        <v>12913</v>
      </c>
      <c r="B5639" s="4" t="s">
        <v>12911</v>
      </c>
      <c r="C5639" s="4" t="str">
        <f ca="1">IFERROR(__xludf.DUMMYFUNCTION("GOOGLETRANSLATE(D:D,""auto"",""en"")"),"Volunteers practicing martial arts Chuang scare card maker")</f>
        <v>Volunteers practicing martial arts Chuang scare card maker</v>
      </c>
      <c r="D5639" s="5" t="s">
        <v>12914</v>
      </c>
      <c r="E5639" s="4">
        <v>349688</v>
      </c>
    </row>
    <row r="5640" spans="1:6" ht="13.5" hidden="1" customHeight="1">
      <c r="A5640" s="4" t="s">
        <v>12907</v>
      </c>
      <c r="B5640" s="4" t="s">
        <v>12915</v>
      </c>
      <c r="C5640" s="4" t="str">
        <f ca="1">IFERROR(__xludf.DUMMYFUNCTION("GOOGLETRANSLATE(D:D,""auto"",""en"")"),"Food business operators, encouraged by the development of online line")</f>
        <v>Food business operators, encouraged by the development of online line</v>
      </c>
      <c r="D5640" s="5" t="s">
        <v>12916</v>
      </c>
      <c r="E5640" s="4">
        <v>347012</v>
      </c>
    </row>
    <row r="5641" spans="1:6" ht="13.5" hidden="1" customHeight="1">
      <c r="A5641" s="4" t="s">
        <v>12907</v>
      </c>
      <c r="B5641" s="4" t="s">
        <v>12915</v>
      </c>
      <c r="C5641" s="4" t="str">
        <f ca="1">IFERROR(__xludf.DUMMYFUNCTION("GOOGLETRANSLATE(D:D,""auto"",""en"")"),"Parents teach you how anti-fraud efforts")</f>
        <v>Parents teach you how anti-fraud efforts</v>
      </c>
      <c r="D5641" s="5" t="s">
        <v>12917</v>
      </c>
      <c r="E5641" s="4">
        <v>346077</v>
      </c>
    </row>
    <row r="5642" spans="1:6" ht="13.5" customHeight="1">
      <c r="A5642" s="4" t="s">
        <v>12907</v>
      </c>
      <c r="B5642" s="4" t="s">
        <v>12918</v>
      </c>
      <c r="C5642" s="4" t="str">
        <f ca="1">IFERROR(__xludf.DUMMYFUNCTION("GOOGLETRANSLATE(D:D,""auto"",""en"")"),"House barber contest")</f>
        <v>House barber contest</v>
      </c>
      <c r="D5642" s="5" t="s">
        <v>12919</v>
      </c>
      <c r="E5642" s="4">
        <v>343478</v>
      </c>
      <c r="F5642">
        <v>1</v>
      </c>
    </row>
    <row r="5643" spans="1:6" ht="13.5" customHeight="1">
      <c r="A5643" s="4" t="s">
        <v>12891</v>
      </c>
      <c r="B5643" s="4" t="s">
        <v>12920</v>
      </c>
      <c r="C5643" s="4" t="str">
        <f ca="1">IFERROR(__xludf.DUMMYFUNCTION("GOOGLETRANSLATE(D:D,""auto"",""en"")"),"Beijing new one cases of new confirmed cases of pneumonia crown")</f>
        <v>Beijing new one cases of new confirmed cases of pneumonia crown</v>
      </c>
      <c r="D5643" s="5" t="s">
        <v>12921</v>
      </c>
      <c r="E5643" s="4">
        <v>341583</v>
      </c>
      <c r="F5643">
        <v>1</v>
      </c>
    </row>
    <row r="5644" spans="1:6" ht="13.5" hidden="1" customHeight="1">
      <c r="A5644" s="4" t="s">
        <v>12922</v>
      </c>
      <c r="B5644" s="4" t="s">
        <v>12923</v>
      </c>
      <c r="C5644" s="4" t="str">
        <f ca="1">IFERROR(__xludf.DUMMYFUNCTION("GOOGLETRANSLATE(D:D,""auto"",""en"")"),"stock")</f>
        <v>stock</v>
      </c>
      <c r="D5644" s="5" t="s">
        <v>12924</v>
      </c>
      <c r="E5644" s="4">
        <v>333616</v>
      </c>
    </row>
    <row r="5645" spans="1:6" ht="13.5" hidden="1" customHeight="1">
      <c r="A5645" s="4" t="s">
        <v>12925</v>
      </c>
      <c r="B5645" s="4" t="s">
        <v>12926</v>
      </c>
      <c r="C5645" s="4" t="str">
        <f ca="1">IFERROR(__xludf.DUMMYFUNCTION("GOOGLETRANSLATE(D:D,""auto"",""en"")"),"Netherlands brother learned how not spoilers")</f>
        <v>Netherlands brother learned how not spoilers</v>
      </c>
      <c r="D5645" s="5" t="s">
        <v>12927</v>
      </c>
      <c r="E5645" s="4">
        <v>316714</v>
      </c>
    </row>
    <row r="5646" spans="1:6" ht="13.5" hidden="1" customHeight="1">
      <c r="C5646" s="4" t="str">
        <f ca="1">IFERROR(__xludf.DUMMYFUNCTION("GOOGLETRANSLATE(D:D,""auto"",""en"")"),"#VALUE!")</f>
        <v>#VALUE!</v>
      </c>
    </row>
    <row r="5647" spans="1:6" ht="13.5" hidden="1" customHeight="1">
      <c r="A5647" s="4" t="s">
        <v>12928</v>
      </c>
      <c r="B5647" s="4" t="s">
        <v>12929</v>
      </c>
      <c r="C5647" s="4" t="str">
        <f ca="1">IFERROR(__xludf.DUMMYFUNCTION("GOOGLETRANSLATE(D:D,""auto"",""en"")"),"UN Secretary-General thanked the Chinese people")</f>
        <v>UN Secretary-General thanked the Chinese people</v>
      </c>
      <c r="D5647" s="4" t="s">
        <v>12930</v>
      </c>
      <c r="E5647" s="4">
        <v>2216766</v>
      </c>
    </row>
    <row r="5648" spans="1:6" ht="13.5" hidden="1" customHeight="1">
      <c r="A5648" s="4" t="s">
        <v>12063</v>
      </c>
      <c r="B5648" s="4" t="s">
        <v>12051</v>
      </c>
      <c r="C5648" s="4" t="str">
        <f ca="1">IFERROR(__xludf.DUMMYFUNCTION("GOOGLETRANSLATE(D:D,""auto"",""en"")"),"settle down")</f>
        <v>settle down</v>
      </c>
      <c r="D5648" s="5" t="s">
        <v>12064</v>
      </c>
      <c r="E5648" s="4">
        <v>1536982</v>
      </c>
    </row>
    <row r="5649" spans="1:6" ht="13.5" customHeight="1">
      <c r="A5649" s="4" t="s">
        <v>12931</v>
      </c>
      <c r="B5649" s="4" t="s">
        <v>12932</v>
      </c>
      <c r="C5649" s="4" t="str">
        <f ca="1">IFERROR(__xludf.DUMMYFUNCTION("GOOGLETRANSLATE(D:D,""auto"",""en"")"),"Girls transferred to the care of critically ill grandmother Vulcan Mountain")</f>
        <v>Girls transferred to the care of critically ill grandmother Vulcan Mountain</v>
      </c>
      <c r="D5649" s="5" t="s">
        <v>12933</v>
      </c>
      <c r="E5649" s="4">
        <v>1333257</v>
      </c>
      <c r="F5649">
        <v>1</v>
      </c>
    </row>
    <row r="5650" spans="1:6" ht="13.5" hidden="1" customHeight="1">
      <c r="A5650" s="4" t="s">
        <v>12934</v>
      </c>
      <c r="B5650" s="4" t="s">
        <v>12935</v>
      </c>
      <c r="C5650" s="4" t="str">
        <f ca="1">IFERROR(__xludf.DUMMYFUNCTION("GOOGLETRANSLATE(D:D,""auto"",""en"")"),"Cuiying Jun is mad")</f>
        <v>Cuiying Jun is mad</v>
      </c>
      <c r="D5650" s="5" t="s">
        <v>12936</v>
      </c>
      <c r="E5650" s="4">
        <v>1274249</v>
      </c>
    </row>
    <row r="5651" spans="1:6" ht="13.5" hidden="1" customHeight="1">
      <c r="A5651" s="4" t="s">
        <v>12937</v>
      </c>
      <c r="B5651" s="4" t="s">
        <v>12938</v>
      </c>
      <c r="C5651" s="4" t="str">
        <f ca="1">IFERROR(__xludf.DUMMYFUNCTION("GOOGLETRANSLATE(D:D,""auto"",""en"")"),"Aaron Kwok mother died")</f>
        <v>Aaron Kwok mother died</v>
      </c>
      <c r="D5651" s="5" t="s">
        <v>12939</v>
      </c>
      <c r="E5651" s="4">
        <v>1258530</v>
      </c>
    </row>
    <row r="5652" spans="1:6" ht="13.5" hidden="1" customHeight="1">
      <c r="A5652" s="4" t="s">
        <v>12940</v>
      </c>
      <c r="B5652" s="4" t="s">
        <v>12941</v>
      </c>
      <c r="C5652" s="4" t="str">
        <f ca="1">IFERROR(__xludf.DUMMYFUNCTION("GOOGLETRANSLATE(D:D,""auto"",""en"")"),"Perfect relationship hostess set")</f>
        <v>Perfect relationship hostess set</v>
      </c>
      <c r="D5652" s="5" t="s">
        <v>12942</v>
      </c>
      <c r="E5652" s="4">
        <v>1205695</v>
      </c>
    </row>
    <row r="5653" spans="1:6" ht="13.5" hidden="1" customHeight="1">
      <c r="A5653" s="4" t="s">
        <v>12943</v>
      </c>
      <c r="B5653" s="4" t="s">
        <v>12944</v>
      </c>
      <c r="C5653" s="4" t="str">
        <f ca="1">IFERROR(__xludf.DUMMYFUNCTION("GOOGLETRANSLATE(D:D,""auto"",""en"")"),"Undergraduate and graduate enrollment to expand the scale")</f>
        <v>Undergraduate and graduate enrollment to expand the scale</v>
      </c>
      <c r="D5653" s="5" t="s">
        <v>12945</v>
      </c>
      <c r="E5653" s="4">
        <v>1069741</v>
      </c>
    </row>
    <row r="5654" spans="1:6" ht="13.5" customHeight="1">
      <c r="A5654" s="4" t="s">
        <v>12946</v>
      </c>
      <c r="B5654" s="4" t="s">
        <v>12947</v>
      </c>
      <c r="C5654" s="4" t="str">
        <f ca="1">IFERROR(__xludf.DUMMYFUNCTION("GOOGLETRANSLATE(D:D,""auto"",""en"")"),"The new crown pneumonia cases diagnosed 861 cases of cumulative Japan")</f>
        <v>The new crown pneumonia cases diagnosed 861 cases of cumulative Japan</v>
      </c>
      <c r="D5654" s="5" t="s">
        <v>12948</v>
      </c>
      <c r="E5654" s="4">
        <v>819217</v>
      </c>
      <c r="F5654">
        <v>1</v>
      </c>
    </row>
    <row r="5655" spans="1:6" ht="13.5" hidden="1" customHeight="1">
      <c r="A5655" s="4" t="s">
        <v>12949</v>
      </c>
      <c r="B5655" s="4" t="s">
        <v>12950</v>
      </c>
      <c r="C5655" s="4" t="str">
        <f ca="1">IFERROR(__xludf.DUMMYFUNCTION("GOOGLETRANSLATE(D:D,""auto"",""en"")"),"Chinese Foreign Ministry to respond to the reputation of stealing research")</f>
        <v>Chinese Foreign Ministry to respond to the reputation of stealing research</v>
      </c>
      <c r="D5655" s="5" t="s">
        <v>12951</v>
      </c>
      <c r="E5655" s="4">
        <v>819104</v>
      </c>
    </row>
    <row r="5656" spans="1:6" ht="13.5" hidden="1" customHeight="1">
      <c r="A5656" s="4" t="s">
        <v>12952</v>
      </c>
      <c r="B5656" s="4" t="s">
        <v>12953</v>
      </c>
      <c r="C5656" s="4" t="str">
        <f ca="1">IFERROR(__xludf.DUMMYFUNCTION("GOOGLETRANSLATE(D:D,""auto"",""en"")"),"Zhu Yilong lettering on carrot")</f>
        <v>Zhu Yilong lettering on carrot</v>
      </c>
      <c r="D5656" s="5" t="s">
        <v>12954</v>
      </c>
      <c r="E5656" s="4">
        <v>816649</v>
      </c>
    </row>
    <row r="5657" spans="1:6" ht="13.5" hidden="1" customHeight="1">
      <c r="A5657" s="4" t="s">
        <v>12955</v>
      </c>
      <c r="B5657" s="4" t="s">
        <v>12956</v>
      </c>
      <c r="C5657" s="4" t="str">
        <f ca="1">IFERROR(__xludf.DUMMYFUNCTION("GOOGLETRANSLATE(D:D,""auto"",""en"")"),"Housing bright borrow money")</f>
        <v>Housing bright borrow money</v>
      </c>
      <c r="D5657" s="5" t="s">
        <v>12957</v>
      </c>
      <c r="E5657" s="4">
        <v>815849</v>
      </c>
    </row>
    <row r="5658" spans="1:6" ht="13.5" hidden="1" customHeight="1">
      <c r="A5658" s="4" t="s">
        <v>12958</v>
      </c>
      <c r="B5658" s="4" t="s">
        <v>12870</v>
      </c>
      <c r="C5658" s="4" t="str">
        <f ca="1">IFERROR(__xludf.DUMMYFUNCTION("GOOGLETRANSLATE(D:D,""auto"",""en"")"),"Trump India")</f>
        <v>Trump India</v>
      </c>
      <c r="D5658" s="5" t="s">
        <v>12959</v>
      </c>
      <c r="E5658" s="4">
        <v>813873</v>
      </c>
    </row>
    <row r="5659" spans="1:6" ht="13.5" customHeight="1">
      <c r="A5659" s="4" t="s">
        <v>12960</v>
      </c>
      <c r="B5659" s="4" t="s">
        <v>12961</v>
      </c>
      <c r="C5659" s="4" t="str">
        <f ca="1">IFERROR(__xludf.DUMMYFUNCTION("GOOGLETRANSLATE(D:D,""auto"",""en"")"),"Iran's Deputy Minister of the Ministry of Health confirmed the new crown pneumonia")</f>
        <v>Iran's Deputy Minister of the Ministry of Health confirmed the new crown pneumonia</v>
      </c>
      <c r="D5659" s="5" t="s">
        <v>12962</v>
      </c>
      <c r="E5659" s="4">
        <v>812188</v>
      </c>
      <c r="F5659">
        <v>1</v>
      </c>
    </row>
    <row r="5660" spans="1:6" ht="13.5" hidden="1" customHeight="1">
      <c r="A5660" s="4" t="s">
        <v>12963</v>
      </c>
      <c r="B5660" s="4" t="s">
        <v>12964</v>
      </c>
      <c r="C5660" s="4" t="str">
        <f ca="1">IFERROR(__xludf.DUMMYFUNCTION("GOOGLETRANSLATE(D:D,""auto"",""en"")"),"Guangzhou 13 patients after discharge from hospital complex positive")</f>
        <v>Guangzhou 13 patients after discharge from hospital complex positive</v>
      </c>
      <c r="D5660" s="5" t="s">
        <v>12965</v>
      </c>
      <c r="E5660" s="4">
        <v>809760</v>
      </c>
    </row>
    <row r="5661" spans="1:6" ht="13.5" customHeight="1">
      <c r="A5661" s="4" t="s">
        <v>12966</v>
      </c>
      <c r="B5661" s="4" t="s">
        <v>12967</v>
      </c>
      <c r="C5661" s="4" t="str">
        <f ca="1">IFERROR(__xludf.DUMMYFUNCTION("GOOGLETRANSLATE(D:D,""auto"",""en"")"),"Since wearing masks acne how to do")</f>
        <v>Since wearing masks acne how to do</v>
      </c>
      <c r="D5661" s="5" t="s">
        <v>12968</v>
      </c>
      <c r="E5661" s="4">
        <v>809585</v>
      </c>
      <c r="F5661">
        <v>1</v>
      </c>
    </row>
    <row r="5662" spans="1:6" ht="13.5" hidden="1" customHeight="1">
      <c r="A5662" s="4" t="s">
        <v>12969</v>
      </c>
      <c r="B5662" s="4" t="s">
        <v>12970</v>
      </c>
      <c r="C5662" s="4" t="str">
        <f ca="1">IFERROR(__xludf.DUMMYFUNCTION("GOOGLETRANSLATE(D:D,""auto"",""en"")"),"Li Jiaqi small assistant")</f>
        <v>Li Jiaqi small assistant</v>
      </c>
      <c r="D5662" s="5" t="s">
        <v>12971</v>
      </c>
      <c r="E5662" s="4">
        <v>807767</v>
      </c>
    </row>
    <row r="5663" spans="1:6" ht="13.5" hidden="1" customHeight="1">
      <c r="A5663" s="4" t="s">
        <v>12972</v>
      </c>
      <c r="B5663" s="4" t="s">
        <v>12973</v>
      </c>
      <c r="C5663" s="4" t="str">
        <f ca="1">IFERROR(__xludf.DUMMYFUNCTION("GOOGLETRANSLATE(D:D,""auto"",""en"")"),"Shiyan elderly died leaving 6-year-old grandson")</f>
        <v>Shiyan elderly died leaving 6-year-old grandson</v>
      </c>
      <c r="D5663" s="5" t="s">
        <v>12974</v>
      </c>
      <c r="E5663" s="4">
        <v>806393</v>
      </c>
    </row>
    <row r="5664" spans="1:6" ht="13.5" hidden="1" customHeight="1">
      <c r="A5664" s="4" t="s">
        <v>7866</v>
      </c>
      <c r="B5664" s="4" t="s">
        <v>7867</v>
      </c>
      <c r="C5664" s="4" t="str">
        <f ca="1">IFERROR(__xludf.DUMMYFUNCTION("GOOGLETRANSLATE(D:D,""auto"",""en"")"),"Cher hole")</f>
        <v>Cher hole</v>
      </c>
      <c r="D5664" s="5" t="s">
        <v>7868</v>
      </c>
      <c r="E5664" s="4">
        <v>803952</v>
      </c>
    </row>
    <row r="5665" spans="1:6" ht="13.5" hidden="1" customHeight="1">
      <c r="A5665" s="4" t="s">
        <v>12975</v>
      </c>
      <c r="B5665" s="4" t="s">
        <v>12976</v>
      </c>
      <c r="C5665" s="4" t="str">
        <f ca="1">IFERROR(__xludf.DUMMYFUNCTION("GOOGLETRANSLATE(D:D,""auto"",""en"")"),"Why Li Yi Feng think so if Zhang Yun")</f>
        <v>Why Li Yi Feng think so if Zhang Yun</v>
      </c>
      <c r="D5665" s="5" t="s">
        <v>12977</v>
      </c>
      <c r="E5665" s="4">
        <v>803412</v>
      </c>
    </row>
    <row r="5666" spans="1:6" ht="13.5" hidden="1" customHeight="1">
      <c r="A5666" s="4" t="s">
        <v>12978</v>
      </c>
      <c r="B5666" s="4" t="s">
        <v>12973</v>
      </c>
      <c r="C5666" s="4" t="str">
        <f ca="1">IFERROR(__xludf.DUMMYFUNCTION("GOOGLETRANSLATE(D:D,""auto"",""en"")"),"Blue Zhanfeigouge")</f>
        <v>Blue Zhanfeigouge</v>
      </c>
      <c r="D5666" s="5" t="s">
        <v>12979</v>
      </c>
      <c r="E5666" s="4">
        <v>794089</v>
      </c>
    </row>
    <row r="5667" spans="1:6" ht="13.5" customHeight="1">
      <c r="A5667" s="4" t="s">
        <v>12980</v>
      </c>
      <c r="B5667" s="4" t="s">
        <v>12981</v>
      </c>
      <c r="C5667" s="4" t="str">
        <f ca="1">IFERROR(__xludf.DUMMYFUNCTION("GOOGLETRANSLATE(D:D,""auto"",""en"")"),"A proven return resumption photos")</f>
        <v>A proven return resumption photos</v>
      </c>
      <c r="D5667" s="5" t="s">
        <v>12982</v>
      </c>
      <c r="E5667" s="4">
        <v>753408</v>
      </c>
      <c r="F5667">
        <v>1</v>
      </c>
    </row>
    <row r="5668" spans="1:6" ht="13.5" hidden="1" customHeight="1">
      <c r="A5668" s="4" t="s">
        <v>12972</v>
      </c>
      <c r="B5668" s="4" t="s">
        <v>12941</v>
      </c>
      <c r="C5668" s="4" t="str">
        <f ca="1">IFERROR(__xludf.DUMMYFUNCTION("GOOGLETRANSLATE(D:D,""auto"",""en"")"),"Stella Ye Donglie")</f>
        <v>Stella Ye Donglie</v>
      </c>
      <c r="D5668" s="5" t="s">
        <v>12983</v>
      </c>
      <c r="E5668" s="4">
        <v>692819</v>
      </c>
    </row>
    <row r="5669" spans="1:6" ht="13.5" hidden="1" customHeight="1">
      <c r="A5669" s="4" t="s">
        <v>12984</v>
      </c>
      <c r="B5669" s="4" t="s">
        <v>12985</v>
      </c>
      <c r="C5669" s="4" t="str">
        <f ca="1">IFERROR(__xludf.DUMMYFUNCTION("GOOGLETRANSLATE(D:D,""auto"",""en"")"),"Zhao Haitang chicken")</f>
        <v>Zhao Haitang chicken</v>
      </c>
      <c r="D5669" s="5" t="s">
        <v>12986</v>
      </c>
      <c r="E5669" s="4">
        <v>605822</v>
      </c>
    </row>
    <row r="5670" spans="1:6" ht="13.5" hidden="1" customHeight="1">
      <c r="A5670" s="4" t="s">
        <v>12987</v>
      </c>
      <c r="B5670" s="4" t="s">
        <v>12988</v>
      </c>
      <c r="C5670" s="4" t="str">
        <f ca="1">IFERROR(__xludf.DUMMYFUNCTION("GOOGLETRANSLATE(D:D,""auto"",""en"")"),"Economic conditions after the Chinese New Year")</f>
        <v>Economic conditions after the Chinese New Year</v>
      </c>
      <c r="D5670" s="5" t="s">
        <v>12989</v>
      </c>
      <c r="E5670" s="4">
        <v>562797</v>
      </c>
    </row>
    <row r="5671" spans="1:6" ht="13.5" hidden="1" customHeight="1">
      <c r="A5671" s="4" t="s">
        <v>12990</v>
      </c>
      <c r="B5671" s="4" t="s">
        <v>12991</v>
      </c>
      <c r="C5671" s="4" t="str">
        <f ca="1">IFERROR(__xludf.DUMMYFUNCTION("GOOGLETRANSLATE(D:D,""auto"",""en"")"),"The teacher how strong will to live")</f>
        <v>The teacher how strong will to live</v>
      </c>
      <c r="D5671" s="5" t="s">
        <v>12992</v>
      </c>
      <c r="E5671" s="4">
        <v>539090</v>
      </c>
    </row>
    <row r="5672" spans="1:6" ht="13.5" customHeight="1">
      <c r="A5672" s="4" t="s">
        <v>12993</v>
      </c>
      <c r="B5672" s="4" t="s">
        <v>12994</v>
      </c>
      <c r="C5672" s="4" t="str">
        <f ca="1">IFERROR(__xludf.DUMMYFUNCTION("GOOGLETRANSLATE(D:D,""auto"",""en"")"),"Forensic talk about the first case of the new cases of pneumonia anatomical crown")</f>
        <v>Forensic talk about the first case of the new cases of pneumonia anatomical crown</v>
      </c>
      <c r="D5672" s="5" t="s">
        <v>12995</v>
      </c>
      <c r="E5672" s="4">
        <v>529459</v>
      </c>
      <c r="F5672">
        <v>1</v>
      </c>
    </row>
    <row r="5673" spans="1:6" ht="13.5" hidden="1" customHeight="1">
      <c r="A5673" s="4" t="s">
        <v>12996</v>
      </c>
      <c r="B5673" s="4" t="s">
        <v>12997</v>
      </c>
      <c r="C5673" s="4" t="str">
        <f ca="1">IFERROR(__xludf.DUMMYFUNCTION("GOOGLETRANSLATE(D:D,""auto"",""en"")"),"Wu Ying opened up early")</f>
        <v>Wu Ying opened up early</v>
      </c>
      <c r="D5673" s="5" t="s">
        <v>12998</v>
      </c>
      <c r="E5673" s="4">
        <v>453973</v>
      </c>
    </row>
    <row r="5674" spans="1:6" ht="13.5" customHeight="1">
      <c r="A5674" s="4" t="s">
        <v>6309</v>
      </c>
      <c r="B5674" s="4" t="s">
        <v>6310</v>
      </c>
      <c r="C5674" s="4" t="str">
        <f ca="1">IFERROR(__xludf.DUMMYFUNCTION("GOOGLETRANSLATE(D:D,""auto"",""en"")"),"Doctors romantic gold master")</f>
        <v>Doctors romantic gold master</v>
      </c>
      <c r="D5674" s="5" t="s">
        <v>6311</v>
      </c>
      <c r="E5674" s="4">
        <v>426437</v>
      </c>
      <c r="F5674">
        <v>1</v>
      </c>
    </row>
    <row r="5675" spans="1:6" ht="13.5" hidden="1" customHeight="1">
      <c r="A5675" s="4" t="s">
        <v>12999</v>
      </c>
      <c r="B5675" s="4" t="s">
        <v>13000</v>
      </c>
      <c r="C5675" s="4" t="str">
        <f ca="1">IFERROR(__xludf.DUMMYFUNCTION("GOOGLETRANSLATE(D:D,""auto"",""en"")"),"Pupils are crazy job")</f>
        <v>Pupils are crazy job</v>
      </c>
      <c r="D5675" s="5" t="s">
        <v>13001</v>
      </c>
      <c r="E5675" s="4">
        <v>396009</v>
      </c>
    </row>
    <row r="5676" spans="1:6" ht="13.5" customHeight="1">
      <c r="A5676" s="4" t="s">
        <v>13002</v>
      </c>
      <c r="B5676" s="4" t="s">
        <v>13003</v>
      </c>
      <c r="C5676" s="4" t="str">
        <f ca="1">IFERROR(__xludf.DUMMYFUNCTION("GOOGLETRANSLATE(D:D,""auto"",""en"")"),"Banks 6.9 billion in cash disinfection")</f>
        <v>Banks 6.9 billion in cash disinfection</v>
      </c>
      <c r="D5676" s="5" t="s">
        <v>13004</v>
      </c>
      <c r="E5676" s="4">
        <v>368257</v>
      </c>
      <c r="F5676">
        <v>1</v>
      </c>
    </row>
    <row r="5677" spans="1:6" ht="13.5" hidden="1" customHeight="1">
      <c r="A5677" s="4" t="s">
        <v>13005</v>
      </c>
      <c r="B5677" s="4" t="s">
        <v>12941</v>
      </c>
      <c r="C5677" s="4" t="str">
        <f ca="1">IFERROR(__xludf.DUMMYFUNCTION("GOOGLETRANSLATE(D:D,""auto"",""en"")"),"Settle family of origin")</f>
        <v>Settle family of origin</v>
      </c>
      <c r="D5677" s="5" t="s">
        <v>13006</v>
      </c>
      <c r="E5677" s="4">
        <v>368095</v>
      </c>
    </row>
    <row r="5678" spans="1:6" ht="13.5" hidden="1" customHeight="1">
      <c r="A5678" s="4" t="s">
        <v>12966</v>
      </c>
      <c r="B5678" s="4" t="s">
        <v>12867</v>
      </c>
      <c r="C5678" s="4" t="str">
        <f ca="1">IFERROR(__xludf.DUMMYFUNCTION("GOOGLETRANSLATE(D:D,""auto"",""en"")"),"Laiguan Lin back hate friends")</f>
        <v>Laiguan Lin back hate friends</v>
      </c>
      <c r="D5678" s="5" t="s">
        <v>13007</v>
      </c>
      <c r="E5678" s="4">
        <v>358884</v>
      </c>
    </row>
    <row r="5679" spans="1:6" ht="13.5" hidden="1" customHeight="1">
      <c r="A5679" s="4" t="s">
        <v>13002</v>
      </c>
      <c r="B5679" s="4" t="s">
        <v>13008</v>
      </c>
      <c r="C5679" s="4" t="str">
        <f ca="1">IFERROR(__xludf.DUMMYFUNCTION("GOOGLETRANSLATE(D:D,""auto"",""en"")"),"Zhang Yixing live")</f>
        <v>Zhang Yixing live</v>
      </c>
      <c r="D5679" s="5" t="s">
        <v>13009</v>
      </c>
      <c r="E5679" s="4">
        <v>349336</v>
      </c>
    </row>
    <row r="5680" spans="1:6" ht="13.5" hidden="1" customHeight="1">
      <c r="A5680" s="4" t="s">
        <v>13010</v>
      </c>
      <c r="B5680" s="4" t="s">
        <v>12956</v>
      </c>
      <c r="C5680" s="4" t="str">
        <f ca="1">IFERROR(__xludf.DUMMYFUNCTION("GOOGLETRANSLATE(D:D,""auto"",""en"")"),"Recent favorite gourmet convenience store")</f>
        <v>Recent favorite gourmet convenience store</v>
      </c>
      <c r="D5680" s="5" t="s">
        <v>13011</v>
      </c>
      <c r="E5680" s="4">
        <v>330809</v>
      </c>
    </row>
    <row r="5681" spans="1:6" ht="13.5" hidden="1" customHeight="1">
      <c r="A5681" s="4" t="s">
        <v>13012</v>
      </c>
      <c r="B5681" s="4" t="s">
        <v>13013</v>
      </c>
      <c r="C5681" s="4" t="str">
        <f ca="1">IFERROR(__xludf.DUMMYFUNCTION("GOOGLETRANSLATE(D:D,""auto"",""en"")"),"US stocks rise")</f>
        <v>US stocks rise</v>
      </c>
      <c r="D5681" s="5" t="s">
        <v>13014</v>
      </c>
      <c r="E5681" s="4">
        <v>329658</v>
      </c>
    </row>
    <row r="5682" spans="1:6" ht="13.5" hidden="1" customHeight="1">
      <c r="A5682" s="4" t="s">
        <v>13015</v>
      </c>
      <c r="B5682" s="4" t="s">
        <v>13016</v>
      </c>
      <c r="C5682" s="4" t="str">
        <f ca="1">IFERROR(__xludf.DUMMYFUNCTION("GOOGLETRANSLATE(D:D,""auto"",""en"")"),"Cross Stitch")</f>
        <v>Cross Stitch</v>
      </c>
      <c r="D5682" s="5" t="s">
        <v>13017</v>
      </c>
      <c r="E5682" s="4">
        <v>305216</v>
      </c>
    </row>
    <row r="5683" spans="1:6" ht="13.5" customHeight="1">
      <c r="A5683" s="4" t="s">
        <v>13018</v>
      </c>
      <c r="B5683" s="4" t="s">
        <v>12867</v>
      </c>
      <c r="C5683" s="4" t="str">
        <f ca="1">IFERROR(__xludf.DUMMYFUNCTION("GOOGLETRANSLATE(D:D,""auto"",""en"")"),"Converting every 2-3 hours mask wearing position")</f>
        <v>Converting every 2-3 hours mask wearing position</v>
      </c>
      <c r="D5683" s="5" t="s">
        <v>13019</v>
      </c>
      <c r="E5683" s="4">
        <v>286698</v>
      </c>
      <c r="F5683">
        <v>1</v>
      </c>
    </row>
    <row r="5684" spans="1:6" ht="13.5" hidden="1" customHeight="1">
      <c r="A5684" s="4" t="s">
        <v>13020</v>
      </c>
      <c r="B5684" s="4" t="s">
        <v>13021</v>
      </c>
      <c r="C5684" s="4" t="str">
        <f ca="1">IFERROR(__xludf.DUMMYFUNCTION("GOOGLETRANSLATE(D:D,""auto"",""en"")"),"Large sauce")</f>
        <v>Large sauce</v>
      </c>
      <c r="D5684" s="5" t="s">
        <v>13022</v>
      </c>
      <c r="E5684" s="4">
        <v>272980</v>
      </c>
    </row>
    <row r="5685" spans="1:6" ht="13.5" customHeight="1">
      <c r="A5685" s="4" t="s">
        <v>13002</v>
      </c>
      <c r="B5685" s="4" t="s">
        <v>13023</v>
      </c>
      <c r="C5685" s="4" t="str">
        <f ca="1">IFERROR(__xludf.DUMMYFUNCTION("GOOGLETRANSLATE(D:D,""auto"",""en"")"),"Uninfected new crown prescription drugs sent to ICU")</f>
        <v>Uninfected new crown prescription drugs sent to ICU</v>
      </c>
      <c r="D5685" s="5" t="s">
        <v>13024</v>
      </c>
      <c r="E5685" s="4">
        <v>262636</v>
      </c>
      <c r="F5685">
        <v>1</v>
      </c>
    </row>
    <row r="5686" spans="1:6" ht="13.5" hidden="1" customHeight="1">
      <c r="A5686" s="4" t="s">
        <v>13025</v>
      </c>
      <c r="B5686" s="4" t="s">
        <v>12981</v>
      </c>
      <c r="C5686" s="4" t="str">
        <f ca="1">IFERROR(__xludf.DUMMYFUNCTION("GOOGLETRANSLATE(D:D,""auto"",""en"")"),"Homemade chicken rice flower")</f>
        <v>Homemade chicken rice flower</v>
      </c>
      <c r="D5686" s="5" t="s">
        <v>13026</v>
      </c>
      <c r="E5686" s="4">
        <v>255941</v>
      </c>
    </row>
    <row r="5687" spans="1:6" ht="13.5" customHeight="1">
      <c r="A5687" s="4" t="s">
        <v>13002</v>
      </c>
      <c r="B5687" s="4" t="s">
        <v>13016</v>
      </c>
      <c r="C5687" s="4" t="str">
        <f ca="1">IFERROR(__xludf.DUMMYFUNCTION("GOOGLETRANSLATE(D:D,""auto"",""en"")"),"Just like most of you and your co-workers return to work")</f>
        <v>Just like most of you and your co-workers return to work</v>
      </c>
      <c r="D5687" s="5" t="s">
        <v>13027</v>
      </c>
      <c r="E5687" s="4">
        <v>232845</v>
      </c>
      <c r="F5687">
        <v>1</v>
      </c>
    </row>
    <row r="5688" spans="1:6" ht="13.5" hidden="1" customHeight="1">
      <c r="A5688" s="4" t="s">
        <v>13028</v>
      </c>
      <c r="B5688" s="4" t="s">
        <v>13029</v>
      </c>
      <c r="C5688" s="4" t="str">
        <f ca="1">IFERROR(__xludf.DUMMYFUNCTION("GOOGLETRANSLATE(D:D,""auto"",""en"")"),"Courier virus samples")</f>
        <v>Courier virus samples</v>
      </c>
      <c r="D5688" s="5" t="s">
        <v>13030</v>
      </c>
      <c r="E5688" s="4">
        <v>232805</v>
      </c>
    </row>
    <row r="5689" spans="1:6" ht="13.5" hidden="1" customHeight="1">
      <c r="A5689" s="4" t="s">
        <v>13018</v>
      </c>
      <c r="B5689" s="4" t="s">
        <v>13016</v>
      </c>
      <c r="C5689" s="4" t="str">
        <f ca="1">IFERROR(__xludf.DUMMYFUNCTION("GOOGLETRANSLATE(D:D,""auto"",""en"")"),"Northeast of daily food")</f>
        <v>Northeast of daily food</v>
      </c>
      <c r="D5689" s="5" t="s">
        <v>13031</v>
      </c>
      <c r="E5689" s="4">
        <v>220625</v>
      </c>
    </row>
    <row r="5690" spans="1:6" ht="13.5" hidden="1" customHeight="1">
      <c r="A5690" s="4" t="s">
        <v>13032</v>
      </c>
      <c r="B5690" s="4" t="s">
        <v>13033</v>
      </c>
      <c r="C5690" s="4" t="str">
        <f ca="1">IFERROR(__xludf.DUMMYFUNCTION("GOOGLETRANSLATE(D:D,""auto"",""en"")"),"Eat the chicken cleanliness")</f>
        <v>Eat the chicken cleanliness</v>
      </c>
      <c r="D5690" s="5" t="s">
        <v>13034</v>
      </c>
      <c r="E5690" s="4">
        <v>211050</v>
      </c>
    </row>
    <row r="5691" spans="1:6" ht="13.5" hidden="1" customHeight="1">
      <c r="A5691" s="4" t="s">
        <v>12563</v>
      </c>
      <c r="B5691" s="4" t="s">
        <v>12564</v>
      </c>
      <c r="C5691" s="4" t="str">
        <f ca="1">IFERROR(__xludf.DUMMYFUNCTION("GOOGLETRANSLATE(D:D,""auto"",""en"")"),"Korea")</f>
        <v>Korea</v>
      </c>
      <c r="D5691" s="5" t="s">
        <v>12565</v>
      </c>
      <c r="E5691" s="4">
        <v>196752</v>
      </c>
    </row>
    <row r="5692" spans="1:6" ht="13.5" customHeight="1">
      <c r="A5692" s="4" t="s">
        <v>13035</v>
      </c>
      <c r="B5692" s="4" t="s">
        <v>12964</v>
      </c>
      <c r="C5692" s="4" t="str">
        <f ca="1">IFERROR(__xludf.DUMMYFUNCTION("GOOGLETRANSLATE(D:D,""auto"",""en"")"),"Fierce Sports Network Division")</f>
        <v>Fierce Sports Network Division</v>
      </c>
      <c r="D5692" s="5" t="s">
        <v>13036</v>
      </c>
      <c r="E5692" s="4">
        <v>195611</v>
      </c>
      <c r="F5692">
        <v>1</v>
      </c>
    </row>
    <row r="5693" spans="1:6" ht="13.5" hidden="1" customHeight="1">
      <c r="A5693" s="4" t="s">
        <v>13018</v>
      </c>
      <c r="B5693" s="4" t="s">
        <v>13037</v>
      </c>
      <c r="C5693" s="4" t="str">
        <f ca="1">IFERROR(__xludf.DUMMYFUNCTION("GOOGLETRANSLATE(D:D,""auto"",""en"")"),"Italy long lines of people buying food")</f>
        <v>Italy long lines of people buying food</v>
      </c>
      <c r="D5693" s="5" t="s">
        <v>13038</v>
      </c>
      <c r="E5693" s="4">
        <v>183983</v>
      </c>
    </row>
    <row r="5694" spans="1:6" ht="13.5" hidden="1" customHeight="1">
      <c r="A5694" s="4" t="s">
        <v>13025</v>
      </c>
      <c r="B5694" s="4" t="s">
        <v>13039</v>
      </c>
      <c r="C5694" s="4" t="str">
        <f ca="1">IFERROR(__xludf.DUMMYFUNCTION("GOOGLETRANSLATE(D:D,""auto"",""en"")"),"Jimingsi message tree blossom")</f>
        <v>Jimingsi message tree blossom</v>
      </c>
      <c r="D5694" s="5" t="s">
        <v>13040</v>
      </c>
      <c r="E5694" s="4">
        <v>177317</v>
      </c>
    </row>
    <row r="5695" spans="1:6" ht="13.5" hidden="1" customHeight="1">
      <c r="A5695" s="4" t="s">
        <v>13041</v>
      </c>
      <c r="B5695" s="4" t="s">
        <v>13042</v>
      </c>
      <c r="C5695" s="4" t="str">
        <f ca="1">IFERROR(__xludf.DUMMYFUNCTION("GOOGLETRANSLATE(D:D,""auto"",""en"")"),"Chinese football has donated money and goods 2.4 billion")</f>
        <v>Chinese football has donated money and goods 2.4 billion</v>
      </c>
      <c r="D5695" s="5" t="s">
        <v>13043</v>
      </c>
      <c r="E5695" s="4">
        <v>144242</v>
      </c>
    </row>
    <row r="5696" spans="1:6" ht="13.5" hidden="1" customHeight="1">
      <c r="A5696" s="4" t="s">
        <v>13044</v>
      </c>
      <c r="B5696" s="4" t="s">
        <v>12997</v>
      </c>
      <c r="C5696" s="4" t="str">
        <f ca="1">IFERROR(__xludf.DUMMYFUNCTION("GOOGLETRANSLATE(D:D,""auto"",""en"")"),"Former Egyptian President Hosni Mubarak's death")</f>
        <v>Former Egyptian President Hosni Mubarak's death</v>
      </c>
      <c r="D5696" s="5" t="s">
        <v>13045</v>
      </c>
      <c r="E5696" s="4">
        <v>128203</v>
      </c>
    </row>
    <row r="5697" spans="1:6" ht="13.5" hidden="1" customHeight="1">
      <c r="C5697" s="4" t="str">
        <f ca="1">IFERROR(__xludf.DUMMYFUNCTION("GOOGLETRANSLATE(D:D,""auto"",""en"")"),"#VALUE!")</f>
        <v>#VALUE!</v>
      </c>
    </row>
    <row r="5698" spans="1:6" ht="13.5" customHeight="1">
      <c r="A5698" s="4" t="s">
        <v>13046</v>
      </c>
      <c r="B5698" s="4" t="s">
        <v>13047</v>
      </c>
      <c r="C5698" s="4" t="str">
        <f ca="1">IFERROR(__xludf.DUMMYFUNCTION("GOOGLETRANSLATE(D:D,""auto"",""en"")"),"After school teacher wearing a mask is recommended teaching")</f>
        <v>After school teacher wearing a mask is recommended teaching</v>
      </c>
      <c r="D5698" s="4" t="s">
        <v>13048</v>
      </c>
      <c r="E5698" s="4">
        <v>3442887</v>
      </c>
      <c r="F5698">
        <v>1</v>
      </c>
    </row>
    <row r="5699" spans="1:6" ht="13.5" customHeight="1">
      <c r="A5699" s="4" t="s">
        <v>13049</v>
      </c>
      <c r="B5699" s="4" t="s">
        <v>13050</v>
      </c>
      <c r="C5699" s="4" t="str">
        <f ca="1">IFERROR(__xludf.DUMMYFUNCTION("GOOGLETRANSLATE(D:D,""auto"",""en"")"),"Moon Jae-in and once diagnosed patients who have attended the event")</f>
        <v>Moon Jae-in and once diagnosed patients who have attended the event</v>
      </c>
      <c r="D5699" s="5" t="s">
        <v>13051</v>
      </c>
      <c r="E5699" s="4">
        <v>2558204</v>
      </c>
      <c r="F5699">
        <v>1</v>
      </c>
    </row>
    <row r="5700" spans="1:6" ht="13.5" customHeight="1">
      <c r="A5700" s="4" t="s">
        <v>13052</v>
      </c>
      <c r="B5700" s="4" t="s">
        <v>13047</v>
      </c>
      <c r="C5700" s="4" t="str">
        <f ca="1">IFERROR(__xludf.DUMMYFUNCTION("GOOGLETRANSLATE(D:D,""auto"",""en"")"),"South Korea's new crown increased to 1146 cases of pneumonia")</f>
        <v>South Korea's new crown increased to 1146 cases of pneumonia</v>
      </c>
      <c r="D5700" s="5" t="s">
        <v>13053</v>
      </c>
      <c r="E5700" s="4">
        <v>1621640</v>
      </c>
      <c r="F5700">
        <v>1</v>
      </c>
    </row>
    <row r="5701" spans="1:6" ht="13.5" hidden="1" customHeight="1">
      <c r="A5701" s="4" t="s">
        <v>13054</v>
      </c>
      <c r="B5701" s="4" t="s">
        <v>12975</v>
      </c>
      <c r="C5701" s="4" t="str">
        <f ca="1">IFERROR(__xludf.DUMMYFUNCTION("GOOGLETRANSLATE(D:D,""auto"",""en"")"),"Hide eating strawberries")</f>
        <v>Hide eating strawberries</v>
      </c>
      <c r="D5701" s="5" t="s">
        <v>13055</v>
      </c>
      <c r="E5701" s="4">
        <v>1605253</v>
      </c>
    </row>
    <row r="5702" spans="1:6" ht="13.5" customHeight="1">
      <c r="A5702" s="4" t="s">
        <v>13056</v>
      </c>
      <c r="B5702" s="4" t="s">
        <v>13057</v>
      </c>
      <c r="C5702" s="4" t="str">
        <f ca="1">IFERROR(__xludf.DUMMYFUNCTION("GOOGLETRANSLATE(D:D,""auto"",""en"")"),"Nanning plague of 800 people get together and enjoy the wild cherry tree")</f>
        <v>Nanning plague of 800 people get together and enjoy the wild cherry tree</v>
      </c>
      <c r="D5702" s="5" t="s">
        <v>13058</v>
      </c>
      <c r="E5702" s="4">
        <v>1509002</v>
      </c>
      <c r="F5702">
        <v>1</v>
      </c>
    </row>
    <row r="5703" spans="1:6" ht="13.5" customHeight="1">
      <c r="A5703" s="4" t="s">
        <v>13059</v>
      </c>
      <c r="B5703" s="4" t="s">
        <v>13060</v>
      </c>
      <c r="C5703" s="4" t="str">
        <f ca="1">IFERROR(__xludf.DUMMYFUNCTION("GOOGLETRANSLATE(D:D,""auto"",""en"")"),"New cases outside of Hubei five cases")</f>
        <v>New cases outside of Hubei five cases</v>
      </c>
      <c r="D5703" s="5" t="s">
        <v>13061</v>
      </c>
      <c r="E5703" s="4">
        <v>1326714</v>
      </c>
      <c r="F5703">
        <v>1</v>
      </c>
    </row>
    <row r="5704" spans="1:6" ht="13.5" customHeight="1">
      <c r="A5704" s="4" t="s">
        <v>13062</v>
      </c>
      <c r="B5704" s="4" t="s">
        <v>13063</v>
      </c>
      <c r="C5704" s="4" t="str">
        <f ca="1">IFERROR(__xludf.DUMMYFUNCTION("GOOGLETRANSLATE(D:D,""auto"",""en"")"),"Tokyo Olympic Games may be canceled")</f>
        <v>Tokyo Olympic Games may be canceled</v>
      </c>
      <c r="D5704" s="5" t="s">
        <v>13064</v>
      </c>
      <c r="E5704" s="4">
        <v>983926</v>
      </c>
      <c r="F5704">
        <v>1</v>
      </c>
    </row>
    <row r="5705" spans="1:6" ht="13.5" hidden="1" customHeight="1">
      <c r="A5705" s="4" t="s">
        <v>13065</v>
      </c>
      <c r="B5705" s="4" t="s">
        <v>13066</v>
      </c>
      <c r="C5705" s="4" t="str">
        <f ca="1">IFERROR(__xludf.DUMMYFUNCTION("GOOGLETRANSLATE(D:D,""auto"",""en"")"),"Room bright bedrooms and four wells")</f>
        <v>Room bright bedrooms and four wells</v>
      </c>
      <c r="D5705" s="5" t="s">
        <v>13067</v>
      </c>
      <c r="E5705" s="4">
        <v>706991</v>
      </c>
    </row>
    <row r="5706" spans="1:6" ht="13.5" hidden="1" customHeight="1">
      <c r="A5706" s="4" t="s">
        <v>12934</v>
      </c>
      <c r="B5706" s="4" t="s">
        <v>12935</v>
      </c>
      <c r="C5706" s="4" t="str">
        <f ca="1">IFERROR(__xludf.DUMMYFUNCTION("GOOGLETRANSLATE(D:D,""auto"",""en"")"),"Cuiying Jun is mad")</f>
        <v>Cuiying Jun is mad</v>
      </c>
      <c r="D5706" s="5" t="s">
        <v>12936</v>
      </c>
      <c r="E5706" s="4">
        <v>677003</v>
      </c>
    </row>
    <row r="5707" spans="1:6" ht="13.5" hidden="1" customHeight="1">
      <c r="A5707" s="4" t="s">
        <v>12940</v>
      </c>
      <c r="B5707" s="4" t="s">
        <v>12941</v>
      </c>
      <c r="C5707" s="4" t="str">
        <f ca="1">IFERROR(__xludf.DUMMYFUNCTION("GOOGLETRANSLATE(D:D,""auto"",""en"")"),"Perfect relationship hostess set")</f>
        <v>Perfect relationship hostess set</v>
      </c>
      <c r="D5707" s="5" t="s">
        <v>12942</v>
      </c>
      <c r="E5707" s="4">
        <v>671061</v>
      </c>
    </row>
    <row r="5708" spans="1:6" ht="13.5" customHeight="1">
      <c r="A5708" s="4" t="s">
        <v>13068</v>
      </c>
      <c r="B5708" s="4" t="s">
        <v>13069</v>
      </c>
      <c r="C5708" s="4" t="str">
        <f ca="1">IFERROR(__xludf.DUMMYFUNCTION("GOOGLETRANSLATE(D:D,""auto"",""en"")"),"The first Erfei Nan Jing flights found three passengers fever")</f>
        <v>The first Erfei Nan Jing flights found three passengers fever</v>
      </c>
      <c r="D5708" s="5" t="s">
        <v>13070</v>
      </c>
      <c r="E5708" s="4">
        <v>670907</v>
      </c>
      <c r="F5708">
        <v>1</v>
      </c>
    </row>
    <row r="5709" spans="1:6" ht="13.5" customHeight="1">
      <c r="A5709" s="4" t="s">
        <v>13071</v>
      </c>
      <c r="B5709" s="4" t="s">
        <v>13072</v>
      </c>
      <c r="C5709" s="4" t="str">
        <f ca="1">IFERROR(__xludf.DUMMYFUNCTION("GOOGLETRANSLATE(D:D,""auto"",""en"")"),"Justice Department to respond to the epidemic situation in prison")</f>
        <v>Justice Department to respond to the epidemic situation in prison</v>
      </c>
      <c r="D5709" s="5" t="s">
        <v>13073</v>
      </c>
      <c r="E5709" s="4">
        <v>669393</v>
      </c>
      <c r="F5709">
        <v>1</v>
      </c>
    </row>
    <row r="5710" spans="1:6" ht="13.5" customHeight="1">
      <c r="A5710" s="4" t="s">
        <v>13074</v>
      </c>
      <c r="B5710" s="4" t="s">
        <v>12996</v>
      </c>
      <c r="C5710" s="4" t="str">
        <f ca="1">IFERROR(__xludf.DUMMYFUNCTION("GOOGLETRANSLATE(D:D,""auto"",""en"")"),"The new crown the national total of 78,064 cases of pneumonia")</f>
        <v>The new crown the national total of 78,064 cases of pneumonia</v>
      </c>
      <c r="D5710" s="5" t="s">
        <v>13075</v>
      </c>
      <c r="E5710" s="4">
        <v>600996</v>
      </c>
      <c r="F5710">
        <v>1</v>
      </c>
    </row>
    <row r="5711" spans="1:6" ht="13.5" customHeight="1">
      <c r="A5711" s="4" t="s">
        <v>13076</v>
      </c>
      <c r="B5711" s="4" t="s">
        <v>13072</v>
      </c>
      <c r="C5711" s="4" t="str">
        <f ca="1">IFERROR(__xludf.DUMMYFUNCTION("GOOGLETRANSLATE(D:D,""auto"",""en"")"),"Deputy Mayor of Daegu economic tested negative")</f>
        <v>Deputy Mayor of Daegu economic tested negative</v>
      </c>
      <c r="D5711" s="5" t="s">
        <v>13077</v>
      </c>
      <c r="E5711" s="4">
        <v>541949</v>
      </c>
      <c r="F5711">
        <v>1</v>
      </c>
    </row>
    <row r="5712" spans="1:6" ht="13.5" customHeight="1">
      <c r="A5712" s="4" t="s">
        <v>13078</v>
      </c>
      <c r="B5712" s="4" t="s">
        <v>13079</v>
      </c>
      <c r="C5712" s="4" t="str">
        <f ca="1">IFERROR(__xludf.DUMMYFUNCTION("GOOGLETRANSLATE(D:D,""auto"",""en"")"),"Hubei new crown the new 401 cases of pneumonia")</f>
        <v>Hubei new crown the new 401 cases of pneumonia</v>
      </c>
      <c r="D5712" s="5" t="s">
        <v>13080</v>
      </c>
      <c r="E5712" s="4">
        <v>541627</v>
      </c>
      <c r="F5712">
        <v>1</v>
      </c>
    </row>
    <row r="5713" spans="1:6" ht="13.5" hidden="1" customHeight="1">
      <c r="A5713" s="4" t="s">
        <v>13081</v>
      </c>
      <c r="B5713" s="4" t="s">
        <v>13082</v>
      </c>
      <c r="C5713" s="4" t="str">
        <f ca="1">IFERROR(__xludf.DUMMYFUNCTION("GOOGLETRANSLATE(D:D,""auto"",""en"")"),"Ronghao to Zhang Yixing live brush gift")</f>
        <v>Ronghao to Zhang Yixing live brush gift</v>
      </c>
      <c r="D5713" s="5" t="s">
        <v>13083</v>
      </c>
      <c r="E5713" s="4">
        <v>535026</v>
      </c>
    </row>
    <row r="5714" spans="1:6" ht="13.5" hidden="1" customHeight="1">
      <c r="A5714" s="4" t="s">
        <v>13084</v>
      </c>
      <c r="B5714" s="4" t="s">
        <v>13085</v>
      </c>
      <c r="C5714" s="4" t="str">
        <f ca="1">IFERROR(__xludf.DUMMYFUNCTION("GOOGLETRANSLATE(D:D,""auto"",""en"")"),"How happy can jiedi")</f>
        <v>How happy can jiedi</v>
      </c>
      <c r="D5714" s="5" t="s">
        <v>13086</v>
      </c>
      <c r="E5714" s="4">
        <v>528496</v>
      </c>
    </row>
    <row r="5715" spans="1:6" ht="13.5" hidden="1" customHeight="1">
      <c r="A5715" s="4" t="s">
        <v>13087</v>
      </c>
      <c r="B5715" s="4" t="s">
        <v>13088</v>
      </c>
      <c r="C5715" s="4" t="str">
        <f ca="1">IFERROR(__xludf.DUMMYFUNCTION("GOOGLETRANSLATE(D:D,""auto"",""en"")"),"Li Jiaqi did not live off")</f>
        <v>Li Jiaqi did not live off</v>
      </c>
      <c r="D5715" s="5" t="s">
        <v>13089</v>
      </c>
      <c r="E5715" s="4">
        <v>525941</v>
      </c>
    </row>
    <row r="5716" spans="1:6" ht="13.5" hidden="1" customHeight="1">
      <c r="A5716" s="4" t="s">
        <v>13090</v>
      </c>
      <c r="B5716" s="4" t="s">
        <v>12978</v>
      </c>
      <c r="C5716" s="4" t="str">
        <f ca="1">IFERROR(__xludf.DUMMYFUNCTION("GOOGLETRANSLATE(D:D,""auto"",""en"")"),"Beijing requires supermarkets per capita area of ​​not less than two square meters")</f>
        <v>Beijing requires supermarkets per capita area of ​​not less than two square meters</v>
      </c>
      <c r="D5716" s="5" t="s">
        <v>13091</v>
      </c>
      <c r="E5716" s="4">
        <v>521767</v>
      </c>
    </row>
    <row r="5717" spans="1:6" ht="13.5" hidden="1" customHeight="1">
      <c r="A5717" s="4" t="s">
        <v>13092</v>
      </c>
      <c r="B5717" s="4" t="s">
        <v>13093</v>
      </c>
      <c r="C5717" s="4" t="str">
        <f ca="1">IFERROR(__xludf.DUMMYFUNCTION("GOOGLETRANSLATE(D:D,""auto"",""en"")"),"Wang Shasha play idol")</f>
        <v>Wang Shasha play idol</v>
      </c>
      <c r="D5717" s="5" t="s">
        <v>13094</v>
      </c>
      <c r="E5717" s="4">
        <v>512930</v>
      </c>
    </row>
    <row r="5718" spans="1:6" ht="13.5" hidden="1" customHeight="1">
      <c r="A5718" s="4" t="s">
        <v>13095</v>
      </c>
      <c r="B5718" s="4" t="s">
        <v>12963</v>
      </c>
      <c r="C5718" s="4" t="str">
        <f ca="1">IFERROR(__xludf.DUMMYFUNCTION("GOOGLETRANSLATE(D:D,""auto"",""en"")"),"Yangcheng Lake crabs large number of poor sales")</f>
        <v>Yangcheng Lake crabs large number of poor sales</v>
      </c>
      <c r="D5718" s="5" t="s">
        <v>13096</v>
      </c>
      <c r="E5718" s="4">
        <v>511020</v>
      </c>
    </row>
    <row r="5719" spans="1:6" ht="13.5" hidden="1" customHeight="1">
      <c r="A5719" s="4" t="s">
        <v>13097</v>
      </c>
      <c r="B5719" s="4" t="s">
        <v>13050</v>
      </c>
      <c r="C5719" s="4" t="str">
        <f ca="1">IFERROR(__xludf.DUMMYFUNCTION("GOOGLETRANSLATE(D:D,""auto"",""en"")"),"Palm things")</f>
        <v>Palm things</v>
      </c>
      <c r="D5719" s="5" t="s">
        <v>13098</v>
      </c>
      <c r="E5719" s="4">
        <v>507214</v>
      </c>
    </row>
    <row r="5720" spans="1:6" ht="13.5" hidden="1" customHeight="1">
      <c r="A5720" s="4" t="s">
        <v>13099</v>
      </c>
      <c r="B5720" s="4" t="s">
        <v>13100</v>
      </c>
      <c r="C5720" s="4" t="str">
        <f ca="1">IFERROR(__xludf.DUMMYFUNCTION("GOOGLETRANSLATE(D:D,""auto"",""en"")"),"Who says online dating did not result")</f>
        <v>Who says online dating did not result</v>
      </c>
      <c r="D5720" s="5" t="s">
        <v>13101</v>
      </c>
      <c r="E5720" s="4">
        <v>503174</v>
      </c>
    </row>
    <row r="5721" spans="1:6" ht="13.5" customHeight="1">
      <c r="A5721" s="4" t="s">
        <v>13102</v>
      </c>
      <c r="B5721" s="4" t="s">
        <v>13103</v>
      </c>
      <c r="C5721" s="4" t="str">
        <f ca="1">IFERROR(__xludf.DUMMYFUNCTION("GOOGLETRANSLATE(D:D,""auto"",""en"")"),"Hey uncle aunt danced the mask off")</f>
        <v>Hey uncle aunt danced the mask off</v>
      </c>
      <c r="D5721" s="5" t="s">
        <v>13104</v>
      </c>
      <c r="E5721" s="4">
        <v>495840</v>
      </c>
      <c r="F5721">
        <v>1</v>
      </c>
    </row>
    <row r="5722" spans="1:6" ht="13.5" hidden="1" customHeight="1">
      <c r="A5722" s="4" t="s">
        <v>13105</v>
      </c>
      <c r="B5722" s="4" t="s">
        <v>13044</v>
      </c>
      <c r="C5722" s="4" t="str">
        <f ca="1">IFERROR(__xludf.DUMMYFUNCTION("GOOGLETRANSLATE(D:D,""auto"",""en"")"),"But not seriously affect the life of disease")</f>
        <v>But not seriously affect the life of disease</v>
      </c>
      <c r="D5722" s="5" t="s">
        <v>13106</v>
      </c>
      <c r="E5722" s="4">
        <v>471408</v>
      </c>
    </row>
    <row r="5723" spans="1:6" ht="13.5" hidden="1" customHeight="1">
      <c r="A5723" s="4" t="s">
        <v>13107</v>
      </c>
      <c r="B5723" s="4" t="s">
        <v>13108</v>
      </c>
      <c r="C5723" s="4" t="str">
        <f ca="1">IFERROR(__xludf.DUMMYFUNCTION("GOOGLETRANSLATE(D:D,""auto"",""en"")"),"2020 Hurun Global Rich List")</f>
        <v>2020 Hurun Global Rich List</v>
      </c>
      <c r="D5723" s="5" t="s">
        <v>13109</v>
      </c>
      <c r="E5723" s="4">
        <v>359593</v>
      </c>
    </row>
    <row r="5724" spans="1:6" ht="13.5" hidden="1" customHeight="1">
      <c r="A5724" s="4" t="s">
        <v>9371</v>
      </c>
      <c r="B5724" s="4" t="s">
        <v>9372</v>
      </c>
      <c r="C5724" s="4" t="str">
        <f ca="1">IFERROR(__xludf.DUMMYFUNCTION("GOOGLETRANSLATE(D:D,""auto"",""en"")"),"stock market")</f>
        <v>stock market</v>
      </c>
      <c r="D5724" s="5" t="s">
        <v>9373</v>
      </c>
      <c r="E5724" s="4">
        <v>354029</v>
      </c>
    </row>
    <row r="5725" spans="1:6" ht="13.5" hidden="1" customHeight="1">
      <c r="A5725" s="4" t="s">
        <v>13110</v>
      </c>
      <c r="B5725" s="4" t="s">
        <v>13111</v>
      </c>
      <c r="C5725" s="4" t="str">
        <f ca="1">IFERROR(__xludf.DUMMYFUNCTION("GOOGLETRANSLATE(D:D,""auto"",""en"")"),"Disney CEO renewal")</f>
        <v>Disney CEO renewal</v>
      </c>
      <c r="D5725" s="5" t="s">
        <v>13112</v>
      </c>
      <c r="E5725" s="4">
        <v>353105</v>
      </c>
    </row>
    <row r="5726" spans="1:6" ht="13.5" customHeight="1">
      <c r="A5726" s="4" t="s">
        <v>13113</v>
      </c>
      <c r="B5726" s="4" t="s">
        <v>13114</v>
      </c>
      <c r="C5726" s="4" t="str">
        <f ca="1">IFERROR(__xludf.DUMMYFUNCTION("GOOGLETRANSLATE(D:D,""auto"",""en"")"),"New deaths to zero outside Hubei")</f>
        <v>New deaths to zero outside Hubei</v>
      </c>
      <c r="D5726" s="5" t="s">
        <v>13115</v>
      </c>
      <c r="E5726" s="4">
        <v>306317</v>
      </c>
      <c r="F5726">
        <v>1</v>
      </c>
    </row>
    <row r="5727" spans="1:6" ht="13.5" hidden="1" customHeight="1">
      <c r="A5727" s="4" t="s">
        <v>13116</v>
      </c>
      <c r="B5727" s="4" t="s">
        <v>13025</v>
      </c>
      <c r="C5727" s="4" t="str">
        <f ca="1">IFERROR(__xludf.DUMMYFUNCTION("GOOGLETRANSLATE(D:D,""auto"",""en"")"),"Qingdao Airport inbound passengers in Korean passenger less than 20%")</f>
        <v>Qingdao Airport inbound passengers in Korean passenger less than 20%</v>
      </c>
      <c r="D5727" s="5" t="s">
        <v>13117</v>
      </c>
      <c r="E5727" s="4">
        <v>293638</v>
      </c>
    </row>
    <row r="5728" spans="1:6" ht="13.5" hidden="1" customHeight="1">
      <c r="A5728" s="4" t="s">
        <v>13118</v>
      </c>
      <c r="B5728" s="4" t="s">
        <v>13119</v>
      </c>
      <c r="C5728" s="4" t="str">
        <f ca="1">IFERROR(__xludf.DUMMYFUNCTION("GOOGLETRANSLATE(D:D,""auto"",""en"")"),"Italy Patient No. 1 track")</f>
        <v>Italy Patient No. 1 track</v>
      </c>
      <c r="D5728" s="5" t="s">
        <v>13120</v>
      </c>
      <c r="E5728" s="4">
        <v>287139</v>
      </c>
    </row>
    <row r="5729" spans="1:6" ht="13.5" customHeight="1">
      <c r="A5729" s="4" t="s">
        <v>13116</v>
      </c>
      <c r="B5729" s="4" t="s">
        <v>13121</v>
      </c>
      <c r="C5729" s="4" t="str">
        <f ca="1">IFERROR(__xludf.DUMMYFUNCTION("GOOGLETRANSLATE(D:D,""auto"",""en"")"),"Another South Korean church pastor was diagnosed")</f>
        <v>Another South Korean church pastor was diagnosed</v>
      </c>
      <c r="D5729" s="5" t="s">
        <v>13122</v>
      </c>
      <c r="E5729" s="4">
        <v>286914</v>
      </c>
      <c r="F5729">
        <v>1</v>
      </c>
    </row>
    <row r="5730" spans="1:6" ht="13.5" customHeight="1">
      <c r="A5730" s="4" t="s">
        <v>13123</v>
      </c>
      <c r="B5730" s="4" t="s">
        <v>12946</v>
      </c>
      <c r="C5730" s="4" t="str">
        <f ca="1">IFERROR(__xludf.DUMMYFUNCTION("GOOGLETRANSLATE(D:D,""auto"",""en"")"),"Qinghai a response adjustment for the three")</f>
        <v>Qinghai a response adjustment for the three</v>
      </c>
      <c r="D5730" s="5" t="s">
        <v>13124</v>
      </c>
      <c r="E5730" s="4">
        <v>283913</v>
      </c>
      <c r="F5730">
        <v>1</v>
      </c>
    </row>
    <row r="5731" spans="1:6" ht="13.5" customHeight="1">
      <c r="A5731" s="4" t="s">
        <v>13125</v>
      </c>
      <c r="B5731" s="4" t="s">
        <v>13126</v>
      </c>
      <c r="C5731" s="4" t="str">
        <f ca="1">IFERROR(__xludf.DUMMYFUNCTION("GOOGLETRANSLATE(D:D,""auto"",""en"")"),"Italy confirmed the new crown rose to 323 cases of pneumonia")</f>
        <v>Italy confirmed the new crown rose to 323 cases of pneumonia</v>
      </c>
      <c r="D5731" s="5" t="s">
        <v>13127</v>
      </c>
      <c r="E5731" s="4">
        <v>283498</v>
      </c>
      <c r="F5731">
        <v>1</v>
      </c>
    </row>
    <row r="5732" spans="1:6" ht="13.5" customHeight="1">
      <c r="A5732" s="4" t="s">
        <v>13125</v>
      </c>
      <c r="B5732" s="4" t="s">
        <v>13128</v>
      </c>
      <c r="C5732" s="4" t="str">
        <f ca="1">IFERROR(__xludf.DUMMYFUNCTION("GOOGLETRANSLATE(D:D,""auto"",""en"")"),"TCM's first shelter first 23 patients discharged from hospital")</f>
        <v>TCM's first shelter first 23 patients discharged from hospital</v>
      </c>
      <c r="D5732" s="5" t="s">
        <v>13129</v>
      </c>
      <c r="E5732" s="4">
        <v>279694</v>
      </c>
      <c r="F5732">
        <v>1</v>
      </c>
    </row>
    <row r="5733" spans="1:6" ht="13.5" hidden="1" customHeight="1">
      <c r="A5733" s="4" t="s">
        <v>13130</v>
      </c>
      <c r="B5733" s="4" t="s">
        <v>12972</v>
      </c>
      <c r="C5733" s="4" t="str">
        <f ca="1">IFERROR(__xludf.DUMMYFUNCTION("GOOGLETRANSLATE(D:D,""auto"",""en"")"),"Best to eat hot pot dishes")</f>
        <v>Best to eat hot pot dishes</v>
      </c>
      <c r="D5733" s="5" t="s">
        <v>13131</v>
      </c>
      <c r="E5733" s="4">
        <v>272376</v>
      </c>
    </row>
    <row r="5734" spans="1:6" ht="13.5" hidden="1" customHeight="1">
      <c r="A5734" s="4" t="s">
        <v>7866</v>
      </c>
      <c r="B5734" s="4" t="s">
        <v>7867</v>
      </c>
      <c r="C5734" s="4" t="str">
        <f ca="1">IFERROR(__xludf.DUMMYFUNCTION("GOOGLETRANSLATE(D:D,""auto"",""en"")"),"Cher hole")</f>
        <v>Cher hole</v>
      </c>
      <c r="D5734" s="5" t="s">
        <v>7868</v>
      </c>
      <c r="E5734" s="4">
        <v>260223</v>
      </c>
    </row>
    <row r="5735" spans="1:6" ht="13.5" hidden="1" customHeight="1">
      <c r="A5735" s="4" t="s">
        <v>13125</v>
      </c>
      <c r="B5735" s="4" t="s">
        <v>12946</v>
      </c>
      <c r="C5735" s="4" t="str">
        <f ca="1">IFERROR(__xludf.DUMMYFUNCTION("GOOGLETRANSLATE(D:D,""auto"",""en"")"),"National Police Auxiliary 49 public sacrifice")</f>
        <v>National Police Auxiliary 49 public sacrifice</v>
      </c>
      <c r="D5735" s="5" t="s">
        <v>13132</v>
      </c>
      <c r="E5735" s="4">
        <v>248751</v>
      </c>
    </row>
    <row r="5736" spans="1:6" ht="13.5" customHeight="1">
      <c r="A5736" s="4" t="s">
        <v>13133</v>
      </c>
      <c r="B5736" s="4" t="s">
        <v>13134</v>
      </c>
      <c r="C5736" s="4" t="str">
        <f ca="1">IFERROR(__xludf.DUMMYFUNCTION("GOOGLETRANSLATE(D:D,""auto"",""en"")"),"Brazil nucleic acid testing positive for a man")</f>
        <v>Brazil nucleic acid testing positive for a man</v>
      </c>
      <c r="D5736" s="5" t="s">
        <v>13135</v>
      </c>
      <c r="E5736" s="4">
        <v>244977</v>
      </c>
      <c r="F5736">
        <v>1</v>
      </c>
    </row>
    <row r="5737" spans="1:6" ht="13.5" customHeight="1">
      <c r="A5737" s="4" t="s">
        <v>13136</v>
      </c>
      <c r="B5737" s="4" t="s">
        <v>13137</v>
      </c>
      <c r="C5737" s="4" t="str">
        <f ca="1">IFERROR(__xludf.DUMMYFUNCTION("GOOGLETRANSLATE(D:D,""auto"",""en"")"),"26 provinces and municipalities new cases 0")</f>
        <v>26 provinces and municipalities new cases 0</v>
      </c>
      <c r="D5737" s="5" t="s">
        <v>13138</v>
      </c>
      <c r="E5737" s="4">
        <v>242002</v>
      </c>
      <c r="F5737">
        <v>1</v>
      </c>
    </row>
    <row r="5738" spans="1:6" ht="13.5" hidden="1" customHeight="1">
      <c r="A5738" s="4" t="s">
        <v>13078</v>
      </c>
      <c r="B5738" s="4" t="s">
        <v>13139</v>
      </c>
      <c r="C5738" s="4" t="str">
        <f ca="1">IFERROR(__xludf.DUMMYFUNCTION("GOOGLETRANSLATE(D:D,""auto"",""en"")"),"Korean local government raided the headquarters of a new world")</f>
        <v>Korean local government raided the headquarters of a new world</v>
      </c>
      <c r="D5738" s="5" t="s">
        <v>13140</v>
      </c>
      <c r="E5738" s="4">
        <v>234592</v>
      </c>
    </row>
    <row r="5739" spans="1:6" ht="13.5" hidden="1" customHeight="1">
      <c r="A5739" s="4" t="s">
        <v>13141</v>
      </c>
      <c r="B5739" s="4" t="s">
        <v>13128</v>
      </c>
      <c r="C5739" s="4" t="str">
        <f ca="1">IFERROR(__xludf.DUMMYFUNCTION("GOOGLETRANSLATE(D:D,""auto"",""en"")"),"Lori foul")</f>
        <v>Lori foul</v>
      </c>
      <c r="D5739" s="5" t="s">
        <v>13142</v>
      </c>
      <c r="E5739" s="4">
        <v>229380</v>
      </c>
    </row>
    <row r="5740" spans="1:6" ht="13.5" hidden="1" customHeight="1">
      <c r="A5740" s="4" t="s">
        <v>13102</v>
      </c>
      <c r="B5740" s="4" t="s">
        <v>13139</v>
      </c>
      <c r="C5740" s="4" t="str">
        <f ca="1">IFERROR(__xludf.DUMMYFUNCTION("GOOGLETRANSLATE(D:D,""auto"",""en"")"),"Those abbreviations on the network can not read")</f>
        <v>Those abbreviations on the network can not read</v>
      </c>
      <c r="D5740" s="5" t="s">
        <v>13143</v>
      </c>
      <c r="E5740" s="4">
        <v>227099</v>
      </c>
    </row>
    <row r="5741" spans="1:6" ht="13.5" hidden="1" customHeight="1">
      <c r="A5741" s="4" t="s">
        <v>13144</v>
      </c>
      <c r="B5741" s="4" t="s">
        <v>13145</v>
      </c>
      <c r="C5741" s="4" t="str">
        <f ca="1">IFERROR(__xludf.DUMMYFUNCTION("GOOGLETRANSLATE(D:D,""auto"",""en"")"),"You filmed the best looking landscapes")</f>
        <v>You filmed the best looking landscapes</v>
      </c>
      <c r="D5741" s="5" t="s">
        <v>13146</v>
      </c>
      <c r="E5741" s="4">
        <v>222977</v>
      </c>
    </row>
    <row r="5742" spans="1:6" ht="13.5" hidden="1" customHeight="1">
      <c r="A5742" s="4" t="s">
        <v>13144</v>
      </c>
      <c r="B5742" s="4" t="s">
        <v>13139</v>
      </c>
      <c r="C5742" s="4" t="str">
        <f ca="1">IFERROR(__xludf.DUMMYFUNCTION("GOOGLETRANSLATE(D:D,""auto"",""en"")"),"A child who had spread lies")</f>
        <v>A child who had spread lies</v>
      </c>
      <c r="D5742" s="5" t="s">
        <v>13147</v>
      </c>
      <c r="E5742" s="4">
        <v>217200</v>
      </c>
    </row>
    <row r="5743" spans="1:6" ht="13.5" customHeight="1">
      <c r="A5743" s="4" t="s">
        <v>13148</v>
      </c>
      <c r="B5743" s="4" t="s">
        <v>13149</v>
      </c>
      <c r="C5743" s="4" t="str">
        <f ca="1">IFERROR(__xludf.DUMMYFUNCTION("GOOGLETRANSLATE(D:D,""auto"",""en"")"),"Moon Jae-in objects are not self-isolation")</f>
        <v>Moon Jae-in objects are not self-isolation</v>
      </c>
      <c r="D5743" s="5" t="s">
        <v>13150</v>
      </c>
      <c r="E5743" s="4">
        <v>211976</v>
      </c>
      <c r="F5743">
        <v>1</v>
      </c>
    </row>
    <row r="5744" spans="1:6" ht="13.5" hidden="1" customHeight="1">
      <c r="A5744" s="4" t="s">
        <v>13151</v>
      </c>
      <c r="B5744" s="4" t="s">
        <v>13072</v>
      </c>
      <c r="C5744" s="4" t="str">
        <f ca="1">IFERROR(__xludf.DUMMYFUNCTION("GOOGLETRANSLATE(D:D,""auto"",""en"")"),"Ministry of Public Security to respond to some local law enforcement simple and crude")</f>
        <v>Ministry of Public Security to respond to some local law enforcement simple and crude</v>
      </c>
      <c r="D5744" s="5" t="s">
        <v>13152</v>
      </c>
      <c r="E5744" s="4">
        <v>206549</v>
      </c>
    </row>
    <row r="5745" spans="1:6" ht="13.5" customHeight="1">
      <c r="A5745" s="4" t="s">
        <v>13153</v>
      </c>
      <c r="B5745" s="4" t="s">
        <v>12999</v>
      </c>
      <c r="C5745" s="4" t="str">
        <f ca="1">IFERROR(__xludf.DUMMYFUNCTION("GOOGLETRANSLATE(D:D,""auto"",""en"")"),"After 95 Auxiliary expense of front-line fight against SARS")</f>
        <v>After 95 Auxiliary expense of front-line fight against SARS</v>
      </c>
      <c r="D5745" s="5" t="s">
        <v>13154</v>
      </c>
      <c r="E5745" s="4">
        <v>198135</v>
      </c>
      <c r="F5745">
        <v>1</v>
      </c>
    </row>
    <row r="5746" spans="1:6" ht="13.5" customHeight="1">
      <c r="A5746" s="4" t="s">
        <v>13155</v>
      </c>
      <c r="B5746" s="4" t="s">
        <v>13044</v>
      </c>
      <c r="C5746" s="4" t="str">
        <f ca="1">IFERROR(__xludf.DUMMYFUNCTION("GOOGLETRANSLATE(D:D,""auto"",""en"")"),"The greatest impact of the epidemic on you")</f>
        <v>The greatest impact of the epidemic on you</v>
      </c>
      <c r="D5746" s="5" t="s">
        <v>13156</v>
      </c>
      <c r="E5746" s="4">
        <v>188945</v>
      </c>
      <c r="F5746">
        <v>1</v>
      </c>
    </row>
    <row r="5747" spans="1:6" ht="13.5" hidden="1" customHeight="1">
      <c r="A5747" s="4" t="s">
        <v>13157</v>
      </c>
      <c r="B5747" s="4" t="s">
        <v>13158</v>
      </c>
      <c r="C5747" s="4" t="str">
        <f ca="1">IFERROR(__xludf.DUMMYFUNCTION("GOOGLETRANSLATE(D:D,""auto"",""en"")"),"Jurassic World Power 3")</f>
        <v>Jurassic World Power 3</v>
      </c>
      <c r="D5747" s="5" t="s">
        <v>13159</v>
      </c>
      <c r="E5747" s="4">
        <v>183636</v>
      </c>
    </row>
    <row r="5748" spans="1:6" ht="13.5" hidden="1" customHeight="1">
      <c r="C5748" s="4" t="str">
        <f ca="1">IFERROR(__xludf.DUMMYFUNCTION("GOOGLETRANSLATE(D:D,""auto"",""en"")"),"#VALUE!")</f>
        <v>#VALUE!</v>
      </c>
    </row>
    <row r="5749" spans="1:6" ht="13.5" hidden="1" customHeight="1">
      <c r="A5749" s="4" t="s">
        <v>13160</v>
      </c>
      <c r="B5749" s="4" t="s">
        <v>13161</v>
      </c>
      <c r="C5749" s="4" t="str">
        <f ca="1">IFERROR(__xludf.DUMMYFUNCTION("GOOGLETRANSLATE(D:D,""auto"",""en"")"),"Ma once again climb to the top China's richest man")</f>
        <v>Ma once again climb to the top China's richest man</v>
      </c>
      <c r="D5749" s="4" t="s">
        <v>13162</v>
      </c>
      <c r="E5749" s="4">
        <v>1670329</v>
      </c>
    </row>
    <row r="5750" spans="1:6" ht="13.5" customHeight="1">
      <c r="A5750" s="4" t="s">
        <v>13163</v>
      </c>
      <c r="B5750" s="4" t="s">
        <v>13164</v>
      </c>
      <c r="C5750" s="4" t="str">
        <f ca="1">IFERROR(__xludf.DUMMYFUNCTION("GOOGLETRANSLATE(D:D,""auto"",""en"")"),"One person talk to Beijing to Wuhan, the new crown woman diagnosed with pneumonia")</f>
        <v>One person talk to Beijing to Wuhan, the new crown woman diagnosed with pneumonia</v>
      </c>
      <c r="D5750" s="5" t="s">
        <v>13165</v>
      </c>
      <c r="E5750" s="4">
        <v>1538340</v>
      </c>
      <c r="F5750">
        <v>1</v>
      </c>
    </row>
    <row r="5751" spans="1:6" ht="13.5" customHeight="1">
      <c r="A5751" s="4" t="s">
        <v>13166</v>
      </c>
      <c r="B5751" s="4" t="s">
        <v>13167</v>
      </c>
      <c r="C5751" s="4" t="str">
        <f ca="1">IFERROR(__xludf.DUMMYFUNCTION("GOOGLETRANSLATE(D:D,""auto"",""en"")"),"Hubei 404 people infected with the new crown Auxiliary pneumonia")</f>
        <v>Hubei 404 people infected with the new crown Auxiliary pneumonia</v>
      </c>
      <c r="D5751" s="5" t="s">
        <v>13168</v>
      </c>
      <c r="E5751" s="4">
        <v>972818</v>
      </c>
      <c r="F5751">
        <v>1</v>
      </c>
    </row>
    <row r="5752" spans="1:6" ht="13.5" hidden="1" customHeight="1">
      <c r="A5752" s="4" t="s">
        <v>13169</v>
      </c>
      <c r="B5752" s="4" t="s">
        <v>13170</v>
      </c>
      <c r="C5752" s="4" t="str">
        <f ca="1">IFERROR(__xludf.DUMMYFUNCTION("GOOGLETRANSLATE(D:D,""auto"",""en"")"),"Sun Li sister")</f>
        <v>Sun Li sister</v>
      </c>
      <c r="D5752" s="5" t="s">
        <v>13171</v>
      </c>
      <c r="E5752" s="4">
        <v>970619</v>
      </c>
    </row>
    <row r="5753" spans="1:6" ht="13.5" hidden="1" customHeight="1">
      <c r="A5753" s="4" t="s">
        <v>13172</v>
      </c>
      <c r="B5753" s="4" t="s">
        <v>13173</v>
      </c>
      <c r="C5753" s="4" t="str">
        <f ca="1">IFERROR(__xludf.DUMMYFUNCTION("GOOGLETRANSLATE(D:D,""auto"",""en"")"),"Stella Love Nianxia")</f>
        <v>Stella Love Nianxia</v>
      </c>
      <c r="D5753" s="5" t="s">
        <v>13174</v>
      </c>
      <c r="E5753" s="4">
        <v>969725</v>
      </c>
    </row>
    <row r="5754" spans="1:6" ht="13.5" hidden="1" customHeight="1">
      <c r="A5754" s="4" t="s">
        <v>13175</v>
      </c>
      <c r="B5754" s="4" t="s">
        <v>13176</v>
      </c>
      <c r="C5754" s="4" t="str">
        <f ca="1">IFERROR(__xludf.DUMMYFUNCTION("GOOGLETRANSLATE(D:D,""auto"",""en"")"),"Huanggang pregnancy requires health care workers to rest at home")</f>
        <v>Huanggang pregnancy requires health care workers to rest at home</v>
      </c>
      <c r="D5754" s="5" t="s">
        <v>13177</v>
      </c>
      <c r="E5754" s="4">
        <v>957771</v>
      </c>
    </row>
    <row r="5755" spans="1:6" ht="13.5" hidden="1" customHeight="1">
      <c r="A5755" s="4" t="s">
        <v>12063</v>
      </c>
      <c r="B5755" s="4" t="s">
        <v>12051</v>
      </c>
      <c r="C5755" s="4" t="str">
        <f ca="1">IFERROR(__xludf.DUMMYFUNCTION("GOOGLETRANSLATE(D:D,""auto"",""en"")"),"settle down")</f>
        <v>settle down</v>
      </c>
      <c r="D5755" s="5" t="s">
        <v>12064</v>
      </c>
      <c r="E5755" s="4">
        <v>881249</v>
      </c>
    </row>
    <row r="5756" spans="1:6" ht="13.5" customHeight="1">
      <c r="A5756" s="4" t="s">
        <v>13178</v>
      </c>
      <c r="B5756" s="4" t="s">
        <v>13179</v>
      </c>
      <c r="C5756" s="4" t="str">
        <f ca="1">IFERROR(__xludf.DUMMYFUNCTION("GOOGLETRANSLATE(D:D,""auto"",""en"")"),"New cases of overseas Chinese in China than pneumonia new crown")</f>
        <v>New cases of overseas Chinese in China than pneumonia new crown</v>
      </c>
      <c r="D5756" s="5" t="s">
        <v>13180</v>
      </c>
      <c r="E5756" s="4">
        <v>821939</v>
      </c>
      <c r="F5756">
        <v>1</v>
      </c>
    </row>
    <row r="5757" spans="1:6" ht="13.5" customHeight="1">
      <c r="A5757" s="4" t="s">
        <v>13181</v>
      </c>
      <c r="B5757" s="4" t="s">
        <v>13182</v>
      </c>
      <c r="C5757" s="4" t="str">
        <f ca="1">IFERROR(__xludf.DUMMYFUNCTION("GOOGLETRANSLATE(D:D,""auto"",""en"")"),"Japan to suspend large-scale events the next two weeks")</f>
        <v>Japan to suspend large-scale events the next two weeks</v>
      </c>
      <c r="D5757" s="5" t="s">
        <v>13183</v>
      </c>
      <c r="E5757" s="4">
        <v>683144</v>
      </c>
      <c r="F5757">
        <v>1</v>
      </c>
    </row>
    <row r="5758" spans="1:6" ht="13.5" hidden="1" customHeight="1">
      <c r="A5758" s="4" t="s">
        <v>13046</v>
      </c>
      <c r="B5758" s="4" t="s">
        <v>13184</v>
      </c>
      <c r="C5758" s="4" t="str">
        <f ca="1">IFERROR(__xludf.DUMMYFUNCTION("GOOGLETRANSLATE(D:D,""auto"",""en"")"),"Liu Yifei abdominal muscles")</f>
        <v>Liu Yifei abdominal muscles</v>
      </c>
      <c r="D5758" s="5" t="s">
        <v>13185</v>
      </c>
      <c r="E5758" s="4">
        <v>670535</v>
      </c>
    </row>
    <row r="5759" spans="1:6" ht="13.5" customHeight="1">
      <c r="A5759" s="4" t="s">
        <v>13186</v>
      </c>
      <c r="B5759" s="4" t="s">
        <v>13187</v>
      </c>
      <c r="C5759" s="4" t="str">
        <f ca="1">IFERROR(__xludf.DUMMYFUNCTION("GOOGLETRANSLATE(D:D,""auto"",""en"")"),"Wuhan, Hubei Department of Justice in response to Ms. Wong returned to Beijing event")</f>
        <v>Wuhan, Hubei Department of Justice in response to Ms. Wong returned to Beijing event</v>
      </c>
      <c r="D5759" s="5" t="s">
        <v>13188</v>
      </c>
      <c r="E5759" s="4">
        <v>607118</v>
      </c>
      <c r="F5759">
        <v>1</v>
      </c>
    </row>
    <row r="5760" spans="1:6" ht="13.5" hidden="1" customHeight="1">
      <c r="A5760" s="4" t="s">
        <v>11378</v>
      </c>
      <c r="B5760" s="4" t="s">
        <v>11379</v>
      </c>
      <c r="C5760" s="4" t="str">
        <f ca="1">IFERROR(__xludf.DUMMYFUNCTION("GOOGLETRANSLATE(D:D,""auto"",""en"")"),"Perfect relationship")</f>
        <v>Perfect relationship</v>
      </c>
      <c r="D5760" s="5" t="s">
        <v>11380</v>
      </c>
      <c r="E5760" s="4">
        <v>534865</v>
      </c>
    </row>
    <row r="5761" spans="1:6" ht="13.5" customHeight="1">
      <c r="A5761" s="4" t="s">
        <v>13189</v>
      </c>
      <c r="B5761" s="4" t="s">
        <v>13190</v>
      </c>
      <c r="C5761" s="4" t="str">
        <f ca="1">IFERROR(__xludf.DUMMYFUNCTION("GOOGLETRANSLATE(D:D,""auto"",""en"")"),"Hubei Hubei frontline medical aid and children admitted to award 10,000 yuan Wu")</f>
        <v>Hubei Hubei frontline medical aid and children admitted to award 10,000 yuan Wu</v>
      </c>
      <c r="D5761" s="5" t="s">
        <v>13191</v>
      </c>
      <c r="E5761" s="4">
        <v>487706</v>
      </c>
      <c r="F5761">
        <v>1</v>
      </c>
    </row>
    <row r="5762" spans="1:6" ht="13.5" hidden="1" customHeight="1">
      <c r="A5762" s="4" t="s">
        <v>13192</v>
      </c>
      <c r="B5762" s="4" t="s">
        <v>13193</v>
      </c>
      <c r="C5762" s="4" t="str">
        <f ca="1">IFERROR(__xludf.DUMMYFUNCTION("GOOGLETRANSLATE(D:D,""auto"",""en"")"),"Israeli scientists have discovered the first known non-breathing animals")</f>
        <v>Israeli scientists have discovered the first known non-breathing animals</v>
      </c>
      <c r="D5762" s="5" t="s">
        <v>13194</v>
      </c>
      <c r="E5762" s="4">
        <v>486573</v>
      </c>
    </row>
    <row r="5763" spans="1:6" ht="13.5" customHeight="1">
      <c r="A5763" s="4" t="s">
        <v>13195</v>
      </c>
      <c r="B5763" s="4" t="s">
        <v>13196</v>
      </c>
      <c r="C5763" s="4" t="str">
        <f ca="1">IFERROR(__xludf.DUMMYFUNCTION("GOOGLETRANSLATE(D:D,""auto"",""en"")"),"Our medical Nissan N95 masks to break 1 million")</f>
        <v>Our medical Nissan N95 masks to break 1 million</v>
      </c>
      <c r="D5763" s="5" t="s">
        <v>13197</v>
      </c>
      <c r="E5763" s="4">
        <v>452822</v>
      </c>
      <c r="F5763">
        <v>1</v>
      </c>
    </row>
    <row r="5764" spans="1:6" ht="13.5" hidden="1" customHeight="1">
      <c r="A5764" s="4" t="s">
        <v>13198</v>
      </c>
      <c r="B5764" s="4" t="s">
        <v>13199</v>
      </c>
      <c r="C5764" s="4" t="str">
        <f ca="1">IFERROR(__xludf.DUMMYFUNCTION("GOOGLETRANSLATE(D:D,""auto"",""en"")"),"Sicong Thailand")</f>
        <v>Sicong Thailand</v>
      </c>
      <c r="D5764" s="5" t="s">
        <v>13200</v>
      </c>
      <c r="E5764" s="4">
        <v>451732</v>
      </c>
    </row>
    <row r="5765" spans="1:6" ht="13.5" hidden="1" customHeight="1">
      <c r="A5765" s="4" t="s">
        <v>13201</v>
      </c>
      <c r="B5765" s="4" t="s">
        <v>13202</v>
      </c>
      <c r="C5765" s="4" t="str">
        <f ca="1">IFERROR(__xludf.DUMMYFUNCTION("GOOGLETRANSLATE(D:D,""auto"",""en"")"),"It really is not a technical issue boyfriend")</f>
        <v>It really is not a technical issue boyfriend</v>
      </c>
      <c r="D5765" s="5" t="s">
        <v>13203</v>
      </c>
      <c r="E5765" s="4">
        <v>449974</v>
      </c>
    </row>
    <row r="5766" spans="1:6" ht="13.5" hidden="1" customHeight="1">
      <c r="A5766" s="4" t="s">
        <v>13204</v>
      </c>
      <c r="B5766" s="4" t="s">
        <v>13205</v>
      </c>
      <c r="C5766" s="4" t="str">
        <f ca="1">IFERROR(__xludf.DUMMYFUNCTION("GOOGLETRANSLATE(D:D,""auto"",""en"")"),"Zhang take the ride")</f>
        <v>Zhang take the ride</v>
      </c>
      <c r="D5766" s="5" t="s">
        <v>13206</v>
      </c>
      <c r="E5766" s="4">
        <v>449587</v>
      </c>
    </row>
    <row r="5767" spans="1:6" ht="13.5" customHeight="1">
      <c r="A5767" s="4" t="s">
        <v>13204</v>
      </c>
      <c r="B5767" s="4" t="s">
        <v>13207</v>
      </c>
      <c r="C5767" s="4" t="str">
        <f ca="1">IFERROR(__xludf.DUMMYFUNCTION("GOOGLETRANSLATE(D:D,""auto"",""en"")"),"Retreat at home to recognize the fact that")</f>
        <v>Retreat at home to recognize the fact that</v>
      </c>
      <c r="D5767" s="5" t="s">
        <v>13208</v>
      </c>
      <c r="E5767" s="4">
        <v>448208</v>
      </c>
      <c r="F5767">
        <v>1</v>
      </c>
    </row>
    <row r="5768" spans="1:6" ht="13.5" hidden="1" customHeight="1">
      <c r="A5768" s="4" t="s">
        <v>13209</v>
      </c>
      <c r="B5768" s="4" t="s">
        <v>13210</v>
      </c>
      <c r="C5768" s="4" t="str">
        <f ca="1">IFERROR(__xludf.DUMMYFUNCTION("GOOGLETRANSLATE(D:D,""auto"",""en"")"),"The first time you wear contact lenses")</f>
        <v>The first time you wear contact lenses</v>
      </c>
      <c r="D5768" s="5" t="s">
        <v>13211</v>
      </c>
      <c r="E5768" s="4">
        <v>446381</v>
      </c>
    </row>
    <row r="5769" spans="1:6" ht="13.5" hidden="1" customHeight="1">
      <c r="A5769" s="4" t="s">
        <v>13212</v>
      </c>
      <c r="B5769" s="4" t="s">
        <v>13213</v>
      </c>
      <c r="C5769" s="4" t="str">
        <f ca="1">IFERROR(__xludf.DUMMYFUNCTION("GOOGLETRANSLATE(D:D,""auto"",""en"")"),"Hanzo forest")</f>
        <v>Hanzo forest</v>
      </c>
      <c r="D5769" s="5" t="s">
        <v>13214</v>
      </c>
      <c r="E5769" s="4">
        <v>444598</v>
      </c>
    </row>
    <row r="5770" spans="1:6" ht="13.5" hidden="1" customHeight="1">
      <c r="A5770" s="4" t="s">
        <v>13215</v>
      </c>
      <c r="B5770" s="4" t="s">
        <v>13216</v>
      </c>
      <c r="C5770" s="4" t="str">
        <f ca="1">IFERROR(__xludf.DUMMYFUNCTION("GOOGLETRANSLATE(D:D,""auto"",""en"")"),"Pit Apartment")</f>
        <v>Pit Apartment</v>
      </c>
      <c r="D5770" s="5" t="s">
        <v>13217</v>
      </c>
      <c r="E5770" s="4">
        <v>442632</v>
      </c>
    </row>
    <row r="5771" spans="1:6" ht="13.5" hidden="1" customHeight="1">
      <c r="A5771" s="4" t="s">
        <v>13218</v>
      </c>
      <c r="B5771" s="4" t="s">
        <v>13219</v>
      </c>
      <c r="C5771" s="4" t="str">
        <f ca="1">IFERROR(__xludf.DUMMYFUNCTION("GOOGLETRANSLATE(D:D,""auto"",""en"")"),"20-year-old real state")</f>
        <v>20-year-old real state</v>
      </c>
      <c r="D5771" s="5" t="s">
        <v>13220</v>
      </c>
      <c r="E5771" s="4">
        <v>442251</v>
      </c>
    </row>
    <row r="5772" spans="1:6" ht="13.5" hidden="1" customHeight="1">
      <c r="A5772" s="4" t="s">
        <v>13221</v>
      </c>
      <c r="B5772" s="4" t="s">
        <v>13222</v>
      </c>
      <c r="C5772" s="4" t="str">
        <f ca="1">IFERROR(__xludf.DUMMYFUNCTION("GOOGLETRANSLATE(D:D,""auto"",""en"")"),"Sharapova retired")</f>
        <v>Sharapova retired</v>
      </c>
      <c r="D5772" s="5" t="s">
        <v>13223</v>
      </c>
      <c r="E5772" s="4">
        <v>415370</v>
      </c>
    </row>
    <row r="5773" spans="1:6" ht="13.5" hidden="1" customHeight="1">
      <c r="A5773" s="4" t="s">
        <v>13224</v>
      </c>
      <c r="B5773" s="4" t="s">
        <v>13225</v>
      </c>
      <c r="C5773" s="4" t="str">
        <f ca="1">IFERROR(__xludf.DUMMYFUNCTION("GOOGLETRANSLATE(D:D,""auto"",""en"")"),"Xu Fu aunt bright room toilet")</f>
        <v>Xu Fu aunt bright room toilet</v>
      </c>
      <c r="D5773" s="5" t="s">
        <v>13226</v>
      </c>
      <c r="E5773" s="4">
        <v>413544</v>
      </c>
    </row>
    <row r="5774" spans="1:6" ht="13.5" hidden="1" customHeight="1">
      <c r="A5774" s="4" t="s">
        <v>13166</v>
      </c>
      <c r="B5774" s="4" t="s">
        <v>13227</v>
      </c>
      <c r="C5774" s="4" t="str">
        <f ca="1">IFERROR(__xludf.DUMMYFUNCTION("GOOGLETRANSLATE(D:D,""auto"",""en"")"),"Huazhongnongda initiative underground Tian students")</f>
        <v>Huazhongnongda initiative underground Tian students</v>
      </c>
      <c r="D5774" s="5" t="s">
        <v>13228</v>
      </c>
      <c r="E5774" s="4">
        <v>406412</v>
      </c>
    </row>
    <row r="5775" spans="1:6" ht="13.5" hidden="1" customHeight="1">
      <c r="A5775" s="4" t="s">
        <v>13224</v>
      </c>
      <c r="B5775" s="4" t="s">
        <v>13190</v>
      </c>
      <c r="C5775" s="4" t="str">
        <f ca="1">IFERROR(__xludf.DUMMYFUNCTION("GOOGLETRANSLATE(D:D,""auto"",""en"")"),"Cotton candy made of spider web")</f>
        <v>Cotton candy made of spider web</v>
      </c>
      <c r="D5775" s="5" t="s">
        <v>13229</v>
      </c>
      <c r="E5775" s="4">
        <v>363582</v>
      </c>
    </row>
    <row r="5776" spans="1:6" ht="13.5" customHeight="1">
      <c r="A5776" s="4" t="s">
        <v>13230</v>
      </c>
      <c r="B5776" s="4" t="s">
        <v>13231</v>
      </c>
      <c r="C5776" s="4" t="str">
        <f ca="1">IFERROR(__xludf.DUMMYFUNCTION("GOOGLETRANSLATE(D:D,""auto"",""en"")"),"Program list after the end of the epidemic")</f>
        <v>Program list after the end of the epidemic</v>
      </c>
      <c r="D5776" s="5" t="s">
        <v>13232</v>
      </c>
      <c r="E5776" s="4">
        <v>363156</v>
      </c>
      <c r="F5776">
        <v>1</v>
      </c>
    </row>
    <row r="5777" spans="1:6" ht="13.5" hidden="1" customHeight="1">
      <c r="A5777" s="4" t="s">
        <v>13192</v>
      </c>
      <c r="B5777" s="4" t="s">
        <v>13233</v>
      </c>
      <c r="C5777" s="4" t="str">
        <f ca="1">IFERROR(__xludf.DUMMYFUNCTION("GOOGLETRANSLATE(D:D,""auto"",""en"")"),"Original camera selfie contest")</f>
        <v>Original camera selfie contest</v>
      </c>
      <c r="D5777" s="5" t="s">
        <v>13234</v>
      </c>
      <c r="E5777" s="4">
        <v>362522</v>
      </c>
    </row>
    <row r="5778" spans="1:6" ht="13.5" hidden="1" customHeight="1">
      <c r="A5778" s="4" t="s">
        <v>13195</v>
      </c>
      <c r="B5778" s="4" t="s">
        <v>13235</v>
      </c>
      <c r="C5778" s="4" t="str">
        <f ca="1">IFERROR(__xludf.DUMMYFUNCTION("GOOGLETRANSLATE(D:D,""auto"",""en"")"),"And the different stages of girlfriend")</f>
        <v>And the different stages of girlfriend</v>
      </c>
      <c r="D5778" s="5" t="s">
        <v>13236</v>
      </c>
      <c r="E5778" s="4">
        <v>331119</v>
      </c>
    </row>
    <row r="5779" spans="1:6" ht="13.5" customHeight="1">
      <c r="A5779" s="4" t="s">
        <v>13237</v>
      </c>
      <c r="B5779" s="4" t="s">
        <v>13090</v>
      </c>
      <c r="C5779" s="4" t="str">
        <f ca="1">IFERROR(__xludf.DUMMYFUNCTION("GOOGLETRANSLATE(D:D,""auto"",""en"")"),"The fact that after wearing masks found")</f>
        <v>The fact that after wearing masks found</v>
      </c>
      <c r="D5779" s="5" t="s">
        <v>13238</v>
      </c>
      <c r="E5779" s="4">
        <v>312265</v>
      </c>
      <c r="F5779">
        <v>1</v>
      </c>
    </row>
    <row r="5780" spans="1:6" ht="13.5" customHeight="1">
      <c r="A5780" s="4" t="s">
        <v>13160</v>
      </c>
      <c r="B5780" s="4" t="s">
        <v>13239</v>
      </c>
      <c r="C5780" s="4" t="str">
        <f ca="1">IFERROR(__xludf.DUMMYFUNCTION("GOOGLETRANSLATE(D:D,""auto"",""en"")"),"Express take-away packaging for the sole case of excessive disinfection sterilization")</f>
        <v>Express take-away packaging for the sole case of excessive disinfection sterilization</v>
      </c>
      <c r="D5780" s="5" t="s">
        <v>13240</v>
      </c>
      <c r="E5780" s="4">
        <v>299063</v>
      </c>
      <c r="F5780">
        <v>1</v>
      </c>
    </row>
    <row r="5781" spans="1:6" ht="13.5" hidden="1" customHeight="1">
      <c r="A5781" s="4" t="s">
        <v>13241</v>
      </c>
      <c r="B5781" s="4" t="s">
        <v>13242</v>
      </c>
      <c r="C5781" s="4" t="str">
        <f ca="1">IFERROR(__xludf.DUMMYFUNCTION("GOOGLETRANSLATE(D:D,""auto"",""en"")"),"Stewed chicken")</f>
        <v>Stewed chicken</v>
      </c>
      <c r="D5781" s="5" t="s">
        <v>13243</v>
      </c>
      <c r="E5781" s="4">
        <v>270630</v>
      </c>
    </row>
    <row r="5782" spans="1:6" ht="13.5" customHeight="1">
      <c r="A5782" s="4" t="s">
        <v>13244</v>
      </c>
      <c r="B5782" s="4" t="s">
        <v>13245</v>
      </c>
      <c r="C5782" s="4" t="str">
        <f ca="1">IFERROR(__xludf.DUMMYFUNCTION("GOOGLETRANSLATE(D:D,""auto"",""en"")"),"Greek first case of confirmed cases of the new virus crown")</f>
        <v>Greek first case of confirmed cases of the new virus crown</v>
      </c>
      <c r="D5782" s="5" t="s">
        <v>13246</v>
      </c>
      <c r="E5782" s="4">
        <v>266940</v>
      </c>
      <c r="F5782">
        <v>1</v>
      </c>
    </row>
    <row r="5783" spans="1:6" ht="13.5" customHeight="1">
      <c r="A5783" s="4" t="s">
        <v>13247</v>
      </c>
      <c r="B5783" s="4" t="s">
        <v>13102</v>
      </c>
      <c r="C5783" s="4" t="str">
        <f ca="1">IFERROR(__xludf.DUMMYFUNCTION("GOOGLETRANSLATE(D:D,""auto"",""en"")"),"Apple recommends not to slide off background programs")</f>
        <v>Apple recommends not to slide off background programs</v>
      </c>
      <c r="D5783" s="5" t="s">
        <v>13248</v>
      </c>
      <c r="E5783" s="4">
        <v>264138</v>
      </c>
      <c r="F5783">
        <v>1</v>
      </c>
    </row>
    <row r="5784" spans="1:6" ht="13.5" customHeight="1">
      <c r="A5784" s="4" t="s">
        <v>13249</v>
      </c>
      <c r="B5784" s="4" t="s">
        <v>13250</v>
      </c>
      <c r="C5784" s="4" t="str">
        <f ca="1">IFERROR(__xludf.DUMMYFUNCTION("GOOGLETRANSLATE(D:D,""auto"",""en"")"),"Diamond Princess diagnosed with pneumonia up to 705 new crown")</f>
        <v>Diamond Princess diagnosed with pneumonia up to 705 new crown</v>
      </c>
      <c r="D5784" s="5" t="s">
        <v>13251</v>
      </c>
      <c r="E5784" s="4">
        <v>241254</v>
      </c>
      <c r="F5784">
        <v>1</v>
      </c>
    </row>
    <row r="5785" spans="1:6" ht="13.5" customHeight="1">
      <c r="A5785" s="4" t="s">
        <v>13252</v>
      </c>
      <c r="B5785" s="4" t="s">
        <v>13253</v>
      </c>
      <c r="C5785" s="4" t="str">
        <f ca="1">IFERROR(__xludf.DUMMYFUNCTION("GOOGLETRANSLATE(D:D,""auto"",""en"")"),"Wuhan crown the first details of new patients with pneumonia")</f>
        <v>Wuhan crown the first details of new patients with pneumonia</v>
      </c>
      <c r="D5785" s="5" t="s">
        <v>13254</v>
      </c>
      <c r="E5785" s="4">
        <v>219002</v>
      </c>
      <c r="F5785">
        <v>1</v>
      </c>
    </row>
    <row r="5786" spans="1:6" ht="13.5" customHeight="1">
      <c r="A5786" s="4" t="s">
        <v>13192</v>
      </c>
      <c r="B5786" s="4" t="s">
        <v>13255</v>
      </c>
      <c r="C5786" s="4" t="str">
        <f ca="1">IFERROR(__xludf.DUMMYFUNCTION("GOOGLETRANSLATE(D:D,""auto"",""en"")"),"About 10 masks the latest issue")</f>
        <v>About 10 masks the latest issue</v>
      </c>
      <c r="D5786" s="5" t="s">
        <v>13256</v>
      </c>
      <c r="E5786" s="4">
        <v>216201</v>
      </c>
      <c r="F5786">
        <v>1</v>
      </c>
    </row>
    <row r="5787" spans="1:6" ht="13.5" hidden="1" customHeight="1">
      <c r="A5787" s="4" t="s">
        <v>13249</v>
      </c>
      <c r="B5787" s="4" t="s">
        <v>13257</v>
      </c>
      <c r="C5787" s="4" t="str">
        <f ca="1">IFERROR(__xludf.DUMMYFUNCTION("GOOGLETRANSLATE(D:D,""auto"",""en"")"),"Berlin Film Festival Aura girl")</f>
        <v>Berlin Film Festival Aura girl</v>
      </c>
      <c r="D5787" s="5" t="s">
        <v>13258</v>
      </c>
      <c r="E5787" s="4">
        <v>212067</v>
      </c>
    </row>
    <row r="5788" spans="1:6" ht="13.5" hidden="1" customHeight="1">
      <c r="A5788" s="4" t="s">
        <v>13259</v>
      </c>
      <c r="B5788" s="4" t="s">
        <v>13260</v>
      </c>
      <c r="C5788" s="4" t="str">
        <f ca="1">IFERROR(__xludf.DUMMYFUNCTION("GOOGLETRANSLATE(D:D,""auto"",""en"")"),"Weiguang high flop")</f>
        <v>Weiguang high flop</v>
      </c>
      <c r="D5788" s="5" t="s">
        <v>13261</v>
      </c>
      <c r="E5788" s="4">
        <v>211156</v>
      </c>
    </row>
    <row r="5789" spans="1:6" ht="13.5" customHeight="1">
      <c r="A5789" s="4" t="s">
        <v>13241</v>
      </c>
      <c r="B5789" s="4" t="s">
        <v>13262</v>
      </c>
      <c r="C5789" s="4" t="str">
        <f ca="1">IFERROR(__xludf.DUMMYFUNCTION("GOOGLETRANSLATE(D:D,""auto"",""en"")"),"During outbreak four vaccines need for timely vaccination")</f>
        <v>During outbreak four vaccines need for timely vaccination</v>
      </c>
      <c r="D5789" s="5" t="s">
        <v>13263</v>
      </c>
      <c r="E5789" s="4">
        <v>197349</v>
      </c>
      <c r="F5789">
        <v>1</v>
      </c>
    </row>
    <row r="5790" spans="1:6" ht="13.5" hidden="1" customHeight="1">
      <c r="A5790" s="4" t="s">
        <v>13259</v>
      </c>
      <c r="B5790" s="4" t="s">
        <v>13264</v>
      </c>
      <c r="C5790" s="4" t="str">
        <f ca="1">IFERROR(__xludf.DUMMYFUNCTION("GOOGLETRANSLATE(D:D,""auto"",""en"")"),"Stars live God's reaction")</f>
        <v>Stars live God's reaction</v>
      </c>
      <c r="D5790" s="5" t="s">
        <v>13265</v>
      </c>
      <c r="E5790" s="4">
        <v>194883</v>
      </c>
    </row>
    <row r="5791" spans="1:6" ht="13.5" hidden="1" customHeight="1">
      <c r="A5791" s="4" t="s">
        <v>13266</v>
      </c>
      <c r="B5791" s="4" t="s">
        <v>13267</v>
      </c>
      <c r="C5791" s="4" t="str">
        <f ca="1">IFERROR(__xludf.DUMMYFUNCTION("GOOGLETRANSLATE(D:D,""auto"",""en"")"),"250,000 tourists from overseas teams to less than 90 people")</f>
        <v>250,000 tourists from overseas teams to less than 90 people</v>
      </c>
      <c r="D5791" s="5" t="s">
        <v>13268</v>
      </c>
      <c r="E5791" s="4">
        <v>190731</v>
      </c>
    </row>
    <row r="5792" spans="1:6" ht="13.5" customHeight="1">
      <c r="A5792" s="4" t="s">
        <v>13269</v>
      </c>
      <c r="B5792" s="4" t="s">
        <v>13270</v>
      </c>
      <c r="C5792" s="4" t="str">
        <f ca="1">IFERROR(__xludf.DUMMYFUNCTION("GOOGLETRANSLATE(D:D,""auto"",""en"")"),"Nurse sister bear hug to steal the spotlight")</f>
        <v>Nurse sister bear hug to steal the spotlight</v>
      </c>
      <c r="D5792" s="5" t="s">
        <v>13271</v>
      </c>
      <c r="E5792" s="4">
        <v>188645</v>
      </c>
      <c r="F5792">
        <v>1</v>
      </c>
    </row>
    <row r="5793" spans="1:6" ht="13.5" hidden="1" customHeight="1">
      <c r="A5793" s="4" t="s">
        <v>13272</v>
      </c>
      <c r="B5793" s="4" t="s">
        <v>13273</v>
      </c>
      <c r="C5793" s="4" t="str">
        <f ca="1">IFERROR(__xludf.DUMMYFUNCTION("GOOGLETRANSLATE(D:D,""auto"",""en"")"),"Jingmen party secretary mayor admonishing")</f>
        <v>Jingmen party secretary mayor admonishing</v>
      </c>
      <c r="D5793" s="5" t="s">
        <v>13274</v>
      </c>
      <c r="E5793" s="4">
        <v>179783</v>
      </c>
    </row>
    <row r="5794" spans="1:6" ht="13.5" customHeight="1">
      <c r="A5794" s="4" t="s">
        <v>13275</v>
      </c>
      <c r="B5794" s="4" t="s">
        <v>13276</v>
      </c>
      <c r="C5794" s="4" t="str">
        <f ca="1">IFERROR(__xludf.DUMMYFUNCTION("GOOGLETRANSLATE(D:D,""auto"",""en"")"),"The new crown pneumonia 19 people were killed in Iran")</f>
        <v>The new crown pneumonia 19 people were killed in Iran</v>
      </c>
      <c r="D5794" s="5" t="s">
        <v>13277</v>
      </c>
      <c r="E5794" s="4">
        <v>175526</v>
      </c>
      <c r="F5794">
        <v>1</v>
      </c>
    </row>
    <row r="5795" spans="1:6" ht="13.5" customHeight="1">
      <c r="A5795" s="4" t="s">
        <v>13278</v>
      </c>
      <c r="B5795" s="4" t="s">
        <v>13065</v>
      </c>
      <c r="C5795" s="4" t="str">
        <f ca="1">IFERROR(__xludf.DUMMYFUNCTION("GOOGLETRANSLATE(D:D,""auto"",""en"")"),"Incheon, South Korea Weihai flights flying five passengers fever")</f>
        <v>Incheon, South Korea Weihai flights flying five passengers fever</v>
      </c>
      <c r="D5795" s="5" t="s">
        <v>13279</v>
      </c>
      <c r="E5795" s="4">
        <v>174993</v>
      </c>
      <c r="F5795">
        <v>1</v>
      </c>
    </row>
    <row r="5796" spans="1:6" ht="13.5" customHeight="1">
      <c r="A5796" s="4" t="s">
        <v>13237</v>
      </c>
      <c r="B5796" s="4" t="s">
        <v>13280</v>
      </c>
      <c r="C5796" s="4" t="str">
        <f ca="1">IFERROR(__xludf.DUMMYFUNCTION("GOOGLETRANSLATE(D:D,""auto"",""en"")"),"South Korea's SK Telecom headquarters emergency shutdown")</f>
        <v>South Korea's SK Telecom headquarters emergency shutdown</v>
      </c>
      <c r="D5796" s="5" t="s">
        <v>13281</v>
      </c>
      <c r="E5796" s="4">
        <v>160731</v>
      </c>
      <c r="F5796">
        <v>1</v>
      </c>
    </row>
    <row r="5797" spans="1:6" ht="13.5" customHeight="1">
      <c r="A5797" s="4" t="s">
        <v>13195</v>
      </c>
      <c r="B5797" s="4" t="s">
        <v>13282</v>
      </c>
      <c r="C5797" s="4" t="str">
        <f ca="1">IFERROR(__xludf.DUMMYFUNCTION("GOOGLETRANSLATE(D:D,""auto"",""en"")"),"Proper use of disinfectants")</f>
        <v>Proper use of disinfectants</v>
      </c>
      <c r="D5797" s="5" t="s">
        <v>13283</v>
      </c>
      <c r="E5797" s="4">
        <v>123805</v>
      </c>
      <c r="F5797">
        <v>1</v>
      </c>
    </row>
    <row r="5798" spans="1:6" ht="13.5" hidden="1" customHeight="1">
      <c r="C5798" s="4" t="str">
        <f ca="1">IFERROR(__xludf.DUMMYFUNCTION("GOOGLETRANSLATE(D:D,""auto"",""en"")"),"#VALUE!")</f>
        <v>#VALUE!</v>
      </c>
    </row>
    <row r="5799" spans="1:6" ht="13.5" hidden="1" customHeight="1">
      <c r="A5799" s="4" t="s">
        <v>13284</v>
      </c>
      <c r="B5799" s="4" t="s">
        <v>13285</v>
      </c>
      <c r="C5799" s="4" t="str">
        <f ca="1">IFERROR(__xludf.DUMMYFUNCTION("GOOGLETRANSLATE(D:D,""auto"",""en"")"),"Zhejiang 100,000 ducks off Pakistan locust")</f>
        <v>Zhejiang 100,000 ducks off Pakistan locust</v>
      </c>
      <c r="D5799" s="4" t="s">
        <v>13286</v>
      </c>
      <c r="E5799" s="4">
        <v>3636009</v>
      </c>
    </row>
    <row r="5800" spans="1:6" ht="13.5" customHeight="1">
      <c r="A5800" s="4" t="s">
        <v>13287</v>
      </c>
      <c r="B5800" s="4" t="s">
        <v>13288</v>
      </c>
      <c r="C5800" s="4" t="str">
        <f ca="1">IFERROR(__xludf.DUMMYFUNCTION("GOOGLETRANSLATE(D:D,""auto"",""en"")"),"Zhong Nanshan predict the end of April the epidemic under control")</f>
        <v>Zhong Nanshan predict the end of April the epidemic under control</v>
      </c>
      <c r="D5800" s="5" t="s">
        <v>13289</v>
      </c>
      <c r="E5800" s="4">
        <v>3405126</v>
      </c>
      <c r="F5800">
        <v>1</v>
      </c>
    </row>
    <row r="5801" spans="1:6" ht="13.5" hidden="1" customHeight="1">
      <c r="A5801" s="4" t="s">
        <v>13290</v>
      </c>
      <c r="B5801" s="4" t="s">
        <v>13291</v>
      </c>
      <c r="C5801" s="4" t="str">
        <f ca="1">IFERROR(__xludf.DUMMYFUNCTION("GOOGLETRANSLATE(D:D,""auto"",""en"")"),"Bryant's death prompted Sharapova retired")</f>
        <v>Bryant's death prompted Sharapova retired</v>
      </c>
      <c r="D5801" s="5" t="s">
        <v>13292</v>
      </c>
      <c r="E5801" s="4">
        <v>3113306</v>
      </c>
    </row>
    <row r="5802" spans="1:6" ht="13.5" customHeight="1">
      <c r="A5802" s="4" t="s">
        <v>13293</v>
      </c>
      <c r="B5802" s="4" t="s">
        <v>13294</v>
      </c>
      <c r="C5802" s="4" t="str">
        <f ca="1">IFERROR(__xludf.DUMMYFUNCTION("GOOGLETRANSLATE(D:D,""auto"",""en"")"),"Zhong Nanshan epidemic is not necessarily originate in China")</f>
        <v>Zhong Nanshan epidemic is not necessarily originate in China</v>
      </c>
      <c r="D5802" s="5" t="s">
        <v>13295</v>
      </c>
      <c r="E5802" s="4">
        <v>3091315</v>
      </c>
      <c r="F5802">
        <v>1</v>
      </c>
    </row>
    <row r="5803" spans="1:6" ht="13.5" hidden="1" customHeight="1">
      <c r="A5803" s="4" t="s">
        <v>12563</v>
      </c>
      <c r="B5803" s="4" t="s">
        <v>12564</v>
      </c>
      <c r="C5803" s="4" t="str">
        <f ca="1">IFERROR(__xludf.DUMMYFUNCTION("GOOGLETRANSLATE(D:D,""auto"",""en"")"),"Korea")</f>
        <v>Korea</v>
      </c>
      <c r="D5803" s="5" t="s">
        <v>12565</v>
      </c>
      <c r="E5803" s="4">
        <v>2566235</v>
      </c>
    </row>
    <row r="5804" spans="1:6" ht="13.5" hidden="1" customHeight="1">
      <c r="A5804" s="4" t="s">
        <v>13296</v>
      </c>
      <c r="B5804" s="4" t="s">
        <v>13297</v>
      </c>
      <c r="C5804" s="4" t="str">
        <f ca="1">IFERROR(__xludf.DUMMYFUNCTION("GOOGLETRANSLATE(D:D,""auto"",""en"")"),"National People microcosm long vacation")</f>
        <v>National People microcosm long vacation</v>
      </c>
      <c r="D5804" s="5" t="s">
        <v>13298</v>
      </c>
      <c r="E5804" s="4">
        <v>2282705</v>
      </c>
    </row>
    <row r="5805" spans="1:6" ht="13.5" hidden="1" customHeight="1">
      <c r="A5805" s="4" t="s">
        <v>13299</v>
      </c>
      <c r="B5805" s="4" t="s">
        <v>13300</v>
      </c>
      <c r="C5805" s="4" t="str">
        <f ca="1">IFERROR(__xludf.DUMMYFUNCTION("GOOGLETRANSLATE(D:D,""auto"",""en"")"),"iPhoneXR shipments of the world's first")</f>
        <v>iPhoneXR shipments of the world's first</v>
      </c>
      <c r="D5805" s="5" t="s">
        <v>13301</v>
      </c>
      <c r="E5805" s="4">
        <v>2053955</v>
      </c>
    </row>
    <row r="5806" spans="1:6" ht="13.5" hidden="1" customHeight="1">
      <c r="A5806" s="4" t="s">
        <v>13302</v>
      </c>
      <c r="B5806" s="4" t="s">
        <v>13303</v>
      </c>
      <c r="C5806" s="4" t="str">
        <f ca="1">IFERROR(__xludf.DUMMYFUNCTION("GOOGLETRANSLATE(D:D,""auto"",""en"")"),"Hua Chunying made representations to the US")</f>
        <v>Hua Chunying made representations to the US</v>
      </c>
      <c r="D5806" s="5" t="s">
        <v>13304</v>
      </c>
      <c r="E5806" s="4">
        <v>1844391</v>
      </c>
    </row>
    <row r="5807" spans="1:6" ht="13.5" hidden="1" customHeight="1">
      <c r="A5807" s="4" t="s">
        <v>13305</v>
      </c>
      <c r="B5807" s="4" t="s">
        <v>13306</v>
      </c>
      <c r="C5807" s="4" t="str">
        <f ca="1">IFERROR(__xludf.DUMMYFUNCTION("GOOGLETRANSLATE(D:D,""auto"",""en"")"),"Hayley Asian solidarity issued")</f>
        <v>Hayley Asian solidarity issued</v>
      </c>
      <c r="D5807" s="5" t="s">
        <v>13307</v>
      </c>
      <c r="E5807" s="4">
        <v>1489232</v>
      </c>
    </row>
    <row r="5808" spans="1:6" ht="13.5" hidden="1" customHeight="1">
      <c r="A5808" s="4" t="s">
        <v>13308</v>
      </c>
      <c r="B5808" s="4" t="s">
        <v>13309</v>
      </c>
      <c r="C5808" s="4" t="str">
        <f ca="1">IFERROR(__xludf.DUMMYFUNCTION("GOOGLETRANSLATE(D:D,""auto"",""en"")"),"80 Korean airlines respond to Chengdu")</f>
        <v>80 Korean airlines respond to Chengdu</v>
      </c>
      <c r="D5808" s="5" t="s">
        <v>13310</v>
      </c>
      <c r="E5808" s="4">
        <v>1295672</v>
      </c>
    </row>
    <row r="5809" spans="1:6" ht="13.5" customHeight="1">
      <c r="A5809" s="4" t="s">
        <v>13311</v>
      </c>
      <c r="B5809" s="4" t="s">
        <v>13312</v>
      </c>
      <c r="C5809" s="4" t="str">
        <f ca="1">IFERROR(__xludf.DUMMYFUNCTION("GOOGLETRANSLATE(D:D,""auto"",""en"")"),"The first case of the United States is now unable to determine the source of the disease in patients with pneumonia new crown")</f>
        <v>The first case of the United States is now unable to determine the source of the disease in patients with pneumonia new crown</v>
      </c>
      <c r="D5809" s="5" t="s">
        <v>13313</v>
      </c>
      <c r="E5809" s="4">
        <v>1051225</v>
      </c>
      <c r="F5809">
        <v>1</v>
      </c>
    </row>
    <row r="5810" spans="1:6" ht="13.5" customHeight="1">
      <c r="A5810" s="4" t="s">
        <v>13314</v>
      </c>
      <c r="B5810" s="4" t="s">
        <v>13312</v>
      </c>
      <c r="C5810" s="4" t="str">
        <f ca="1">IFERROR(__xludf.DUMMYFUNCTION("GOOGLETRANSLATE(D:D,""auto"",""en"")"),"Trump said the new virus risks crown against the United States is still very low")</f>
        <v>Trump said the new virus risks crown against the United States is still very low</v>
      </c>
      <c r="D5810" s="5" t="s">
        <v>13315</v>
      </c>
      <c r="E5810" s="4">
        <v>945618</v>
      </c>
      <c r="F5810">
        <v>1</v>
      </c>
    </row>
    <row r="5811" spans="1:6" ht="13.5" customHeight="1">
      <c r="A5811" s="4" t="s">
        <v>13316</v>
      </c>
      <c r="B5811" s="4" t="s">
        <v>13317</v>
      </c>
      <c r="C5811" s="4" t="str">
        <f ca="1">IFERROR(__xludf.DUMMYFUNCTION("GOOGLETRANSLATE(D:D,""auto"",""en"")"),"South Korea's new total of 1595 cases of pneumonia crown")</f>
        <v>South Korea's new total of 1595 cases of pneumonia crown</v>
      </c>
      <c r="D5811" s="5" t="s">
        <v>13318</v>
      </c>
      <c r="E5811" s="4">
        <v>922267</v>
      </c>
      <c r="F5811">
        <v>1</v>
      </c>
    </row>
    <row r="5812" spans="1:6" ht="13.5" customHeight="1">
      <c r="A5812" s="4" t="s">
        <v>13319</v>
      </c>
      <c r="B5812" s="4" t="s">
        <v>13204</v>
      </c>
      <c r="C5812" s="4" t="str">
        <f ca="1">IFERROR(__xludf.DUMMYFUNCTION("GOOGLETRANSLATE(D:D,""auto"",""en"")"),"Brigitte Lin wrote the front-line fight against SARS hero tribute")</f>
        <v>Brigitte Lin wrote the front-line fight against SARS hero tribute</v>
      </c>
      <c r="D5812" s="5" t="s">
        <v>13320</v>
      </c>
      <c r="E5812" s="4">
        <v>829697</v>
      </c>
      <c r="F5812">
        <v>1</v>
      </c>
    </row>
    <row r="5813" spans="1:6" ht="13.5" hidden="1" customHeight="1">
      <c r="A5813" s="4" t="s">
        <v>13321</v>
      </c>
      <c r="B5813" s="4" t="s">
        <v>13269</v>
      </c>
      <c r="C5813" s="4" t="str">
        <f ca="1">IFERROR(__xludf.DUMMYFUNCTION("GOOGLETRANSLATE(D:D,""auto"",""en"")"),"Foreign Minister Wang Yi on the phone with South Korea")</f>
        <v>Foreign Minister Wang Yi on the phone with South Korea</v>
      </c>
      <c r="D5813" s="5" t="s">
        <v>13322</v>
      </c>
      <c r="E5813" s="4">
        <v>827277</v>
      </c>
    </row>
    <row r="5814" spans="1:6" ht="13.5" hidden="1" customHeight="1">
      <c r="A5814" s="4" t="s">
        <v>13323</v>
      </c>
      <c r="B5814" s="4" t="s">
        <v>13324</v>
      </c>
      <c r="C5814" s="4" t="str">
        <f ca="1">IFERROR(__xludf.DUMMYFUNCTION("GOOGLETRANSLATE(D:D,""auto"",""en"")"),"Prodigy lost 62 pounds")</f>
        <v>Prodigy lost 62 pounds</v>
      </c>
      <c r="D5814" s="5" t="s">
        <v>13325</v>
      </c>
      <c r="E5814" s="4">
        <v>827171</v>
      </c>
    </row>
    <row r="5815" spans="1:6" ht="13.5" customHeight="1">
      <c r="A5815" s="4" t="s">
        <v>13326</v>
      </c>
      <c r="B5815" s="4" t="s">
        <v>13327</v>
      </c>
      <c r="C5815" s="4" t="str">
        <f ca="1">IFERROR(__xludf.DUMMYFUNCTION("GOOGLETRANSLATE(D:D,""auto"",""en"")"),"Fujian Putian new cases were asymptomatic 29 days")</f>
        <v>Fujian Putian new cases were asymptomatic 29 days</v>
      </c>
      <c r="D5815" s="5" t="s">
        <v>13328</v>
      </c>
      <c r="E5815" s="4">
        <v>827069</v>
      </c>
      <c r="F5815">
        <v>1</v>
      </c>
    </row>
    <row r="5816" spans="1:6" ht="13.5" customHeight="1">
      <c r="A5816" s="4" t="s">
        <v>13329</v>
      </c>
      <c r="B5816" s="4" t="s">
        <v>13330</v>
      </c>
      <c r="C5816" s="4" t="str">
        <f ca="1">IFERROR(__xludf.DUMMYFUNCTION("GOOGLETRANSLATE(D:D,""auto"",""en"")"),"WHO experts said that if the infection hope treatment in China")</f>
        <v>WHO experts said that if the infection hope treatment in China</v>
      </c>
      <c r="D5816" s="5" t="s">
        <v>13331</v>
      </c>
      <c r="E5816" s="4">
        <v>826795</v>
      </c>
      <c r="F5816">
        <v>1</v>
      </c>
    </row>
    <row r="5817" spans="1:6" ht="13.5" customHeight="1">
      <c r="A5817" s="4" t="s">
        <v>13332</v>
      </c>
      <c r="B5817" s="4" t="s">
        <v>13198</v>
      </c>
      <c r="C5817" s="4" t="str">
        <f ca="1">IFERROR(__xludf.DUMMYFUNCTION("GOOGLETRANSLATE(D:D,""auto"",""en"")"),"Bao wore a mask")</f>
        <v>Bao wore a mask</v>
      </c>
      <c r="D5817" s="5" t="s">
        <v>13333</v>
      </c>
      <c r="E5817" s="4">
        <v>825364</v>
      </c>
      <c r="F5817">
        <v>1</v>
      </c>
    </row>
    <row r="5818" spans="1:6" ht="13.5" hidden="1" customHeight="1">
      <c r="A5818" s="4" t="s">
        <v>13334</v>
      </c>
      <c r="B5818" s="4" t="s">
        <v>13335</v>
      </c>
      <c r="C5818" s="4" t="str">
        <f ca="1">IFERROR(__xludf.DUMMYFUNCTION("GOOGLETRANSLATE(D:D,""auto"",""en"")"),"Nigel Amat English")</f>
        <v>Nigel Amat English</v>
      </c>
      <c r="D5818" s="5" t="s">
        <v>13336</v>
      </c>
      <c r="E5818" s="4">
        <v>807698</v>
      </c>
    </row>
    <row r="5819" spans="1:6" ht="13.5" customHeight="1">
      <c r="A5819" s="4" t="s">
        <v>13311</v>
      </c>
      <c r="B5819" s="4" t="s">
        <v>13297</v>
      </c>
      <c r="C5819" s="4" t="str">
        <f ca="1">IFERROR(__xludf.DUMMYFUNCTION("GOOGLETRANSLATE(D:D,""auto"",""en"")"),"Hengdian crew return to work before the need to take the exam")</f>
        <v>Hengdian crew return to work before the need to take the exam</v>
      </c>
      <c r="D5819" s="5" t="s">
        <v>13337</v>
      </c>
      <c r="E5819" s="4">
        <v>712730</v>
      </c>
      <c r="F5819">
        <v>1</v>
      </c>
    </row>
    <row r="5820" spans="1:6" ht="13.5" customHeight="1">
      <c r="A5820" s="4" t="s">
        <v>13338</v>
      </c>
      <c r="B5820" s="4" t="s">
        <v>13198</v>
      </c>
      <c r="C5820" s="4" t="str">
        <f ca="1">IFERROR(__xludf.DUMMYFUNCTION("GOOGLETRANSLATE(D:D,""auto"",""en"")"),"Wuhan bus turned utility vehicle")</f>
        <v>Wuhan bus turned utility vehicle</v>
      </c>
      <c r="D5820" s="5" t="s">
        <v>13339</v>
      </c>
      <c r="E5820" s="4">
        <v>603767</v>
      </c>
      <c r="F5820">
        <v>1</v>
      </c>
    </row>
    <row r="5821" spans="1:6" ht="13.5" hidden="1" customHeight="1">
      <c r="A5821" s="4" t="s">
        <v>13340</v>
      </c>
      <c r="B5821" s="4" t="s">
        <v>13341</v>
      </c>
      <c r="C5821" s="4" t="str">
        <f ca="1">IFERROR(__xludf.DUMMYFUNCTION("GOOGLETRANSLATE(D:D,""auto"",""en"")"),"Pink silk")</f>
        <v>Pink silk</v>
      </c>
      <c r="D5821" s="5" t="s">
        <v>13342</v>
      </c>
      <c r="E5821" s="4">
        <v>588026</v>
      </c>
    </row>
    <row r="5822" spans="1:6" ht="13.5" hidden="1" customHeight="1">
      <c r="A5822" s="4" t="s">
        <v>13343</v>
      </c>
      <c r="B5822" s="4" t="s">
        <v>13344</v>
      </c>
      <c r="C5822" s="4" t="str">
        <f ca="1">IFERROR(__xludf.DUMMYFUNCTION("GOOGLETRANSLATE(D:D,""auto"",""en"")"),"Henan 472 scenic spots to health care free tickets")</f>
        <v>Henan 472 scenic spots to health care free tickets</v>
      </c>
      <c r="D5822" s="5" t="s">
        <v>13345</v>
      </c>
      <c r="E5822" s="4">
        <v>576883</v>
      </c>
    </row>
    <row r="5823" spans="1:6" ht="13.5" customHeight="1">
      <c r="A5823" s="4" t="s">
        <v>13346</v>
      </c>
      <c r="B5823" s="4" t="s">
        <v>13160</v>
      </c>
      <c r="C5823" s="4" t="str">
        <f ca="1">IFERROR(__xludf.DUMMYFUNCTION("GOOGLETRANSLATE(D:D,""auto"",""en"")"),"Thailand 35 days in isolation were asked to pay 60,000 baht")</f>
        <v>Thailand 35 days in isolation were asked to pay 60,000 baht</v>
      </c>
      <c r="D5823" s="5" t="s">
        <v>13347</v>
      </c>
      <c r="E5823" s="4">
        <v>575149</v>
      </c>
      <c r="F5823">
        <v>1</v>
      </c>
    </row>
    <row r="5824" spans="1:6" ht="13.5" hidden="1" customHeight="1">
      <c r="A5824" s="4" t="s">
        <v>13348</v>
      </c>
      <c r="B5824" s="4" t="s">
        <v>13349</v>
      </c>
      <c r="C5824" s="4" t="str">
        <f ca="1">IFERROR(__xludf.DUMMYFUNCTION("GOOGLETRANSLATE(D:D,""auto"",""en"")"),"China Tower")</f>
        <v>China Tower</v>
      </c>
      <c r="D5824" s="5" t="s">
        <v>13350</v>
      </c>
      <c r="E5824" s="4">
        <v>544387</v>
      </c>
    </row>
    <row r="5825" spans="1:6" ht="13.5" hidden="1" customHeight="1">
      <c r="A5825" s="4" t="s">
        <v>13351</v>
      </c>
      <c r="B5825" s="4" t="s">
        <v>13352</v>
      </c>
      <c r="C5825" s="4" t="str">
        <f ca="1">IFERROR(__xludf.DUMMYFUNCTION("GOOGLETRANSLATE(D:D,""auto"",""en"")"),"Beijing cinema ticket every row Gezuo")</f>
        <v>Beijing cinema ticket every row Gezuo</v>
      </c>
      <c r="D5825" s="5" t="s">
        <v>13353</v>
      </c>
      <c r="E5825" s="4">
        <v>542812</v>
      </c>
    </row>
    <row r="5826" spans="1:6" ht="13.5" hidden="1" customHeight="1">
      <c r="A5826" s="4" t="s">
        <v>13354</v>
      </c>
      <c r="B5826" s="4" t="s">
        <v>13212</v>
      </c>
      <c r="C5826" s="4" t="str">
        <f ca="1">IFERROR(__xludf.DUMMYFUNCTION("GOOGLETRANSLATE(D:D,""auto"",""en"")"),"How can skin the cat")</f>
        <v>How can skin the cat</v>
      </c>
      <c r="D5826" s="5" t="s">
        <v>13355</v>
      </c>
      <c r="E5826" s="4">
        <v>499753</v>
      </c>
    </row>
    <row r="5827" spans="1:6" ht="13.5" hidden="1" customHeight="1">
      <c r="A5827" s="4" t="s">
        <v>13340</v>
      </c>
      <c r="B5827" s="4" t="s">
        <v>13356</v>
      </c>
      <c r="C5827" s="4" t="str">
        <f ca="1">IFERROR(__xludf.DUMMYFUNCTION("GOOGLETRANSLATE(D:D,""auto"",""en"")"),"Hangzhou West Lake in early spring beauty")</f>
        <v>Hangzhou West Lake in early spring beauty</v>
      </c>
      <c r="D5827" s="5" t="s">
        <v>13357</v>
      </c>
      <c r="E5827" s="4">
        <v>458200</v>
      </c>
    </row>
    <row r="5828" spans="1:6" ht="13.5" hidden="1" customHeight="1">
      <c r="A5828" s="4" t="s">
        <v>13358</v>
      </c>
      <c r="B5828" s="4" t="s">
        <v>13230</v>
      </c>
      <c r="C5828" s="4" t="str">
        <f ca="1">IFERROR(__xludf.DUMMYFUNCTION("GOOGLETRANSLATE(D:D,""auto"",""en"")"),"Chinese husband and wife lied about travel history to be indicted Singapore")</f>
        <v>Chinese husband and wife lied about travel history to be indicted Singapore</v>
      </c>
      <c r="D5828" s="5" t="s">
        <v>13359</v>
      </c>
      <c r="E5828" s="4">
        <v>450618</v>
      </c>
    </row>
    <row r="5829" spans="1:6" ht="13.5" customHeight="1">
      <c r="A5829" s="4" t="s">
        <v>13360</v>
      </c>
      <c r="B5829" s="4" t="s">
        <v>13309</v>
      </c>
      <c r="C5829" s="4" t="str">
        <f ca="1">IFERROR(__xludf.DUMMYFUNCTION("GOOGLETRANSLATE(D:D,""auto"",""en"")"),"Beijing Add 10 new cases of pneumonia crown")</f>
        <v>Beijing Add 10 new cases of pneumonia crown</v>
      </c>
      <c r="D5829" s="5" t="s">
        <v>13361</v>
      </c>
      <c r="E5829" s="4">
        <v>442200</v>
      </c>
      <c r="F5829">
        <v>1</v>
      </c>
    </row>
    <row r="5830" spans="1:6" ht="13.5" hidden="1" customHeight="1">
      <c r="A5830" s="4" t="s">
        <v>13362</v>
      </c>
      <c r="B5830" s="4" t="s">
        <v>13363</v>
      </c>
      <c r="C5830" s="4" t="str">
        <f ca="1">IFERROR(__xludf.DUMMYFUNCTION("GOOGLETRANSLATE(D:D,""auto"",""en"")"),"Cui baby talk Trump's visit to India on the spot laugh pumping")</f>
        <v>Cui baby talk Trump's visit to India on the spot laugh pumping</v>
      </c>
      <c r="D5830" s="5" t="s">
        <v>13364</v>
      </c>
      <c r="E5830" s="4">
        <v>401664</v>
      </c>
    </row>
    <row r="5831" spans="1:6" ht="13.5" customHeight="1">
      <c r="A5831" s="4" t="s">
        <v>13362</v>
      </c>
      <c r="B5831" s="4" t="s">
        <v>13365</v>
      </c>
      <c r="C5831" s="4" t="str">
        <f ca="1">IFERROR(__xludf.DUMMYFUNCTION("GOOGLETRANSLATE(D:D,""auto"",""en"")"),"Forbidden to wear a mask when Korea Xintiandi week")</f>
        <v>Forbidden to wear a mask when Korea Xintiandi week</v>
      </c>
      <c r="D5831" s="5" t="s">
        <v>13366</v>
      </c>
      <c r="E5831" s="4">
        <v>395065</v>
      </c>
      <c r="F5831">
        <v>1</v>
      </c>
    </row>
    <row r="5832" spans="1:6" ht="13.5" hidden="1" customHeight="1">
      <c r="A5832" s="4" t="s">
        <v>13367</v>
      </c>
      <c r="B5832" s="4" t="s">
        <v>13368</v>
      </c>
      <c r="C5832" s="4" t="str">
        <f ca="1">IFERROR(__xludf.DUMMYFUNCTION("GOOGLETRANSLATE(D:D,""auto"",""en"")"),"Ken Sato")</f>
        <v>Ken Sato</v>
      </c>
      <c r="D5832" s="5" t="s">
        <v>13369</v>
      </c>
      <c r="E5832" s="4">
        <v>382132</v>
      </c>
    </row>
    <row r="5833" spans="1:6" ht="13.5" customHeight="1">
      <c r="A5833" s="4" t="s">
        <v>13367</v>
      </c>
      <c r="B5833" s="4" t="s">
        <v>13370</v>
      </c>
      <c r="C5833" s="4" t="str">
        <f ca="1">IFERROR(__xludf.DUMMYFUNCTION("GOOGLETRANSLATE(D:D,""auto"",""en"")"),"Hubei Qianjiang initiative report confirmed after prize 10,000 yuan")</f>
        <v>Hubei Qianjiang initiative report confirmed after prize 10,000 yuan</v>
      </c>
      <c r="D5833" s="5" t="s">
        <v>13371</v>
      </c>
      <c r="E5833" s="4">
        <v>364741</v>
      </c>
      <c r="F5833">
        <v>1</v>
      </c>
    </row>
    <row r="5834" spans="1:6" ht="13.5" customHeight="1">
      <c r="A5834" s="4" t="s">
        <v>13372</v>
      </c>
      <c r="B5834" s="4" t="s">
        <v>13356</v>
      </c>
      <c r="C5834" s="4" t="str">
        <f ca="1">IFERROR(__xludf.DUMMYFUNCTION("GOOGLETRANSLATE(D:D,""auto"",""en"")"),"31 provinces added 433 cases of pneumonia new crown")</f>
        <v>31 provinces added 433 cases of pneumonia new crown</v>
      </c>
      <c r="D5834" s="5" t="s">
        <v>13373</v>
      </c>
      <c r="E5834" s="4">
        <v>339967</v>
      </c>
      <c r="F5834">
        <v>1</v>
      </c>
    </row>
    <row r="5835" spans="1:6" ht="13.5" customHeight="1">
      <c r="A5835" s="4" t="s">
        <v>13367</v>
      </c>
      <c r="B5835" s="4" t="s">
        <v>13374</v>
      </c>
      <c r="C5835" s="4" t="str">
        <f ca="1">IFERROR(__xludf.DUMMYFUNCTION("GOOGLETRANSLATE(D:D,""auto"",""en"")"),"German soldiers appeared infection")</f>
        <v>German soldiers appeared infection</v>
      </c>
      <c r="D5835" s="5" t="s">
        <v>13375</v>
      </c>
      <c r="E5835" s="4">
        <v>333905</v>
      </c>
      <c r="F5835">
        <v>1</v>
      </c>
    </row>
    <row r="5836" spans="1:6" ht="13.5" customHeight="1">
      <c r="A5836" s="4" t="s">
        <v>13367</v>
      </c>
      <c r="B5836" s="4" t="s">
        <v>13303</v>
      </c>
      <c r="C5836" s="4" t="str">
        <f ca="1">IFERROR(__xludf.DUMMYFUNCTION("GOOGLETRANSLATE(D:D,""auto"",""en"")"),"Zhong Nanshan disciple reinforcements Wuhan")</f>
        <v>Zhong Nanshan disciple reinforcements Wuhan</v>
      </c>
      <c r="D5836" s="5" t="s">
        <v>13376</v>
      </c>
      <c r="E5836" s="4">
        <v>307614</v>
      </c>
      <c r="F5836">
        <v>1</v>
      </c>
    </row>
    <row r="5837" spans="1:6" ht="13.5" customHeight="1">
      <c r="A5837" s="4" t="s">
        <v>13372</v>
      </c>
      <c r="B5837" s="4" t="s">
        <v>13377</v>
      </c>
      <c r="C5837" s="4" t="str">
        <f ca="1">IFERROR(__xludf.DUMMYFUNCTION("GOOGLETRANSLATE(D:D,""auto"",""en"")"),"Hair masks girls in Tokyo brother is a doctor Hubei aid")</f>
        <v>Hair masks girls in Tokyo brother is a doctor Hubei aid</v>
      </c>
      <c r="D5837" s="5" t="s">
        <v>13378</v>
      </c>
      <c r="E5837" s="4">
        <v>297327</v>
      </c>
      <c r="F5837">
        <v>1</v>
      </c>
    </row>
    <row r="5838" spans="1:6" ht="13.5" customHeight="1">
      <c r="A5838" s="4" t="s">
        <v>13372</v>
      </c>
      <c r="B5838" s="4" t="s">
        <v>13244</v>
      </c>
      <c r="C5838" s="4" t="str">
        <f ca="1">IFERROR(__xludf.DUMMYFUNCTION("GOOGLETRANSLATE(D:D,""auto"",""en"")"),"Hubei thorough investigation confirmed the released prisoners who arrived in Beijing from Chinese")</f>
        <v>Hubei thorough investigation confirmed the released prisoners who arrived in Beijing from Chinese</v>
      </c>
      <c r="D5838" s="5" t="s">
        <v>13379</v>
      </c>
      <c r="E5838" s="4">
        <v>292539</v>
      </c>
      <c r="F5838">
        <v>1</v>
      </c>
    </row>
    <row r="5839" spans="1:6" ht="13.5" hidden="1" customHeight="1">
      <c r="A5839" s="4" t="s">
        <v>13348</v>
      </c>
      <c r="B5839" s="4" t="s">
        <v>13380</v>
      </c>
      <c r="C5839" s="4" t="str">
        <f ca="1">IFERROR(__xludf.DUMMYFUNCTION("GOOGLETRANSLATE(D:D,""auto"",""en"")"),"Outdoor teacher rub net open eight hours a day live class")</f>
        <v>Outdoor teacher rub net open eight hours a day live class</v>
      </c>
      <c r="D5839" s="5" t="s">
        <v>13381</v>
      </c>
      <c r="E5839" s="4">
        <v>290828</v>
      </c>
    </row>
    <row r="5840" spans="1:6" ht="13.5" customHeight="1">
      <c r="A5840" s="4" t="s">
        <v>13382</v>
      </c>
      <c r="B5840" s="4" t="s">
        <v>13383</v>
      </c>
      <c r="C5840" s="4" t="str">
        <f ca="1">IFERROR(__xludf.DUMMYFUNCTION("GOOGLETRANSLATE(D:D,""auto"",""en"")"),"Joint investigation team arrived in Beijing Han investigation confirmed officers from the")</f>
        <v>Joint investigation team arrived in Beijing Han investigation confirmed officers from the</v>
      </c>
      <c r="D5840" s="5" t="s">
        <v>13384</v>
      </c>
      <c r="E5840" s="4">
        <v>288197</v>
      </c>
      <c r="F5840">
        <v>1</v>
      </c>
    </row>
    <row r="5841" spans="1:6" ht="13.5" customHeight="1">
      <c r="A5841" s="4" t="s">
        <v>13385</v>
      </c>
      <c r="B5841" s="4" t="s">
        <v>13386</v>
      </c>
      <c r="C5841" s="4" t="str">
        <f ca="1">IFERROR(__xludf.DUMMYFUNCTION("GOOGLETRANSLATE(D:D,""auto"",""en"")"),"Masks daily production output of over 70 million")</f>
        <v>Masks daily production output of over 70 million</v>
      </c>
      <c r="D5841" s="5" t="s">
        <v>13387</v>
      </c>
      <c r="E5841" s="4">
        <v>279769</v>
      </c>
      <c r="F5841">
        <v>1</v>
      </c>
    </row>
    <row r="5842" spans="1:6" ht="13.5" customHeight="1">
      <c r="A5842" s="4" t="s">
        <v>13305</v>
      </c>
      <c r="B5842" s="4" t="s">
        <v>13388</v>
      </c>
      <c r="C5842" s="4" t="str">
        <f ca="1">IFERROR(__xludf.DUMMYFUNCTION("GOOGLETRANSLATE(D:D,""auto"",""en"")"),"Wuhan zero infected cell")</f>
        <v>Wuhan zero infected cell</v>
      </c>
      <c r="D5842" s="5" t="s">
        <v>13389</v>
      </c>
      <c r="E5842" s="4">
        <v>271501</v>
      </c>
      <c r="F5842">
        <v>1</v>
      </c>
    </row>
    <row r="5843" spans="1:6" ht="13.5" hidden="1" customHeight="1">
      <c r="A5843" s="4" t="s">
        <v>13390</v>
      </c>
      <c r="B5843" s="4" t="s">
        <v>13391</v>
      </c>
      <c r="C5843" s="4" t="str">
        <f ca="1">IFERROR(__xludf.DUMMYFUNCTION("GOOGLETRANSLATE(D:D,""auto"",""en"")"),"Animation joint Makeup")</f>
        <v>Animation joint Makeup</v>
      </c>
      <c r="D5843" s="5" t="s">
        <v>13392</v>
      </c>
      <c r="E5843" s="4">
        <v>265539</v>
      </c>
    </row>
    <row r="5844" spans="1:6" ht="13.5" hidden="1" customHeight="1">
      <c r="A5844" s="4" t="s">
        <v>13393</v>
      </c>
      <c r="B5844" s="4" t="s">
        <v>13356</v>
      </c>
      <c r="C5844" s="4" t="str">
        <f ca="1">IFERROR(__xludf.DUMMYFUNCTION("GOOGLETRANSLATE(D:D,""auto"",""en"")"),"Tokyo Olympic Torch Relay consider downsizing")</f>
        <v>Tokyo Olympic Torch Relay consider downsizing</v>
      </c>
      <c r="D5844" s="5" t="s">
        <v>13394</v>
      </c>
      <c r="E5844" s="4">
        <v>264456</v>
      </c>
    </row>
    <row r="5845" spans="1:6" ht="13.5" customHeight="1">
      <c r="A5845" s="4" t="s">
        <v>13395</v>
      </c>
      <c r="B5845" s="4" t="s">
        <v>13349</v>
      </c>
      <c r="C5845" s="4" t="str">
        <f ca="1">IFERROR(__xludf.DUMMYFUNCTION("GOOGLETRANSLATE(D:D,""auto"",""en"")"),"A reporter asked Zhong Nanshan")</f>
        <v>A reporter asked Zhong Nanshan</v>
      </c>
      <c r="D5845" s="5" t="s">
        <v>13396</v>
      </c>
      <c r="E5845" s="4">
        <v>257930</v>
      </c>
      <c r="F5845">
        <v>1</v>
      </c>
    </row>
    <row r="5846" spans="1:6" ht="13.5" hidden="1" customHeight="1">
      <c r="A5846" s="4" t="s">
        <v>13372</v>
      </c>
      <c r="B5846" s="4" t="s">
        <v>13288</v>
      </c>
      <c r="C5846" s="4" t="str">
        <f ca="1">IFERROR(__xludf.DUMMYFUNCTION("GOOGLETRANSLATE(D:D,""auto"",""en"")"),"Modi gave Trump gift")</f>
        <v>Modi gave Trump gift</v>
      </c>
      <c r="D5846" s="5" t="s">
        <v>13397</v>
      </c>
      <c r="E5846" s="4">
        <v>234200</v>
      </c>
    </row>
    <row r="5847" spans="1:6" ht="13.5" customHeight="1">
      <c r="A5847" s="4" t="s">
        <v>13398</v>
      </c>
      <c r="B5847" s="4" t="s">
        <v>13391</v>
      </c>
      <c r="C5847" s="4" t="str">
        <f ca="1">IFERROR(__xludf.DUMMYFUNCTION("GOOGLETRANSLATE(D:D,""auto"",""en"")"),"Korea suspend all Catholic Mass")</f>
        <v>Korea suspend all Catholic Mass</v>
      </c>
      <c r="D5847" s="5" t="s">
        <v>13399</v>
      </c>
      <c r="E5847" s="4">
        <v>217971</v>
      </c>
      <c r="F5847">
        <v>1</v>
      </c>
    </row>
    <row r="5848" spans="1:6" ht="13.5" hidden="1" customHeight="1">
      <c r="C5848" s="4" t="str">
        <f ca="1">IFERROR(__xludf.DUMMYFUNCTION("GOOGLETRANSLATE(D:D,""auto"",""en"")"),"#VALUE!")</f>
        <v>#VALUE!</v>
      </c>
    </row>
    <row r="5849" spans="1:6" ht="13.5" customHeight="1">
      <c r="A5849" s="4" t="s">
        <v>13400</v>
      </c>
      <c r="B5849" s="4" t="s">
        <v>13401</v>
      </c>
      <c r="C5849" s="4" t="str">
        <f ca="1">IFERROR(__xludf.DUMMYFUNCTION("GOOGLETRANSLATE(D:D,""auto"",""en"")"),"How long should wear masks")</f>
        <v>How long should wear masks</v>
      </c>
      <c r="D5849" s="4" t="s">
        <v>13402</v>
      </c>
      <c r="E5849" s="4">
        <v>2286403</v>
      </c>
      <c r="F5849">
        <v>1</v>
      </c>
    </row>
    <row r="5850" spans="1:6" ht="13.5" hidden="1" customHeight="1">
      <c r="A5850" s="4" t="s">
        <v>13403</v>
      </c>
      <c r="B5850" s="4" t="s">
        <v>13404</v>
      </c>
      <c r="C5850" s="4" t="str">
        <f ca="1">IFERROR(__xludf.DUMMYFUNCTION("GOOGLETRANSLATE(D:D,""auto"",""en"")"),"Permanent residence regulations for foreigners")</f>
        <v>Permanent residence regulations for foreigners</v>
      </c>
      <c r="D5850" s="5" t="s">
        <v>13405</v>
      </c>
      <c r="E5850" s="4">
        <v>1881171</v>
      </c>
    </row>
    <row r="5851" spans="1:6" ht="13.5" customHeight="1">
      <c r="A5851" s="4" t="s">
        <v>13406</v>
      </c>
      <c r="B5851" s="4" t="s">
        <v>13407</v>
      </c>
      <c r="C5851" s="4" t="str">
        <f ca="1">IFERROR(__xludf.DUMMYFUNCTION("GOOGLETRANSLATE(D:D,""auto"",""en"")"),"Iranian Vice President novel coronavirus tested positive")</f>
        <v>Iranian Vice President novel coronavirus tested positive</v>
      </c>
      <c r="D5851" s="5" t="s">
        <v>13408</v>
      </c>
      <c r="E5851" s="4">
        <v>1698695</v>
      </c>
      <c r="F5851">
        <v>1</v>
      </c>
    </row>
    <row r="5852" spans="1:6" ht="13.5" hidden="1" customHeight="1">
      <c r="A5852" s="4" t="s">
        <v>13409</v>
      </c>
      <c r="B5852" s="4" t="s">
        <v>13410</v>
      </c>
      <c r="C5852" s="4" t="str">
        <f ca="1">IFERROR(__xludf.DUMMYFUNCTION("GOOGLETRANSLATE(D:D,""auto"",""en"")"),"Zhang was mad ride ride")</f>
        <v>Zhang was mad ride ride</v>
      </c>
      <c r="D5852" s="5" t="s">
        <v>13411</v>
      </c>
      <c r="E5852" s="4">
        <v>1570262</v>
      </c>
    </row>
    <row r="5853" spans="1:6" ht="13.5" hidden="1" customHeight="1">
      <c r="A5853" s="4" t="s">
        <v>13412</v>
      </c>
      <c r="B5853" s="4" t="s">
        <v>13413</v>
      </c>
      <c r="C5853" s="4" t="str">
        <f ca="1">IFERROR(__xludf.DUMMYFUNCTION("GOOGLETRANSLATE(D:D,""auto"",""en"")"),"Donghua marry Feng nine")</f>
        <v>Donghua marry Feng nine</v>
      </c>
      <c r="D5853" s="5" t="s">
        <v>13414</v>
      </c>
      <c r="E5853" s="4">
        <v>1124665</v>
      </c>
    </row>
    <row r="5854" spans="1:6" ht="13.5" customHeight="1">
      <c r="A5854" s="4" t="s">
        <v>13415</v>
      </c>
      <c r="B5854" s="4" t="s">
        <v>13416</v>
      </c>
      <c r="C5854" s="4" t="str">
        <f ca="1">IFERROR(__xludf.DUMMYFUNCTION("GOOGLETRANSLATE(D:D,""auto"",""en"")"),"Continue to postpone the opening time principle")</f>
        <v>Continue to postpone the opening time principle</v>
      </c>
      <c r="D5854" s="5" t="s">
        <v>13417</v>
      </c>
      <c r="E5854" s="4">
        <v>1012361</v>
      </c>
      <c r="F5854">
        <v>1</v>
      </c>
    </row>
    <row r="5855" spans="1:6" ht="13.5" hidden="1" customHeight="1">
      <c r="A5855" s="4" t="s">
        <v>13418</v>
      </c>
      <c r="B5855" s="4" t="s">
        <v>13419</v>
      </c>
      <c r="C5855" s="4" t="str">
        <f ca="1">IFERROR(__xludf.DUMMYFUNCTION("GOOGLETRANSLATE(D:D,""auto"",""en"")"),"President of Mongolia to China Donates 30,000 sheep")</f>
        <v>President of Mongolia to China Donates 30,000 sheep</v>
      </c>
      <c r="D5855" s="5" t="s">
        <v>13420</v>
      </c>
      <c r="E5855" s="4">
        <v>766266</v>
      </c>
    </row>
    <row r="5856" spans="1:6" ht="13.5" customHeight="1">
      <c r="A5856" s="4" t="s">
        <v>13421</v>
      </c>
      <c r="B5856" s="4" t="s">
        <v>13422</v>
      </c>
      <c r="C5856" s="4" t="str">
        <f ca="1">IFERROR(__xludf.DUMMYFUNCTION("GOOGLETRANSLATE(D:D,""auto"",""en"")"),"Central requirements from a national mobilization of medical equipment to reduce mortality")</f>
        <v>Central requirements from a national mobilization of medical equipment to reduce mortality</v>
      </c>
      <c r="D5856" s="5" t="s">
        <v>13423</v>
      </c>
      <c r="E5856" s="4">
        <v>756373</v>
      </c>
      <c r="F5856">
        <v>1</v>
      </c>
    </row>
    <row r="5857" spans="1:6" ht="13.5" customHeight="1">
      <c r="A5857" s="4" t="s">
        <v>13424</v>
      </c>
      <c r="B5857" s="4" t="s">
        <v>13425</v>
      </c>
      <c r="C5857" s="4" t="str">
        <f ca="1">IFERROR(__xludf.DUMMYFUNCTION("GOOGLETRANSLATE(D:D,""auto"",""en"")"),"South Korea and Japan to fight the epidemic China will not be absent")</f>
        <v>South Korea and Japan to fight the epidemic China will not be absent</v>
      </c>
      <c r="D5857" s="5" t="s">
        <v>13426</v>
      </c>
      <c r="E5857" s="4">
        <v>754482</v>
      </c>
      <c r="F5857">
        <v>1</v>
      </c>
    </row>
    <row r="5858" spans="1:6" ht="13.5" customHeight="1">
      <c r="A5858" s="4" t="s">
        <v>13427</v>
      </c>
      <c r="B5858" s="4" t="s">
        <v>13428</v>
      </c>
      <c r="C5858" s="4" t="str">
        <f ca="1">IFERROR(__xludf.DUMMYFUNCTION("GOOGLETRANSLATE(D:D,""auto"",""en"")"),"Expert doubts the patient was discharged after testing positive")</f>
        <v>Expert doubts the patient was discharged after testing positive</v>
      </c>
      <c r="D5858" s="5" t="s">
        <v>13429</v>
      </c>
      <c r="E5858" s="4">
        <v>752613</v>
      </c>
      <c r="F5858">
        <v>1</v>
      </c>
    </row>
    <row r="5859" spans="1:6" ht="13.5" customHeight="1">
      <c r="A5859" s="4" t="s">
        <v>13430</v>
      </c>
      <c r="B5859" s="4" t="s">
        <v>13431</v>
      </c>
      <c r="C5859" s="4" t="str">
        <f ca="1">IFERROR(__xludf.DUMMYFUNCTION("GOOGLETRANSLATE(D:D,""auto"",""en"")"),"Guizhou Middle School third grade March 16 officially opened")</f>
        <v>Guizhou Middle School third grade March 16 officially opened</v>
      </c>
      <c r="D5859" s="5" t="s">
        <v>13432</v>
      </c>
      <c r="E5859" s="4">
        <v>751464</v>
      </c>
      <c r="F5859">
        <v>1</v>
      </c>
    </row>
    <row r="5860" spans="1:6" ht="13.5" customHeight="1">
      <c r="A5860" s="4" t="s">
        <v>13433</v>
      </c>
      <c r="B5860" s="4" t="s">
        <v>13434</v>
      </c>
      <c r="C5860" s="4" t="str">
        <f ca="1">IFERROR(__xludf.DUMMYFUNCTION("GOOGLETRANSLATE(D:D,""auto"",""en"")"),"Former Iranian ambassador to the Vatican because of the death of coronavirus infection")</f>
        <v>Former Iranian ambassador to the Vatican because of the death of coronavirus infection</v>
      </c>
      <c r="D5860" s="5" t="s">
        <v>13435</v>
      </c>
      <c r="E5860" s="4">
        <v>749758</v>
      </c>
      <c r="F5860">
        <v>1</v>
      </c>
    </row>
    <row r="5861" spans="1:6" ht="13.5" hidden="1" customHeight="1">
      <c r="A5861" s="4" t="s">
        <v>13436</v>
      </c>
      <c r="B5861" s="4" t="s">
        <v>13437</v>
      </c>
      <c r="C5861" s="4" t="str">
        <f ca="1">IFERROR(__xludf.DUMMYFUNCTION("GOOGLETRANSLATE(D:D,""auto"",""en"")"),"Duck is not suitable for locust control, animal husbandry, Pakistan")</f>
        <v>Duck is not suitable for locust control, animal husbandry, Pakistan</v>
      </c>
      <c r="D5861" s="5" t="s">
        <v>13438</v>
      </c>
      <c r="E5861" s="4">
        <v>746375</v>
      </c>
    </row>
    <row r="5862" spans="1:6" ht="13.5" hidden="1" customHeight="1">
      <c r="A5862" s="4" t="s">
        <v>13439</v>
      </c>
      <c r="B5862" s="4" t="s">
        <v>13440</v>
      </c>
      <c r="C5862" s="4" t="str">
        <f ca="1">IFERROR(__xludf.DUMMYFUNCTION("GOOGLETRANSLATE(D:D,""auto"",""en"")"),"Thirty-three")</f>
        <v>Thirty-three</v>
      </c>
      <c r="D5862" s="5" t="s">
        <v>13441</v>
      </c>
      <c r="E5862" s="4">
        <v>746008</v>
      </c>
    </row>
    <row r="5863" spans="1:6" ht="13.5" customHeight="1">
      <c r="A5863" s="4" t="s">
        <v>13442</v>
      </c>
      <c r="B5863" s="4" t="s">
        <v>13443</v>
      </c>
      <c r="C5863" s="4" t="str">
        <f ca="1">IFERROR(__xludf.DUMMYFUNCTION("GOOGLETRANSLATE(D:D,""auto"",""en"")"),"Chinese anti-epidemic provide supplies to Japan")</f>
        <v>Chinese anti-epidemic provide supplies to Japan</v>
      </c>
      <c r="D5863" s="5" t="s">
        <v>13444</v>
      </c>
      <c r="E5863" s="4">
        <v>743088</v>
      </c>
      <c r="F5863">
        <v>1</v>
      </c>
    </row>
    <row r="5864" spans="1:6" ht="13.5" hidden="1" customHeight="1">
      <c r="A5864" s="4" t="s">
        <v>13445</v>
      </c>
      <c r="B5864" s="4" t="s">
        <v>13446</v>
      </c>
      <c r="C5864" s="4" t="str">
        <f ca="1">IFERROR(__xludf.DUMMYFUNCTION("GOOGLETRANSLATE(D:D,""auto"",""en"")"),"No known Miss")</f>
        <v>No known Miss</v>
      </c>
      <c r="D5864" s="5" t="s">
        <v>13447</v>
      </c>
      <c r="E5864" s="4">
        <v>741895</v>
      </c>
    </row>
    <row r="5865" spans="1:6" ht="13.5" hidden="1" customHeight="1">
      <c r="A5865" s="4" t="s">
        <v>13448</v>
      </c>
      <c r="B5865" s="4" t="s">
        <v>13449</v>
      </c>
      <c r="C5865" s="4" t="str">
        <f ca="1">IFERROR(__xludf.DUMMYFUNCTION("GOOGLETRANSLATE(D:D,""auto"",""en"")"),"Stella Can I kiss you right")</f>
        <v>Stella Can I kiss you right</v>
      </c>
      <c r="D5865" s="5" t="s">
        <v>13450</v>
      </c>
      <c r="E5865" s="4">
        <v>738054</v>
      </c>
    </row>
    <row r="5866" spans="1:6" ht="13.5" hidden="1" customHeight="1">
      <c r="A5866" s="4" t="s">
        <v>11499</v>
      </c>
      <c r="B5866" s="4" t="s">
        <v>11500</v>
      </c>
      <c r="C5866" s="4" t="str">
        <f ca="1">IFERROR(__xludf.DUMMYFUNCTION("GOOGLETRANSLATE(D:D,""auto"",""en"")"),"Liu Zhen")</f>
        <v>Liu Zhen</v>
      </c>
      <c r="D5866" s="5" t="s">
        <v>11501</v>
      </c>
      <c r="E5866" s="4">
        <v>737925</v>
      </c>
    </row>
    <row r="5867" spans="1:6" ht="13.5" hidden="1" customHeight="1">
      <c r="A5867" s="4" t="s">
        <v>13451</v>
      </c>
      <c r="B5867" s="4" t="s">
        <v>13452</v>
      </c>
      <c r="C5867" s="4" t="str">
        <f ca="1">IFERROR(__xludf.DUMMYFUNCTION("GOOGLETRANSLATE(D:D,""auto"",""en"")"),"Hu did not recognize")</f>
        <v>Hu did not recognize</v>
      </c>
      <c r="D5867" s="5" t="s">
        <v>13453</v>
      </c>
      <c r="E5867" s="4">
        <v>734341</v>
      </c>
    </row>
    <row r="5868" spans="1:6" ht="13.5" hidden="1" customHeight="1">
      <c r="A5868" s="4" t="s">
        <v>13454</v>
      </c>
      <c r="B5868" s="4" t="s">
        <v>13455</v>
      </c>
      <c r="C5868" s="4" t="str">
        <f ca="1">IFERROR(__xludf.DUMMYFUNCTION("GOOGLETRANSLATE(D:D,""auto"",""en"")"),"Monday around in the end who is humble")</f>
        <v>Monday around in the end who is humble</v>
      </c>
      <c r="D5868" s="5" t="s">
        <v>13456</v>
      </c>
      <c r="E5868" s="4">
        <v>732532</v>
      </c>
    </row>
    <row r="5869" spans="1:6" ht="13.5" customHeight="1">
      <c r="A5869" s="4" t="s">
        <v>13457</v>
      </c>
      <c r="B5869" s="4" t="s">
        <v>13458</v>
      </c>
      <c r="C5869" s="4" t="str">
        <f ca="1">IFERROR(__xludf.DUMMYFUNCTION("GOOGLETRANSLATE(D:D,""auto"",""en"")"),"Company official response registered trademark Li Wenliang")</f>
        <v>Company official response registered trademark Li Wenliang</v>
      </c>
      <c r="D5869" s="5" t="s">
        <v>13459</v>
      </c>
      <c r="E5869" s="4">
        <v>731330</v>
      </c>
      <c r="F5869">
        <v>1</v>
      </c>
    </row>
    <row r="5870" spans="1:6" ht="13.5" hidden="1" customHeight="1">
      <c r="A5870" s="4" t="s">
        <v>13460</v>
      </c>
      <c r="B5870" s="4" t="s">
        <v>13461</v>
      </c>
      <c r="C5870" s="4" t="str">
        <f ca="1">IFERROR(__xludf.DUMMYFUNCTION("GOOGLETRANSLATE(D:D,""auto"",""en"")"),"The seller to the buyer silent moments")</f>
        <v>The seller to the buyer silent moments</v>
      </c>
      <c r="D5870" s="5" t="s">
        <v>13462</v>
      </c>
      <c r="E5870" s="4">
        <v>729869</v>
      </c>
    </row>
    <row r="5871" spans="1:6" ht="13.5" hidden="1" customHeight="1">
      <c r="A5871" s="4" t="s">
        <v>13463</v>
      </c>
      <c r="B5871" s="4" t="s">
        <v>13464</v>
      </c>
      <c r="C5871" s="4" t="str">
        <f ca="1">IFERROR(__xludf.DUMMYFUNCTION("GOOGLETRANSLATE(D:D,""auto"",""en"")"),"Wu hit a real tiger")</f>
        <v>Wu hit a real tiger</v>
      </c>
      <c r="D5871" s="5" t="s">
        <v>13465</v>
      </c>
      <c r="E5871" s="4">
        <v>700821</v>
      </c>
    </row>
    <row r="5872" spans="1:6" ht="13.5" customHeight="1">
      <c r="A5872" s="4" t="s">
        <v>13466</v>
      </c>
      <c r="B5872" s="4" t="s">
        <v>13467</v>
      </c>
      <c r="C5872" s="4" t="str">
        <f ca="1">IFERROR(__xludf.DUMMYFUNCTION("GOOGLETRANSLATE(D:D,""auto"",""en"")"),"Taking a hug Eddie E nurse aid")</f>
        <v>Taking a hug Eddie E nurse aid</v>
      </c>
      <c r="D5872" s="5" t="s">
        <v>13468</v>
      </c>
      <c r="E5872" s="4">
        <v>681368</v>
      </c>
      <c r="F5872">
        <v>1</v>
      </c>
    </row>
    <row r="5873" spans="1:6" ht="13.5" hidden="1" customHeight="1">
      <c r="A5873" s="4" t="s">
        <v>13469</v>
      </c>
      <c r="B5873" s="4" t="s">
        <v>13470</v>
      </c>
      <c r="C5873" s="4" t="str">
        <f ca="1">IFERROR(__xludf.DUMMYFUNCTION("GOOGLETRANSLATE(D:D,""auto"",""en"")"),"US stocks fell")</f>
        <v>US stocks fell</v>
      </c>
      <c r="D5873" s="5" t="s">
        <v>13471</v>
      </c>
      <c r="E5873" s="4">
        <v>602858</v>
      </c>
    </row>
    <row r="5874" spans="1:6" ht="13.5" hidden="1" customHeight="1">
      <c r="A5874" s="4" t="s">
        <v>12063</v>
      </c>
      <c r="B5874" s="4" t="s">
        <v>12051</v>
      </c>
      <c r="C5874" s="4" t="str">
        <f ca="1">IFERROR(__xludf.DUMMYFUNCTION("GOOGLETRANSLATE(D:D,""auto"",""en"")"),"settle down")</f>
        <v>settle down</v>
      </c>
      <c r="D5874" s="5" t="s">
        <v>12064</v>
      </c>
      <c r="E5874" s="4">
        <v>599857</v>
      </c>
    </row>
    <row r="5875" spans="1:6" ht="13.5" customHeight="1">
      <c r="A5875" s="4" t="s">
        <v>13472</v>
      </c>
      <c r="B5875" s="4" t="s">
        <v>13473</v>
      </c>
      <c r="C5875" s="4" t="str">
        <f ca="1">IFERROR(__xludf.DUMMYFUNCTION("GOOGLETRANSLATE(D:D,""auto"",""en"")"),"Wuhan party returned to Beijing responded daughter")</f>
        <v>Wuhan party returned to Beijing responded daughter</v>
      </c>
      <c r="D5875" s="5" t="s">
        <v>13474</v>
      </c>
      <c r="E5875" s="4">
        <v>515333</v>
      </c>
      <c r="F5875">
        <v>1</v>
      </c>
    </row>
    <row r="5876" spans="1:6" ht="13.5" hidden="1" customHeight="1">
      <c r="A5876" s="4" t="s">
        <v>3745</v>
      </c>
      <c r="B5876" s="4" t="s">
        <v>3746</v>
      </c>
      <c r="C5876" s="4" t="str">
        <f ca="1">IFERROR(__xludf.DUMMYFUNCTION("GOOGLETRANSLATE(D:D,""auto"",""en"")"),"Please listen to good friend")</f>
        <v>Please listen to good friend</v>
      </c>
      <c r="D5876" s="5" t="s">
        <v>3747</v>
      </c>
      <c r="E5876" s="4">
        <v>492499</v>
      </c>
    </row>
    <row r="5877" spans="1:6" ht="13.5" customHeight="1">
      <c r="A5877" s="4" t="s">
        <v>13475</v>
      </c>
      <c r="B5877" s="4" t="s">
        <v>13476</v>
      </c>
      <c r="C5877" s="4" t="str">
        <f ca="1">IFERROR(__xludf.DUMMYFUNCTION("GOOGLETRANSLATE(D:D,""auto"",""en"")"),"Wuhan University Law School Professor Liang West's death")</f>
        <v>Wuhan University Law School Professor Liang West's death</v>
      </c>
      <c r="D5877" s="5" t="s">
        <v>13477</v>
      </c>
      <c r="E5877" s="4">
        <v>478974</v>
      </c>
      <c r="F5877">
        <v>1</v>
      </c>
    </row>
    <row r="5878" spans="1:6" ht="13.5" customHeight="1">
      <c r="A5878" s="4" t="s">
        <v>11803</v>
      </c>
      <c r="B5878" s="4" t="s">
        <v>11804</v>
      </c>
      <c r="C5878" s="4" t="str">
        <f ca="1">IFERROR(__xludf.DUMMYFUNCTION("GOOGLETRANSLATE(D:D,""auto"",""en"")"),"Good night SMS Hubei plan")</f>
        <v>Good night SMS Hubei plan</v>
      </c>
      <c r="D5878" s="5" t="s">
        <v>11805</v>
      </c>
      <c r="E5878" s="4">
        <v>475013</v>
      </c>
      <c r="F5878">
        <v>1</v>
      </c>
    </row>
    <row r="5879" spans="1:6" ht="13.5" hidden="1" customHeight="1">
      <c r="A5879" s="4" t="s">
        <v>13430</v>
      </c>
      <c r="B5879" s="4" t="s">
        <v>13478</v>
      </c>
      <c r="C5879" s="4" t="str">
        <f ca="1">IFERROR(__xludf.DUMMYFUNCTION("GOOGLETRANSLATE(D:D,""auto"",""en"")"),"Huang Yan Xuan side")</f>
        <v>Huang Yan Xuan side</v>
      </c>
      <c r="D5879" s="5" t="s">
        <v>13479</v>
      </c>
      <c r="E5879" s="4">
        <v>364713</v>
      </c>
    </row>
    <row r="5880" spans="1:6" ht="13.5" hidden="1" customHeight="1">
      <c r="A5880" s="4" t="s">
        <v>13480</v>
      </c>
      <c r="B5880" s="4" t="s">
        <v>13481</v>
      </c>
      <c r="C5880" s="4" t="str">
        <f ca="1">IFERROR(__xludf.DUMMYFUNCTION("GOOGLETRANSLATE(D:D,""auto"",""en"")"),"Huang Xuxi edge with the primary knee Yin")</f>
        <v>Huang Xuxi edge with the primary knee Yin</v>
      </c>
      <c r="D5880" s="5" t="s">
        <v>13482</v>
      </c>
      <c r="E5880" s="4">
        <v>364480</v>
      </c>
    </row>
    <row r="5881" spans="1:6" ht="13.5" hidden="1" customHeight="1">
      <c r="A5881" s="4" t="s">
        <v>13483</v>
      </c>
      <c r="B5881" s="4" t="s">
        <v>13484</v>
      </c>
      <c r="C5881" s="4" t="str">
        <f ca="1">IFERROR(__xludf.DUMMYFUNCTION("GOOGLETRANSLATE(D:D,""auto"",""en"")"),"Why give me such counsels physical structure")</f>
        <v>Why give me such counsels physical structure</v>
      </c>
      <c r="D5881" s="5" t="s">
        <v>13485</v>
      </c>
      <c r="E5881" s="4">
        <v>344421</v>
      </c>
    </row>
    <row r="5882" spans="1:6" ht="13.5" customHeight="1">
      <c r="A5882" s="4" t="s">
        <v>13486</v>
      </c>
      <c r="B5882" s="4" t="s">
        <v>13393</v>
      </c>
      <c r="C5882" s="4" t="str">
        <f ca="1">IFERROR(__xludf.DUMMYFUNCTION("GOOGLETRANSLATE(D:D,""auto"",""en"")"),"School")</f>
        <v>School</v>
      </c>
      <c r="D5882" s="5" t="s">
        <v>13487</v>
      </c>
      <c r="E5882" s="4">
        <v>315272</v>
      </c>
      <c r="F5882">
        <v>1</v>
      </c>
    </row>
    <row r="5883" spans="1:6" ht="13.5" hidden="1" customHeight="1">
      <c r="A5883" s="4" t="s">
        <v>13488</v>
      </c>
      <c r="B5883" s="4" t="s">
        <v>13489</v>
      </c>
      <c r="C5883" s="4" t="str">
        <f ca="1">IFERROR(__xludf.DUMMYFUNCTION("GOOGLETRANSLATE(D:D,""auto"",""en"")"),"Remember once did the most strange dream")</f>
        <v>Remember once did the most strange dream</v>
      </c>
      <c r="D5883" s="5" t="s">
        <v>13490</v>
      </c>
      <c r="E5883" s="4">
        <v>310893</v>
      </c>
    </row>
    <row r="5884" spans="1:6" ht="13.5" customHeight="1">
      <c r="A5884" s="4" t="s">
        <v>13491</v>
      </c>
      <c r="B5884" s="4" t="s">
        <v>13492</v>
      </c>
      <c r="C5884" s="4" t="str">
        <f ca="1">IFERROR(__xludf.DUMMYFUNCTION("GOOGLETRANSLATE(D:D,""auto"",""en"")"),"Shanghai Ballet return to work wearing a mask")</f>
        <v>Shanghai Ballet return to work wearing a mask</v>
      </c>
      <c r="D5884" s="5" t="s">
        <v>13493</v>
      </c>
      <c r="E5884" s="4">
        <v>281331</v>
      </c>
      <c r="F5884">
        <v>1</v>
      </c>
    </row>
    <row r="5885" spans="1:6" ht="13.5" hidden="1" customHeight="1">
      <c r="A5885" s="4" t="s">
        <v>13427</v>
      </c>
      <c r="B5885" s="4" t="s">
        <v>13461</v>
      </c>
      <c r="C5885" s="4" t="str">
        <f ca="1">IFERROR(__xludf.DUMMYFUNCTION("GOOGLETRANSLATE(D:D,""auto"",""en"")"),"Which is what is wild Animals Farm")</f>
        <v>Which is what is wild Animals Farm</v>
      </c>
      <c r="D5885" s="5" t="s">
        <v>13494</v>
      </c>
      <c r="E5885" s="4">
        <v>273987</v>
      </c>
    </row>
    <row r="5886" spans="1:6" ht="13.5" hidden="1" customHeight="1">
      <c r="A5886" s="4" t="s">
        <v>13495</v>
      </c>
      <c r="B5886" s="4" t="s">
        <v>13496</v>
      </c>
      <c r="C5886" s="4" t="str">
        <f ca="1">IFERROR(__xludf.DUMMYFUNCTION("GOOGLETRANSLATE(D:D,""auto"",""en"")"),"Lee now has starred Luhan MV")</f>
        <v>Lee now has starred Luhan MV</v>
      </c>
      <c r="D5886" s="5" t="s">
        <v>13497</v>
      </c>
      <c r="E5886" s="4">
        <v>258482</v>
      </c>
    </row>
    <row r="5887" spans="1:6" ht="13.5" hidden="1" customHeight="1">
      <c r="A5887" s="4" t="s">
        <v>13498</v>
      </c>
      <c r="B5887" s="4" t="s">
        <v>13499</v>
      </c>
      <c r="C5887" s="4" t="str">
        <f ca="1">IFERROR(__xludf.DUMMYFUNCTION("GOOGLETRANSLATE(D:D,""auto"",""en"")"),"Watch music over 11.2 billion loss in 2019")</f>
        <v>Watch music over 11.2 billion loss in 2019</v>
      </c>
      <c r="D5887" s="5" t="s">
        <v>13500</v>
      </c>
      <c r="E5887" s="4">
        <v>257417</v>
      </c>
    </row>
    <row r="5888" spans="1:6" ht="13.5" hidden="1" customHeight="1">
      <c r="A5888" s="4" t="s">
        <v>13501</v>
      </c>
      <c r="B5888" s="4" t="s">
        <v>13502</v>
      </c>
      <c r="C5888" s="4" t="str">
        <f ca="1">IFERROR(__xludf.DUMMYFUNCTION("GOOGLETRANSLATE(D:D,""auto"",""en"")"),"Settle down notice")</f>
        <v>Settle down notice</v>
      </c>
      <c r="D5888" s="5" t="s">
        <v>13503</v>
      </c>
      <c r="E5888" s="4">
        <v>255859</v>
      </c>
    </row>
    <row r="5889" spans="1:6" ht="13.5" hidden="1" customHeight="1">
      <c r="A5889" s="4" t="s">
        <v>13504</v>
      </c>
      <c r="B5889" s="4" t="s">
        <v>13308</v>
      </c>
      <c r="C5889" s="4" t="str">
        <f ca="1">IFERROR(__xludf.DUMMYFUNCTION("GOOGLETRANSLATE(D:D,""auto"",""en"")"),"The baby and the dog died the same birthmark")</f>
        <v>The baby and the dog died the same birthmark</v>
      </c>
      <c r="D5889" s="5" t="s">
        <v>13505</v>
      </c>
      <c r="E5889" s="4">
        <v>251790</v>
      </c>
    </row>
    <row r="5890" spans="1:6" ht="13.5" customHeight="1">
      <c r="A5890" s="4" t="s">
        <v>13436</v>
      </c>
      <c r="B5890" s="4" t="s">
        <v>13506</v>
      </c>
      <c r="C5890" s="4" t="str">
        <f ca="1">IFERROR(__xludf.DUMMYFUNCTION("GOOGLETRANSLATE(D:D,""auto"",""en"")"),"Another Iranian official confirmed the new crown pneumonia")</f>
        <v>Another Iranian official confirmed the new crown pneumonia</v>
      </c>
      <c r="D5890" s="5" t="s">
        <v>13507</v>
      </c>
      <c r="E5890" s="4">
        <v>236150</v>
      </c>
      <c r="F5890">
        <v>1</v>
      </c>
    </row>
    <row r="5891" spans="1:6" ht="13.5" hidden="1" customHeight="1">
      <c r="A5891" s="4" t="s">
        <v>13508</v>
      </c>
      <c r="B5891" s="4" t="s">
        <v>13509</v>
      </c>
      <c r="C5891" s="4" t="str">
        <f ca="1">IFERROR(__xludf.DUMMYFUNCTION("GOOGLETRANSLATE(D:D,""auto"",""en"")"),"Drying out your courage to the point of take-away")</f>
        <v>Drying out your courage to the point of take-away</v>
      </c>
      <c r="D5891" s="5" t="s">
        <v>13510</v>
      </c>
      <c r="E5891" s="4">
        <v>233554</v>
      </c>
    </row>
    <row r="5892" spans="1:6" ht="13.5" hidden="1" customHeight="1">
      <c r="A5892" s="4" t="s">
        <v>12563</v>
      </c>
      <c r="B5892" s="4" t="s">
        <v>12564</v>
      </c>
      <c r="C5892" s="4" t="str">
        <f ca="1">IFERROR(__xludf.DUMMYFUNCTION("GOOGLETRANSLATE(D:D,""auto"",""en"")"),"Korea")</f>
        <v>Korea</v>
      </c>
      <c r="D5892" s="5" t="s">
        <v>12565</v>
      </c>
      <c r="E5892" s="4">
        <v>213126</v>
      </c>
    </row>
    <row r="5893" spans="1:6" ht="13.5" customHeight="1">
      <c r="A5893" s="4" t="s">
        <v>13508</v>
      </c>
      <c r="B5893" s="4" t="s">
        <v>13511</v>
      </c>
      <c r="C5893" s="4" t="str">
        <f ca="1">IFERROR(__xludf.DUMMYFUNCTION("GOOGLETRANSLATE(D:D,""auto"",""en"")"),"Daegu, South Korea Embassy in an emergency donation of masks")</f>
        <v>Daegu, South Korea Embassy in an emergency donation of masks</v>
      </c>
      <c r="D5893" s="5" t="s">
        <v>13512</v>
      </c>
      <c r="E5893" s="4">
        <v>212960</v>
      </c>
      <c r="F5893">
        <v>1</v>
      </c>
    </row>
    <row r="5894" spans="1:6" ht="13.5" hidden="1" customHeight="1">
      <c r="A5894" s="4" t="s">
        <v>13513</v>
      </c>
      <c r="B5894" s="4" t="s">
        <v>13437</v>
      </c>
      <c r="C5894" s="4" t="str">
        <f ca="1">IFERROR(__xludf.DUMMYFUNCTION("GOOGLETRANSLATE(D:D,""auto"",""en"")"),"But strange taste delicious food")</f>
        <v>But strange taste delicious food</v>
      </c>
      <c r="D5894" s="5" t="s">
        <v>13514</v>
      </c>
      <c r="E5894" s="4">
        <v>212273</v>
      </c>
    </row>
    <row r="5895" spans="1:6" ht="13.5" hidden="1" customHeight="1">
      <c r="A5895" s="4" t="s">
        <v>13515</v>
      </c>
      <c r="B5895" s="4" t="s">
        <v>13516</v>
      </c>
      <c r="C5895" s="4" t="str">
        <f ca="1">IFERROR(__xludf.DUMMYFUNCTION("GOOGLETRANSLATE(D:D,""auto"",""en"")"),"You filmed most beautiful sky photos")</f>
        <v>You filmed most beautiful sky photos</v>
      </c>
      <c r="D5895" s="5" t="s">
        <v>13517</v>
      </c>
      <c r="E5895" s="4">
        <v>201126</v>
      </c>
    </row>
    <row r="5896" spans="1:6" ht="13.5" customHeight="1">
      <c r="A5896" s="4" t="s">
        <v>13518</v>
      </c>
      <c r="B5896" s="4" t="s">
        <v>13519</v>
      </c>
      <c r="C5896" s="4" t="str">
        <f ca="1">IFERROR(__xludf.DUMMYFUNCTION("GOOGLETRANSLATE(D:D,""auto"",""en"")"),"South Korea's new crown pneumonia increased to 1766 people")</f>
        <v>South Korea's new crown pneumonia increased to 1766 people</v>
      </c>
      <c r="D5896" s="5" t="s">
        <v>13520</v>
      </c>
      <c r="E5896" s="4">
        <v>195161</v>
      </c>
      <c r="F5896">
        <v>1</v>
      </c>
    </row>
    <row r="5897" spans="1:6" ht="13.5" customHeight="1">
      <c r="A5897" s="4" t="s">
        <v>13521</v>
      </c>
      <c r="B5897" s="4" t="s">
        <v>13522</v>
      </c>
      <c r="C5897" s="4" t="str">
        <f ca="1">IFERROR(__xludf.DUMMYFUNCTION("GOOGLETRANSLATE(D:D,""auto"",""en"")"),"Why not pick to wear masks")</f>
        <v>Why not pick to wear masks</v>
      </c>
      <c r="D5897" s="5" t="s">
        <v>13523</v>
      </c>
      <c r="E5897" s="4">
        <v>155526</v>
      </c>
      <c r="F5897">
        <v>1</v>
      </c>
    </row>
    <row r="5898" spans="1:6" ht="13.5" hidden="1" customHeight="1">
      <c r="C5898" s="4" t="str">
        <f ca="1">IFERROR(__xludf.DUMMYFUNCTION("GOOGLETRANSLATE(D:D,""auto"",""en"")"),"#VALUE!")</f>
        <v>#VALUE!</v>
      </c>
    </row>
    <row r="5899" spans="1:6" ht="13.5" hidden="1" customHeight="1">
      <c r="A5899" s="4" t="s">
        <v>13524</v>
      </c>
      <c r="B5899" s="4" t="s">
        <v>13415</v>
      </c>
      <c r="C5899" s="4" t="str">
        <f ca="1">IFERROR(__xludf.DUMMYFUNCTION("GOOGLETRANSLATE(D:D,""auto"",""en"")"),"Lai was arrested")</f>
        <v>Lai was arrested</v>
      </c>
      <c r="D5899" s="4" t="s">
        <v>13525</v>
      </c>
      <c r="E5899" s="4">
        <v>4078915</v>
      </c>
    </row>
    <row r="5900" spans="1:6" ht="13.5" hidden="1" customHeight="1">
      <c r="A5900" s="4" t="s">
        <v>13526</v>
      </c>
      <c r="B5900" s="4" t="s">
        <v>13527</v>
      </c>
      <c r="C5900" s="4" t="str">
        <f ca="1">IFERROR(__xludf.DUMMYFUNCTION("GOOGLETRANSLATE(D:D,""auto"",""en"")"),"Ministry of Education, in response to the college entrance examination will not be postponed")</f>
        <v>Ministry of Education, in response to the college entrance examination will not be postponed</v>
      </c>
      <c r="D5900" s="5" t="s">
        <v>13528</v>
      </c>
      <c r="E5900" s="4">
        <v>3198898</v>
      </c>
    </row>
    <row r="5901" spans="1:6" ht="13.5" hidden="1" customHeight="1">
      <c r="A5901" s="4" t="s">
        <v>13529</v>
      </c>
      <c r="B5901" s="4" t="s">
        <v>13530</v>
      </c>
      <c r="C5901" s="4" t="str">
        <f ca="1">IFERROR(__xludf.DUMMYFUNCTION("GOOGLETRANSLATE(D:D,""auto"",""en"")"),"The Ministry of Education to encourage more graduates to join the army")</f>
        <v>The Ministry of Education to encourage more graduates to join the army</v>
      </c>
      <c r="D5901" s="5" t="s">
        <v>13531</v>
      </c>
      <c r="E5901" s="4">
        <v>2148492</v>
      </c>
    </row>
    <row r="5902" spans="1:6" ht="13.5" customHeight="1">
      <c r="A5902" s="4" t="s">
        <v>4692</v>
      </c>
      <c r="B5902" s="4" t="s">
        <v>4693</v>
      </c>
      <c r="C5902" s="4" t="str">
        <f ca="1">IFERROR(__xludf.DUMMYFUNCTION("GOOGLETRANSLATE(D:D,""auto"",""en"")"),"Zhong Nanshan")</f>
        <v>Zhong Nanshan</v>
      </c>
      <c r="D5902" s="5" t="s">
        <v>4694</v>
      </c>
      <c r="E5902" s="4">
        <v>2124258</v>
      </c>
      <c r="F5902">
        <v>1</v>
      </c>
    </row>
    <row r="5903" spans="1:6" ht="13.5" hidden="1" customHeight="1">
      <c r="A5903" s="4" t="s">
        <v>13532</v>
      </c>
      <c r="B5903" s="4" t="s">
        <v>13533</v>
      </c>
      <c r="C5903" s="4" t="str">
        <f ca="1">IFERROR(__xludf.DUMMYFUNCTION("GOOGLETRANSLATE(D:D,""auto"",""en"")"),"Huang Xiaoming as baby birthday")</f>
        <v>Huang Xiaoming as baby birthday</v>
      </c>
      <c r="D5903" s="5" t="s">
        <v>13534</v>
      </c>
      <c r="E5903" s="4">
        <v>2034870</v>
      </c>
    </row>
    <row r="5904" spans="1:6" ht="13.5" hidden="1" customHeight="1">
      <c r="A5904" s="4" t="s">
        <v>13535</v>
      </c>
      <c r="B5904" s="4" t="s">
        <v>13536</v>
      </c>
      <c r="C5904" s="4" t="str">
        <f ca="1">IFERROR(__xludf.DUMMYFUNCTION("GOOGLETRANSLATE(D:D,""auto"",""en"")"),"Fried milk")</f>
        <v>Fried milk</v>
      </c>
      <c r="D5904" s="5" t="s">
        <v>13537</v>
      </c>
      <c r="E5904" s="4">
        <v>1996688</v>
      </c>
    </row>
    <row r="5905" spans="1:6" ht="13.5" hidden="1" customHeight="1">
      <c r="A5905" s="4" t="s">
        <v>13538</v>
      </c>
      <c r="B5905" s="4" t="s">
        <v>13539</v>
      </c>
      <c r="C5905" s="4" t="str">
        <f ca="1">IFERROR(__xludf.DUMMYFUNCTION("GOOGLETRANSLATE(D:D,""auto"",""en"")"),"Indian capital riots have caused 32 deaths")</f>
        <v>Indian capital riots have caused 32 deaths</v>
      </c>
      <c r="D5905" s="5" t="s">
        <v>13540</v>
      </c>
      <c r="E5905" s="4">
        <v>1418369</v>
      </c>
    </row>
    <row r="5906" spans="1:6" ht="13.5" hidden="1" customHeight="1">
      <c r="A5906" s="4" t="s">
        <v>13541</v>
      </c>
      <c r="B5906" s="4" t="s">
        <v>13488</v>
      </c>
      <c r="C5906" s="4" t="str">
        <f ca="1">IFERROR(__xludf.DUMMYFUNCTION("GOOGLETRANSLATE(D:D,""auto"",""en"")"),"This year's college graduates 874 people")</f>
        <v>This year's college graduates 874 people</v>
      </c>
      <c r="D5906" s="5" t="s">
        <v>13542</v>
      </c>
      <c r="E5906" s="4">
        <v>1396658</v>
      </c>
    </row>
    <row r="5907" spans="1:6" ht="13.5" customHeight="1">
      <c r="A5907" s="4" t="s">
        <v>13543</v>
      </c>
      <c r="B5907" s="4" t="s">
        <v>13544</v>
      </c>
      <c r="C5907" s="4" t="str">
        <f ca="1">IFERROR(__xludf.DUMMYFUNCTION("GOOGLETRANSLATE(D:D,""auto"",""en"")"),"Wuhan residents to buy food so now")</f>
        <v>Wuhan residents to buy food so now</v>
      </c>
      <c r="D5907" s="5" t="s">
        <v>13545</v>
      </c>
      <c r="E5907" s="4">
        <v>1245831</v>
      </c>
      <c r="F5907">
        <v>1</v>
      </c>
    </row>
    <row r="5908" spans="1:6" ht="13.5" hidden="1" customHeight="1">
      <c r="A5908" s="4" t="s">
        <v>13546</v>
      </c>
      <c r="B5908" s="4" t="s">
        <v>13547</v>
      </c>
      <c r="C5908" s="4" t="str">
        <f ca="1">IFERROR(__xludf.DUMMYFUNCTION("GOOGLETRANSLATE(D:D,""auto"",""en"")"),"Outside China is the biggest concern Tan Desai")</f>
        <v>Outside China is the biggest concern Tan Desai</v>
      </c>
      <c r="D5908" s="5" t="s">
        <v>13548</v>
      </c>
      <c r="E5908" s="4">
        <v>902901</v>
      </c>
    </row>
    <row r="5909" spans="1:6" ht="13.5" hidden="1" customHeight="1">
      <c r="A5909" s="4" t="s">
        <v>13538</v>
      </c>
      <c r="B5909" s="4" t="s">
        <v>13549</v>
      </c>
      <c r="C5909" s="4" t="str">
        <f ca="1">IFERROR(__xludf.DUMMYFUNCTION("GOOGLETRANSLATE(D:D,""auto"",""en"")"),"Bryant sister sun new tattoo")</f>
        <v>Bryant sister sun new tattoo</v>
      </c>
      <c r="D5909" s="5" t="s">
        <v>13550</v>
      </c>
      <c r="E5909" s="4">
        <v>847398</v>
      </c>
    </row>
    <row r="5910" spans="1:6" ht="13.5" customHeight="1">
      <c r="A5910" s="4" t="s">
        <v>13551</v>
      </c>
      <c r="B5910" s="4" t="s">
        <v>13552</v>
      </c>
      <c r="C5910" s="4" t="str">
        <f ca="1">IFERROR(__xludf.DUMMYFUNCTION("GOOGLETRANSLATE(D:D,""auto"",""en"")"),"Wuhan duty to send drug people were reported to make the difference")</f>
        <v>Wuhan duty to send drug people were reported to make the difference</v>
      </c>
      <c r="D5910" s="5" t="s">
        <v>13553</v>
      </c>
      <c r="E5910" s="4">
        <v>821541</v>
      </c>
      <c r="F5910">
        <v>1</v>
      </c>
    </row>
    <row r="5911" spans="1:6" ht="13.5" hidden="1" customHeight="1">
      <c r="A5911" s="4" t="s">
        <v>10835</v>
      </c>
      <c r="B5911" s="4" t="s">
        <v>7595</v>
      </c>
      <c r="C5911" s="4" t="str">
        <f ca="1">IFERROR(__xludf.DUMMYFUNCTION("GOOGLETRANSLATE(D:D,""auto"",""en"")"),"Raincoat sister")</f>
        <v>Raincoat sister</v>
      </c>
      <c r="D5911" s="5" t="s">
        <v>10836</v>
      </c>
      <c r="E5911" s="4">
        <v>762974</v>
      </c>
    </row>
    <row r="5912" spans="1:6" ht="13.5" customHeight="1">
      <c r="A5912" s="4" t="s">
        <v>13554</v>
      </c>
      <c r="B5912" s="4" t="s">
        <v>13555</v>
      </c>
      <c r="C5912" s="4" t="str">
        <f ca="1">IFERROR(__xludf.DUMMYFUNCTION("GOOGLETRANSLATE(D:D,""auto"",""en"")"),"Korean experts to respond almost full psychiatric diagnosis")</f>
        <v>Korean experts to respond almost full psychiatric diagnosis</v>
      </c>
      <c r="D5912" s="5" t="s">
        <v>13556</v>
      </c>
      <c r="E5912" s="4">
        <v>728616</v>
      </c>
      <c r="F5912">
        <v>1</v>
      </c>
    </row>
    <row r="5913" spans="1:6" ht="13.5" customHeight="1">
      <c r="A5913" s="4" t="s">
        <v>13557</v>
      </c>
      <c r="B5913" s="4" t="s">
        <v>13558</v>
      </c>
      <c r="C5913" s="4" t="str">
        <f ca="1">IFERROR(__xludf.DUMMYFUNCTION("GOOGLETRANSLATE(D:D,""auto"",""en"")"),"Multinational confirmed cases rising")</f>
        <v>Multinational confirmed cases rising</v>
      </c>
      <c r="D5913" s="5" t="s">
        <v>13559</v>
      </c>
      <c r="E5913" s="4">
        <v>687544</v>
      </c>
      <c r="F5913">
        <v>1</v>
      </c>
    </row>
    <row r="5914" spans="1:6" ht="13.5" hidden="1" customHeight="1">
      <c r="A5914" s="4" t="s">
        <v>13560</v>
      </c>
      <c r="B5914" s="4" t="s">
        <v>13488</v>
      </c>
      <c r="C5914" s="4" t="str">
        <f ca="1">IFERROR(__xludf.DUMMYFUNCTION("GOOGLETRANSLATE(D:D,""auto"",""en"")"),"Woman wearing clothes shopping is stopped inflatable dragon")</f>
        <v>Woman wearing clothes shopping is stopped inflatable dragon</v>
      </c>
      <c r="D5914" s="5" t="s">
        <v>13561</v>
      </c>
      <c r="E5914" s="4">
        <v>683447</v>
      </c>
    </row>
    <row r="5915" spans="1:6" ht="13.5" customHeight="1">
      <c r="A5915" s="4" t="s">
        <v>13562</v>
      </c>
      <c r="B5915" s="4" t="s">
        <v>13563</v>
      </c>
      <c r="C5915" s="4" t="str">
        <f ca="1">IFERROR(__xludf.DUMMYFUNCTION("GOOGLETRANSLATE(D:D,""auto"",""en"")"),"Please return to work takeaway restaurant to eat little brother")</f>
        <v>Please return to work takeaway restaurant to eat little brother</v>
      </c>
      <c r="D5915" s="5" t="s">
        <v>13564</v>
      </c>
      <c r="E5915" s="4">
        <v>683064</v>
      </c>
      <c r="F5915">
        <v>1</v>
      </c>
    </row>
    <row r="5916" spans="1:6" ht="13.5" customHeight="1">
      <c r="A5916" s="4" t="s">
        <v>13565</v>
      </c>
      <c r="B5916" s="4" t="s">
        <v>13566</v>
      </c>
      <c r="C5916" s="4" t="str">
        <f ca="1">IFERROR(__xludf.DUMMYFUNCTION("GOOGLETRANSLATE(D:D,""auto"",""en"")"),"23-year-old Iranian women's football internationals died of pneumonia because of the new crown")</f>
        <v>23-year-old Iranian women's football internationals died of pneumonia because of the new crown</v>
      </c>
      <c r="D5916" s="5" t="s">
        <v>13567</v>
      </c>
      <c r="E5916" s="4">
        <v>676882</v>
      </c>
      <c r="F5916">
        <v>1</v>
      </c>
    </row>
    <row r="5917" spans="1:6" ht="13.5" customHeight="1">
      <c r="A5917" s="4" t="s">
        <v>13568</v>
      </c>
      <c r="B5917" s="4" t="s">
        <v>13569</v>
      </c>
      <c r="C5917" s="4" t="str">
        <f ca="1">IFERROR(__xludf.DUMMYFUNCTION("GOOGLETRANSLATE(D:D,""auto"",""en"")"),"Whether the epidemic will affect your wages")</f>
        <v>Whether the epidemic will affect your wages</v>
      </c>
      <c r="D5917" s="5" t="s">
        <v>13570</v>
      </c>
      <c r="E5917" s="4">
        <v>675075</v>
      </c>
      <c r="F5917">
        <v>1</v>
      </c>
    </row>
    <row r="5918" spans="1:6" ht="13.5" hidden="1" customHeight="1">
      <c r="A5918" s="4" t="s">
        <v>13571</v>
      </c>
      <c r="B5918" s="4" t="s">
        <v>13572</v>
      </c>
      <c r="C5918" s="4" t="str">
        <f ca="1">IFERROR(__xludf.DUMMYFUNCTION("GOOGLETRANSLATE(D:D,""auto"",""en"")"),"If the distressed Alan")</f>
        <v>If the distressed Alan</v>
      </c>
      <c r="D5918" s="5" t="s">
        <v>13573</v>
      </c>
      <c r="E5918" s="4">
        <v>669096</v>
      </c>
    </row>
    <row r="5919" spans="1:6" ht="13.5" hidden="1" customHeight="1">
      <c r="A5919" s="4" t="s">
        <v>13562</v>
      </c>
      <c r="B5919" s="4" t="s">
        <v>13574</v>
      </c>
      <c r="C5919" s="4" t="str">
        <f ca="1">IFERROR(__xludf.DUMMYFUNCTION("GOOGLETRANSLATE(D:D,""auto"",""en"")"),"Zhang Wen")</f>
        <v>Zhang Wen</v>
      </c>
      <c r="D5919" s="5" t="s">
        <v>13575</v>
      </c>
      <c r="E5919" s="4">
        <v>667057</v>
      </c>
    </row>
    <row r="5920" spans="1:6" ht="13.5" hidden="1" customHeight="1">
      <c r="A5920" s="4" t="s">
        <v>13576</v>
      </c>
      <c r="B5920" s="4" t="s">
        <v>13577</v>
      </c>
      <c r="C5920" s="4" t="str">
        <f ca="1">IFERROR(__xludf.DUMMYFUNCTION("GOOGLETRANSLATE(D:D,""auto"",""en"")"),"Xi'an public row two hours in a long queue in the rain Shopping")</f>
        <v>Xi'an public row two hours in a long queue in the rain Shopping</v>
      </c>
      <c r="D5920" s="5" t="s">
        <v>13578</v>
      </c>
      <c r="E5920" s="4">
        <v>553366</v>
      </c>
    </row>
    <row r="5921" spans="1:6" ht="13.5" hidden="1" customHeight="1">
      <c r="A5921" s="4" t="s">
        <v>13579</v>
      </c>
      <c r="B5921" s="4" t="s">
        <v>13580</v>
      </c>
      <c r="C5921" s="4" t="str">
        <f ca="1">IFERROR(__xludf.DUMMYFUNCTION("GOOGLETRANSLATE(D:D,""auto"",""en"")"),"Contra cheats inventor dies")</f>
        <v>Contra cheats inventor dies</v>
      </c>
      <c r="D5921" s="5" t="s">
        <v>13581</v>
      </c>
      <c r="E5921" s="4">
        <v>529045</v>
      </c>
    </row>
    <row r="5922" spans="1:6" ht="13.5" hidden="1" customHeight="1">
      <c r="A5922" s="4" t="s">
        <v>13582</v>
      </c>
      <c r="B5922" s="4" t="s">
        <v>13583</v>
      </c>
      <c r="C5922" s="4" t="str">
        <f ca="1">IFERROR(__xludf.DUMMYFUNCTION("GOOGLETRANSLATE(D:D,""auto"",""en"")"),"Shanghai Magnolia opened")</f>
        <v>Shanghai Magnolia opened</v>
      </c>
      <c r="D5922" s="5" t="s">
        <v>13584</v>
      </c>
      <c r="E5922" s="4">
        <v>525612</v>
      </c>
    </row>
    <row r="5923" spans="1:6" ht="13.5" hidden="1" customHeight="1">
      <c r="A5923" s="4" t="s">
        <v>13576</v>
      </c>
      <c r="B5923" s="4" t="s">
        <v>13585</v>
      </c>
      <c r="C5923" s="4" t="str">
        <f ca="1">IFERROR(__xludf.DUMMYFUNCTION("GOOGLETRANSLATE(D:D,""auto"",""en"")"),"Apple's stealth eat")</f>
        <v>Apple's stealth eat</v>
      </c>
      <c r="D5923" s="5" t="s">
        <v>13586</v>
      </c>
      <c r="E5923" s="4">
        <v>520419</v>
      </c>
    </row>
    <row r="5924" spans="1:6" ht="13.5" hidden="1" customHeight="1">
      <c r="A5924" s="4" t="s">
        <v>13587</v>
      </c>
      <c r="B5924" s="4" t="s">
        <v>13588</v>
      </c>
      <c r="C5924" s="4" t="str">
        <f ca="1">IFERROR(__xludf.DUMMYFUNCTION("GOOGLETRANSLATE(D:D,""auto"",""en"")"),"Ministry of Education, in response to the expansion Undergraduate Admissions and Masters")</f>
        <v>Ministry of Education, in response to the expansion Undergraduate Admissions and Masters</v>
      </c>
      <c r="D5924" s="5" t="s">
        <v>13589</v>
      </c>
      <c r="E5924" s="4">
        <v>490243</v>
      </c>
    </row>
    <row r="5925" spans="1:6" ht="13.5" hidden="1" customHeight="1">
      <c r="A5925" s="4" t="s">
        <v>12904</v>
      </c>
      <c r="B5925" s="4" t="s">
        <v>12905</v>
      </c>
      <c r="C5925" s="4" t="str">
        <f ca="1">IFERROR(__xludf.DUMMYFUNCTION("GOOGLETRANSLATE(D:D,""auto"",""en"")"),"A crotch")</f>
        <v>A crotch</v>
      </c>
      <c r="D5925" s="5" t="s">
        <v>12906</v>
      </c>
      <c r="E5925" s="4">
        <v>487098</v>
      </c>
    </row>
    <row r="5926" spans="1:6" ht="13.5" customHeight="1">
      <c r="A5926" s="4" t="s">
        <v>13590</v>
      </c>
      <c r="B5926" s="4" t="s">
        <v>13591</v>
      </c>
      <c r="C5926" s="4" t="str">
        <f ca="1">IFERROR(__xludf.DUMMYFUNCTION("GOOGLETRANSLATE(D:D,""auto"",""en"")"),"South Korea confirmed a total of 2022 cases of pneumonia new crown")</f>
        <v>South Korea confirmed a total of 2022 cases of pneumonia new crown</v>
      </c>
      <c r="D5926" s="5" t="s">
        <v>13592</v>
      </c>
      <c r="E5926" s="4">
        <v>477120</v>
      </c>
      <c r="F5926">
        <v>1</v>
      </c>
    </row>
    <row r="5927" spans="1:6" ht="13.5" customHeight="1">
      <c r="A5927" s="4" t="s">
        <v>13593</v>
      </c>
      <c r="B5927" s="4" t="s">
        <v>13594</v>
      </c>
      <c r="C5927" s="4" t="str">
        <f ca="1">IFERROR(__xludf.DUMMYFUNCTION("GOOGLETRANSLATE(D:D,""auto"",""en"")"),"16 ECMO from Frankfurt arrived in Wuhan")</f>
        <v>16 ECMO from Frankfurt arrived in Wuhan</v>
      </c>
      <c r="D5927" s="5" t="s">
        <v>13595</v>
      </c>
      <c r="E5927" s="4">
        <v>392768</v>
      </c>
      <c r="F5927">
        <v>1</v>
      </c>
    </row>
    <row r="5928" spans="1:6" ht="13.5" customHeight="1">
      <c r="A5928" s="4" t="s">
        <v>13562</v>
      </c>
      <c r="B5928" s="4" t="s">
        <v>13536</v>
      </c>
      <c r="C5928" s="4" t="str">
        <f ca="1">IFERROR(__xludf.DUMMYFUNCTION("GOOGLETRANSLATE(D:D,""auto"",""en"")"),"Wuhan How to Make Zero cell infection")</f>
        <v>Wuhan How to Make Zero cell infection</v>
      </c>
      <c r="D5928" s="5" t="s">
        <v>13596</v>
      </c>
      <c r="E5928" s="4">
        <v>387597</v>
      </c>
      <c r="F5928">
        <v>1</v>
      </c>
    </row>
    <row r="5929" spans="1:6" ht="13.5" hidden="1" customHeight="1">
      <c r="A5929" s="4" t="s">
        <v>13557</v>
      </c>
      <c r="B5929" s="4" t="s">
        <v>13597</v>
      </c>
      <c r="C5929" s="4" t="str">
        <f ca="1">IFERROR(__xludf.DUMMYFUNCTION("GOOGLETRANSLATE(D:D,""auto"",""en"")"),"Mop of hair")</f>
        <v>Mop of hair</v>
      </c>
      <c r="D5929" s="5" t="s">
        <v>13598</v>
      </c>
      <c r="E5929" s="4">
        <v>385290</v>
      </c>
    </row>
    <row r="5930" spans="1:6" ht="13.5" customHeight="1">
      <c r="A5930" s="4" t="s">
        <v>13582</v>
      </c>
      <c r="B5930" s="4" t="s">
        <v>13599</v>
      </c>
      <c r="C5930" s="4" t="str">
        <f ca="1">IFERROR(__xludf.DUMMYFUNCTION("GOOGLETRANSLATE(D:D,""auto"",""en"")"),"Tianjin Binhai New Area Emergency Director poured in line Contagion")</f>
        <v>Tianjin Binhai New Area Emergency Director poured in line Contagion</v>
      </c>
      <c r="D5930" s="5" t="s">
        <v>13600</v>
      </c>
      <c r="E5930" s="4">
        <v>375861</v>
      </c>
      <c r="F5930">
        <v>1</v>
      </c>
    </row>
    <row r="5931" spans="1:6" ht="13.5" customHeight="1">
      <c r="A5931" s="4" t="s">
        <v>13601</v>
      </c>
      <c r="B5931" s="4" t="s">
        <v>13445</v>
      </c>
      <c r="C5931" s="4" t="str">
        <f ca="1">IFERROR(__xludf.DUMMYFUNCTION("GOOGLETRANSLATE(D:D,""auto"",""en"")"),"Graduate reply time may be extended")</f>
        <v>Graduate reply time may be extended</v>
      </c>
      <c r="D5931" s="5" t="s">
        <v>13602</v>
      </c>
      <c r="E5931" s="4">
        <v>324416</v>
      </c>
      <c r="F5931">
        <v>1</v>
      </c>
    </row>
    <row r="5932" spans="1:6" ht="13.5" customHeight="1">
      <c r="A5932" s="4" t="s">
        <v>13603</v>
      </c>
      <c r="B5932" s="4" t="s">
        <v>13604</v>
      </c>
      <c r="C5932" s="4" t="str">
        <f ca="1">IFERROR(__xludf.DUMMYFUNCTION("GOOGLETRANSLATE(D:D,""auto"",""en"")"),"New confirmed cases outside of Hubei nine cases")</f>
        <v>New confirmed cases outside of Hubei nine cases</v>
      </c>
      <c r="D5932" s="5" t="s">
        <v>13605</v>
      </c>
      <c r="E5932" s="4">
        <v>284229</v>
      </c>
      <c r="F5932">
        <v>1</v>
      </c>
    </row>
    <row r="5933" spans="1:6" ht="13.5" customHeight="1">
      <c r="A5933" s="4" t="s">
        <v>13606</v>
      </c>
      <c r="B5933" s="4" t="s">
        <v>13607</v>
      </c>
      <c r="C5933" s="4" t="str">
        <f ca="1">IFERROR(__xludf.DUMMYFUNCTION("GOOGLETRANSLATE(D:D,""auto"",""en"")"),"New 250 cases of pneumonia in the new crown Italy 24 hours")</f>
        <v>New 250 cases of pneumonia in the new crown Italy 24 hours</v>
      </c>
      <c r="D5933" s="5" t="s">
        <v>13608</v>
      </c>
      <c r="E5933" s="4">
        <v>280832</v>
      </c>
      <c r="F5933">
        <v>1</v>
      </c>
    </row>
    <row r="5934" spans="1:6" ht="13.5" customHeight="1">
      <c r="A5934" s="4" t="s">
        <v>13609</v>
      </c>
      <c r="B5934" s="4" t="s">
        <v>13610</v>
      </c>
      <c r="C5934" s="4" t="str">
        <f ca="1">IFERROR(__xludf.DUMMYFUNCTION("GOOGLETRANSLATE(D:D,""auto"",""en"")"),"When you receive a notice to return to work")</f>
        <v>When you receive a notice to return to work</v>
      </c>
      <c r="D5934" s="5" t="s">
        <v>13611</v>
      </c>
      <c r="E5934" s="4">
        <v>280736</v>
      </c>
      <c r="F5934">
        <v>1</v>
      </c>
    </row>
    <row r="5935" spans="1:6" ht="13.5" hidden="1" customHeight="1">
      <c r="A5935" s="4" t="s">
        <v>13612</v>
      </c>
      <c r="B5935" s="4" t="s">
        <v>13610</v>
      </c>
      <c r="C5935" s="4" t="str">
        <f ca="1">IFERROR(__xludf.DUMMYFUNCTION("GOOGLETRANSLATE(D:D,""auto"",""en"")"),"The total amount of migrant workers reached 290 million people")</f>
        <v>The total amount of migrant workers reached 290 million people</v>
      </c>
      <c r="D5935" s="5" t="s">
        <v>13613</v>
      </c>
      <c r="E5935" s="4">
        <v>279723</v>
      </c>
    </row>
    <row r="5936" spans="1:6" ht="13.5" hidden="1" customHeight="1">
      <c r="A5936" s="4" t="s">
        <v>13614</v>
      </c>
      <c r="B5936" s="4" t="s">
        <v>13615</v>
      </c>
      <c r="C5936" s="4" t="str">
        <f ca="1">IFERROR(__xludf.DUMMYFUNCTION("GOOGLETRANSLATE(D:D,""auto"",""en"")"),"Costa Rica 5 of healthcare to chip in to send 20 boxes of fruit")</f>
        <v>Costa Rica 5 of healthcare to chip in to send 20 boxes of fruit</v>
      </c>
      <c r="D5936" s="5" t="s">
        <v>13616</v>
      </c>
      <c r="E5936" s="4">
        <v>279185</v>
      </c>
    </row>
    <row r="5937" spans="1:6" ht="13.5" hidden="1" customHeight="1">
      <c r="A5937" s="4" t="s">
        <v>13606</v>
      </c>
      <c r="B5937" s="4" t="s">
        <v>13445</v>
      </c>
      <c r="C5937" s="4" t="str">
        <f ca="1">IFERROR(__xludf.DUMMYFUNCTION("GOOGLETRANSLATE(D:D,""auto"",""en"")"),"Settle new film flowers")</f>
        <v>Settle new film flowers</v>
      </c>
      <c r="D5937" s="5" t="s">
        <v>13617</v>
      </c>
      <c r="E5937" s="4">
        <v>277841</v>
      </c>
    </row>
    <row r="5938" spans="1:6" ht="13.5" customHeight="1">
      <c r="A5938" s="4" t="s">
        <v>13618</v>
      </c>
      <c r="B5938" s="4" t="s">
        <v>13615</v>
      </c>
      <c r="C5938" s="4" t="str">
        <f ca="1">IFERROR(__xludf.DUMMYFUNCTION("GOOGLETRANSLATE(D:D,""auto"",""en"")"),"Tokyo Disney will close two weeks")</f>
        <v>Tokyo Disney will close two weeks</v>
      </c>
      <c r="D5938" s="5" t="s">
        <v>13619</v>
      </c>
      <c r="E5938" s="4">
        <v>277561</v>
      </c>
      <c r="F5938">
        <v>1</v>
      </c>
    </row>
    <row r="5939" spans="1:6" ht="13.5" hidden="1" customHeight="1">
      <c r="A5939" s="4" t="s">
        <v>13587</v>
      </c>
      <c r="B5939" s="4" t="s">
        <v>13448</v>
      </c>
      <c r="C5939" s="4" t="str">
        <f ca="1">IFERROR(__xludf.DUMMYFUNCTION("GOOGLETRANSLATE(D:D,""auto"",""en"")"),"Enrollment")</f>
        <v>Enrollment</v>
      </c>
      <c r="D5939" s="5" t="s">
        <v>13620</v>
      </c>
      <c r="E5939" s="4">
        <v>277555</v>
      </c>
    </row>
    <row r="5940" spans="1:6" ht="13.5" hidden="1" customHeight="1">
      <c r="A5940" s="4" t="s">
        <v>13532</v>
      </c>
      <c r="B5940" s="4" t="s">
        <v>13448</v>
      </c>
      <c r="C5940" s="4" t="str">
        <f ca="1">IFERROR(__xludf.DUMMYFUNCTION("GOOGLETRANSLATE(D:D,""auto"",""en"")"),"Wang Yibo holding your breath underwater")</f>
        <v>Wang Yibo holding your breath underwater</v>
      </c>
      <c r="D5940" s="5" t="s">
        <v>13621</v>
      </c>
      <c r="E5940" s="4">
        <v>277551</v>
      </c>
    </row>
    <row r="5941" spans="1:6" ht="13.5" hidden="1" customHeight="1">
      <c r="A5941" s="4" t="s">
        <v>13622</v>
      </c>
      <c r="B5941" s="4" t="s">
        <v>13623</v>
      </c>
      <c r="C5941" s="4" t="str">
        <f ca="1">IFERROR(__xludf.DUMMYFUNCTION("GOOGLETRANSLATE(D:D,""auto"",""en"")"),"Cardinal bullet theme song trailer")</f>
        <v>Cardinal bullet theme song trailer</v>
      </c>
      <c r="D5941" s="5" t="s">
        <v>13624</v>
      </c>
      <c r="E5941" s="4">
        <v>277543</v>
      </c>
    </row>
    <row r="5942" spans="1:6" ht="13.5" hidden="1" customHeight="1">
      <c r="A5942" s="4" t="s">
        <v>13625</v>
      </c>
      <c r="B5942" s="4" t="s">
        <v>13610</v>
      </c>
      <c r="C5942" s="4" t="str">
        <f ca="1">IFERROR(__xludf.DUMMYFUNCTION("GOOGLETRANSLATE(D:D,""auto"",""en"")"),"2019 gross national income of over 98 trillion yuan")</f>
        <v>2019 gross national income of over 98 trillion yuan</v>
      </c>
      <c r="D5942" s="5" t="s">
        <v>13626</v>
      </c>
      <c r="E5942" s="4">
        <v>277536</v>
      </c>
    </row>
    <row r="5943" spans="1:6" ht="13.5" customHeight="1">
      <c r="A5943" s="4" t="s">
        <v>13627</v>
      </c>
      <c r="B5943" s="4" t="s">
        <v>13628</v>
      </c>
      <c r="C5943" s="4" t="str">
        <f ca="1">IFERROR(__xludf.DUMMYFUNCTION("GOOGLETRANSLATE(D:D,""auto"",""en"")"),"Targeted aid and college graduates in Hubei Hubei Ji")</f>
        <v>Targeted aid and college graduates in Hubei Hubei Ji</v>
      </c>
      <c r="D5943" s="5" t="s">
        <v>13629</v>
      </c>
      <c r="E5943" s="4">
        <v>277536</v>
      </c>
      <c r="F5943">
        <v>1</v>
      </c>
    </row>
    <row r="5944" spans="1:6" ht="13.5" hidden="1" customHeight="1">
      <c r="A5944" s="4" t="s">
        <v>13579</v>
      </c>
      <c r="B5944" s="4" t="s">
        <v>13628</v>
      </c>
      <c r="C5944" s="4" t="str">
        <f ca="1">IFERROR(__xludf.DUMMYFUNCTION("GOOGLETRANSLATE(D:D,""auto"",""en"")"),"Tea Crispy Chicken")</f>
        <v>Tea Crispy Chicken</v>
      </c>
      <c r="D5944" s="5" t="s">
        <v>13630</v>
      </c>
      <c r="E5944" s="4">
        <v>277524</v>
      </c>
    </row>
    <row r="5945" spans="1:6" ht="13.5" hidden="1" customHeight="1">
      <c r="A5945" s="4" t="s">
        <v>13606</v>
      </c>
      <c r="B5945" s="4" t="s">
        <v>13631</v>
      </c>
      <c r="C5945" s="4" t="str">
        <f ca="1">IFERROR(__xludf.DUMMYFUNCTION("GOOGLETRANSLATE(D:D,""auto"",""en"")"),"Colombian military aircraft crashed in three deaths")</f>
        <v>Colombian military aircraft crashed in three deaths</v>
      </c>
      <c r="D5945" s="5" t="s">
        <v>13632</v>
      </c>
      <c r="E5945" s="4">
        <v>277519</v>
      </c>
    </row>
    <row r="5946" spans="1:6" ht="13.5" customHeight="1">
      <c r="A5946" s="4" t="s">
        <v>13614</v>
      </c>
      <c r="B5946" s="4" t="s">
        <v>13633</v>
      </c>
      <c r="C5946" s="4" t="str">
        <f ca="1">IFERROR(__xludf.DUMMYFUNCTION("GOOGLETRANSLATE(D:D,""auto"",""en"")"),"Hubei new crown the new 318 cases of pneumonia")</f>
        <v>Hubei new crown the new 318 cases of pneumonia</v>
      </c>
      <c r="D5946" s="5" t="s">
        <v>13634</v>
      </c>
      <c r="E5946" s="4">
        <v>277518</v>
      </c>
      <c r="F5946">
        <v>1</v>
      </c>
    </row>
    <row r="5947" spans="1:6" ht="13.5" customHeight="1">
      <c r="A5947" s="4" t="s">
        <v>13635</v>
      </c>
      <c r="B5947" s="4" t="s">
        <v>13409</v>
      </c>
      <c r="C5947" s="4" t="str">
        <f ca="1">IFERROR(__xludf.DUMMYFUNCTION("GOOGLETRANSLATE(D:D,""auto"",""en"")"),"24 provinces and municipalities new cases 0")</f>
        <v>24 provinces and municipalities new cases 0</v>
      </c>
      <c r="D5947" s="5" t="s">
        <v>13636</v>
      </c>
      <c r="E5947" s="4">
        <v>252663</v>
      </c>
      <c r="F5947">
        <v>1</v>
      </c>
    </row>
    <row r="5948" spans="1:6" ht="13.5" hidden="1" customHeight="1">
      <c r="A5948" s="4" t="s">
        <v>13631</v>
      </c>
      <c r="B5948" s="4" t="s">
        <v>13508</v>
      </c>
      <c r="C5948" s="4" t="str">
        <f ca="1">IFERROR(__xludf.DUMMYFUNCTION("GOOGLETRANSLATE(D:D,""auto"",""en"")"),"South Korea 1299 new world of believers have symptoms of unknown origin")</f>
        <v>South Korea 1299 new world of believers have symptoms of unknown origin</v>
      </c>
      <c r="D5948" s="5" t="s">
        <v>13637</v>
      </c>
      <c r="E5948" s="4">
        <v>229243</v>
      </c>
    </row>
    <row r="5949" spans="1:6" ht="13.5" hidden="1" customHeight="1">
      <c r="C5949" s="4" t="str">
        <f ca="1">IFERROR(__xludf.DUMMYFUNCTION("GOOGLETRANSLATE(D:D,""auto"",""en"")"),"#VALUE!")</f>
        <v>#VALUE!</v>
      </c>
    </row>
    <row r="5950" spans="1:6" ht="13.5" hidden="1" customHeight="1">
      <c r="A5950" s="4" t="s">
        <v>13638</v>
      </c>
      <c r="B5950" s="4" t="s">
        <v>13639</v>
      </c>
      <c r="C5950" s="4" t="str">
        <f ca="1">IFERROR(__xludf.DUMMYFUNCTION("GOOGLETRANSLATE(D:D,""auto"",""en"")"),"Song Dandan is not the sketch is followed")</f>
        <v>Song Dandan is not the sketch is followed</v>
      </c>
      <c r="D5950" s="4" t="s">
        <v>13640</v>
      </c>
      <c r="E5950" s="4">
        <v>4297039</v>
      </c>
    </row>
    <row r="5951" spans="1:6" ht="13.5" customHeight="1">
      <c r="A5951" s="4" t="s">
        <v>13641</v>
      </c>
      <c r="B5951" s="4" t="s">
        <v>13642</v>
      </c>
      <c r="C5951" s="4" t="str">
        <f ca="1">IFERROR(__xludf.DUMMYFUNCTION("GOOGLETRANSLATE(D:D,""auto"",""en"")"),"Next week will be the peak of the outbreak in Iran")</f>
        <v>Next week will be the peak of the outbreak in Iran</v>
      </c>
      <c r="D5951" s="5" t="s">
        <v>13643</v>
      </c>
      <c r="E5951" s="4">
        <v>2182890</v>
      </c>
      <c r="F5951">
        <v>1</v>
      </c>
    </row>
    <row r="5952" spans="1:6" ht="13.5" customHeight="1">
      <c r="A5952" s="4" t="s">
        <v>13644</v>
      </c>
      <c r="B5952" s="4" t="s">
        <v>13645</v>
      </c>
      <c r="C5952" s="4" t="str">
        <f ca="1">IFERROR(__xludf.DUMMYFUNCTION("GOOGLETRANSLATE(D:D,""auto"",""en"")"),"Essential personnel to be brought back to health post codes in Hubei Province")</f>
        <v>Essential personnel to be brought back to health post codes in Hubei Province</v>
      </c>
      <c r="D5952" s="5" t="s">
        <v>13646</v>
      </c>
      <c r="E5952" s="4">
        <v>2054412</v>
      </c>
      <c r="F5952">
        <v>1</v>
      </c>
    </row>
    <row r="5953" spans="1:6" ht="13.5" hidden="1" customHeight="1">
      <c r="A5953" s="4" t="s">
        <v>13647</v>
      </c>
      <c r="B5953" s="4" t="s">
        <v>13648</v>
      </c>
      <c r="C5953" s="4" t="str">
        <f ca="1">IFERROR(__xludf.DUMMYFUNCTION("GOOGLETRANSLATE(D:D,""auto"",""en"")"),"Sha Yi Shen Teng was laughable")</f>
        <v>Sha Yi Shen Teng was laughable</v>
      </c>
      <c r="D5953" s="5" t="s">
        <v>13649</v>
      </c>
      <c r="E5953" s="4">
        <v>2024325</v>
      </c>
    </row>
    <row r="5954" spans="1:6" ht="13.5" hidden="1" customHeight="1">
      <c r="A5954" s="4" t="s">
        <v>13650</v>
      </c>
      <c r="B5954" s="4" t="s">
        <v>13651</v>
      </c>
      <c r="C5954" s="4" t="str">
        <f ca="1">IFERROR(__xludf.DUMMYFUNCTION("GOOGLETRANSLATE(D:D,""auto"",""en"")"),"Zhao Wei Huachen Yu Magical Love")</f>
        <v>Zhao Wei Huachen Yu Magical Love</v>
      </c>
      <c r="D5954" s="5" t="s">
        <v>13652</v>
      </c>
      <c r="E5954" s="4">
        <v>1963194</v>
      </c>
    </row>
    <row r="5955" spans="1:6" ht="13.5" hidden="1" customHeight="1">
      <c r="A5955" s="4" t="s">
        <v>5351</v>
      </c>
      <c r="B5955" s="4" t="s">
        <v>5352</v>
      </c>
      <c r="C5955" s="4" t="str">
        <f ca="1">IFERROR(__xludf.DUMMYFUNCTION("GOOGLETRANSLATE(D:D,""auto"",""en"")"),"My home girl")</f>
        <v>My home girl</v>
      </c>
      <c r="D5955" s="5" t="s">
        <v>5353</v>
      </c>
      <c r="E5955" s="4">
        <v>1956822</v>
      </c>
    </row>
    <row r="5956" spans="1:6" ht="13.5" hidden="1" customHeight="1">
      <c r="A5956" s="4" t="s">
        <v>13653</v>
      </c>
      <c r="B5956" s="4" t="s">
        <v>13654</v>
      </c>
      <c r="C5956" s="4" t="str">
        <f ca="1">IFERROR(__xludf.DUMMYFUNCTION("GOOGLETRANSLATE(D:D,""auto"",""en"")"),"Chinese Swimming Association was suspended in response to Sun Yang")</f>
        <v>Chinese Swimming Association was suspended in response to Sun Yang</v>
      </c>
      <c r="D5956" s="5" t="s">
        <v>13655</v>
      </c>
      <c r="E5956" s="4">
        <v>1132701</v>
      </c>
    </row>
    <row r="5957" spans="1:6" ht="13.5" customHeight="1">
      <c r="A5957" s="4" t="s">
        <v>13656</v>
      </c>
      <c r="B5957" s="4" t="s">
        <v>13657</v>
      </c>
      <c r="C5957" s="4" t="str">
        <f ca="1">IFERROR(__xludf.DUMMYFUNCTION("GOOGLETRANSLATE(D:D,""auto"",""en"")"),"Cook believes that China began to control the new virus crown")</f>
        <v>Cook believes that China began to control the new virus crown</v>
      </c>
      <c r="D5957" s="5" t="s">
        <v>13658</v>
      </c>
      <c r="E5957" s="4">
        <v>1127237</v>
      </c>
      <c r="F5957">
        <v>1</v>
      </c>
    </row>
    <row r="5958" spans="1:6" ht="13.5" hidden="1" customHeight="1">
      <c r="A5958" s="4" t="s">
        <v>13659</v>
      </c>
      <c r="B5958" s="4" t="s">
        <v>13660</v>
      </c>
      <c r="C5958" s="4" t="str">
        <f ca="1">IFERROR(__xludf.DUMMYFUNCTION("GOOGLETRANSLATE(D:D,""auto"",""en"")"),"Expansion of primary and secondary teacher recruitment")</f>
        <v>Expansion of primary and secondary teacher recruitment</v>
      </c>
      <c r="D5958" s="5" t="s">
        <v>13661</v>
      </c>
      <c r="E5958" s="4">
        <v>1122907</v>
      </c>
    </row>
    <row r="5959" spans="1:6" ht="13.5" hidden="1" customHeight="1">
      <c r="A5959" s="4" t="s">
        <v>13662</v>
      </c>
      <c r="B5959" s="4" t="s">
        <v>13663</v>
      </c>
      <c r="C5959" s="4" t="str">
        <f ca="1">IFERROR(__xludf.DUMMYFUNCTION("GOOGLETRANSLATE(D:D,""auto"",""en"")"),"Housing bright beaten")</f>
        <v>Housing bright beaten</v>
      </c>
      <c r="D5959" s="5" t="s">
        <v>13664</v>
      </c>
      <c r="E5959" s="4">
        <v>1118446</v>
      </c>
    </row>
    <row r="5960" spans="1:6" ht="13.5" hidden="1" customHeight="1">
      <c r="A5960" s="4" t="s">
        <v>13665</v>
      </c>
      <c r="B5960" s="4" t="s">
        <v>13666</v>
      </c>
      <c r="C5960" s="4" t="str">
        <f ca="1">IFERROR(__xludf.DUMMYFUNCTION("GOOGLETRANSLATE(D:D,""auto"",""en"")"),"Lee Min Ho drama trailer")</f>
        <v>Lee Min Ho drama trailer</v>
      </c>
      <c r="D5960" s="5" t="s">
        <v>13667</v>
      </c>
      <c r="E5960" s="4">
        <v>1110323</v>
      </c>
    </row>
    <row r="5961" spans="1:6" ht="13.5" hidden="1" customHeight="1">
      <c r="A5961" s="4" t="s">
        <v>13662</v>
      </c>
      <c r="B5961" s="4" t="s">
        <v>13668</v>
      </c>
      <c r="C5961" s="4" t="str">
        <f ca="1">IFERROR(__xludf.DUMMYFUNCTION("GOOGLETRANSLATE(D:D,""auto"",""en"")"),"Sun Yang response was banned for eight years")</f>
        <v>Sun Yang response was banned for eight years</v>
      </c>
      <c r="D5961" s="5" t="s">
        <v>13669</v>
      </c>
      <c r="E5961" s="4">
        <v>1103354</v>
      </c>
    </row>
    <row r="5962" spans="1:6" ht="13.5" hidden="1" customHeight="1">
      <c r="A5962" s="4" t="s">
        <v>2917</v>
      </c>
      <c r="B5962" s="4" t="s">
        <v>2918</v>
      </c>
      <c r="C5962" s="4" t="str">
        <f ca="1">IFERROR(__xludf.DUMMYFUNCTION("GOOGLETRANSLATE(D:D,""auto"",""en"")"),"Negotiator")</f>
        <v>Negotiator</v>
      </c>
      <c r="D5962" s="5" t="s">
        <v>2919</v>
      </c>
      <c r="E5962" s="4">
        <v>1094471</v>
      </c>
    </row>
    <row r="5963" spans="1:6" ht="13.5" customHeight="1">
      <c r="A5963" s="4" t="s">
        <v>13670</v>
      </c>
      <c r="B5963" s="4" t="s">
        <v>13671</v>
      </c>
      <c r="C5963" s="4" t="str">
        <f ca="1">IFERROR(__xludf.DUMMYFUNCTION("GOOGLETRANSLATE(D:D,""auto"",""en"")"),"California, 33 people tested positive for the virus")</f>
        <v>California, 33 people tested positive for the virus</v>
      </c>
      <c r="D5963" s="5" t="s">
        <v>13672</v>
      </c>
      <c r="E5963" s="4">
        <v>1088020</v>
      </c>
      <c r="F5963">
        <v>1</v>
      </c>
    </row>
    <row r="5964" spans="1:6" ht="13.5" customHeight="1">
      <c r="A5964" s="4" t="s">
        <v>13673</v>
      </c>
      <c r="B5964" s="4" t="s">
        <v>13674</v>
      </c>
      <c r="C5964" s="4" t="str">
        <f ca="1">IFERROR(__xludf.DUMMYFUNCTION("GOOGLETRANSLATE(D:D,""auto"",""en"")"),"Shaanxi schools at all levels to continue to postpone the opening time")</f>
        <v>Shaanxi schools at all levels to continue to postpone the opening time</v>
      </c>
      <c r="D5964" s="5" t="s">
        <v>13675</v>
      </c>
      <c r="E5964" s="4">
        <v>1082621</v>
      </c>
      <c r="F5964">
        <v>1</v>
      </c>
    </row>
    <row r="5965" spans="1:6" ht="13.5" customHeight="1">
      <c r="A5965" s="4" t="s">
        <v>13676</v>
      </c>
      <c r="B5965" s="4" t="s">
        <v>13677</v>
      </c>
      <c r="C5965" s="4" t="str">
        <f ca="1">IFERROR(__xludf.DUMMYFUNCTION("GOOGLETRANSLATE(D:D,""auto"",""en"")"),"Italy is considering publishing only diagnosed patients with severe")</f>
        <v>Italy is considering publishing only diagnosed patients with severe</v>
      </c>
      <c r="D5965" s="5" t="s">
        <v>13678</v>
      </c>
      <c r="E5965" s="4">
        <v>1074511</v>
      </c>
      <c r="F5965">
        <v>1</v>
      </c>
    </row>
    <row r="5966" spans="1:6" ht="13.5" hidden="1" customHeight="1">
      <c r="A5966" s="4" t="s">
        <v>13679</v>
      </c>
      <c r="B5966" s="4" t="s">
        <v>13680</v>
      </c>
      <c r="C5966" s="4" t="str">
        <f ca="1">IFERROR(__xludf.DUMMYFUNCTION("GOOGLETRANSLATE(D:D,""auto"",""en"")"),"Silvia live")</f>
        <v>Silvia live</v>
      </c>
      <c r="D5966" s="5" t="s">
        <v>13681</v>
      </c>
      <c r="E5966" s="4">
        <v>1070819</v>
      </c>
    </row>
    <row r="5967" spans="1:6" ht="13.5" hidden="1" customHeight="1">
      <c r="A5967" s="4" t="s">
        <v>13682</v>
      </c>
      <c r="B5967" s="4" t="s">
        <v>13683</v>
      </c>
      <c r="C5967" s="4" t="str">
        <f ca="1">IFERROR(__xludf.DUMMYFUNCTION("GOOGLETRANSLATE(D:D,""auto"",""en"")"),"Please Xia Jin")</f>
        <v>Please Xia Jin</v>
      </c>
      <c r="D5967" s="5" t="s">
        <v>13684</v>
      </c>
      <c r="E5967" s="4">
        <v>1025883</v>
      </c>
    </row>
    <row r="5968" spans="1:6" ht="13.5" hidden="1" customHeight="1">
      <c r="A5968" s="4" t="s">
        <v>9133</v>
      </c>
      <c r="B5968" s="4" t="s">
        <v>8901</v>
      </c>
      <c r="C5968" s="4" t="str">
        <f ca="1">IFERROR(__xludf.DUMMYFUNCTION("GOOGLETRANSLATE(D:D,""auto"",""en"")"),"Itaewon CLASS")</f>
        <v>Itaewon CLASS</v>
      </c>
      <c r="D5968" s="5" t="s">
        <v>9134</v>
      </c>
      <c r="E5968" s="4">
        <v>936010</v>
      </c>
    </row>
    <row r="5969" spans="1:6" ht="13.5" customHeight="1">
      <c r="A5969" s="4" t="s">
        <v>13685</v>
      </c>
      <c r="B5969" s="4" t="s">
        <v>13686</v>
      </c>
      <c r="C5969" s="4" t="str">
        <f ca="1">IFERROR(__xludf.DUMMYFUNCTION("GOOGLETRANSLATE(D:D,""auto"",""en"")"),"Guangxi Han nurse aid off when protective clothing cardiac arrest")</f>
        <v>Guangxi Han nurse aid off when protective clothing cardiac arrest</v>
      </c>
      <c r="D5969" s="5" t="s">
        <v>13687</v>
      </c>
      <c r="E5969" s="4">
        <v>903640</v>
      </c>
      <c r="F5969">
        <v>1</v>
      </c>
    </row>
    <row r="5970" spans="1:6" ht="13.5" customHeight="1">
      <c r="A5970" s="4" t="s">
        <v>13688</v>
      </c>
      <c r="B5970" s="4" t="s">
        <v>13689</v>
      </c>
      <c r="C5970" s="4" t="str">
        <f ca="1">IFERROR(__xludf.DUMMYFUNCTION("GOOGLETRANSLATE(D:D,""auto"",""en"")"),"US N95 masks jumped 5 times")</f>
        <v>US N95 masks jumped 5 times</v>
      </c>
      <c r="D5970" s="5" t="s">
        <v>13690</v>
      </c>
      <c r="E5970" s="4">
        <v>884063</v>
      </c>
      <c r="F5970">
        <v>1</v>
      </c>
    </row>
    <row r="5971" spans="1:6" ht="13.5" hidden="1" customHeight="1">
      <c r="A5971" s="4" t="s">
        <v>13691</v>
      </c>
      <c r="B5971" s="4" t="s">
        <v>13692</v>
      </c>
      <c r="C5971" s="4" t="str">
        <f ca="1">IFERROR(__xludf.DUMMYFUNCTION("GOOGLETRANSLATE(D:D,""auto"",""en"")"),"Lin Yun Wang continent's sweet")</f>
        <v>Lin Yun Wang continent's sweet</v>
      </c>
      <c r="D5971" s="5" t="s">
        <v>13693</v>
      </c>
      <c r="E5971" s="4">
        <v>755399</v>
      </c>
    </row>
    <row r="5972" spans="1:6" ht="13.5" hidden="1" customHeight="1">
      <c r="A5972" s="4" t="s">
        <v>13688</v>
      </c>
      <c r="B5972" s="4" t="s">
        <v>13694</v>
      </c>
      <c r="C5972" s="4" t="str">
        <f ca="1">IFERROR(__xludf.DUMMYFUNCTION("GOOGLETRANSLATE(D:D,""auto"",""en"")"),"Girls can tie to tie her hair angry")</f>
        <v>Girls can tie to tie her hair angry</v>
      </c>
      <c r="D5972" s="5" t="s">
        <v>13695</v>
      </c>
      <c r="E5972" s="4">
        <v>573205</v>
      </c>
    </row>
    <row r="5973" spans="1:6" ht="13.5" hidden="1" customHeight="1">
      <c r="A5973" s="4" t="s">
        <v>13696</v>
      </c>
      <c r="B5973" s="4" t="s">
        <v>13697</v>
      </c>
      <c r="C5973" s="4" t="str">
        <f ca="1">IFERROR(__xludf.DUMMYFUNCTION("GOOGLETRANSLATE(D:D,""auto"",""en"")"),"Your current economic situation")</f>
        <v>Your current economic situation</v>
      </c>
      <c r="D5973" s="5" t="s">
        <v>13698</v>
      </c>
      <c r="E5973" s="4">
        <v>560739</v>
      </c>
    </row>
    <row r="5974" spans="1:6" ht="13.5" hidden="1" customHeight="1">
      <c r="A5974" s="4" t="s">
        <v>13685</v>
      </c>
      <c r="B5974" s="4" t="s">
        <v>13699</v>
      </c>
      <c r="C5974" s="4" t="str">
        <f ca="1">IFERROR(__xludf.DUMMYFUNCTION("GOOGLETRANSLATE(D:D,""auto"",""en"")"),"Envy family ran a supermarket")</f>
        <v>Envy family ran a supermarket</v>
      </c>
      <c r="D5974" s="5" t="s">
        <v>13700</v>
      </c>
      <c r="E5974" s="4">
        <v>473586</v>
      </c>
    </row>
    <row r="5975" spans="1:6" ht="13.5" hidden="1" customHeight="1">
      <c r="A5975" s="4" t="s">
        <v>13701</v>
      </c>
      <c r="B5975" s="4" t="s">
        <v>13683</v>
      </c>
      <c r="C5975" s="4" t="str">
        <f ca="1">IFERROR(__xludf.DUMMYFUNCTION("GOOGLETRANSLATE(D:D,""auto"",""en"")"),"Alec Remember Dufy lines")</f>
        <v>Alec Remember Dufy lines</v>
      </c>
      <c r="D5975" s="5" t="s">
        <v>13702</v>
      </c>
      <c r="E5975" s="4">
        <v>473117</v>
      </c>
    </row>
    <row r="5976" spans="1:6" ht="13.5" hidden="1" customHeight="1">
      <c r="A5976" s="4" t="s">
        <v>13665</v>
      </c>
      <c r="B5976" s="4" t="s">
        <v>13703</v>
      </c>
      <c r="C5976" s="4" t="str">
        <f ca="1">IFERROR(__xludf.DUMMYFUNCTION("GOOGLETRANSLATE(D:D,""auto"",""en"")"),"Cai Xu Kun three question marks")</f>
        <v>Cai Xu Kun three question marks</v>
      </c>
      <c r="D5976" s="5" t="s">
        <v>13704</v>
      </c>
      <c r="E5976" s="4">
        <v>468391</v>
      </c>
    </row>
    <row r="5977" spans="1:6" ht="13.5" hidden="1" customHeight="1">
      <c r="A5977" s="4" t="s">
        <v>13705</v>
      </c>
      <c r="B5977" s="4" t="s">
        <v>13674</v>
      </c>
      <c r="C5977" s="4" t="str">
        <f ca="1">IFERROR(__xludf.DUMMYFUNCTION("GOOGLETRANSLATE(D:D,""auto"",""en"")"),"Instant noodles to show off their wealth contest")</f>
        <v>Instant noodles to show off their wealth contest</v>
      </c>
      <c r="D5977" s="5" t="s">
        <v>13706</v>
      </c>
      <c r="E5977" s="4">
        <v>453658</v>
      </c>
    </row>
    <row r="5978" spans="1:6" ht="13.5" customHeight="1">
      <c r="A5978" s="4" t="s">
        <v>13696</v>
      </c>
      <c r="B5978" s="4" t="s">
        <v>13703</v>
      </c>
      <c r="C5978" s="4" t="str">
        <f ca="1">IFERROR(__xludf.DUMMYFUNCTION("GOOGLETRANSLATE(D:D,""auto"",""en"")"),"Singapore pay a month to fight the epidemic frontline staff")</f>
        <v>Singapore pay a month to fight the epidemic frontline staff</v>
      </c>
      <c r="D5978" s="5" t="s">
        <v>13707</v>
      </c>
      <c r="E5978" s="4">
        <v>449005</v>
      </c>
      <c r="F5978">
        <v>1</v>
      </c>
    </row>
    <row r="5979" spans="1:6" ht="13.5" hidden="1" customHeight="1">
      <c r="A5979" s="4" t="s">
        <v>13708</v>
      </c>
      <c r="B5979" s="4" t="s">
        <v>13709</v>
      </c>
      <c r="C5979" s="4" t="str">
        <f ca="1">IFERROR(__xludf.DUMMYFUNCTION("GOOGLETRANSLATE(D:D,""auto"",""en"")"),"Sun Yang was banned for eight years")</f>
        <v>Sun Yang was banned for eight years</v>
      </c>
      <c r="D5979" s="5" t="s">
        <v>13710</v>
      </c>
      <c r="E5979" s="4">
        <v>445433</v>
      </c>
    </row>
    <row r="5980" spans="1:6" ht="13.5" hidden="1" customHeight="1">
      <c r="A5980" s="4" t="s">
        <v>10368</v>
      </c>
      <c r="B5980" s="4" t="s">
        <v>10369</v>
      </c>
      <c r="C5980" s="4" t="str">
        <f ca="1">IFERROR(__xludf.DUMMYFUNCTION("GOOGLETRANSLATE(D:D,""auto"",""en"")"),"singer")</f>
        <v>singer</v>
      </c>
      <c r="D5980" s="5" t="s">
        <v>10370</v>
      </c>
      <c r="E5980" s="4">
        <v>433926</v>
      </c>
    </row>
    <row r="5981" spans="1:6" ht="13.5" hidden="1" customHeight="1">
      <c r="A5981" s="4" t="s">
        <v>13688</v>
      </c>
      <c r="B5981" s="4" t="s">
        <v>13711</v>
      </c>
      <c r="C5981" s="4" t="str">
        <f ca="1">IFERROR(__xludf.DUMMYFUNCTION("GOOGLETRANSLATE(D:D,""auto"",""en"")"),"Zeng Yiming song selection")</f>
        <v>Zeng Yiming song selection</v>
      </c>
      <c r="D5981" s="5" t="s">
        <v>13712</v>
      </c>
      <c r="E5981" s="4">
        <v>428026</v>
      </c>
    </row>
    <row r="5982" spans="1:6" ht="13.5" hidden="1" customHeight="1">
      <c r="A5982" s="4" t="s">
        <v>13713</v>
      </c>
      <c r="B5982" s="4" t="s">
        <v>13694</v>
      </c>
      <c r="C5982" s="4" t="str">
        <f ca="1">IFERROR(__xludf.DUMMYFUNCTION("GOOGLETRANSLATE(D:D,""auto"",""en"")"),"Drying out your snail powder has arrived")</f>
        <v>Drying out your snail powder has arrived</v>
      </c>
      <c r="D5982" s="5" t="s">
        <v>13714</v>
      </c>
      <c r="E5982" s="4">
        <v>422087</v>
      </c>
    </row>
    <row r="5983" spans="1:6" ht="13.5" hidden="1" customHeight="1">
      <c r="A5983" s="4" t="s">
        <v>13715</v>
      </c>
      <c r="B5983" s="4" t="s">
        <v>13716</v>
      </c>
      <c r="C5983" s="4" t="str">
        <f ca="1">IFERROR(__xludf.DUMMYFUNCTION("GOOGLETRANSLATE(D:D,""auto"",""en"")"),"Find a job within two years, according to fresh employment procedures")</f>
        <v>Find a job within two years, according to fresh employment procedures</v>
      </c>
      <c r="D5983" s="5" t="s">
        <v>13717</v>
      </c>
      <c r="E5983" s="4">
        <v>417710</v>
      </c>
    </row>
    <row r="5984" spans="1:6" ht="13.5" hidden="1" customHeight="1">
      <c r="A5984" s="4" t="s">
        <v>13718</v>
      </c>
      <c r="B5984" s="4" t="s">
        <v>13719</v>
      </c>
      <c r="C5984" s="4" t="str">
        <f ca="1">IFERROR(__xludf.DUMMYFUNCTION("GOOGLETRANSLATE(D:D,""auto"",""en"")"),"Three Views settle down")</f>
        <v>Three Views settle down</v>
      </c>
      <c r="D5984" s="5" t="s">
        <v>13720</v>
      </c>
      <c r="E5984" s="4">
        <v>414001</v>
      </c>
    </row>
    <row r="5985" spans="1:6" ht="13.5" customHeight="1">
      <c r="A5985" s="4" t="s">
        <v>13721</v>
      </c>
      <c r="B5985" s="4" t="s">
        <v>13722</v>
      </c>
      <c r="C5985" s="4" t="str">
        <f ca="1">IFERROR(__xludf.DUMMYFUNCTION("GOOGLETRANSLATE(D:D,""auto"",""en"")"),"After the outbreak look at Pusan ​​line 2")</f>
        <v>After the outbreak look at Pusan ​​line 2</v>
      </c>
      <c r="D5985" s="5" t="s">
        <v>13723</v>
      </c>
      <c r="E5985" s="4">
        <v>411553</v>
      </c>
      <c r="F5985">
        <v>1</v>
      </c>
    </row>
    <row r="5986" spans="1:6" ht="13.5" hidden="1" customHeight="1">
      <c r="A5986" s="4" t="s">
        <v>12063</v>
      </c>
      <c r="B5986" s="4" t="s">
        <v>12051</v>
      </c>
      <c r="C5986" s="4" t="str">
        <f ca="1">IFERROR(__xludf.DUMMYFUNCTION("GOOGLETRANSLATE(D:D,""auto"",""en"")"),"settle down")</f>
        <v>settle down</v>
      </c>
      <c r="D5986" s="5" t="s">
        <v>12064</v>
      </c>
      <c r="E5986" s="4">
        <v>409887</v>
      </c>
    </row>
    <row r="5987" spans="1:6" ht="13.5" hidden="1" customHeight="1">
      <c r="A5987" s="4" t="s">
        <v>13724</v>
      </c>
      <c r="B5987" s="4" t="s">
        <v>13725</v>
      </c>
      <c r="C5987" s="4" t="str">
        <f ca="1">IFERROR(__xludf.DUMMYFUNCTION("GOOGLETRANSLATE(D:D,""auto"",""en"")"),"40 seconds blow out how crisp fries")</f>
        <v>40 seconds blow out how crisp fries</v>
      </c>
      <c r="D5987" s="5" t="s">
        <v>13726</v>
      </c>
      <c r="E5987" s="4">
        <v>375872</v>
      </c>
    </row>
    <row r="5988" spans="1:6" ht="13.5" hidden="1" customHeight="1">
      <c r="A5988" s="4" t="s">
        <v>13641</v>
      </c>
      <c r="B5988" s="4" t="s">
        <v>13727</v>
      </c>
      <c r="C5988" s="4" t="str">
        <f ca="1">IFERROR(__xludf.DUMMYFUNCTION("GOOGLETRANSLATE(D:D,""auto"",""en"")"),"Cypher style chat between girlfriends")</f>
        <v>Cypher style chat between girlfriends</v>
      </c>
      <c r="D5988" s="5" t="s">
        <v>13728</v>
      </c>
      <c r="E5988" s="4">
        <v>348833</v>
      </c>
    </row>
    <row r="5989" spans="1:6" ht="13.5" hidden="1" customHeight="1">
      <c r="A5989" s="4" t="s">
        <v>12786</v>
      </c>
      <c r="B5989" s="4" t="s">
        <v>12787</v>
      </c>
      <c r="C5989" s="4" t="str">
        <f ca="1">IFERROR(__xludf.DUMMYFUNCTION("GOOGLETRANSLATE(D:D,""auto"",""en"")"),"US stocks fall")</f>
        <v>US stocks fall</v>
      </c>
      <c r="D5989" s="5" t="s">
        <v>12788</v>
      </c>
      <c r="E5989" s="4">
        <v>327723</v>
      </c>
    </row>
    <row r="5990" spans="1:6" ht="13.5" hidden="1" customHeight="1">
      <c r="A5990" s="4" t="s">
        <v>12003</v>
      </c>
      <c r="B5990" s="4" t="s">
        <v>12004</v>
      </c>
      <c r="C5990" s="4" t="str">
        <f ca="1">IFERROR(__xludf.DUMMYFUNCTION("GOOGLETRANSLATE(D:D,""auto"",""en"")"),"Two Shi Huan")</f>
        <v>Two Shi Huan</v>
      </c>
      <c r="D5990" s="5" t="s">
        <v>12005</v>
      </c>
      <c r="E5990" s="4">
        <v>322877</v>
      </c>
    </row>
    <row r="5991" spans="1:6" ht="13.5" hidden="1" customHeight="1">
      <c r="A5991" s="4" t="s">
        <v>13721</v>
      </c>
      <c r="B5991" s="4" t="s">
        <v>13729</v>
      </c>
      <c r="C5991" s="4" t="str">
        <f ca="1">IFERROR(__xludf.DUMMYFUNCTION("GOOGLETRANSLATE(D:D,""auto"",""en"")"),"China sent a group of experts to Iran CDC")</f>
        <v>China sent a group of experts to Iran CDC</v>
      </c>
      <c r="D5991" s="5" t="s">
        <v>13730</v>
      </c>
      <c r="E5991" s="4">
        <v>315117</v>
      </c>
    </row>
    <row r="5992" spans="1:6" ht="13.5" hidden="1" customHeight="1">
      <c r="A5992" s="4" t="s">
        <v>13731</v>
      </c>
      <c r="B5992" s="4" t="s">
        <v>13732</v>
      </c>
      <c r="C5992" s="4" t="str">
        <f ca="1">IFERROR(__xludf.DUMMYFUNCTION("GOOGLETRANSLATE(D:D,""auto"",""en"")"),"Tangshan Lunan 2.1 earthquake")</f>
        <v>Tangshan Lunan 2.1 earthquake</v>
      </c>
      <c r="D5992" s="5" t="s">
        <v>13733</v>
      </c>
      <c r="E5992" s="4">
        <v>298578</v>
      </c>
    </row>
    <row r="5993" spans="1:6" ht="13.5" hidden="1" customHeight="1">
      <c r="A5993" s="4" t="s">
        <v>13734</v>
      </c>
      <c r="B5993" s="4" t="s">
        <v>13735</v>
      </c>
      <c r="C5993" s="4" t="str">
        <f ca="1">IFERROR(__xludf.DUMMYFUNCTION("GOOGLETRANSLATE(D:D,""auto"",""en"")"),"Prince foreign deny not cooperate with the inspection")</f>
        <v>Prince foreign deny not cooperate with the inspection</v>
      </c>
      <c r="D5993" s="5" t="s">
        <v>13736</v>
      </c>
      <c r="E5993" s="4">
        <v>291741</v>
      </c>
    </row>
    <row r="5994" spans="1:6" ht="13.5" hidden="1" customHeight="1">
      <c r="A5994" s="4" t="s">
        <v>13737</v>
      </c>
      <c r="B5994" s="4" t="s">
        <v>13738</v>
      </c>
      <c r="C5994" s="4" t="str">
        <f ca="1">IFERROR(__xludf.DUMMYFUNCTION("GOOGLETRANSLATE(D:D,""auto"",""en"")"),"Dow Jones")</f>
        <v>Dow Jones</v>
      </c>
      <c r="D5994" s="5" t="s">
        <v>13739</v>
      </c>
      <c r="E5994" s="4">
        <v>285930</v>
      </c>
    </row>
    <row r="5995" spans="1:6" ht="13.5" hidden="1" customHeight="1">
      <c r="A5995" s="4" t="s">
        <v>13740</v>
      </c>
      <c r="B5995" s="4" t="s">
        <v>13741</v>
      </c>
      <c r="C5995" s="4" t="str">
        <f ca="1">IFERROR(__xludf.DUMMYFUNCTION("GOOGLETRANSLATE(D:D,""auto"",""en"")"),"How good Jiangsu")</f>
        <v>How good Jiangsu</v>
      </c>
      <c r="D5995" s="5" t="s">
        <v>13742</v>
      </c>
      <c r="E5995" s="4">
        <v>284248</v>
      </c>
    </row>
    <row r="5996" spans="1:6" ht="13.5" customHeight="1">
      <c r="A5996" s="4" t="s">
        <v>13715</v>
      </c>
      <c r="B5996" s="4" t="s">
        <v>13686</v>
      </c>
      <c r="C5996" s="4" t="str">
        <f ca="1">IFERROR(__xludf.DUMMYFUNCTION("GOOGLETRANSLATE(D:D,""auto"",""en"")"),"Wuhan Raytheon Hill Hospital patients discharged up to 117 people")</f>
        <v>Wuhan Raytheon Hill Hospital patients discharged up to 117 people</v>
      </c>
      <c r="D5996" s="5" t="s">
        <v>13743</v>
      </c>
      <c r="E5996" s="4">
        <v>247909</v>
      </c>
      <c r="F5996">
        <v>1</v>
      </c>
    </row>
    <row r="5997" spans="1:6" ht="13.5" customHeight="1">
      <c r="A5997" s="4" t="s">
        <v>12003</v>
      </c>
      <c r="B5997" s="4" t="s">
        <v>13744</v>
      </c>
      <c r="C5997" s="4" t="str">
        <f ca="1">IFERROR(__xludf.DUMMYFUNCTION("GOOGLETRANSLATE(D:D,""auto"",""en"")"),"Recent passengers, mostly from Korea to China in the Han Chinese citizens")</f>
        <v>Recent passengers, mostly from Korea to China in the Han Chinese citizens</v>
      </c>
      <c r="D5997" s="5" t="s">
        <v>13745</v>
      </c>
      <c r="E5997" s="4">
        <v>245757</v>
      </c>
      <c r="F5997">
        <v>1</v>
      </c>
    </row>
    <row r="5998" spans="1:6" ht="13.5" hidden="1" customHeight="1">
      <c r="A5998" s="4" t="s">
        <v>13746</v>
      </c>
      <c r="B5998" s="4" t="s">
        <v>13747</v>
      </c>
      <c r="C5998" s="4" t="str">
        <f ca="1">IFERROR(__xludf.DUMMYFUNCTION("GOOGLETRANSLATE(D:D,""auto"",""en"")"),"GQ Zeng Ming")</f>
        <v>GQ Zeng Ming</v>
      </c>
      <c r="D5998" s="5" t="s">
        <v>13748</v>
      </c>
      <c r="E5998" s="4">
        <v>196751</v>
      </c>
    </row>
    <row r="5999" spans="1:6" ht="13.5" hidden="1" customHeight="1">
      <c r="C5999" s="4" t="str">
        <f ca="1">IFERROR(__xludf.DUMMYFUNCTION("GOOGLETRANSLATE(D:D,""auto"",""en"")"),"#VALUE!")</f>
        <v>#VALUE!</v>
      </c>
    </row>
    <row r="6000" spans="1:6" ht="13.5" hidden="1" customHeight="1">
      <c r="A6000" s="4" t="s">
        <v>13749</v>
      </c>
      <c r="B6000" s="4" t="s">
        <v>13750</v>
      </c>
      <c r="C6000" s="4" t="str">
        <f ca="1">IFERROR(__xludf.DUMMYFUNCTION("GOOGLETRANSLATE(D:D,""auto"",""en"")"),"Mulan delete reasons Li Xiang")</f>
        <v>Mulan delete reasons Li Xiang</v>
      </c>
      <c r="D6000" s="4" t="s">
        <v>13751</v>
      </c>
      <c r="E6000" s="4">
        <v>2863586</v>
      </c>
    </row>
    <row r="6001" spans="1:6" ht="13.5" customHeight="1">
      <c r="A6001" s="4" t="s">
        <v>13752</v>
      </c>
      <c r="B6001" s="4" t="s">
        <v>13753</v>
      </c>
      <c r="C6001" s="4" t="str">
        <f ca="1">IFERROR(__xludf.DUMMYFUNCTION("GOOGLETRANSLATE(D:D,""auto"",""en"")"),"The new crown pneumonia tone for the global risk level is very high")</f>
        <v>The new crown pneumonia tone for the global risk level is very high</v>
      </c>
      <c r="D6001" s="5" t="s">
        <v>13754</v>
      </c>
      <c r="E6001" s="4">
        <v>2241109</v>
      </c>
      <c r="F6001">
        <v>1</v>
      </c>
    </row>
    <row r="6002" spans="1:6" ht="13.5" customHeight="1">
      <c r="A6002" s="4" t="s">
        <v>13755</v>
      </c>
      <c r="B6002" s="4" t="s">
        <v>13756</v>
      </c>
      <c r="C6002" s="4" t="str">
        <f ca="1">IFERROR(__xludf.DUMMYFUNCTION("GOOGLETRANSLATE(D:D,""auto"",""en"")"),"South Korean prisons first case of pneumonia new crown")</f>
        <v>South Korean prisons first case of pneumonia new crown</v>
      </c>
      <c r="D6002" s="5" t="s">
        <v>13757</v>
      </c>
      <c r="E6002" s="4">
        <v>2151033</v>
      </c>
      <c r="F6002">
        <v>1</v>
      </c>
    </row>
    <row r="6003" spans="1:6" ht="13.5" hidden="1" customHeight="1">
      <c r="A6003" s="4" t="s">
        <v>13758</v>
      </c>
      <c r="B6003" s="4" t="s">
        <v>13653</v>
      </c>
      <c r="C6003" s="4" t="str">
        <f ca="1">IFERROR(__xludf.DUMMYFUNCTION("GOOGLETRANSLATE(D:D,""auto"",""en"")"),"Wu Ching-feng issued")</f>
        <v>Wu Ching-feng issued</v>
      </c>
      <c r="D6003" s="5" t="s">
        <v>13759</v>
      </c>
      <c r="E6003" s="4">
        <v>1978290</v>
      </c>
    </row>
    <row r="6004" spans="1:6" ht="13.5" hidden="1" customHeight="1">
      <c r="A6004" s="4" t="s">
        <v>13760</v>
      </c>
      <c r="B6004" s="4" t="s">
        <v>13761</v>
      </c>
      <c r="C6004" s="4" t="str">
        <f ca="1">IFERROR(__xludf.DUMMYFUNCTION("GOOGLETRANSLATE(D:D,""auto"",""en"")"),"Gold plunged")</f>
        <v>Gold plunged</v>
      </c>
      <c r="D6004" s="5" t="s">
        <v>13762</v>
      </c>
      <c r="E6004" s="4">
        <v>1763196</v>
      </c>
    </row>
    <row r="6005" spans="1:6" ht="13.5" customHeight="1">
      <c r="A6005" s="4" t="s">
        <v>13763</v>
      </c>
      <c r="B6005" s="4" t="s">
        <v>13764</v>
      </c>
      <c r="C6005" s="4" t="str">
        <f ca="1">IFERROR(__xludf.DUMMYFUNCTION("GOOGLETRANSLATE(D:D,""auto"",""en"")"),"Italy Vulcan Hill Hospital")</f>
        <v>Italy Vulcan Hill Hospital</v>
      </c>
      <c r="D6005" s="5" t="s">
        <v>13765</v>
      </c>
      <c r="E6005" s="4">
        <v>1574721</v>
      </c>
      <c r="F6005">
        <v>1</v>
      </c>
    </row>
    <row r="6006" spans="1:6" ht="13.5" hidden="1" customHeight="1">
      <c r="A6006" s="4" t="s">
        <v>13766</v>
      </c>
      <c r="B6006" s="4" t="s">
        <v>13767</v>
      </c>
      <c r="C6006" s="4" t="str">
        <f ca="1">IFERROR(__xludf.DUMMYFUNCTION("GOOGLETRANSLATE(D:D,""auto"",""en"")"),"Beijing requires personnel-intensive enterprise duty rate does not exceed 50%")</f>
        <v>Beijing requires personnel-intensive enterprise duty rate does not exceed 50%</v>
      </c>
      <c r="D6006" s="5" t="s">
        <v>13768</v>
      </c>
      <c r="E6006" s="4">
        <v>1355609</v>
      </c>
    </row>
    <row r="6007" spans="1:6" ht="13.5" customHeight="1">
      <c r="A6007" s="4" t="s">
        <v>13769</v>
      </c>
      <c r="B6007" s="4" t="s">
        <v>13770</v>
      </c>
      <c r="C6007" s="4" t="str">
        <f ca="1">IFERROR(__xludf.DUMMYFUNCTION("GOOGLETRANSLATE(D:D,""auto"",""en"")"),"US cases appear third route of infection of unknown cases")</f>
        <v>US cases appear third route of infection of unknown cases</v>
      </c>
      <c r="D6007" s="5" t="s">
        <v>13771</v>
      </c>
      <c r="E6007" s="4">
        <v>1340302</v>
      </c>
      <c r="F6007">
        <v>1</v>
      </c>
    </row>
    <row r="6008" spans="1:6" ht="13.5" hidden="1" customHeight="1">
      <c r="A6008" s="4" t="s">
        <v>13772</v>
      </c>
      <c r="B6008" s="4" t="s">
        <v>13773</v>
      </c>
      <c r="C6008" s="4" t="str">
        <f ca="1">IFERROR(__xludf.DUMMYFUNCTION("GOOGLETRANSLATE(D:D,""auto"",""en"")"),"UN Secretary-General issued a statement")</f>
        <v>UN Secretary-General issued a statement</v>
      </c>
      <c r="D6008" s="5" t="s">
        <v>13774</v>
      </c>
      <c r="E6008" s="4">
        <v>1243722</v>
      </c>
    </row>
    <row r="6009" spans="1:6" ht="13.5" hidden="1" customHeight="1">
      <c r="A6009" s="4" t="s">
        <v>13775</v>
      </c>
      <c r="B6009" s="4" t="s">
        <v>13776</v>
      </c>
      <c r="C6009" s="4" t="str">
        <f ca="1">IFERROR(__xludf.DUMMYFUNCTION("GOOGLETRANSLATE(D:D,""auto"",""en"")"),"February 29 every four years to the")</f>
        <v>February 29 every four years to the</v>
      </c>
      <c r="D6009" s="5" t="s">
        <v>13777</v>
      </c>
      <c r="E6009" s="4">
        <v>1183680</v>
      </c>
    </row>
    <row r="6010" spans="1:6" ht="13.5" hidden="1" customHeight="1">
      <c r="A6010" s="4" t="s">
        <v>13778</v>
      </c>
      <c r="B6010" s="4" t="s">
        <v>13701</v>
      </c>
      <c r="C6010" s="4" t="str">
        <f ca="1">IFERROR(__xludf.DUMMYFUNCTION("GOOGLETRANSLATE(D:D,""auto"",""en"")"),"Domestic rare number of patients over 20 million")</f>
        <v>Domestic rare number of patients over 20 million</v>
      </c>
      <c r="D6010" s="5" t="s">
        <v>13779</v>
      </c>
      <c r="E6010" s="4">
        <v>979374</v>
      </c>
    </row>
    <row r="6011" spans="1:6" ht="13.5" customHeight="1">
      <c r="A6011" s="4" t="s">
        <v>13780</v>
      </c>
      <c r="B6011" s="4" t="s">
        <v>13781</v>
      </c>
      <c r="C6011" s="4" t="str">
        <f ca="1">IFERROR(__xludf.DUMMYFUNCTION("GOOGLETRANSLATE(D:D,""auto"",""en"")"),"US epidemic")</f>
        <v>US epidemic</v>
      </c>
      <c r="D6011" s="5" t="s">
        <v>13782</v>
      </c>
      <c r="E6011" s="4">
        <v>964104</v>
      </c>
      <c r="F6011">
        <v>1</v>
      </c>
    </row>
    <row r="6012" spans="1:6" ht="13.5" hidden="1" customHeight="1">
      <c r="A6012" s="4" t="s">
        <v>13783</v>
      </c>
      <c r="B6012" s="4" t="s">
        <v>13784</v>
      </c>
      <c r="C6012" s="4" t="str">
        <f ca="1">IFERROR(__xludf.DUMMYFUNCTION("GOOGLETRANSLATE(D:D,""auto"",""en"")"),"The Ministry of Education requires online teaching can not engage across the board")</f>
        <v>The Ministry of Education requires online teaching can not engage across the board</v>
      </c>
      <c r="D6012" s="5" t="s">
        <v>13785</v>
      </c>
      <c r="E6012" s="4">
        <v>954067</v>
      </c>
    </row>
    <row r="6013" spans="1:6" ht="13.5" customHeight="1">
      <c r="A6013" s="4" t="s">
        <v>13786</v>
      </c>
      <c r="B6013" s="4" t="s">
        <v>13787</v>
      </c>
      <c r="C6013" s="4" t="str">
        <f ca="1">IFERROR(__xludf.DUMMYFUNCTION("GOOGLETRANSLATE(D:D,""auto"",""en"")"),"Korea added 594 cases of pneumonia new crown")</f>
        <v>Korea added 594 cases of pneumonia new crown</v>
      </c>
      <c r="D6013" s="5" t="s">
        <v>13788</v>
      </c>
      <c r="E6013" s="4">
        <v>931637</v>
      </c>
      <c r="F6013">
        <v>1</v>
      </c>
    </row>
    <row r="6014" spans="1:6" ht="13.5" customHeight="1">
      <c r="A6014" s="4" t="s">
        <v>13789</v>
      </c>
      <c r="B6014" s="4" t="s">
        <v>13790</v>
      </c>
      <c r="C6014" s="4" t="str">
        <f ca="1">IFERROR(__xludf.DUMMYFUNCTION("GOOGLETRANSLATE(D:D,""auto"",""en"")"),"WHO's new crown origin of the virus is uncertain")</f>
        <v>WHO's new crown origin of the virus is uncertain</v>
      </c>
      <c r="D6014" s="5" t="s">
        <v>13791</v>
      </c>
      <c r="E6014" s="4">
        <v>927357</v>
      </c>
      <c r="F6014">
        <v>1</v>
      </c>
    </row>
    <row r="6015" spans="1:6" ht="13.5" customHeight="1">
      <c r="A6015" s="4" t="s">
        <v>13792</v>
      </c>
      <c r="B6015" s="4" t="s">
        <v>13793</v>
      </c>
      <c r="C6015" s="4" t="str">
        <f ca="1">IFERROR(__xludf.DUMMYFUNCTION("GOOGLETRANSLATE(D:D,""auto"",""en"")"),"Google employees diagnosed with a new crown pneumonia")</f>
        <v>Google employees diagnosed with a new crown pneumonia</v>
      </c>
      <c r="D6015" s="5" t="s">
        <v>13794</v>
      </c>
      <c r="E6015" s="4">
        <v>902762</v>
      </c>
      <c r="F6015">
        <v>1</v>
      </c>
    </row>
    <row r="6016" spans="1:6" ht="13.5" hidden="1" customHeight="1">
      <c r="A6016" s="4" t="s">
        <v>13795</v>
      </c>
      <c r="B6016" s="4" t="s">
        <v>13796</v>
      </c>
      <c r="C6016" s="4" t="str">
        <f ca="1">IFERROR(__xludf.DUMMYFUNCTION("GOOGLETRANSLATE(D:D,""auto"",""en"")"),"US Flu")</f>
        <v>US Flu</v>
      </c>
      <c r="D6016" s="5" t="s">
        <v>13797</v>
      </c>
      <c r="E6016" s="4">
        <v>894256</v>
      </c>
    </row>
    <row r="6017" spans="1:6" ht="13.5" hidden="1" customHeight="1">
      <c r="A6017" s="4" t="s">
        <v>13798</v>
      </c>
      <c r="B6017" s="4" t="s">
        <v>13799</v>
      </c>
      <c r="C6017" s="4" t="str">
        <f ca="1">IFERROR(__xludf.DUMMYFUNCTION("GOOGLETRANSLATE(D:D,""auto"",""en"")"),"Jiangsu continue to postpone the students back to school")</f>
        <v>Jiangsu continue to postpone the students back to school</v>
      </c>
      <c r="D6017" s="5" t="s">
        <v>13800</v>
      </c>
      <c r="E6017" s="4">
        <v>877456</v>
      </c>
    </row>
    <row r="6018" spans="1:6" ht="13.5" hidden="1" customHeight="1">
      <c r="A6018" s="4" t="s">
        <v>13801</v>
      </c>
      <c r="B6018" s="4" t="s">
        <v>13802</v>
      </c>
      <c r="C6018" s="4" t="str">
        <f ca="1">IFERROR(__xludf.DUMMYFUNCTION("GOOGLETRANSLATE(D:D,""auto"",""en"")"),"Italian pasta in the supermarket robbed empty")</f>
        <v>Italian pasta in the supermarket robbed empty</v>
      </c>
      <c r="D6018" s="5" t="s">
        <v>13803</v>
      </c>
      <c r="E6018" s="4">
        <v>867535</v>
      </c>
    </row>
    <row r="6019" spans="1:6" ht="13.5" hidden="1" customHeight="1">
      <c r="A6019" s="4" t="s">
        <v>13804</v>
      </c>
      <c r="B6019" s="4" t="s">
        <v>13805</v>
      </c>
      <c r="C6019" s="4" t="str">
        <f ca="1">IFERROR(__xludf.DUMMYFUNCTION("GOOGLETRANSLATE(D:D,""auto"",""en"")"),"Zheng Shuang Negotiator notice")</f>
        <v>Zheng Shuang Negotiator notice</v>
      </c>
      <c r="D6019" s="5" t="s">
        <v>13806</v>
      </c>
      <c r="E6019" s="4">
        <v>652576</v>
      </c>
    </row>
    <row r="6020" spans="1:6" ht="13.5" customHeight="1">
      <c r="A6020" s="4" t="s">
        <v>13807</v>
      </c>
      <c r="B6020" s="4" t="s">
        <v>13676</v>
      </c>
      <c r="C6020" s="4" t="str">
        <f ca="1">IFERROR(__xludf.DUMMYFUNCTION("GOOGLETRANSLATE(D:D,""auto"",""en"")"),"Japanese and Korean immigrants from Chengdu requested hotel isolated 14 days")</f>
        <v>Japanese and Korean immigrants from Chengdu requested hotel isolated 14 days</v>
      </c>
      <c r="D6020" s="5" t="s">
        <v>13808</v>
      </c>
      <c r="E6020" s="4">
        <v>618768</v>
      </c>
      <c r="F6020">
        <v>1</v>
      </c>
    </row>
    <row r="6021" spans="1:6" ht="13.5" customHeight="1">
      <c r="A6021" s="4" t="s">
        <v>13769</v>
      </c>
      <c r="B6021" s="4" t="s">
        <v>13809</v>
      </c>
      <c r="C6021" s="4" t="str">
        <f ca="1">IFERROR(__xludf.DUMMYFUNCTION("GOOGLETRANSLATE(D:D,""auto"",""en"")"),"The official response to users suggested new crown elevated renamed")</f>
        <v>The official response to users suggested new crown elevated renamed</v>
      </c>
      <c r="D6021" s="5" t="s">
        <v>13810</v>
      </c>
      <c r="E6021" s="4">
        <v>603438</v>
      </c>
      <c r="F6021">
        <v>1</v>
      </c>
    </row>
    <row r="6022" spans="1:6" ht="13.5" hidden="1" customHeight="1">
      <c r="A6022" s="4" t="s">
        <v>13811</v>
      </c>
      <c r="B6022" s="4" t="s">
        <v>13767</v>
      </c>
      <c r="C6022" s="4" t="str">
        <f ca="1">IFERROR(__xludf.DUMMYFUNCTION("GOOGLETRANSLATE(D:D,""auto"",""en"")"),"Online high school seniors Hundred Days swearing")</f>
        <v>Online high school seniors Hundred Days swearing</v>
      </c>
      <c r="D6022" s="5" t="s">
        <v>13812</v>
      </c>
      <c r="E6022" s="4">
        <v>595788</v>
      </c>
    </row>
    <row r="6023" spans="1:6" ht="13.5" customHeight="1">
      <c r="A6023" s="4" t="s">
        <v>13813</v>
      </c>
      <c r="B6023" s="4" t="s">
        <v>13701</v>
      </c>
      <c r="C6023" s="4" t="str">
        <f ca="1">IFERROR(__xludf.DUMMYFUNCTION("GOOGLETRANSLATE(D:D,""auto"",""en"")"),"French president said France and Italy will not close the border epidemic")</f>
        <v>French president said France and Italy will not close the border epidemic</v>
      </c>
      <c r="D6023" s="5" t="s">
        <v>13814</v>
      </c>
      <c r="E6023" s="4">
        <v>569496</v>
      </c>
      <c r="F6023">
        <v>1</v>
      </c>
    </row>
    <row r="6024" spans="1:6" ht="13.5" hidden="1" customHeight="1">
      <c r="A6024" s="4" t="s">
        <v>13682</v>
      </c>
      <c r="B6024" s="4" t="s">
        <v>13683</v>
      </c>
      <c r="C6024" s="4" t="str">
        <f ca="1">IFERROR(__xludf.DUMMYFUNCTION("GOOGLETRANSLATE(D:D,""auto"",""en"")"),"Please Xia Jin")</f>
        <v>Please Xia Jin</v>
      </c>
      <c r="D6024" s="5" t="s">
        <v>13684</v>
      </c>
      <c r="E6024" s="4">
        <v>479009</v>
      </c>
    </row>
    <row r="6025" spans="1:6" ht="13.5" hidden="1" customHeight="1">
      <c r="A6025" s="4" t="s">
        <v>13815</v>
      </c>
      <c r="B6025" s="4" t="s">
        <v>13816</v>
      </c>
      <c r="C6025" s="4" t="str">
        <f ca="1">IFERROR(__xludf.DUMMYFUNCTION("GOOGLETRANSLATE(D:D,""auto"",""en"")"),"Inventory of the world swimming champion was banned for history")</f>
        <v>Inventory of the world swimming champion was banned for history</v>
      </c>
      <c r="D6025" s="5" t="s">
        <v>13817</v>
      </c>
      <c r="E6025" s="4">
        <v>458394</v>
      </c>
    </row>
    <row r="6026" spans="1:6" ht="13.5" hidden="1" customHeight="1">
      <c r="A6026" s="4" t="s">
        <v>13818</v>
      </c>
      <c r="B6026" s="4" t="s">
        <v>13819</v>
      </c>
      <c r="C6026" s="4" t="str">
        <f ca="1">IFERROR(__xludf.DUMMYFUNCTION("GOOGLETRANSLATE(D:D,""auto"",""en"")"),"Tokyo Olympic Games for the first time use dynamic icons")</f>
        <v>Tokyo Olympic Games for the first time use dynamic icons</v>
      </c>
      <c r="D6026" s="5" t="s">
        <v>13820</v>
      </c>
      <c r="E6026" s="4">
        <v>448041</v>
      </c>
    </row>
    <row r="6027" spans="1:6" ht="13.5" hidden="1" customHeight="1">
      <c r="A6027" s="4" t="s">
        <v>13821</v>
      </c>
      <c r="B6027" s="4" t="s">
        <v>13644</v>
      </c>
      <c r="C6027" s="4" t="str">
        <f ca="1">IFERROR(__xludf.DUMMYFUNCTION("GOOGLETRANSLATE(D:D,""auto"",""en"")"),"Your school cafeteria What is the name")</f>
        <v>Your school cafeteria What is the name</v>
      </c>
      <c r="D6027" s="5" t="s">
        <v>13822</v>
      </c>
      <c r="E6027" s="4">
        <v>431487</v>
      </c>
    </row>
    <row r="6028" spans="1:6" ht="13.5" hidden="1" customHeight="1">
      <c r="A6028" s="4" t="s">
        <v>13823</v>
      </c>
      <c r="B6028" s="4" t="s">
        <v>13753</v>
      </c>
      <c r="C6028" s="4" t="str">
        <f ca="1">IFERROR(__xludf.DUMMYFUNCTION("GOOGLETRANSLATE(D:D,""auto"",""en"")"),"China Forbes 2020 list of the richest women")</f>
        <v>China Forbes 2020 list of the richest women</v>
      </c>
      <c r="D6028" s="5" t="s">
        <v>13824</v>
      </c>
      <c r="E6028" s="4">
        <v>372804</v>
      </c>
    </row>
    <row r="6029" spans="1:6" ht="13.5" hidden="1" customHeight="1">
      <c r="A6029" s="4" t="s">
        <v>13815</v>
      </c>
      <c r="B6029" s="4" t="s">
        <v>13825</v>
      </c>
      <c r="C6029" s="4" t="str">
        <f ca="1">IFERROR(__xludf.DUMMYFUNCTION("GOOGLETRANSLATE(D:D,""auto"",""en"")"),"All the secrets about eggs")</f>
        <v>All the secrets about eggs</v>
      </c>
      <c r="D6029" s="5" t="s">
        <v>13826</v>
      </c>
      <c r="E6029" s="4">
        <v>364794</v>
      </c>
    </row>
    <row r="6030" spans="1:6" ht="13.5" customHeight="1">
      <c r="A6030" s="4" t="s">
        <v>13827</v>
      </c>
      <c r="B6030" s="4" t="s">
        <v>13638</v>
      </c>
      <c r="C6030" s="4" t="str">
        <f ca="1">IFERROR(__xludf.DUMMYFUNCTION("GOOGLETRANSLATE(D:D,""auto"",""en"")"),"Beijing taxi ride from Beijing to suspend operations")</f>
        <v>Beijing taxi ride from Beijing to suspend operations</v>
      </c>
      <c r="D6030" s="5" t="s">
        <v>13828</v>
      </c>
      <c r="E6030" s="4">
        <v>363310</v>
      </c>
      <c r="F6030">
        <v>1</v>
      </c>
    </row>
    <row r="6031" spans="1:6" ht="13.5" customHeight="1">
      <c r="A6031" s="4" t="s">
        <v>13647</v>
      </c>
      <c r="B6031" s="4" t="s">
        <v>13829</v>
      </c>
      <c r="C6031" s="4" t="str">
        <f ca="1">IFERROR(__xludf.DUMMYFUNCTION("GOOGLETRANSLATE(D:D,""auto"",""en"")"),"New date confirmed cases outside China for three consecutive days over China")</f>
        <v>New date confirmed cases outside China for three consecutive days over China</v>
      </c>
      <c r="D6031" s="5" t="s">
        <v>13830</v>
      </c>
      <c r="E6031" s="4">
        <v>361755</v>
      </c>
      <c r="F6031">
        <v>1</v>
      </c>
    </row>
    <row r="6032" spans="1:6" ht="13.5" hidden="1" customHeight="1">
      <c r="A6032" s="4" t="s">
        <v>13831</v>
      </c>
      <c r="B6032" s="4" t="s">
        <v>13832</v>
      </c>
      <c r="C6032" s="4" t="str">
        <f ca="1">IFERROR(__xludf.DUMMYFUNCTION("GOOGLETRANSLATE(D:D,""auto"",""en"")"),"Song Qian to staff dumplings")</f>
        <v>Song Qian to staff dumplings</v>
      </c>
      <c r="D6032" s="5" t="s">
        <v>13833</v>
      </c>
      <c r="E6032" s="4">
        <v>337493</v>
      </c>
    </row>
    <row r="6033" spans="1:6" ht="13.5" customHeight="1">
      <c r="A6033" s="4" t="s">
        <v>13834</v>
      </c>
      <c r="B6033" s="4" t="s">
        <v>12003</v>
      </c>
      <c r="C6033" s="4" t="str">
        <f ca="1">IFERROR(__xludf.DUMMYFUNCTION("GOOGLETRANSLATE(D:D,""auto"",""en"")"),"84 disinfectant is how come")</f>
        <v>84 disinfectant is how come</v>
      </c>
      <c r="D6033" s="5" t="s">
        <v>13835</v>
      </c>
      <c r="E6033" s="4">
        <v>333142</v>
      </c>
      <c r="F6033">
        <v>1</v>
      </c>
    </row>
    <row r="6034" spans="1:6" ht="13.5" customHeight="1">
      <c r="A6034" s="4" t="s">
        <v>13836</v>
      </c>
      <c r="B6034" s="4" t="s">
        <v>13837</v>
      </c>
      <c r="C6034" s="4" t="str">
        <f ca="1">IFERROR(__xludf.DUMMYFUNCTION("GOOGLETRANSLATE(D:D,""auto"",""en"")"),"Hubei new confirmed cases outside the four cases")</f>
        <v>Hubei new confirmed cases outside the four cases</v>
      </c>
      <c r="D6034" s="5" t="s">
        <v>13838</v>
      </c>
      <c r="E6034" s="4">
        <v>329936</v>
      </c>
      <c r="F6034">
        <v>1</v>
      </c>
    </row>
    <row r="6035" spans="1:6" ht="13.5" customHeight="1">
      <c r="A6035" s="4" t="s">
        <v>13839</v>
      </c>
      <c r="B6035" s="4" t="s">
        <v>13840</v>
      </c>
      <c r="C6035" s="4" t="str">
        <f ca="1">IFERROR(__xludf.DUMMYFUNCTION("GOOGLETRANSLATE(D:D,""auto"",""en"")"),"Of the total number of confirmed cure existing cases of the first super")</f>
        <v>Of the total number of confirmed cure existing cases of the first super</v>
      </c>
      <c r="D6035" s="5" t="s">
        <v>13841</v>
      </c>
      <c r="E6035" s="4">
        <v>294308</v>
      </c>
      <c r="F6035">
        <v>1</v>
      </c>
    </row>
    <row r="6036" spans="1:6" ht="13.5" hidden="1" customHeight="1">
      <c r="A6036" s="4" t="s">
        <v>13647</v>
      </c>
      <c r="B6036" s="4" t="s">
        <v>13648</v>
      </c>
      <c r="C6036" s="4" t="str">
        <f ca="1">IFERROR(__xludf.DUMMYFUNCTION("GOOGLETRANSLATE(D:D,""auto"",""en"")"),"Sha Yi Shen Teng was laughable")</f>
        <v>Sha Yi Shen Teng was laughable</v>
      </c>
      <c r="D6036" s="5" t="s">
        <v>13649</v>
      </c>
      <c r="E6036" s="4">
        <v>290036</v>
      </c>
    </row>
    <row r="6037" spans="1:6" ht="13.5" customHeight="1">
      <c r="A6037" s="4" t="s">
        <v>13842</v>
      </c>
      <c r="B6037" s="4" t="s">
        <v>13843</v>
      </c>
      <c r="C6037" s="4" t="str">
        <f ca="1">IFERROR(__xludf.DUMMYFUNCTION("GOOGLETRANSLATE(D:D,""auto"",""en"")"),"Wuhan Marathon Postponed")</f>
        <v>Wuhan Marathon Postponed</v>
      </c>
      <c r="D6037" s="5" t="s">
        <v>13844</v>
      </c>
      <c r="E6037" s="4">
        <v>287195</v>
      </c>
      <c r="F6037">
        <v>1</v>
      </c>
    </row>
    <row r="6038" spans="1:6" ht="13.5" hidden="1" customHeight="1">
      <c r="A6038" s="4" t="s">
        <v>13845</v>
      </c>
      <c r="B6038" s="4" t="s">
        <v>13843</v>
      </c>
      <c r="C6038" s="4" t="str">
        <f ca="1">IFERROR(__xludf.DUMMYFUNCTION("GOOGLETRANSLATE(D:D,""auto"",""en"")"),"US Department of Defense in response to remarks")</f>
        <v>US Department of Defense in response to remarks</v>
      </c>
      <c r="D6038" s="5" t="s">
        <v>13846</v>
      </c>
      <c r="E6038" s="4">
        <v>286511</v>
      </c>
    </row>
    <row r="6039" spans="1:6" ht="13.5" customHeight="1">
      <c r="A6039" s="4" t="s">
        <v>13847</v>
      </c>
      <c r="B6039" s="4" t="s">
        <v>13848</v>
      </c>
      <c r="C6039" s="4" t="str">
        <f ca="1">IFERROR(__xludf.DUMMYFUNCTION("GOOGLETRANSLATE(D:D,""auto"",""en"")"),"Nucleic acid detection process Quanji Lu")</f>
        <v>Nucleic acid detection process Quanji Lu</v>
      </c>
      <c r="D6039" s="5" t="s">
        <v>13849</v>
      </c>
      <c r="E6039" s="4">
        <v>285338</v>
      </c>
      <c r="F6039">
        <v>1</v>
      </c>
    </row>
    <row r="6040" spans="1:6" ht="13.5" hidden="1" customHeight="1">
      <c r="A6040" s="4" t="s">
        <v>13850</v>
      </c>
      <c r="B6040" s="4" t="s">
        <v>13638</v>
      </c>
      <c r="C6040" s="4" t="str">
        <f ca="1">IFERROR(__xludf.DUMMYFUNCTION("GOOGLETRANSLATE(D:D,""auto"",""en"")"),"Until the second half of the first half of conscription")</f>
        <v>Until the second half of the first half of conscription</v>
      </c>
      <c r="D6040" s="5" t="s">
        <v>13851</v>
      </c>
      <c r="E6040" s="4">
        <v>284306</v>
      </c>
    </row>
    <row r="6041" spans="1:6" ht="13.5" customHeight="1">
      <c r="A6041" s="4" t="s">
        <v>13850</v>
      </c>
      <c r="B6041" s="4" t="s">
        <v>13638</v>
      </c>
      <c r="C6041" s="4" t="str">
        <f ca="1">IFERROR(__xludf.DUMMYFUNCTION("GOOGLETRANSLATE(D:D,""auto"",""en"")"),"How the new crown before and after school pneumonia prevention and control")</f>
        <v>How the new crown before and after school pneumonia prevention and control</v>
      </c>
      <c r="D6041" s="5" t="s">
        <v>13852</v>
      </c>
      <c r="E6041" s="4">
        <v>283784</v>
      </c>
      <c r="F6041">
        <v>1</v>
      </c>
    </row>
    <row r="6042" spans="1:6" ht="13.5" hidden="1" customHeight="1">
      <c r="A6042" s="4" t="s">
        <v>13853</v>
      </c>
      <c r="B6042" s="4" t="s">
        <v>13854</v>
      </c>
      <c r="C6042" s="4" t="str">
        <f ca="1">IFERROR(__xludf.DUMMYFUNCTION("GOOGLETRANSLATE(D:D,""auto"",""en"")"),"Guess Song Dandan Song")</f>
        <v>Guess Song Dandan Song</v>
      </c>
      <c r="D6042" s="5" t="s">
        <v>13855</v>
      </c>
      <c r="E6042" s="4">
        <v>282644</v>
      </c>
    </row>
    <row r="6043" spans="1:6" ht="13.5" customHeight="1">
      <c r="A6043" s="4" t="s">
        <v>13856</v>
      </c>
      <c r="B6043" s="4" t="s">
        <v>13850</v>
      </c>
      <c r="C6043" s="4" t="str">
        <f ca="1">IFERROR(__xludf.DUMMYFUNCTION("GOOGLETRANSLATE(D:D,""auto"",""en"")"),"Grade Middle School on the principle of provincial synchronous school")</f>
        <v>Grade Middle School on the principle of provincial synchronous school</v>
      </c>
      <c r="D6043" s="5" t="s">
        <v>13857</v>
      </c>
      <c r="E6043" s="4">
        <v>282030</v>
      </c>
      <c r="F6043">
        <v>1</v>
      </c>
    </row>
    <row r="6044" spans="1:6" ht="13.5" customHeight="1">
      <c r="A6044" s="4" t="s">
        <v>13858</v>
      </c>
      <c r="B6044" s="4" t="s">
        <v>13850</v>
      </c>
      <c r="C6044" s="4" t="str">
        <f ca="1">IFERROR(__xludf.DUMMYFUNCTION("GOOGLETRANSLATE(D:D,""auto"",""en"")"),"Beijing new one cases of new confirmed cases of pneumonia crown")</f>
        <v>Beijing new one cases of new confirmed cases of pneumonia crown</v>
      </c>
      <c r="D6044" s="5" t="s">
        <v>13859</v>
      </c>
      <c r="E6044" s="4">
        <v>280957</v>
      </c>
      <c r="F6044">
        <v>1</v>
      </c>
    </row>
    <row r="6045" spans="1:6" ht="13.5" hidden="1" customHeight="1">
      <c r="A6045" s="4" t="s">
        <v>13842</v>
      </c>
      <c r="B6045" s="4" t="s">
        <v>13805</v>
      </c>
      <c r="C6045" s="4" t="str">
        <f ca="1">IFERROR(__xludf.DUMMYFUNCTION("GOOGLETRANSLATE(D:D,""auto"",""en"")"),"The cat will communicate in two languages")</f>
        <v>The cat will communicate in two languages</v>
      </c>
      <c r="D6045" s="5" t="s">
        <v>13860</v>
      </c>
      <c r="E6045" s="4">
        <v>280130</v>
      </c>
    </row>
    <row r="6046" spans="1:6" ht="13.5" hidden="1" customHeight="1">
      <c r="A6046" s="4" t="s">
        <v>13861</v>
      </c>
      <c r="B6046" s="4" t="s">
        <v>13862</v>
      </c>
      <c r="C6046" s="4" t="str">
        <f ca="1">IFERROR(__xludf.DUMMYFUNCTION("GOOGLETRANSLATE(D:D,""auto"",""en"")"),"Milan Chinatown shops closed down 90%")</f>
        <v>Milan Chinatown shops closed down 90%</v>
      </c>
      <c r="D6046" s="5" t="s">
        <v>13863</v>
      </c>
      <c r="E6046" s="4">
        <v>279756</v>
      </c>
    </row>
    <row r="6047" spans="1:6" ht="13.5" hidden="1" customHeight="1">
      <c r="A6047" s="4" t="s">
        <v>13836</v>
      </c>
      <c r="B6047" s="4" t="s">
        <v>13864</v>
      </c>
      <c r="C6047" s="4" t="str">
        <f ca="1">IFERROR(__xludf.DUMMYFUNCTION("GOOGLETRANSLATE(D:D,""auto"",""en"")"),"Soda Green")</f>
        <v>Soda Green</v>
      </c>
      <c r="D6047" s="5" t="s">
        <v>13865</v>
      </c>
      <c r="E6047" s="4">
        <v>263170</v>
      </c>
    </row>
    <row r="6048" spans="1:6" ht="13.5" customHeight="1">
      <c r="A6048" s="4" t="s">
        <v>13847</v>
      </c>
      <c r="B6048" s="4" t="s">
        <v>13866</v>
      </c>
      <c r="C6048" s="4" t="str">
        <f ca="1">IFERROR(__xludf.DUMMYFUNCTION("GOOGLETRANSLATE(D:D,""auto"",""en"")"),"California emergence of a second example of route of infection of unknown cases")</f>
        <v>California emergence of a second example of route of infection of unknown cases</v>
      </c>
      <c r="D6048" s="5" t="s">
        <v>13867</v>
      </c>
      <c r="E6048" s="4">
        <v>247253</v>
      </c>
      <c r="F6048">
        <v>1</v>
      </c>
    </row>
    <row r="6049" spans="1:6" ht="13.5" hidden="1" customHeight="1">
      <c r="C6049" s="4" t="str">
        <f ca="1">IFERROR(__xludf.DUMMYFUNCTION("GOOGLETRANSLATE(D:D,""auto"",""en"")"),"#VALUE!")</f>
        <v>#VALUE!</v>
      </c>
    </row>
    <row r="6050" spans="1:6" ht="13.5" hidden="1" customHeight="1">
      <c r="A6050" s="4" t="s">
        <v>13868</v>
      </c>
      <c r="B6050" s="4" t="s">
        <v>13869</v>
      </c>
      <c r="C6050" s="4" t="str">
        <f ca="1">IFERROR(__xludf.DUMMYFUNCTION("GOOGLETRANSLATE(D:D,""auto"",""en"")"),"March banned the network violent human flesh search")</f>
        <v>March banned the network violent human flesh search</v>
      </c>
      <c r="D6050" s="4" t="s">
        <v>13870</v>
      </c>
      <c r="E6050" s="4">
        <v>4004412</v>
      </c>
    </row>
    <row r="6051" spans="1:6" ht="13.5" hidden="1" customHeight="1">
      <c r="A6051" s="4" t="s">
        <v>13871</v>
      </c>
      <c r="B6051" s="4" t="s">
        <v>13872</v>
      </c>
      <c r="C6051" s="4" t="str">
        <f ca="1">IFERROR(__xludf.DUMMYFUNCTION("GOOGLETRANSLATE(D:D,""auto"",""en"")"),"Beijing counterfeiting district passes")</f>
        <v>Beijing counterfeiting district passes</v>
      </c>
      <c r="D6051" s="5" t="s">
        <v>13873</v>
      </c>
      <c r="E6051" s="4">
        <v>2123466</v>
      </c>
    </row>
    <row r="6052" spans="1:6" ht="13.5" customHeight="1">
      <c r="A6052" s="4" t="s">
        <v>13874</v>
      </c>
      <c r="B6052" s="4" t="s">
        <v>13875</v>
      </c>
      <c r="C6052" s="4" t="str">
        <f ca="1">IFERROR(__xludf.DUMMYFUNCTION("GOOGLETRANSLATE(D:D,""auto"",""en"")"),"Japan's first outbreak due to the closure of enterprises")</f>
        <v>Japan's first outbreak due to the closure of enterprises</v>
      </c>
      <c r="D6052" s="5" t="s">
        <v>13876</v>
      </c>
      <c r="E6052" s="4">
        <v>2078721</v>
      </c>
      <c r="F6052">
        <v>1</v>
      </c>
    </row>
    <row r="6053" spans="1:6" ht="13.5" hidden="1" customHeight="1">
      <c r="A6053" s="4" t="s">
        <v>13877</v>
      </c>
      <c r="B6053" s="4" t="s">
        <v>13878</v>
      </c>
      <c r="C6053" s="4" t="str">
        <f ca="1">IFERROR(__xludf.DUMMYFUNCTION("GOOGLETRANSLATE(D:D,""auto"",""en"")"),"Distressed nine hundred eighty-five")</f>
        <v>Distressed nine hundred eighty-five</v>
      </c>
      <c r="D6053" s="5" t="s">
        <v>13879</v>
      </c>
      <c r="E6053" s="4">
        <v>1807017</v>
      </c>
    </row>
    <row r="6054" spans="1:6" ht="13.5" hidden="1" customHeight="1">
      <c r="A6054" s="4" t="s">
        <v>13880</v>
      </c>
      <c r="B6054" s="4" t="s">
        <v>13881</v>
      </c>
      <c r="C6054" s="4" t="str">
        <f ca="1">IFERROR(__xludf.DUMMYFUNCTION("GOOGLETRANSLATE(D:D,""auto"",""en"")"),"Jiang Dalin is mad")</f>
        <v>Jiang Dalin is mad</v>
      </c>
      <c r="D6054" s="5" t="s">
        <v>13882</v>
      </c>
      <c r="E6054" s="4">
        <v>1495569</v>
      </c>
    </row>
    <row r="6055" spans="1:6" ht="13.5" hidden="1" customHeight="1">
      <c r="A6055" s="4" t="s">
        <v>13883</v>
      </c>
      <c r="B6055" s="4" t="s">
        <v>13884</v>
      </c>
      <c r="C6055" s="4" t="str">
        <f ca="1">IFERROR(__xludf.DUMMYFUNCTION("GOOGLETRANSLATE(D:D,""auto"",""en"")"),"Song Qian Song Weilong sweet")</f>
        <v>Song Qian Song Weilong sweet</v>
      </c>
      <c r="D6055" s="5" t="s">
        <v>13885</v>
      </c>
      <c r="E6055" s="4">
        <v>1326612</v>
      </c>
    </row>
    <row r="6056" spans="1:6" ht="13.5" hidden="1" customHeight="1">
      <c r="A6056" s="4" t="s">
        <v>13886</v>
      </c>
      <c r="B6056" s="4" t="s">
        <v>13887</v>
      </c>
      <c r="C6056" s="4" t="str">
        <f ca="1">IFERROR(__xludf.DUMMYFUNCTION("GOOGLETRANSLATE(D:D,""auto"",""en"")"),"More than 1037 million members make voluntary contributions 1.18 billion yuan")</f>
        <v>More than 1037 million members make voluntary contributions 1.18 billion yuan</v>
      </c>
      <c r="D6056" s="5" t="s">
        <v>13888</v>
      </c>
      <c r="E6056" s="4">
        <v>1143532</v>
      </c>
    </row>
    <row r="6057" spans="1:6" ht="13.5" hidden="1" customHeight="1">
      <c r="A6057" s="4" t="s">
        <v>13889</v>
      </c>
      <c r="B6057" s="4" t="s">
        <v>13890</v>
      </c>
      <c r="C6057" s="4" t="str">
        <f ca="1">IFERROR(__xludf.DUMMYFUNCTION("GOOGLETRANSLATE(D:D,""auto"",""en"")"),"Brown sugar cake")</f>
        <v>Brown sugar cake</v>
      </c>
      <c r="D6057" s="5" t="s">
        <v>13891</v>
      </c>
      <c r="E6057" s="4">
        <v>965560</v>
      </c>
    </row>
    <row r="6058" spans="1:6" ht="13.5" hidden="1" customHeight="1">
      <c r="A6058" s="4" t="s">
        <v>13892</v>
      </c>
      <c r="B6058" s="4" t="s">
        <v>13893</v>
      </c>
      <c r="C6058" s="4" t="str">
        <f ca="1">IFERROR(__xludf.DUMMYFUNCTION("GOOGLETRANSLATE(D:D,""auto"",""en"")"),"Ren Jialun not roller-skating")</f>
        <v>Ren Jialun not roller-skating</v>
      </c>
      <c r="D6058" s="5" t="s">
        <v>13894</v>
      </c>
      <c r="E6058" s="4">
        <v>735740</v>
      </c>
    </row>
    <row r="6059" spans="1:6" ht="13.5" hidden="1" customHeight="1">
      <c r="A6059" s="4" t="s">
        <v>13895</v>
      </c>
      <c r="B6059" s="4" t="s">
        <v>13896</v>
      </c>
      <c r="C6059" s="4" t="str">
        <f ca="1">IFERROR(__xludf.DUMMYFUNCTION("GOOGLETRANSLATE(D:D,""auto"",""en"")"),"See you last egg")</f>
        <v>See you last egg</v>
      </c>
      <c r="D6059" s="5" t="s">
        <v>13897</v>
      </c>
      <c r="E6059" s="4">
        <v>674869</v>
      </c>
    </row>
    <row r="6060" spans="1:6" ht="13.5" hidden="1" customHeight="1">
      <c r="A6060" s="4" t="s">
        <v>13898</v>
      </c>
      <c r="B6060" s="4" t="s">
        <v>13899</v>
      </c>
      <c r="C6060" s="4" t="str">
        <f ca="1">IFERROR(__xludf.DUMMYFUNCTION("GOOGLETRANSLATE(D:D,""auto"",""en"")"),"United States within 14 months all NATO withdrawal from Afghanistan")</f>
        <v>United States within 14 months all NATO withdrawal from Afghanistan</v>
      </c>
      <c r="D6060" s="5" t="s">
        <v>13900</v>
      </c>
      <c r="E6060" s="4">
        <v>641564</v>
      </c>
    </row>
    <row r="6061" spans="1:6" ht="13.5" hidden="1" customHeight="1">
      <c r="A6061" s="4" t="s">
        <v>12063</v>
      </c>
      <c r="B6061" s="4" t="s">
        <v>12051</v>
      </c>
      <c r="C6061" s="4" t="str">
        <f ca="1">IFERROR(__xludf.DUMMYFUNCTION("GOOGLETRANSLATE(D:D,""auto"",""en"")"),"settle down")</f>
        <v>settle down</v>
      </c>
      <c r="D6061" s="5" t="s">
        <v>12064</v>
      </c>
      <c r="E6061" s="4">
        <v>582443</v>
      </c>
    </row>
    <row r="6062" spans="1:6" ht="13.5" customHeight="1">
      <c r="A6062" s="4" t="s">
        <v>13901</v>
      </c>
      <c r="B6062" s="4" t="s">
        <v>13902</v>
      </c>
      <c r="C6062" s="4" t="str">
        <f ca="1">IFERROR(__xludf.DUMMYFUNCTION("GOOGLETRANSLATE(D:D,""auto"",""en"")"),"Iran infected with a new virus crown member dies")</f>
        <v>Iran infected with a new virus crown member dies</v>
      </c>
      <c r="D6062" s="5" t="s">
        <v>13903</v>
      </c>
      <c r="E6062" s="4">
        <v>562226</v>
      </c>
      <c r="F6062">
        <v>1</v>
      </c>
    </row>
    <row r="6063" spans="1:6" ht="13.5" hidden="1" customHeight="1">
      <c r="A6063" s="4" t="s">
        <v>13904</v>
      </c>
      <c r="B6063" s="4" t="s">
        <v>13905</v>
      </c>
      <c r="C6063" s="4" t="str">
        <f ca="1">IFERROR(__xludf.DUMMYFUNCTION("GOOGLETRANSLATE(D:D,""auto"",""en"")"),"Pei Wei Yu")</f>
        <v>Pei Wei Yu</v>
      </c>
      <c r="D6063" s="5" t="s">
        <v>13906</v>
      </c>
      <c r="E6063" s="4">
        <v>556509</v>
      </c>
    </row>
    <row r="6064" spans="1:6" ht="13.5" customHeight="1">
      <c r="A6064" s="4" t="s">
        <v>13907</v>
      </c>
      <c r="B6064" s="4" t="s">
        <v>13908</v>
      </c>
      <c r="C6064" s="4" t="str">
        <f ca="1">IFERROR(__xludf.DUMMYFUNCTION("GOOGLETRANSLATE(D:D,""auto"",""en"")"),"Tibet rescue team of 16 people to lift all medical isolation")</f>
        <v>Tibet rescue team of 16 people to lift all medical isolation</v>
      </c>
      <c r="D6064" s="5" t="s">
        <v>13909</v>
      </c>
      <c r="E6064" s="4">
        <v>507306</v>
      </c>
      <c r="F6064">
        <v>1</v>
      </c>
    </row>
    <row r="6065" spans="1:6" ht="13.5" hidden="1" customHeight="1">
      <c r="A6065" s="4" t="s">
        <v>13910</v>
      </c>
      <c r="B6065" s="4" t="s">
        <v>13911</v>
      </c>
      <c r="C6065" s="4" t="str">
        <f ca="1">IFERROR(__xludf.DUMMYFUNCTION("GOOGLETRANSLATE(D:D,""auto"",""en"")"),"Xiaozhan")</f>
        <v>Xiaozhan</v>
      </c>
      <c r="D6065" s="5" t="s">
        <v>13912</v>
      </c>
      <c r="E6065" s="4">
        <v>507020</v>
      </c>
    </row>
    <row r="6066" spans="1:6" ht="13.5" hidden="1" customHeight="1">
      <c r="A6066" s="4" t="s">
        <v>13913</v>
      </c>
      <c r="B6066" s="4" t="s">
        <v>13772</v>
      </c>
      <c r="C6066" s="4" t="str">
        <f ca="1">IFERROR(__xludf.DUMMYFUNCTION("GOOGLETRANSLATE(D:D,""auto"",""en"")"),"This is not fast this period Xie Na")</f>
        <v>This is not fast this period Xie Na</v>
      </c>
      <c r="D6066" s="5" t="s">
        <v>13914</v>
      </c>
      <c r="E6066" s="4">
        <v>506648</v>
      </c>
    </row>
    <row r="6067" spans="1:6" ht="13.5" hidden="1" customHeight="1">
      <c r="A6067" s="4" t="s">
        <v>13915</v>
      </c>
      <c r="B6067" s="4" t="s">
        <v>13916</v>
      </c>
      <c r="C6067" s="4" t="str">
        <f ca="1">IFERROR(__xludf.DUMMYFUNCTION("GOOGLETRANSLATE(D:D,""auto"",""en"")"),"Copy circle of friends")</f>
        <v>Copy circle of friends</v>
      </c>
      <c r="D6067" s="5" t="s">
        <v>13917</v>
      </c>
      <c r="E6067" s="4">
        <v>505876</v>
      </c>
    </row>
    <row r="6068" spans="1:6" ht="13.5" hidden="1" customHeight="1">
      <c r="A6068" s="4" t="s">
        <v>13918</v>
      </c>
      <c r="B6068" s="4" t="s">
        <v>13919</v>
      </c>
      <c r="C6068" s="4" t="str">
        <f ca="1">IFERROR(__xludf.DUMMYFUNCTION("GOOGLETRANSLATE(D:D,""auto"",""en"")"),"All TV")</f>
        <v>All TV</v>
      </c>
      <c r="D6068" s="5" t="s">
        <v>13920</v>
      </c>
      <c r="E6068" s="4">
        <v>505406</v>
      </c>
    </row>
    <row r="6069" spans="1:6" ht="13.5" hidden="1" customHeight="1">
      <c r="A6069" s="4" t="s">
        <v>13921</v>
      </c>
      <c r="B6069" s="4" t="s">
        <v>13922</v>
      </c>
      <c r="C6069" s="4" t="str">
        <f ca="1">IFERROR(__xludf.DUMMYFUNCTION("GOOGLETRANSLATE(D:D,""auto"",""en"")"),"Orange light")</f>
        <v>Orange light</v>
      </c>
      <c r="D6069" s="5" t="s">
        <v>13923</v>
      </c>
      <c r="E6069" s="4">
        <v>504906</v>
      </c>
    </row>
    <row r="6070" spans="1:6" ht="13.5" hidden="1" customHeight="1">
      <c r="A6070" s="4" t="s">
        <v>13924</v>
      </c>
      <c r="B6070" s="4" t="s">
        <v>13925</v>
      </c>
      <c r="C6070" s="4" t="str">
        <f ca="1">IFERROR(__xludf.DUMMYFUNCTION("GOOGLETRANSLATE(D:D,""auto"",""en"")"),"Zhang Jieyun concert")</f>
        <v>Zhang Jieyun concert</v>
      </c>
      <c r="D6070" s="5" t="s">
        <v>13926</v>
      </c>
      <c r="E6070" s="4">
        <v>504598</v>
      </c>
    </row>
    <row r="6071" spans="1:6" ht="13.5" hidden="1" customHeight="1">
      <c r="A6071" s="4" t="s">
        <v>13927</v>
      </c>
      <c r="B6071" s="4" t="s">
        <v>13922</v>
      </c>
      <c r="C6071" s="4" t="str">
        <f ca="1">IFERROR(__xludf.DUMMYFUNCTION("GOOGLETRANSLATE(D:D,""auto"",""en"")"),"This is four years after you")</f>
        <v>This is four years after you</v>
      </c>
      <c r="D6071" s="5" t="s">
        <v>13928</v>
      </c>
      <c r="E6071" s="4">
        <v>504150</v>
      </c>
    </row>
    <row r="6072" spans="1:6" ht="13.5" hidden="1" customHeight="1">
      <c r="A6072" s="4" t="s">
        <v>13929</v>
      </c>
      <c r="B6072" s="4" t="s">
        <v>13930</v>
      </c>
      <c r="C6072" s="4" t="str">
        <f ca="1">IFERROR(__xludf.DUMMYFUNCTION("GOOGLETRANSLATE(D:D,""auto"",""en"")"),"Yiyangqianxi Cover")</f>
        <v>Yiyangqianxi Cover</v>
      </c>
      <c r="D6072" s="5" t="s">
        <v>13931</v>
      </c>
      <c r="E6072" s="4">
        <v>503322</v>
      </c>
    </row>
    <row r="6073" spans="1:6" ht="13.5" hidden="1" customHeight="1">
      <c r="A6073" s="4" t="s">
        <v>13932</v>
      </c>
      <c r="B6073" s="4" t="s">
        <v>13933</v>
      </c>
      <c r="C6073" s="4" t="str">
        <f ca="1">IFERROR(__xludf.DUMMYFUNCTION("GOOGLETRANSLATE(D:D,""auto"",""en"")"),"Four years ago today sent a circle of friends")</f>
        <v>Four years ago today sent a circle of friends</v>
      </c>
      <c r="D6073" s="5" t="s">
        <v>13934</v>
      </c>
      <c r="E6073" s="4">
        <v>503011</v>
      </c>
    </row>
    <row r="6074" spans="1:6" ht="13.5" hidden="1" customHeight="1">
      <c r="A6074" s="4" t="s">
        <v>13935</v>
      </c>
      <c r="B6074" s="4" t="s">
        <v>13936</v>
      </c>
      <c r="C6074" s="4" t="str">
        <f ca="1">IFERROR(__xludf.DUMMYFUNCTION("GOOGLETRANSLATE(D:D,""auto"",""en"")"),"Four years later in February 29")</f>
        <v>Four years later in February 29</v>
      </c>
      <c r="D6074" s="5" t="s">
        <v>13937</v>
      </c>
      <c r="E6074" s="4">
        <v>502229</v>
      </c>
    </row>
    <row r="6075" spans="1:6" ht="13.5" hidden="1" customHeight="1">
      <c r="A6075" s="4" t="s">
        <v>13938</v>
      </c>
      <c r="B6075" s="4" t="s">
        <v>13939</v>
      </c>
      <c r="C6075" s="4" t="str">
        <f ca="1">IFERROR(__xludf.DUMMYFUNCTION("GOOGLETRANSLATE(D:D,""auto"",""en"")"),"Daocheng in the end how beautiful")</f>
        <v>Daocheng in the end how beautiful</v>
      </c>
      <c r="D6075" s="5" t="s">
        <v>13940</v>
      </c>
      <c r="E6075" s="4">
        <v>502059</v>
      </c>
    </row>
    <row r="6076" spans="1:6" ht="13.5" hidden="1" customHeight="1">
      <c r="A6076" s="4" t="s">
        <v>13941</v>
      </c>
      <c r="B6076" s="4" t="s">
        <v>13942</v>
      </c>
      <c r="C6076" s="4" t="str">
        <f ca="1">IFERROR(__xludf.DUMMYFUNCTION("GOOGLETRANSLATE(D:D,""auto"",""en"")"),"The annual per capita monthly flow 7.82GB")</f>
        <v>The annual per capita monthly flow 7.82GB</v>
      </c>
      <c r="D6076" s="5" t="s">
        <v>13943</v>
      </c>
      <c r="E6076" s="4">
        <v>501575</v>
      </c>
    </row>
    <row r="6077" spans="1:6" ht="13.5" customHeight="1">
      <c r="A6077" s="4" t="s">
        <v>13944</v>
      </c>
      <c r="B6077" s="4" t="s">
        <v>13945</v>
      </c>
      <c r="C6077" s="4" t="str">
        <f ca="1">IFERROR(__xludf.DUMMYFUNCTION("GOOGLETRANSLATE(D:D,""auto"",""en"")"),"France spread of the epidemic into the second stage")</f>
        <v>France spread of the epidemic into the second stage</v>
      </c>
      <c r="D6077" s="5" t="s">
        <v>13946</v>
      </c>
      <c r="E6077" s="4">
        <v>441463</v>
      </c>
      <c r="F6077">
        <v>1</v>
      </c>
    </row>
    <row r="6078" spans="1:6" ht="13.5" hidden="1" customHeight="1">
      <c r="A6078" s="4" t="s">
        <v>13947</v>
      </c>
      <c r="B6078" s="4" t="s">
        <v>13948</v>
      </c>
      <c r="C6078" s="4" t="str">
        <f ca="1">IFERROR(__xludf.DUMMYFUNCTION("GOOGLETRANSLATE(D:D,""auto"",""en"")"),"The United States and the Taliban signed a peace agreement")</f>
        <v>The United States and the Taliban signed a peace agreement</v>
      </c>
      <c r="D6078" s="5" t="s">
        <v>13949</v>
      </c>
      <c r="E6078" s="4">
        <v>410952</v>
      </c>
    </row>
    <row r="6079" spans="1:6" ht="13.5" hidden="1" customHeight="1">
      <c r="A6079" s="4" t="s">
        <v>13950</v>
      </c>
      <c r="B6079" s="4" t="s">
        <v>13951</v>
      </c>
      <c r="C6079" s="4" t="str">
        <f ca="1">IFERROR(__xludf.DUMMYFUNCTION("GOOGLETRANSLATE(D:D,""auto"",""en"")"),"Chengdu Universiade date to be determined")</f>
        <v>Chengdu Universiade date to be determined</v>
      </c>
      <c r="D6079" s="5" t="s">
        <v>13952</v>
      </c>
      <c r="E6079" s="4">
        <v>409084</v>
      </c>
    </row>
    <row r="6080" spans="1:6" ht="13.5" hidden="1" customHeight="1">
      <c r="A6080" s="4" t="s">
        <v>13944</v>
      </c>
      <c r="B6080" s="4" t="s">
        <v>13953</v>
      </c>
      <c r="C6080" s="4" t="str">
        <f ca="1">IFERROR(__xludf.DUMMYFUNCTION("GOOGLETRANSLATE(D:D,""auto"",""en"")"),"Iron grill pan to make tofu")</f>
        <v>Iron grill pan to make tofu</v>
      </c>
      <c r="D6080" s="5" t="s">
        <v>13954</v>
      </c>
      <c r="E6080" s="4">
        <v>404360</v>
      </c>
    </row>
    <row r="6081" spans="1:6" ht="13.5" hidden="1" customHeight="1">
      <c r="A6081" s="4" t="s">
        <v>13955</v>
      </c>
      <c r="B6081" s="4" t="s">
        <v>13956</v>
      </c>
      <c r="C6081" s="4" t="str">
        <f ca="1">IFERROR(__xludf.DUMMYFUNCTION("GOOGLETRANSLATE(D:D,""auto"",""en"")"),"Lu Cheng-ting")</f>
        <v>Lu Cheng-ting</v>
      </c>
      <c r="D6081" s="5" t="s">
        <v>13957</v>
      </c>
      <c r="E6081" s="4">
        <v>399590</v>
      </c>
    </row>
    <row r="6082" spans="1:6" ht="13.5" hidden="1" customHeight="1">
      <c r="A6082" s="4" t="s">
        <v>13958</v>
      </c>
      <c r="B6082" s="4" t="s">
        <v>13908</v>
      </c>
      <c r="C6082" s="4" t="str">
        <f ca="1">IFERROR(__xludf.DUMMYFUNCTION("GOOGLETRANSLATE(D:D,""auto"",""en"")"),"Cai Xu Kun Happy Camp")</f>
        <v>Cai Xu Kun Happy Camp</v>
      </c>
      <c r="D6082" s="5" t="s">
        <v>13959</v>
      </c>
      <c r="E6082" s="4">
        <v>346494</v>
      </c>
    </row>
    <row r="6083" spans="1:6" ht="13.5" hidden="1" customHeight="1">
      <c r="A6083" s="4" t="s">
        <v>13960</v>
      </c>
      <c r="B6083" s="4" t="s">
        <v>13961</v>
      </c>
      <c r="C6083" s="4" t="str">
        <f ca="1">IFERROR(__xludf.DUMMYFUNCTION("GOOGLETRANSLATE(D:D,""auto"",""en"")"),"Chinese aid arrived in Tehran Iran expert group")</f>
        <v>Chinese aid arrived in Tehran Iran expert group</v>
      </c>
      <c r="D6083" s="5" t="s">
        <v>13962</v>
      </c>
      <c r="E6083" s="4">
        <v>343862</v>
      </c>
    </row>
    <row r="6084" spans="1:6" ht="13.5" hidden="1" customHeight="1">
      <c r="A6084" s="4" t="s">
        <v>13963</v>
      </c>
      <c r="B6084" s="4" t="s">
        <v>13890</v>
      </c>
      <c r="C6084" s="4" t="str">
        <f ca="1">IFERROR(__xludf.DUMMYFUNCTION("GOOGLETRANSLATE(D:D,""auto"",""en"")"),"Clutch cake Pizza")</f>
        <v>Clutch cake Pizza</v>
      </c>
      <c r="D6084" s="5" t="s">
        <v>13964</v>
      </c>
      <c r="E6084" s="4">
        <v>343485</v>
      </c>
    </row>
    <row r="6085" spans="1:6" ht="13.5" hidden="1" customHeight="1">
      <c r="A6085" s="4" t="s">
        <v>11378</v>
      </c>
      <c r="B6085" s="4" t="s">
        <v>11379</v>
      </c>
      <c r="C6085" s="4" t="str">
        <f ca="1">IFERROR(__xludf.DUMMYFUNCTION("GOOGLETRANSLATE(D:D,""auto"",""en"")"),"Perfect relationship")</f>
        <v>Perfect relationship</v>
      </c>
      <c r="D6085" s="5" t="s">
        <v>11380</v>
      </c>
      <c r="E6085" s="4">
        <v>335958</v>
      </c>
    </row>
    <row r="6086" spans="1:6" ht="13.5" hidden="1" customHeight="1">
      <c r="A6086" s="4" t="s">
        <v>13965</v>
      </c>
      <c r="B6086" s="4" t="s">
        <v>13966</v>
      </c>
      <c r="C6086" s="4" t="str">
        <f ca="1">IFERROR(__xludf.DUMMYFUNCTION("GOOGLETRANSLATE(D:D,""auto"",""en"")"),"Zhou Ziyu")</f>
        <v>Zhou Ziyu</v>
      </c>
      <c r="D6086" s="5" t="s">
        <v>13967</v>
      </c>
      <c r="E6086" s="4">
        <v>331306</v>
      </c>
    </row>
    <row r="6087" spans="1:6" ht="13.5" customHeight="1">
      <c r="A6087" s="4" t="s">
        <v>13968</v>
      </c>
      <c r="B6087" s="4" t="s">
        <v>13969</v>
      </c>
      <c r="C6087" s="4" t="str">
        <f ca="1">IFERROR(__xludf.DUMMYFUNCTION("GOOGLETRANSLATE(D:D,""auto"",""en"")"),"South Korea's new total of 3150 cases of pneumonia crown")</f>
        <v>South Korea's new total of 3150 cases of pneumonia crown</v>
      </c>
      <c r="D6087" s="5" t="s">
        <v>13970</v>
      </c>
      <c r="E6087" s="4">
        <v>320592</v>
      </c>
      <c r="F6087">
        <v>1</v>
      </c>
    </row>
    <row r="6088" spans="1:6" ht="13.5" hidden="1" customHeight="1">
      <c r="A6088" s="4" t="s">
        <v>974</v>
      </c>
      <c r="B6088" s="4" t="s">
        <v>975</v>
      </c>
      <c r="C6088" s="4" t="str">
        <f ca="1">IFERROR(__xludf.DUMMYFUNCTION("GOOGLETRANSLATE(D:D,""auto"",""en"")"),"Sound clinical environment")</f>
        <v>Sound clinical environment</v>
      </c>
      <c r="D6088" s="5" t="s">
        <v>976</v>
      </c>
      <c r="E6088" s="4">
        <v>308521</v>
      </c>
    </row>
    <row r="6089" spans="1:6" ht="13.5" customHeight="1">
      <c r="A6089" s="4" t="s">
        <v>13971</v>
      </c>
      <c r="B6089" s="4" t="s">
        <v>13972</v>
      </c>
      <c r="C6089" s="4" t="str">
        <f ca="1">IFERROR(__xludf.DUMMYFUNCTION("GOOGLETRANSLATE(D:D,""auto"",""en"")"),"Yuan Longping donated 100,000 yuan to support the fight against SARS in Hubei")</f>
        <v>Yuan Longping donated 100,000 yuan to support the fight against SARS in Hubei</v>
      </c>
      <c r="D6089" s="5" t="s">
        <v>13973</v>
      </c>
      <c r="E6089" s="4">
        <v>287728</v>
      </c>
      <c r="F6089">
        <v>1</v>
      </c>
    </row>
    <row r="6090" spans="1:6" ht="13.5" hidden="1" customHeight="1">
      <c r="A6090" s="4" t="s">
        <v>7016</v>
      </c>
      <c r="B6090" s="4" t="s">
        <v>7017</v>
      </c>
      <c r="C6090" s="4" t="str">
        <f ca="1">IFERROR(__xludf.DUMMYFUNCTION("GOOGLETRANSLATE(D:D,""auto"",""en"")"),"Large presided over")</f>
        <v>Large presided over</v>
      </c>
      <c r="D6090" s="5" t="s">
        <v>7018</v>
      </c>
      <c r="E6090" s="4">
        <v>261722</v>
      </c>
    </row>
    <row r="6091" spans="1:6" ht="13.5" hidden="1" customHeight="1">
      <c r="A6091" s="4" t="s">
        <v>13974</v>
      </c>
      <c r="B6091" s="4" t="s">
        <v>13975</v>
      </c>
      <c r="C6091" s="4" t="str">
        <f ca="1">IFERROR(__xludf.DUMMYFUNCTION("GOOGLETRANSLATE(D:D,""auto"",""en"")"),"Shanghai Costco supermarket Penthouse Black smoke")</f>
        <v>Shanghai Costco supermarket Penthouse Black smoke</v>
      </c>
      <c r="D6091" s="5" t="s">
        <v>13976</v>
      </c>
      <c r="E6091" s="4">
        <v>257282</v>
      </c>
    </row>
    <row r="6092" spans="1:6" ht="13.5" hidden="1" customHeight="1">
      <c r="A6092" s="4" t="s">
        <v>13403</v>
      </c>
      <c r="B6092" s="4" t="s">
        <v>13404</v>
      </c>
      <c r="C6092" s="4" t="str">
        <f ca="1">IFERROR(__xludf.DUMMYFUNCTION("GOOGLETRANSLATE(D:D,""auto"",""en"")"),"Permanent residence regulations for foreigners")</f>
        <v>Permanent residence regulations for foreigners</v>
      </c>
      <c r="D6092" s="5" t="s">
        <v>13405</v>
      </c>
      <c r="E6092" s="4">
        <v>252794</v>
      </c>
    </row>
    <row r="6093" spans="1:6" ht="13.5" hidden="1" customHeight="1">
      <c r="A6093" s="4" t="s">
        <v>13977</v>
      </c>
      <c r="B6093" s="4" t="s">
        <v>13978</v>
      </c>
      <c r="C6093" s="4" t="str">
        <f ca="1">IFERROR(__xludf.DUMMYFUNCTION("GOOGLETRANSLATE(D:D,""auto"",""en"")"),"Petition to make new tidbits")</f>
        <v>Petition to make new tidbits</v>
      </c>
      <c r="D6093" s="5" t="s">
        <v>13979</v>
      </c>
      <c r="E6093" s="4">
        <v>251584</v>
      </c>
    </row>
    <row r="6094" spans="1:6" ht="13.5" customHeight="1">
      <c r="A6094" s="4" t="s">
        <v>13980</v>
      </c>
      <c r="B6094" s="4" t="s">
        <v>13981</v>
      </c>
      <c r="C6094" s="4" t="str">
        <f ca="1">IFERROR(__xludf.DUMMYFUNCTION("GOOGLETRANSLATE(D:D,""auto"",""en"")"),"Beijing Children's Hospital diagnosed in children one cases")</f>
        <v>Beijing Children's Hospital diagnosed in children one cases</v>
      </c>
      <c r="D6094" s="5" t="s">
        <v>13982</v>
      </c>
      <c r="E6094" s="4">
        <v>234927</v>
      </c>
      <c r="F6094">
        <v>1</v>
      </c>
    </row>
    <row r="6095" spans="1:6" ht="13.5" hidden="1" customHeight="1">
      <c r="A6095" s="4" t="s">
        <v>13983</v>
      </c>
      <c r="B6095" s="4" t="s">
        <v>13984</v>
      </c>
      <c r="C6095" s="4" t="str">
        <f ca="1">IFERROR(__xludf.DUMMYFUNCTION("GOOGLETRANSLATE(D:D,""auto"",""en"")"),"pope")</f>
        <v>pope</v>
      </c>
      <c r="D6095" s="5" t="s">
        <v>13985</v>
      </c>
      <c r="E6095" s="4">
        <v>233667</v>
      </c>
    </row>
    <row r="6096" spans="1:6" ht="13.5" hidden="1" customHeight="1">
      <c r="A6096" s="4" t="s">
        <v>13907</v>
      </c>
      <c r="B6096" s="4" t="s">
        <v>13986</v>
      </c>
      <c r="C6096" s="4" t="str">
        <f ca="1">IFERROR(__xludf.DUMMYFUNCTION("GOOGLETRANSLATE(D:D,""auto"",""en"")"),"Caesar Award departure caused protests")</f>
        <v>Caesar Award departure caused protests</v>
      </c>
      <c r="D6096" s="5" t="s">
        <v>13987</v>
      </c>
      <c r="E6096" s="4">
        <v>233428</v>
      </c>
    </row>
    <row r="6097" spans="1:6" ht="13.5" hidden="1" customHeight="1">
      <c r="A6097" s="4" t="s">
        <v>13988</v>
      </c>
      <c r="B6097" s="4" t="s">
        <v>13989</v>
      </c>
      <c r="C6097" s="4" t="str">
        <f ca="1">IFERROR(__xludf.DUMMYFUNCTION("GOOGLETRANSLATE(D:D,""auto"",""en"")"),"Tianjin two nucleic acid complex positive patients discharged from hospital readmissions")</f>
        <v>Tianjin two nucleic acid complex positive patients discharged from hospital readmissions</v>
      </c>
      <c r="D6097" s="5" t="s">
        <v>13990</v>
      </c>
      <c r="E6097" s="4">
        <v>225817</v>
      </c>
    </row>
    <row r="6098" spans="1:6" ht="13.5" hidden="1" customHeight="1">
      <c r="A6098" s="4" t="s">
        <v>13991</v>
      </c>
      <c r="B6098" s="4" t="s">
        <v>13992</v>
      </c>
      <c r="C6098" s="4" t="str">
        <f ca="1">IFERROR(__xludf.DUMMYFUNCTION("GOOGLETRANSLATE(D:D,""auto"",""en"")"),"Yogurt pancakes")</f>
        <v>Yogurt pancakes</v>
      </c>
      <c r="D6098" s="5" t="s">
        <v>13993</v>
      </c>
      <c r="E6098" s="4">
        <v>158889</v>
      </c>
    </row>
    <row r="6099" spans="1:6" ht="13.5" customHeight="1">
      <c r="A6099" s="4" t="s">
        <v>13994</v>
      </c>
      <c r="B6099" s="4" t="s">
        <v>13995</v>
      </c>
      <c r="C6099" s="4" t="str">
        <f ca="1">IFERROR(__xludf.DUMMYFUNCTION("GOOGLETRANSLATE(D:D,""auto"",""en"")"),"Wuhan priority takeaway delivery back post")</f>
        <v>Wuhan priority takeaway delivery back post</v>
      </c>
      <c r="D6099" s="5" t="s">
        <v>13996</v>
      </c>
      <c r="E6099" s="4">
        <v>136547</v>
      </c>
      <c r="F6099">
        <v>1</v>
      </c>
    </row>
    <row r="6100" spans="1:6" ht="13.5" hidden="1" customHeight="1">
      <c r="C6100" s="4" t="str">
        <f ca="1">IFERROR(__xludf.DUMMYFUNCTION("GOOGLETRANSLATE(D:D,""auto"",""en"")"),"#VALUE!")</f>
        <v>#VALUE!</v>
      </c>
    </row>
    <row r="6101" spans="1:6" ht="13.5" customHeight="1">
      <c r="A6101" s="4" t="s">
        <v>13997</v>
      </c>
      <c r="B6101" s="4" t="s">
        <v>13929</v>
      </c>
      <c r="C6101" s="4" t="str">
        <f ca="1">IFERROR(__xludf.DUMMYFUNCTION("GOOGLETRANSLATE(D:D,""auto"",""en"")"),"80 Chinese citizens in Russia's isolation was not real abuse")</f>
        <v>80 Chinese citizens in Russia's isolation was not real abuse</v>
      </c>
      <c r="D6101" s="4" t="s">
        <v>13998</v>
      </c>
      <c r="E6101" s="4">
        <v>3073138</v>
      </c>
      <c r="F6101">
        <v>1</v>
      </c>
    </row>
    <row r="6102" spans="1:6" ht="13.5" customHeight="1">
      <c r="A6102" s="4" t="s">
        <v>13999</v>
      </c>
      <c r="B6102" s="4" t="s">
        <v>14000</v>
      </c>
      <c r="C6102" s="4" t="str">
        <f ca="1">IFERROR(__xludf.DUMMYFUNCTION("GOOGLETRANSLATE(D:D,""auto"",""en"")"),"Korea experts said the worst-case scenario is 40% national infection")</f>
        <v>Korea experts said the worst-case scenario is 40% national infection</v>
      </c>
      <c r="D6102" s="5" t="s">
        <v>14001</v>
      </c>
      <c r="E6102" s="4">
        <v>2662624</v>
      </c>
      <c r="F6102">
        <v>1</v>
      </c>
    </row>
    <row r="6103" spans="1:6" ht="13.5" customHeight="1">
      <c r="A6103" s="4" t="s">
        <v>14002</v>
      </c>
      <c r="B6103" s="4" t="s">
        <v>14003</v>
      </c>
      <c r="C6103" s="4" t="str">
        <f ca="1">IFERROR(__xludf.DUMMYFUNCTION("GOOGLETRANSLATE(D:D,""auto"",""en"")"),"Korean-born 45 days of infants infected with pneumonia new crown")</f>
        <v>Korean-born 45 days of infants infected with pneumonia new crown</v>
      </c>
      <c r="D6103" s="5" t="s">
        <v>14004</v>
      </c>
      <c r="E6103" s="4">
        <v>1698965</v>
      </c>
      <c r="F6103">
        <v>1</v>
      </c>
    </row>
    <row r="6104" spans="1:6" ht="13.5" hidden="1" customHeight="1">
      <c r="A6104" s="4" t="s">
        <v>14005</v>
      </c>
      <c r="B6104" s="4" t="s">
        <v>14006</v>
      </c>
      <c r="C6104" s="4" t="str">
        <f ca="1">IFERROR(__xludf.DUMMYFUNCTION("GOOGLETRANSLATE(D:D,""auto"",""en"")"),"Existing deficiencies thousand suspected cases")</f>
        <v>Existing deficiencies thousand suspected cases</v>
      </c>
      <c r="D6104" s="5" t="s">
        <v>14007</v>
      </c>
      <c r="E6104" s="4">
        <v>1600979</v>
      </c>
    </row>
    <row r="6105" spans="1:6" ht="13.5" customHeight="1">
      <c r="A6105" s="4" t="s">
        <v>14008</v>
      </c>
      <c r="B6105" s="4" t="s">
        <v>14009</v>
      </c>
      <c r="C6105" s="4" t="str">
        <f ca="1">IFERROR(__xludf.DUMMYFUNCTION("GOOGLETRANSLATE(D:D,""auto"",""en"")"),"The new crown the world's first lung transplant patients with pneumonia success")</f>
        <v>The new crown the world's first lung transplant patients with pneumonia success</v>
      </c>
      <c r="D6105" s="5" t="s">
        <v>14010</v>
      </c>
      <c r="E6105" s="4">
        <v>1286472</v>
      </c>
      <c r="F6105">
        <v>1</v>
      </c>
    </row>
    <row r="6106" spans="1:6" ht="13.5" customHeight="1">
      <c r="A6106" s="4" t="s">
        <v>14008</v>
      </c>
      <c r="B6106" s="4" t="s">
        <v>13941</v>
      </c>
      <c r="C6106" s="4" t="str">
        <f ca="1">IFERROR(__xludf.DUMMYFUNCTION("GOOGLETRANSLATE(D:D,""auto"",""en"")"),"China will donate 5,000 sets of protective clothing Japan")</f>
        <v>China will donate 5,000 sets of protective clothing Japan</v>
      </c>
      <c r="D6106" s="5" t="s">
        <v>14011</v>
      </c>
      <c r="E6106" s="4">
        <v>1246458</v>
      </c>
      <c r="F6106">
        <v>1</v>
      </c>
    </row>
    <row r="6107" spans="1:6" ht="13.5" hidden="1" customHeight="1">
      <c r="A6107" s="4" t="s">
        <v>14012</v>
      </c>
      <c r="B6107" s="4" t="s">
        <v>14013</v>
      </c>
      <c r="C6107" s="4" t="str">
        <f ca="1">IFERROR(__xludf.DUMMYFUNCTION("GOOGLETRANSLATE(D:D,""auto"",""en"")"),"March")</f>
        <v>March</v>
      </c>
      <c r="D6107" s="5" t="s">
        <v>14014</v>
      </c>
      <c r="E6107" s="4">
        <v>1246103</v>
      </c>
    </row>
    <row r="6108" spans="1:6" ht="13.5" hidden="1" customHeight="1">
      <c r="A6108" s="4" t="s">
        <v>13877</v>
      </c>
      <c r="B6108" s="4" t="s">
        <v>13878</v>
      </c>
      <c r="C6108" s="4" t="str">
        <f ca="1">IFERROR(__xludf.DUMMYFUNCTION("GOOGLETRANSLATE(D:D,""auto"",""en"")"),"Distressed nine hundred eighty-five")</f>
        <v>Distressed nine hundred eighty-five</v>
      </c>
      <c r="D6108" s="5" t="s">
        <v>13879</v>
      </c>
      <c r="E6108" s="4">
        <v>1233427</v>
      </c>
    </row>
    <row r="6109" spans="1:6" ht="13.5" hidden="1" customHeight="1">
      <c r="A6109" s="4" t="s">
        <v>13889</v>
      </c>
      <c r="B6109" s="4" t="s">
        <v>13890</v>
      </c>
      <c r="C6109" s="4" t="str">
        <f ca="1">IFERROR(__xludf.DUMMYFUNCTION("GOOGLETRANSLATE(D:D,""auto"",""en"")"),"Brown sugar cake")</f>
        <v>Brown sugar cake</v>
      </c>
      <c r="D6109" s="5" t="s">
        <v>13891</v>
      </c>
      <c r="E6109" s="4">
        <v>1219433</v>
      </c>
    </row>
    <row r="6110" spans="1:6" ht="13.5" hidden="1" customHeight="1">
      <c r="A6110" s="4" t="s">
        <v>13868</v>
      </c>
      <c r="B6110" s="4" t="s">
        <v>13869</v>
      </c>
      <c r="C6110" s="4" t="str">
        <f ca="1">IFERROR(__xludf.DUMMYFUNCTION("GOOGLETRANSLATE(D:D,""auto"",""en"")"),"March banned the network violent human flesh search")</f>
        <v>March banned the network violent human flesh search</v>
      </c>
      <c r="D6110" s="5" t="s">
        <v>13870</v>
      </c>
      <c r="E6110" s="4">
        <v>1209861</v>
      </c>
    </row>
    <row r="6111" spans="1:6" ht="13.5" customHeight="1">
      <c r="A6111" s="4" t="s">
        <v>14015</v>
      </c>
      <c r="B6111" s="4" t="s">
        <v>13960</v>
      </c>
      <c r="C6111" s="4" t="str">
        <f ca="1">IFERROR(__xludf.DUMMYFUNCTION("GOOGLETRANSLATE(D:D,""auto"",""en"")"),"The national total of 79,824 cases of pneumonia diagnosed with the new crown")</f>
        <v>The national total of 79,824 cases of pneumonia diagnosed with the new crown</v>
      </c>
      <c r="D6111" s="5" t="s">
        <v>14016</v>
      </c>
      <c r="E6111" s="4">
        <v>1204010</v>
      </c>
      <c r="F6111">
        <v>1</v>
      </c>
    </row>
    <row r="6112" spans="1:6" ht="13.5" customHeight="1">
      <c r="A6112" s="4" t="s">
        <v>14017</v>
      </c>
      <c r="B6112" s="4" t="s">
        <v>14018</v>
      </c>
      <c r="C6112" s="4" t="str">
        <f ca="1">IFERROR(__xludf.DUMMYFUNCTION("GOOGLETRANSLATE(D:D,""auto"",""en"")"),"South Korea confirmed a total of 3526 cases of pneumonia new crown")</f>
        <v>South Korea confirmed a total of 3526 cases of pneumonia new crown</v>
      </c>
      <c r="D6112" s="5" t="s">
        <v>14019</v>
      </c>
      <c r="E6112" s="4">
        <v>1188385</v>
      </c>
      <c r="F6112">
        <v>1</v>
      </c>
    </row>
    <row r="6113" spans="1:6" ht="13.5" customHeight="1">
      <c r="A6113" s="4" t="s">
        <v>14020</v>
      </c>
      <c r="B6113" s="4" t="s">
        <v>14021</v>
      </c>
      <c r="C6113" s="4" t="str">
        <f ca="1">IFERROR(__xludf.DUMMYFUNCTION("GOOGLETRANSLATE(D:D,""auto"",""en"")"),"US first case of the new crown pneumonia deaths")</f>
        <v>US first case of the new crown pneumonia deaths</v>
      </c>
      <c r="D6113" s="5" t="s">
        <v>14022</v>
      </c>
      <c r="E6113" s="4">
        <v>1186561</v>
      </c>
      <c r="F6113">
        <v>1</v>
      </c>
    </row>
    <row r="6114" spans="1:6" ht="13.5" customHeight="1">
      <c r="A6114" s="4" t="s">
        <v>14023</v>
      </c>
      <c r="B6114" s="4" t="s">
        <v>14024</v>
      </c>
      <c r="C6114" s="4" t="str">
        <f ca="1">IFERROR(__xludf.DUMMYFUNCTION("GOOGLETRANSLATE(D:D,""auto"",""en"")"),"Eighty percent complete postal services resumed production complex task")</f>
        <v>Eighty percent complete postal services resumed production complex task</v>
      </c>
      <c r="D6114" s="5" t="s">
        <v>14025</v>
      </c>
      <c r="E6114" s="4">
        <v>1177651</v>
      </c>
      <c r="F6114">
        <v>1</v>
      </c>
    </row>
    <row r="6115" spans="1:6" ht="13.5" customHeight="1">
      <c r="A6115" s="4" t="s">
        <v>14026</v>
      </c>
      <c r="B6115" s="4" t="s">
        <v>14027</v>
      </c>
      <c r="C6115" s="4" t="str">
        <f ca="1">IFERROR(__xludf.DUMMYFUNCTION("GOOGLETRANSLATE(D:D,""auto"",""en"")"),"4 Iranian passengers back to China arrived in Beijing focused observed after 14 days")</f>
        <v>4 Iranian passengers back to China arrived in Beijing focused observed after 14 days</v>
      </c>
      <c r="D6115" s="5" t="s">
        <v>14028</v>
      </c>
      <c r="E6115" s="4">
        <v>1164798</v>
      </c>
      <c r="F6115">
        <v>1</v>
      </c>
    </row>
    <row r="6116" spans="1:6" ht="13.5" customHeight="1">
      <c r="A6116" s="4" t="s">
        <v>14029</v>
      </c>
      <c r="B6116" s="4" t="s">
        <v>14030</v>
      </c>
      <c r="C6116" s="4" t="str">
        <f ca="1">IFERROR(__xludf.DUMMYFUNCTION("GOOGLETRANSLATE(D:D,""auto"",""en"")"),"Trump's first new crown pneumonia dead wrong sex")</f>
        <v>Trump's first new crown pneumonia dead wrong sex</v>
      </c>
      <c r="D6116" s="5" t="s">
        <v>14031</v>
      </c>
      <c r="E6116" s="4">
        <v>1157554</v>
      </c>
      <c r="F6116">
        <v>1</v>
      </c>
    </row>
    <row r="6117" spans="1:6" ht="13.5" hidden="1" customHeight="1">
      <c r="A6117" s="4" t="s">
        <v>14032</v>
      </c>
      <c r="B6117" s="4" t="s">
        <v>14033</v>
      </c>
      <c r="C6117" s="4" t="str">
        <f ca="1">IFERROR(__xludf.DUMMYFUNCTION("GOOGLETRANSLATE(D:D,""auto"",""en"")"),"Huang Lei Dilly Reba concern over words")</f>
        <v>Huang Lei Dilly Reba concern over words</v>
      </c>
      <c r="D6117" s="5" t="s">
        <v>14034</v>
      </c>
      <c r="E6117" s="4">
        <v>1148698</v>
      </c>
    </row>
    <row r="6118" spans="1:6" ht="13.5" hidden="1" customHeight="1">
      <c r="A6118" s="4" t="s">
        <v>14035</v>
      </c>
      <c r="B6118" s="4" t="s">
        <v>13941</v>
      </c>
      <c r="C6118" s="4" t="str">
        <f ca="1">IFERROR(__xludf.DUMMYFUNCTION("GOOGLETRANSLATE(D:D,""auto"",""en"")"),"Mahatetsubu")</f>
        <v>Mahatetsubu</v>
      </c>
      <c r="D6118" s="5" t="s">
        <v>14036</v>
      </c>
      <c r="E6118" s="4">
        <v>1138003</v>
      </c>
    </row>
    <row r="6119" spans="1:6" ht="13.5" hidden="1" customHeight="1">
      <c r="A6119" s="4" t="s">
        <v>10721</v>
      </c>
      <c r="B6119" s="4" t="s">
        <v>10722</v>
      </c>
      <c r="C6119" s="4" t="str">
        <f ca="1">IFERROR(__xludf.DUMMYFUNCTION("GOOGLETRANSLATE(D:D,""auto"",""en"")"),"Chalk mold test")</f>
        <v>Chalk mold test</v>
      </c>
      <c r="D6119" s="5" t="s">
        <v>10723</v>
      </c>
      <c r="E6119" s="4">
        <v>1122536</v>
      </c>
    </row>
    <row r="6120" spans="1:6" ht="13.5" hidden="1" customHeight="1">
      <c r="A6120" s="4" t="s">
        <v>13910</v>
      </c>
      <c r="B6120" s="4" t="s">
        <v>13911</v>
      </c>
      <c r="C6120" s="4" t="str">
        <f ca="1">IFERROR(__xludf.DUMMYFUNCTION("GOOGLETRANSLATE(D:D,""auto"",""en"")"),"Xiaozhan")</f>
        <v>Xiaozhan</v>
      </c>
      <c r="D6120" s="5" t="s">
        <v>13912</v>
      </c>
      <c r="E6120" s="4">
        <v>1120105</v>
      </c>
    </row>
    <row r="6121" spans="1:6" ht="13.5" hidden="1" customHeight="1">
      <c r="A6121" s="4" t="s">
        <v>14037</v>
      </c>
      <c r="B6121" s="4" t="s">
        <v>14038</v>
      </c>
      <c r="C6121" s="4" t="str">
        <f ca="1">IFERROR(__xludf.DUMMYFUNCTION("GOOGLETRANSLATE(D:D,""auto"",""en"")"),"Russian net red birthday to pour 30 kg of dry ice bath")</f>
        <v>Russian net red birthday to pour 30 kg of dry ice bath</v>
      </c>
      <c r="D6121" s="5" t="s">
        <v>14039</v>
      </c>
      <c r="E6121" s="4">
        <v>1113409</v>
      </c>
    </row>
    <row r="6122" spans="1:6" ht="13.5" customHeight="1">
      <c r="A6122" s="4" t="s">
        <v>14040</v>
      </c>
      <c r="B6122" s="4" t="s">
        <v>13941</v>
      </c>
      <c r="C6122" s="4" t="str">
        <f ca="1">IFERROR(__xludf.DUMMYFUNCTION("GOOGLETRANSLATE(D:D,""auto"",""en"")"),"Isolation of Man was driven out 21 days after the return to work")</f>
        <v>Isolation of Man was driven out 21 days after the return to work</v>
      </c>
      <c r="D6122" s="5" t="s">
        <v>14041</v>
      </c>
      <c r="E6122" s="4">
        <v>872197</v>
      </c>
      <c r="F6122">
        <v>1</v>
      </c>
    </row>
    <row r="6123" spans="1:6" ht="13.5" hidden="1" customHeight="1">
      <c r="A6123" s="4" t="s">
        <v>14042</v>
      </c>
      <c r="B6123" s="4" t="s">
        <v>14043</v>
      </c>
      <c r="C6123" s="4" t="str">
        <f ca="1">IFERROR(__xludf.DUMMYFUNCTION("GOOGLETRANSLATE(D:D,""auto"",""en"")"),"Potato pancakes, fruit")</f>
        <v>Potato pancakes, fruit</v>
      </c>
      <c r="D6123" s="5" t="s">
        <v>14044</v>
      </c>
      <c r="E6123" s="4">
        <v>855639</v>
      </c>
    </row>
    <row r="6124" spans="1:6" ht="13.5" hidden="1" customHeight="1">
      <c r="A6124" s="4" t="s">
        <v>14045</v>
      </c>
      <c r="B6124" s="4" t="s">
        <v>14003</v>
      </c>
      <c r="C6124" s="4" t="str">
        <f ca="1">IFERROR(__xludf.DUMMYFUNCTION("GOOGLETRANSLATE(D:D,""auto"",""en"")"),"LPR")</f>
        <v>LPR</v>
      </c>
      <c r="D6124" s="5" t="s">
        <v>14046</v>
      </c>
      <c r="E6124" s="4">
        <v>849715</v>
      </c>
    </row>
    <row r="6125" spans="1:6" ht="13.5" hidden="1" customHeight="1">
      <c r="A6125" s="4" t="s">
        <v>14047</v>
      </c>
      <c r="B6125" s="4" t="s">
        <v>14048</v>
      </c>
      <c r="C6125" s="4" t="str">
        <f ca="1">IFERROR(__xludf.DUMMYFUNCTION("GOOGLETRANSLATE(D:D,""auto"",""en"")"),"Chengmin Li")</f>
        <v>Chengmin Li</v>
      </c>
      <c r="D6125" s="5" t="s">
        <v>14049</v>
      </c>
      <c r="E6125" s="4">
        <v>849555</v>
      </c>
    </row>
    <row r="6126" spans="1:6" ht="13.5" hidden="1" customHeight="1">
      <c r="A6126" s="4" t="s">
        <v>14050</v>
      </c>
      <c r="B6126" s="4" t="s">
        <v>13941</v>
      </c>
      <c r="C6126" s="4" t="str">
        <f ca="1">IFERROR(__xludf.DUMMYFUNCTION("GOOGLETRANSLATE(D:D,""auto"",""en"")"),"Li Hongbin")</f>
        <v>Li Hongbin</v>
      </c>
      <c r="D6126" s="5" t="s">
        <v>14051</v>
      </c>
      <c r="E6126" s="4">
        <v>708648</v>
      </c>
    </row>
    <row r="6127" spans="1:6" ht="13.5" hidden="1" customHeight="1">
      <c r="A6127" s="4" t="s">
        <v>14052</v>
      </c>
      <c r="B6127" s="4" t="s">
        <v>14053</v>
      </c>
      <c r="C6127" s="4" t="str">
        <f ca="1">IFERROR(__xludf.DUMMYFUNCTION("GOOGLETRANSLATE(D:D,""auto"",""en"")"),"A true portrayal of women chasing men")</f>
        <v>A true portrayal of women chasing men</v>
      </c>
      <c r="D6127" s="5" t="s">
        <v>14054</v>
      </c>
      <c r="E6127" s="4">
        <v>586395</v>
      </c>
    </row>
    <row r="6128" spans="1:6" ht="13.5" customHeight="1">
      <c r="A6128" s="4" t="s">
        <v>14055</v>
      </c>
      <c r="B6128" s="4" t="s">
        <v>14056</v>
      </c>
      <c r="C6128" s="4" t="str">
        <f ca="1">IFERROR(__xludf.DUMMYFUNCTION("GOOGLETRANSLATE(D:D,""auto"",""en"")"),"Hubei Armed Police rush to transport goods to support the fight against SARS")</f>
        <v>Hubei Armed Police rush to transport goods to support the fight against SARS</v>
      </c>
      <c r="D6128" s="5" t="s">
        <v>14057</v>
      </c>
      <c r="E6128" s="4">
        <v>572899</v>
      </c>
      <c r="F6128">
        <v>1</v>
      </c>
    </row>
    <row r="6129" spans="1:6" ht="13.5" hidden="1" customHeight="1">
      <c r="A6129" s="4" t="s">
        <v>14058</v>
      </c>
      <c r="B6129" s="4" t="s">
        <v>13941</v>
      </c>
      <c r="C6129" s="4" t="str">
        <f ca="1">IFERROR(__xludf.DUMMYFUNCTION("GOOGLETRANSLATE(D:D,""auto"",""en"")"),"Yi Xi smelt one thousand intellectual family GQ Cover")</f>
        <v>Yi Xi smelt one thousand intellectual family GQ Cover</v>
      </c>
      <c r="D6129" s="5" t="s">
        <v>14059</v>
      </c>
      <c r="E6129" s="4">
        <v>565099</v>
      </c>
    </row>
    <row r="6130" spans="1:6" ht="13.5" customHeight="1">
      <c r="A6130" s="4" t="s">
        <v>14060</v>
      </c>
      <c r="B6130" s="4" t="s">
        <v>14061</v>
      </c>
      <c r="C6130" s="4" t="str">
        <f ca="1">IFERROR(__xludf.DUMMYFUNCTION("GOOGLETRANSLATE(D:D,""auto"",""en"")"),"Vulcan Hill Hospital Edition Mask")</f>
        <v>Vulcan Hill Hospital Edition Mask</v>
      </c>
      <c r="D6130" s="5" t="s">
        <v>14062</v>
      </c>
      <c r="E6130" s="4">
        <v>564138</v>
      </c>
      <c r="F6130">
        <v>1</v>
      </c>
    </row>
    <row r="6131" spans="1:6" ht="13.5" customHeight="1">
      <c r="A6131" s="4" t="s">
        <v>14063</v>
      </c>
      <c r="B6131" s="4" t="s">
        <v>14064</v>
      </c>
      <c r="C6131" s="4" t="str">
        <f ca="1">IFERROR(__xludf.DUMMYFUNCTION("GOOGLETRANSLATE(D:D,""auto"",""en"")"),"Zhang Boli Hubei provinces and cities in addition to the end of April removable mask")</f>
        <v>Zhang Boli Hubei provinces and cities in addition to the end of April removable mask</v>
      </c>
      <c r="D6131" s="5" t="s">
        <v>14065</v>
      </c>
      <c r="E6131" s="4">
        <v>499275</v>
      </c>
      <c r="F6131">
        <v>1</v>
      </c>
    </row>
    <row r="6132" spans="1:6" ht="13.5" customHeight="1">
      <c r="A6132" s="4" t="s">
        <v>14066</v>
      </c>
      <c r="B6132" s="4" t="s">
        <v>14067</v>
      </c>
      <c r="C6132" s="4" t="str">
        <f ca="1">IFERROR(__xludf.DUMMYFUNCTION("GOOGLETRANSLATE(D:D,""auto"",""en"")"),"Shelter hospital reading the extravehicular brother")</f>
        <v>Shelter hospital reading the extravehicular brother</v>
      </c>
      <c r="D6132" s="5" t="s">
        <v>14068</v>
      </c>
      <c r="E6132" s="4">
        <v>497227</v>
      </c>
      <c r="F6132">
        <v>1</v>
      </c>
    </row>
    <row r="6133" spans="1:6" ht="13.5" customHeight="1">
      <c r="A6133" s="4" t="s">
        <v>14069</v>
      </c>
      <c r="B6133" s="4" t="s">
        <v>14070</v>
      </c>
      <c r="C6133" s="4" t="str">
        <f ca="1">IFERROR(__xludf.DUMMYFUNCTION("GOOGLETRANSLATE(D:D,""auto"",""en"")"),"Wuhan community workers is a thank you cry")</f>
        <v>Wuhan community workers is a thank you cry</v>
      </c>
      <c r="D6133" s="5" t="s">
        <v>14071</v>
      </c>
      <c r="E6133" s="4">
        <v>457123</v>
      </c>
      <c r="F6133">
        <v>1</v>
      </c>
    </row>
    <row r="6134" spans="1:6" ht="13.5" hidden="1" customHeight="1">
      <c r="A6134" s="4" t="s">
        <v>13918</v>
      </c>
      <c r="B6134" s="4" t="s">
        <v>13919</v>
      </c>
      <c r="C6134" s="4" t="str">
        <f ca="1">IFERROR(__xludf.DUMMYFUNCTION("GOOGLETRANSLATE(D:D,""auto"",""en"")"),"All TV")</f>
        <v>All TV</v>
      </c>
      <c r="D6134" s="5" t="s">
        <v>13920</v>
      </c>
      <c r="E6134" s="4">
        <v>445819</v>
      </c>
    </row>
    <row r="6135" spans="1:6" ht="13.5" hidden="1" customHeight="1">
      <c r="A6135" s="4" t="s">
        <v>14072</v>
      </c>
      <c r="B6135" s="4" t="s">
        <v>14009</v>
      </c>
      <c r="C6135" s="4" t="str">
        <f ca="1">IFERROR(__xludf.DUMMYFUNCTION("GOOGLETRANSLATE(D:D,""auto"",""en"")"),"Shape of the container determine the shape of a cat")</f>
        <v>Shape of the container determine the shape of a cat</v>
      </c>
      <c r="D6135" s="5" t="s">
        <v>14073</v>
      </c>
      <c r="E6135" s="4">
        <v>423944</v>
      </c>
    </row>
    <row r="6136" spans="1:6" ht="13.5" customHeight="1">
      <c r="A6136" s="4" t="s">
        <v>14074</v>
      </c>
      <c r="B6136" s="4" t="s">
        <v>13901</v>
      </c>
      <c r="C6136" s="4" t="str">
        <f ca="1">IFERROR(__xludf.DUMMYFUNCTION("GOOGLETRANSLATE(D:D,""auto"",""en"")"),"Wuhan tire repair family stranded a month")</f>
        <v>Wuhan tire repair family stranded a month</v>
      </c>
      <c r="D6136" s="5" t="s">
        <v>14075</v>
      </c>
      <c r="E6136" s="4">
        <v>374993</v>
      </c>
      <c r="F6136">
        <v>1</v>
      </c>
    </row>
    <row r="6137" spans="1:6" ht="13.5" hidden="1" customHeight="1">
      <c r="A6137" s="4" t="s">
        <v>14076</v>
      </c>
      <c r="B6137" s="4" t="s">
        <v>14077</v>
      </c>
      <c r="C6137" s="4" t="str">
        <f ca="1">IFERROR(__xludf.DUMMYFUNCTION("GOOGLETRANSLATE(D:D,""auto"",""en"")"),"When my sister's happiness you can not imagine")</f>
        <v>When my sister's happiness you can not imagine</v>
      </c>
      <c r="D6137" s="5" t="s">
        <v>14078</v>
      </c>
      <c r="E6137" s="4">
        <v>357861</v>
      </c>
    </row>
    <row r="6138" spans="1:6" ht="13.5" customHeight="1">
      <c r="A6138" s="4" t="s">
        <v>14079</v>
      </c>
      <c r="B6138" s="4" t="s">
        <v>14080</v>
      </c>
      <c r="C6138" s="4" t="str">
        <f ca="1">IFERROR(__xludf.DUMMYFUNCTION("GOOGLETRANSLATE(D:D,""auto"",""en"")"),"Wuhan Central Hospital Dr Jiang Xueqing infection died")</f>
        <v>Wuhan Central Hospital Dr Jiang Xueqing infection died</v>
      </c>
      <c r="D6138" s="5" t="s">
        <v>14081</v>
      </c>
      <c r="E6138" s="4">
        <v>324658</v>
      </c>
      <c r="F6138">
        <v>1</v>
      </c>
    </row>
    <row r="6139" spans="1:6" ht="13.5" hidden="1" customHeight="1">
      <c r="A6139" s="4" t="s">
        <v>14082</v>
      </c>
      <c r="B6139" s="4" t="s">
        <v>14083</v>
      </c>
      <c r="C6139" s="4" t="str">
        <f ca="1">IFERROR(__xludf.DUMMYFUNCTION("GOOGLETRANSLATE(D:D,""auto"",""en"")"),"Tokyo Marathon")</f>
        <v>Tokyo Marathon</v>
      </c>
      <c r="D6139" s="5" t="s">
        <v>14084</v>
      </c>
      <c r="E6139" s="4">
        <v>310493</v>
      </c>
    </row>
    <row r="6140" spans="1:6" ht="13.5" hidden="1" customHeight="1">
      <c r="A6140" s="4" t="s">
        <v>14085</v>
      </c>
      <c r="B6140" s="4" t="s">
        <v>14086</v>
      </c>
      <c r="C6140" s="4" t="str">
        <f ca="1">IFERROR(__xludf.DUMMYFUNCTION("GOOGLETRANSLATE(D:D,""auto"",""en"")"),"Morant every buckle thick eyebrows")</f>
        <v>Morant every buckle thick eyebrows</v>
      </c>
      <c r="D6140" s="5" t="s">
        <v>14087</v>
      </c>
      <c r="E6140" s="4">
        <v>307603</v>
      </c>
    </row>
    <row r="6141" spans="1:6" ht="13.5" hidden="1" customHeight="1">
      <c r="A6141" s="4" t="s">
        <v>14088</v>
      </c>
      <c r="B6141" s="4" t="s">
        <v>14089</v>
      </c>
      <c r="C6141" s="4" t="str">
        <f ca="1">IFERROR(__xludf.DUMMYFUNCTION("GOOGLETRANSLATE(D:D,""auto"",""en"")"),"March hair circle of friends copywriting")</f>
        <v>March hair circle of friends copywriting</v>
      </c>
      <c r="D6141" s="5" t="s">
        <v>14090</v>
      </c>
      <c r="E6141" s="4">
        <v>300754</v>
      </c>
    </row>
    <row r="6142" spans="1:6" ht="13.5" hidden="1" customHeight="1">
      <c r="A6142" s="4" t="s">
        <v>14091</v>
      </c>
      <c r="B6142" s="4" t="s">
        <v>14092</v>
      </c>
      <c r="C6142" s="4" t="str">
        <f ca="1">IFERROR(__xludf.DUMMYFUNCTION("GOOGLETRANSLATE(D:D,""auto"",""en"")"),"The United States has banned foreigners entering Iran travel history")</f>
        <v>The United States has banned foreigners entering Iran travel history</v>
      </c>
      <c r="D6142" s="5" t="s">
        <v>14093</v>
      </c>
      <c r="E6142" s="4">
        <v>297830</v>
      </c>
    </row>
    <row r="6143" spans="1:6" ht="13.5" customHeight="1">
      <c r="A6143" s="4" t="s">
        <v>14094</v>
      </c>
      <c r="B6143" s="4" t="s">
        <v>14095</v>
      </c>
      <c r="C6143" s="4" t="str">
        <f ca="1">IFERROR(__xludf.DUMMYFUNCTION("GOOGLETRANSLATE(D:D,""auto"",""en"")"),"US to consider part of precautionary measures taken by China")</f>
        <v>US to consider part of precautionary measures taken by China</v>
      </c>
      <c r="D6143" s="5" t="s">
        <v>14096</v>
      </c>
      <c r="E6143" s="4">
        <v>296219</v>
      </c>
      <c r="F6143">
        <v>1</v>
      </c>
    </row>
    <row r="6144" spans="1:6" ht="13.5" customHeight="1">
      <c r="A6144" s="4" t="s">
        <v>14097</v>
      </c>
      <c r="B6144" s="4" t="s">
        <v>14098</v>
      </c>
      <c r="C6144" s="4" t="str">
        <f ca="1">IFERROR(__xludf.DUMMYFUNCTION("GOOGLETRANSLATE(D:D,""auto"",""en"")"),"Liaoning new one cases of pneumonia new crown")</f>
        <v>Liaoning new one cases of pneumonia new crown</v>
      </c>
      <c r="D6144" s="5" t="s">
        <v>14099</v>
      </c>
      <c r="E6144" s="4">
        <v>295874</v>
      </c>
      <c r="F6144">
        <v>1</v>
      </c>
    </row>
    <row r="6145" spans="1:6" ht="13.5" hidden="1" customHeight="1">
      <c r="A6145" s="4" t="s">
        <v>13947</v>
      </c>
      <c r="B6145" s="4" t="s">
        <v>14100</v>
      </c>
      <c r="C6145" s="4" t="str">
        <f ca="1">IFERROR(__xludf.DUMMYFUNCTION("GOOGLETRANSLATE(D:D,""auto"",""en"")"),"Lakers 7-game winning streak end")</f>
        <v>Lakers 7-game winning streak end</v>
      </c>
      <c r="D6145" s="5" t="s">
        <v>14101</v>
      </c>
      <c r="E6145" s="4">
        <v>293463</v>
      </c>
    </row>
    <row r="6146" spans="1:6" ht="13.5" hidden="1" customHeight="1">
      <c r="A6146" s="4" t="s">
        <v>13921</v>
      </c>
      <c r="B6146" s="4" t="s">
        <v>13922</v>
      </c>
      <c r="C6146" s="4" t="str">
        <f ca="1">IFERROR(__xludf.DUMMYFUNCTION("GOOGLETRANSLATE(D:D,""auto"",""en"")"),"Orange light")</f>
        <v>Orange light</v>
      </c>
      <c r="D6146" s="5" t="s">
        <v>13923</v>
      </c>
      <c r="E6146" s="4">
        <v>293379</v>
      </c>
    </row>
    <row r="6147" spans="1:6" ht="13.5" hidden="1" customHeight="1">
      <c r="A6147" s="4" t="s">
        <v>14102</v>
      </c>
      <c r="B6147" s="4" t="s">
        <v>13883</v>
      </c>
      <c r="C6147" s="4" t="str">
        <f ca="1">IFERROR(__xludf.DUMMYFUNCTION("GOOGLETRANSLATE(D:D,""auto"",""en"")"),"Daegu patients admitted to hospital renovation Containers")</f>
        <v>Daegu patients admitted to hospital renovation Containers</v>
      </c>
      <c r="D6147" s="5" t="s">
        <v>14103</v>
      </c>
      <c r="E6147" s="4">
        <v>289816</v>
      </c>
    </row>
    <row r="6148" spans="1:6" ht="13.5" hidden="1" customHeight="1">
      <c r="A6148" s="4" t="s">
        <v>14104</v>
      </c>
      <c r="B6148" s="4" t="s">
        <v>13983</v>
      </c>
      <c r="C6148" s="4" t="str">
        <f ca="1">IFERROR(__xludf.DUMMYFUNCTION("GOOGLETRANSLATE(D:D,""auto"",""en"")"),"Ren Jialun Tan Song Yun Chorus rain in June")</f>
        <v>Ren Jialun Tan Song Yun Chorus rain in June</v>
      </c>
      <c r="D6148" s="5" t="s">
        <v>14105</v>
      </c>
      <c r="E6148" s="4">
        <v>271246</v>
      </c>
    </row>
    <row r="6149" spans="1:6" ht="13.5" hidden="1" customHeight="1">
      <c r="A6149" s="4" t="s">
        <v>14106</v>
      </c>
      <c r="B6149" s="4" t="s">
        <v>13988</v>
      </c>
      <c r="C6149" s="4" t="str">
        <f ca="1">IFERROR(__xludf.DUMMYFUNCTION("GOOGLETRANSLATE(D:D,""auto"",""en"")"),"The first day of March")</f>
        <v>The first day of March</v>
      </c>
      <c r="D6149" s="5" t="s">
        <v>14107</v>
      </c>
      <c r="E6149" s="4">
        <v>257101</v>
      </c>
    </row>
    <row r="6150" spans="1:6" ht="13.5" hidden="1" customHeight="1">
      <c r="A6150" s="4" t="s">
        <v>14100</v>
      </c>
      <c r="B6150" s="4" t="s">
        <v>14108</v>
      </c>
      <c r="C6150" s="4" t="str">
        <f ca="1">IFERROR(__xludf.DUMMYFUNCTION("GOOGLETRANSLATE(D:D,""auto"",""en"")"),"80-year-old man was discharged tearfully thanked the People's Liberation Army")</f>
        <v>80-year-old man was discharged tearfully thanked the People's Liberation Army</v>
      </c>
      <c r="D6150" s="5" t="s">
        <v>14109</v>
      </c>
      <c r="E6150" s="4">
        <v>220056</v>
      </c>
    </row>
    <row r="6151" spans="1:6" ht="13.5" hidden="1" customHeight="1">
      <c r="C6151" s="4" t="str">
        <f ca="1">IFERROR(__xludf.DUMMYFUNCTION("GOOGLETRANSLATE(D:D,""auto"",""en"")"),"#VALUE!")</f>
        <v>#VALUE!</v>
      </c>
    </row>
    <row r="6152" spans="1:6" ht="13.5" hidden="1" customHeight="1">
      <c r="A6152" s="4" t="s">
        <v>14110</v>
      </c>
      <c r="B6152" s="4" t="s">
        <v>14111</v>
      </c>
      <c r="C6152" s="4" t="str">
        <f ca="1">IFERROR(__xludf.DUMMYFUNCTION("GOOGLETRANSLATE(D:D,""auto"",""en"")"),"Xiaozhan studio apology")</f>
        <v>Xiaozhan studio apology</v>
      </c>
      <c r="D6152" s="4" t="s">
        <v>14112</v>
      </c>
      <c r="E6152" s="4">
        <v>7102556</v>
      </c>
    </row>
    <row r="6153" spans="1:6" ht="13.5" customHeight="1">
      <c r="A6153" s="4" t="s">
        <v>14113</v>
      </c>
      <c r="B6153" s="4" t="s">
        <v>14114</v>
      </c>
      <c r="C6153" s="4" t="str">
        <f ca="1">IFERROR(__xludf.DUMMYFUNCTION("GOOGLETRANSLATE(D:D,""auto"",""en"")"),"Shenzhen via Hong Kong by the British new imported cases")</f>
        <v>Shenzhen via Hong Kong by the British new imported cases</v>
      </c>
      <c r="D6153" s="5" t="s">
        <v>14115</v>
      </c>
      <c r="E6153" s="4">
        <v>4192479</v>
      </c>
      <c r="F6153">
        <v>1</v>
      </c>
    </row>
    <row r="6154" spans="1:6" ht="13.5" customHeight="1">
      <c r="A6154" s="4" t="s">
        <v>14116</v>
      </c>
      <c r="B6154" s="4" t="s">
        <v>14117</v>
      </c>
      <c r="C6154" s="4" t="str">
        <f ca="1">IFERROR(__xludf.DUMMYFUNCTION("GOOGLETRANSLATE(D:D,""auto"",""en"")"),"South Korea confirms new world for the first time Christians have been to Wuhan")</f>
        <v>South Korea confirms new world for the first time Christians have been to Wuhan</v>
      </c>
      <c r="D6154" s="5" t="s">
        <v>14118</v>
      </c>
      <c r="E6154" s="4">
        <v>2835869</v>
      </c>
      <c r="F6154">
        <v>1</v>
      </c>
    </row>
    <row r="6155" spans="1:6" ht="13.5" hidden="1" customHeight="1">
      <c r="A6155" s="4" t="s">
        <v>9021</v>
      </c>
      <c r="B6155" s="4" t="s">
        <v>9022</v>
      </c>
      <c r="C6155" s="4" t="str">
        <f ca="1">IFERROR(__xludf.DUMMYFUNCTION("GOOGLETRANSLATE(D:D,""auto"",""en"")"),"Li Jiaqi live")</f>
        <v>Li Jiaqi live</v>
      </c>
      <c r="D6155" s="5" t="s">
        <v>9023</v>
      </c>
      <c r="E6155" s="4">
        <v>2485478</v>
      </c>
    </row>
    <row r="6156" spans="1:6" ht="13.5" hidden="1" customHeight="1">
      <c r="A6156" s="4" t="s">
        <v>14119</v>
      </c>
      <c r="B6156" s="4" t="s">
        <v>14120</v>
      </c>
      <c r="C6156" s="4" t="str">
        <f ca="1">IFERROR(__xludf.DUMMYFUNCTION("GOOGLETRANSLATE(D:D,""auto"",""en"")"),"Week deep little about me")</f>
        <v>Week deep little about me</v>
      </c>
      <c r="D6156" s="5" t="s">
        <v>14121</v>
      </c>
      <c r="E6156" s="4">
        <v>1954929</v>
      </c>
    </row>
    <row r="6157" spans="1:6" ht="13.5" hidden="1" customHeight="1">
      <c r="A6157" s="4" t="s">
        <v>14122</v>
      </c>
      <c r="B6157" s="4" t="s">
        <v>14123</v>
      </c>
      <c r="C6157" s="4" t="str">
        <f ca="1">IFERROR(__xludf.DUMMYFUNCTION("GOOGLETRANSLATE(D:D,""auto"",""en"")"),"Shanghai Old House")</f>
        <v>Shanghai Old House</v>
      </c>
      <c r="D6157" s="5" t="s">
        <v>14124</v>
      </c>
      <c r="E6157" s="4">
        <v>1767179</v>
      </c>
    </row>
    <row r="6158" spans="1:6" ht="13.5" hidden="1" customHeight="1">
      <c r="A6158" s="4" t="s">
        <v>14125</v>
      </c>
      <c r="B6158" s="4" t="s">
        <v>14126</v>
      </c>
      <c r="C6158" s="4" t="str">
        <f ca="1">IFERROR(__xludf.DUMMYFUNCTION("GOOGLETRANSLATE(D:D,""auto"",""en"")"),"Jiang Dalin mind")</f>
        <v>Jiang Dalin mind</v>
      </c>
      <c r="D6158" s="5" t="s">
        <v>14127</v>
      </c>
      <c r="E6158" s="4">
        <v>1762723</v>
      </c>
    </row>
    <row r="6159" spans="1:6" ht="13.5" customHeight="1">
      <c r="A6159" s="4" t="s">
        <v>14128</v>
      </c>
      <c r="B6159" s="4" t="s">
        <v>14129</v>
      </c>
      <c r="C6159" s="4" t="str">
        <f ca="1">IFERROR(__xludf.DUMMYFUNCTION("GOOGLETRANSLATE(D:D,""auto"",""en"")"),"Full suspension from the Han from E Network about car business")</f>
        <v>Full suspension from the Han from E Network about car business</v>
      </c>
      <c r="D6159" s="5" t="s">
        <v>14130</v>
      </c>
      <c r="E6159" s="4">
        <v>1759613</v>
      </c>
      <c r="F6159">
        <v>1</v>
      </c>
    </row>
    <row r="6160" spans="1:6" ht="13.5" hidden="1" customHeight="1">
      <c r="A6160" s="4" t="s">
        <v>1209</v>
      </c>
      <c r="B6160" s="4" t="s">
        <v>1210</v>
      </c>
      <c r="C6160" s="4" t="str">
        <f ca="1">IFERROR(__xludf.DUMMYFUNCTION("GOOGLETRANSLATE(D:D,""auto"",""en"")"),"Every day")</f>
        <v>Every day</v>
      </c>
      <c r="D6160" s="5" t="s">
        <v>1211</v>
      </c>
      <c r="E6160" s="4">
        <v>1750818</v>
      </c>
    </row>
    <row r="6161" spans="1:6" ht="13.5" customHeight="1">
      <c r="A6161" s="4" t="s">
        <v>14131</v>
      </c>
      <c r="B6161" s="4" t="s">
        <v>14132</v>
      </c>
      <c r="C6161" s="4" t="str">
        <f ca="1">IFERROR(__xludf.DUMMYFUNCTION("GOOGLETRANSLATE(D:D,""auto"",""en"")"),"Italy refused to wear masks to residents free")</f>
        <v>Italy refused to wear masks to residents free</v>
      </c>
      <c r="D6161" s="5" t="s">
        <v>14133</v>
      </c>
      <c r="E6161" s="4">
        <v>1744464</v>
      </c>
      <c r="F6161">
        <v>1</v>
      </c>
    </row>
    <row r="6162" spans="1:6" ht="13.5" hidden="1" customHeight="1">
      <c r="A6162" s="4" t="s">
        <v>14134</v>
      </c>
      <c r="B6162" s="4" t="s">
        <v>14135</v>
      </c>
      <c r="C6162" s="4" t="str">
        <f ca="1">IFERROR(__xludf.DUMMYFUNCTION("GOOGLETRANSLATE(D:D,""auto"",""en"")"),"He Jiong do Mala Tang")</f>
        <v>He Jiong do Mala Tang</v>
      </c>
      <c r="D6162" s="5" t="s">
        <v>14136</v>
      </c>
      <c r="E6162" s="4">
        <v>1740327</v>
      </c>
    </row>
    <row r="6163" spans="1:6" ht="13.5" hidden="1" customHeight="1">
      <c r="A6163" s="4" t="s">
        <v>12063</v>
      </c>
      <c r="B6163" s="4" t="s">
        <v>12051</v>
      </c>
      <c r="C6163" s="4" t="str">
        <f ca="1">IFERROR(__xludf.DUMMYFUNCTION("GOOGLETRANSLATE(D:D,""auto"",""en"")"),"settle down")</f>
        <v>settle down</v>
      </c>
      <c r="D6163" s="5" t="s">
        <v>12064</v>
      </c>
      <c r="E6163" s="4">
        <v>1730673</v>
      </c>
    </row>
    <row r="6164" spans="1:6" ht="13.5" customHeight="1">
      <c r="A6164" s="4" t="s">
        <v>14137</v>
      </c>
      <c r="B6164" s="4" t="s">
        <v>14138</v>
      </c>
      <c r="C6164" s="4" t="str">
        <f ca="1">IFERROR(__xludf.DUMMYFUNCTION("GOOGLETRANSLATE(D:D,""auto"",""en"")"),"When 36-year-old physician combating the disease died of cardiac arrest")</f>
        <v>When 36-year-old physician combating the disease died of cardiac arrest</v>
      </c>
      <c r="D6164" s="5" t="s">
        <v>14139</v>
      </c>
      <c r="E6164" s="4">
        <v>1728072</v>
      </c>
      <c r="F6164">
        <v>1</v>
      </c>
    </row>
    <row r="6165" spans="1:6" ht="13.5" hidden="1" customHeight="1">
      <c r="A6165" s="4" t="s">
        <v>14140</v>
      </c>
      <c r="B6165" s="4" t="s">
        <v>14141</v>
      </c>
      <c r="C6165" s="4" t="str">
        <f ca="1">IFERROR(__xludf.DUMMYFUNCTION("GOOGLETRANSLATE(D:D,""auto"",""en"")"),"Degea mistakes")</f>
        <v>Degea mistakes</v>
      </c>
      <c r="D6165" s="5" t="s">
        <v>14142</v>
      </c>
      <c r="E6165" s="4">
        <v>1715829</v>
      </c>
    </row>
    <row r="6166" spans="1:6" ht="13.5" customHeight="1">
      <c r="A6166" s="4" t="s">
        <v>14143</v>
      </c>
      <c r="B6166" s="4" t="s">
        <v>14144</v>
      </c>
      <c r="C6166" s="4" t="str">
        <f ca="1">IFERROR(__xludf.DUMMYFUNCTION("GOOGLETRANSLATE(D:D,""auto"",""en"")"),"British crown to add 12 new infections were pneumonia")</f>
        <v>British crown to add 12 new infections were pneumonia</v>
      </c>
      <c r="D6166" s="5" t="s">
        <v>14145</v>
      </c>
      <c r="E6166" s="4">
        <v>1713877</v>
      </c>
      <c r="F6166">
        <v>1</v>
      </c>
    </row>
    <row r="6167" spans="1:6" ht="13.5" hidden="1" customHeight="1">
      <c r="A6167" s="4" t="s">
        <v>14146</v>
      </c>
      <c r="B6167" s="4" t="s">
        <v>14147</v>
      </c>
      <c r="C6167" s="4" t="str">
        <f ca="1">IFERROR(__xludf.DUMMYFUNCTION("GOOGLETRANSLATE(D:D,""auto"",""en"")"),"Xiaozhan fan club apologize")</f>
        <v>Xiaozhan fan club apologize</v>
      </c>
      <c r="D6167" s="5" t="s">
        <v>14148</v>
      </c>
      <c r="E6167" s="4">
        <v>1704484</v>
      </c>
    </row>
    <row r="6168" spans="1:6" ht="13.5" hidden="1" customHeight="1">
      <c r="A6168" s="4" t="s">
        <v>14149</v>
      </c>
      <c r="B6168" s="4" t="s">
        <v>14150</v>
      </c>
      <c r="C6168" s="4" t="str">
        <f ca="1">IFERROR(__xludf.DUMMYFUNCTION("GOOGLETRANSLATE(D:D,""auto"",""en"")"),"Japan express gratitude by Chinese")</f>
        <v>Japan express gratitude by Chinese</v>
      </c>
      <c r="D6168" s="5" t="s">
        <v>14151</v>
      </c>
      <c r="E6168" s="4">
        <v>1702705</v>
      </c>
    </row>
    <row r="6169" spans="1:6" ht="13.5" hidden="1" customHeight="1">
      <c r="A6169" s="4" t="s">
        <v>14152</v>
      </c>
      <c r="B6169" s="4" t="s">
        <v>14153</v>
      </c>
      <c r="C6169" s="4" t="str">
        <f ca="1">IFERROR(__xludf.DUMMYFUNCTION("GOOGLETRANSLATE(D:D,""auto"",""en"")"),"Jian Wang three")</f>
        <v>Jian Wang three</v>
      </c>
      <c r="D6169" s="5" t="s">
        <v>14154</v>
      </c>
      <c r="E6169" s="4">
        <v>1343753</v>
      </c>
    </row>
    <row r="6170" spans="1:6" ht="13.5" hidden="1" customHeight="1">
      <c r="A6170" s="4" t="s">
        <v>14155</v>
      </c>
      <c r="B6170" s="4" t="s">
        <v>14156</v>
      </c>
      <c r="C6170" s="4" t="str">
        <f ca="1">IFERROR(__xludf.DUMMYFUNCTION("GOOGLETRANSLATE(D:D,""auto"",""en"")"),"Single rate is particularly high college major")</f>
        <v>Single rate is particularly high college major</v>
      </c>
      <c r="D6170" s="5" t="s">
        <v>14157</v>
      </c>
      <c r="E6170" s="4">
        <v>1188790</v>
      </c>
    </row>
    <row r="6171" spans="1:6" ht="13.5" customHeight="1">
      <c r="A6171" s="4" t="s">
        <v>13486</v>
      </c>
      <c r="B6171" s="4" t="s">
        <v>13393</v>
      </c>
      <c r="C6171" s="4" t="str">
        <f ca="1">IFERROR(__xludf.DUMMYFUNCTION("GOOGLETRANSLATE(D:D,""auto"",""en"")"),"School")</f>
        <v>School</v>
      </c>
      <c r="D6171" s="5" t="s">
        <v>13487</v>
      </c>
      <c r="E6171" s="4">
        <v>1159417</v>
      </c>
      <c r="F6171">
        <v>1</v>
      </c>
    </row>
    <row r="6172" spans="1:6" ht="13.5" hidden="1" customHeight="1">
      <c r="A6172" s="4" t="s">
        <v>14125</v>
      </c>
      <c r="B6172" s="4" t="s">
        <v>14158</v>
      </c>
      <c r="C6172" s="4" t="str">
        <f ca="1">IFERROR(__xludf.DUMMYFUNCTION("GOOGLETRANSLATE(D:D,""auto"",""en"")"),"Luo Yunxi makeup")</f>
        <v>Luo Yunxi makeup</v>
      </c>
      <c r="D6172" s="5" t="s">
        <v>14159</v>
      </c>
      <c r="E6172" s="4">
        <v>951486</v>
      </c>
    </row>
    <row r="6173" spans="1:6" ht="13.5" customHeight="1">
      <c r="A6173" s="4" t="s">
        <v>14160</v>
      </c>
      <c r="B6173" s="4" t="s">
        <v>14161</v>
      </c>
      <c r="C6173" s="4" t="str">
        <f ca="1">IFERROR(__xludf.DUMMYFUNCTION("GOOGLETRANSLATE(D:D,""auto"",""en"")"),"The outbreak let you see what")</f>
        <v>The outbreak let you see what</v>
      </c>
      <c r="D6173" s="5" t="s">
        <v>14162</v>
      </c>
      <c r="E6173" s="4">
        <v>590487</v>
      </c>
      <c r="F6173">
        <v>1</v>
      </c>
    </row>
    <row r="6174" spans="1:6" ht="13.5" customHeight="1">
      <c r="A6174" s="4" t="s">
        <v>14163</v>
      </c>
      <c r="B6174" s="4" t="s">
        <v>14164</v>
      </c>
      <c r="C6174" s="4" t="str">
        <f ca="1">IFERROR(__xludf.DUMMYFUNCTION("GOOGLETRANSLATE(D:D,""auto"",""en"")"),"Thor comic Zhong Nanshan Mountain hospital")</f>
        <v>Thor comic Zhong Nanshan Mountain hospital</v>
      </c>
      <c r="D6174" s="5" t="s">
        <v>14165</v>
      </c>
      <c r="E6174" s="4">
        <v>580053</v>
      </c>
      <c r="F6174">
        <v>1</v>
      </c>
    </row>
    <row r="6175" spans="1:6" ht="13.5" hidden="1" customHeight="1">
      <c r="A6175" s="4" t="s">
        <v>14166</v>
      </c>
      <c r="B6175" s="4" t="s">
        <v>14167</v>
      </c>
      <c r="C6175" s="4" t="str">
        <f ca="1">IFERROR(__xludf.DUMMYFUNCTION("GOOGLETRANSLATE(D:D,""auto"",""en"")"),"Nine hundred eighty-five successful billing")</f>
        <v>Nine hundred eighty-five successful billing</v>
      </c>
      <c r="D6175" s="5" t="s">
        <v>14168</v>
      </c>
      <c r="E6175" s="4">
        <v>568306</v>
      </c>
    </row>
    <row r="6176" spans="1:6" ht="13.5" hidden="1" customHeight="1">
      <c r="A6176" s="4" t="s">
        <v>14169</v>
      </c>
      <c r="B6176" s="4" t="s">
        <v>14170</v>
      </c>
      <c r="C6176" s="4" t="str">
        <f ca="1">IFERROR(__xludf.DUMMYFUNCTION("GOOGLETRANSLATE(D:D,""auto"",""en"")"),"Seriously how sweet confession")</f>
        <v>Seriously how sweet confession</v>
      </c>
      <c r="D6176" s="5" t="s">
        <v>14171</v>
      </c>
      <c r="E6176" s="4">
        <v>481588</v>
      </c>
    </row>
    <row r="6177" spans="1:6" ht="13.5" hidden="1" customHeight="1">
      <c r="A6177" s="4" t="s">
        <v>14172</v>
      </c>
      <c r="B6177" s="4" t="s">
        <v>14173</v>
      </c>
      <c r="C6177" s="4" t="str">
        <f ca="1">IFERROR(__xludf.DUMMYFUNCTION("GOOGLETRANSLATE(D:D,""auto"",""en"")"),"Wang Hedi shaved head")</f>
        <v>Wang Hedi shaved head</v>
      </c>
      <c r="D6177" s="5" t="s">
        <v>14174</v>
      </c>
      <c r="E6177" s="4">
        <v>471919</v>
      </c>
    </row>
    <row r="6178" spans="1:6" ht="13.5" hidden="1" customHeight="1">
      <c r="A6178" s="4" t="s">
        <v>14175</v>
      </c>
      <c r="B6178" s="4" t="s">
        <v>14176</v>
      </c>
      <c r="C6178" s="4" t="str">
        <f ca="1">IFERROR(__xludf.DUMMYFUNCTION("GOOGLETRANSLATE(D:D,""auto"",""en"")"),"Bai Kainan program")</f>
        <v>Bai Kainan program</v>
      </c>
      <c r="D6178" s="5" t="s">
        <v>14177</v>
      </c>
      <c r="E6178" s="4">
        <v>470054</v>
      </c>
    </row>
    <row r="6179" spans="1:6" ht="13.5" hidden="1" customHeight="1">
      <c r="A6179" s="4" t="s">
        <v>14178</v>
      </c>
      <c r="B6179" s="4" t="s">
        <v>14176</v>
      </c>
      <c r="C6179" s="4" t="str">
        <f ca="1">IFERROR(__xludf.DUMMYFUNCTION("GOOGLETRANSLATE(D:D,""auto"",""en"")"),"Tan Xinkai when offline")</f>
        <v>Tan Xinkai when offline</v>
      </c>
      <c r="D6179" s="5" t="s">
        <v>14179</v>
      </c>
      <c r="E6179" s="4">
        <v>455050</v>
      </c>
    </row>
    <row r="6180" spans="1:6" ht="13.5" customHeight="1">
      <c r="A6180" s="4" t="s">
        <v>14180</v>
      </c>
      <c r="B6180" s="4" t="s">
        <v>14181</v>
      </c>
      <c r="C6180" s="4" t="str">
        <f ca="1">IFERROR(__xludf.DUMMYFUNCTION("GOOGLETRANSLATE(D:D,""auto"",""en"")"),"Wuhan first hospital shelter cabin off")</f>
        <v>Wuhan first hospital shelter cabin off</v>
      </c>
      <c r="D6180" s="5" t="s">
        <v>14182</v>
      </c>
      <c r="E6180" s="4">
        <v>408157</v>
      </c>
      <c r="F6180">
        <v>1</v>
      </c>
    </row>
    <row r="6181" spans="1:6" ht="13.5" customHeight="1">
      <c r="A6181" s="4" t="s">
        <v>14183</v>
      </c>
      <c r="B6181" s="4" t="s">
        <v>14184</v>
      </c>
      <c r="C6181" s="4" t="str">
        <f ca="1">IFERROR(__xludf.DUMMYFUNCTION("GOOGLETRANSLATE(D:D,""auto"",""en"")"),"Members wear a mask ridicule Italy is angry wrestling microphone")</f>
        <v>Members wear a mask ridicule Italy is angry wrestling microphone</v>
      </c>
      <c r="D6181" s="5" t="s">
        <v>14185</v>
      </c>
      <c r="E6181" s="4">
        <v>395182</v>
      </c>
      <c r="F6181">
        <v>1</v>
      </c>
    </row>
    <row r="6182" spans="1:6" ht="13.5" hidden="1" customHeight="1">
      <c r="A6182" s="4" t="s">
        <v>14186</v>
      </c>
      <c r="B6182" s="4" t="s">
        <v>14187</v>
      </c>
      <c r="C6182" s="4" t="str">
        <f ca="1">IFERROR(__xludf.DUMMYFUNCTION("GOOGLETRANSLATE(D:D,""auto"",""en"")"),"Lee before and after shave now")</f>
        <v>Lee before and after shave now</v>
      </c>
      <c r="D6182" s="5" t="s">
        <v>14188</v>
      </c>
      <c r="E6182" s="4">
        <v>394543</v>
      </c>
    </row>
    <row r="6183" spans="1:6" ht="13.5" hidden="1" customHeight="1">
      <c r="A6183" s="4" t="s">
        <v>14189</v>
      </c>
      <c r="B6183" s="4" t="s">
        <v>14167</v>
      </c>
      <c r="C6183" s="4" t="str">
        <f ca="1">IFERROR(__xludf.DUMMYFUNCTION("GOOGLETRANSLATE(D:D,""auto"",""en"")"),"Wang Junkai selfie angle")</f>
        <v>Wang Junkai selfie angle</v>
      </c>
      <c r="D6183" s="5" t="s">
        <v>14190</v>
      </c>
      <c r="E6183" s="4">
        <v>394336</v>
      </c>
    </row>
    <row r="6184" spans="1:6" ht="13.5" hidden="1" customHeight="1">
      <c r="A6184" s="4" t="s">
        <v>14191</v>
      </c>
      <c r="B6184" s="4" t="s">
        <v>14192</v>
      </c>
      <c r="C6184" s="4" t="str">
        <f ca="1">IFERROR(__xludf.DUMMYFUNCTION("GOOGLETRANSLATE(D:D,""auto"",""en"")"),"Like most of his childhood family gave you undress")</f>
        <v>Like most of his childhood family gave you undress</v>
      </c>
      <c r="D6184" s="5" t="s">
        <v>14193</v>
      </c>
      <c r="E6184" s="4">
        <v>393447</v>
      </c>
    </row>
    <row r="6185" spans="1:6" ht="13.5" hidden="1" customHeight="1">
      <c r="A6185" s="4" t="s">
        <v>14194</v>
      </c>
      <c r="B6185" s="4" t="s">
        <v>14052</v>
      </c>
      <c r="C6185" s="4" t="str">
        <f ca="1">IFERROR(__xludf.DUMMYFUNCTION("GOOGLETRANSLATE(D:D,""auto"",""en"")"),"10 sorties flight back to 1314 Chinese citizens")</f>
        <v>10 sorties flight back to 1314 Chinese citizens</v>
      </c>
      <c r="D6185" s="5" t="s">
        <v>14195</v>
      </c>
      <c r="E6185" s="4">
        <v>352879</v>
      </c>
    </row>
    <row r="6186" spans="1:6" ht="13.5" hidden="1" customHeight="1">
      <c r="A6186" s="4" t="s">
        <v>14196</v>
      </c>
      <c r="B6186" s="4" t="s">
        <v>14197</v>
      </c>
      <c r="C6186" s="4" t="str">
        <f ca="1">IFERROR(__xludf.DUMMYFUNCTION("GOOGLETRANSLATE(D:D,""auto"",""en"")"),"Three people how fragile friendship")</f>
        <v>Three people how fragile friendship</v>
      </c>
      <c r="D6186" s="5" t="s">
        <v>14198</v>
      </c>
      <c r="E6186" s="4">
        <v>350219</v>
      </c>
    </row>
    <row r="6187" spans="1:6" ht="13.5" hidden="1" customHeight="1">
      <c r="A6187" s="4" t="s">
        <v>14199</v>
      </c>
      <c r="B6187" s="4" t="s">
        <v>14200</v>
      </c>
      <c r="C6187" s="4" t="str">
        <f ca="1">IFERROR(__xludf.DUMMYFUNCTION("GOOGLETRANSLATE(D:D,""auto"",""en"")"),"Wu Jing wrapped in blankets cos elephant")</f>
        <v>Wu Jing wrapped in blankets cos elephant</v>
      </c>
      <c r="D6187" s="5" t="s">
        <v>14201</v>
      </c>
      <c r="E6187" s="4">
        <v>348871</v>
      </c>
    </row>
    <row r="6188" spans="1:6" ht="13.5" hidden="1" customHeight="1">
      <c r="A6188" s="4" t="s">
        <v>14202</v>
      </c>
      <c r="B6188" s="4" t="s">
        <v>14203</v>
      </c>
      <c r="C6188" s="4" t="str">
        <f ca="1">IFERROR(__xludf.DUMMYFUNCTION("GOOGLETRANSLATE(D:D,""auto"",""en"")"),"A necessary condition for sleep")</f>
        <v>A necessary condition for sleep</v>
      </c>
      <c r="D6188" s="5" t="s">
        <v>14204</v>
      </c>
      <c r="E6188" s="4">
        <v>333282</v>
      </c>
    </row>
    <row r="6189" spans="1:6" ht="13.5" hidden="1" customHeight="1">
      <c r="A6189" s="4" t="s">
        <v>14205</v>
      </c>
      <c r="B6189" s="4" t="s">
        <v>6103</v>
      </c>
      <c r="C6189" s="4" t="str">
        <f ca="1">IFERROR(__xludf.DUMMYFUNCTION("GOOGLETRANSLATE(D:D,""auto"",""en"")"),"There is a nostalgia called hot pot")</f>
        <v>There is a nostalgia called hot pot</v>
      </c>
      <c r="D6189" s="5" t="s">
        <v>14206</v>
      </c>
      <c r="E6189" s="4">
        <v>329676</v>
      </c>
    </row>
    <row r="6190" spans="1:6" ht="13.5" hidden="1" customHeight="1">
      <c r="A6190" s="4" t="s">
        <v>11378</v>
      </c>
      <c r="B6190" s="4" t="s">
        <v>11379</v>
      </c>
      <c r="C6190" s="4" t="str">
        <f ca="1">IFERROR(__xludf.DUMMYFUNCTION("GOOGLETRANSLATE(D:D,""auto"",""en"")"),"Perfect relationship")</f>
        <v>Perfect relationship</v>
      </c>
      <c r="D6190" s="5" t="s">
        <v>11380</v>
      </c>
      <c r="E6190" s="4">
        <v>326826</v>
      </c>
    </row>
    <row r="6191" spans="1:6" ht="13.5" customHeight="1">
      <c r="A6191" s="4" t="s">
        <v>14207</v>
      </c>
      <c r="B6191" s="4" t="s">
        <v>14208</v>
      </c>
      <c r="C6191" s="4" t="str">
        <f ca="1">IFERROR(__xludf.DUMMYFUNCTION("GOOGLETRANSLATE(D:D,""auto"",""en"")"),"Wuhan diary")</f>
        <v>Wuhan diary</v>
      </c>
      <c r="D6191" s="5" t="s">
        <v>14209</v>
      </c>
      <c r="E6191" s="4">
        <v>295232</v>
      </c>
      <c r="F6191">
        <v>1</v>
      </c>
    </row>
    <row r="6192" spans="1:6" ht="13.5" customHeight="1">
      <c r="A6192" s="4" t="s">
        <v>14210</v>
      </c>
      <c r="B6192" s="4" t="s">
        <v>14211</v>
      </c>
      <c r="C6192" s="4" t="str">
        <f ca="1">IFERROR(__xludf.DUMMYFUNCTION("GOOGLETRANSLATE(D:D,""auto"",""en"")"),"Iran Chinese talk about local epidemic")</f>
        <v>Iran Chinese talk about local epidemic</v>
      </c>
      <c r="D6192" s="5" t="s">
        <v>14212</v>
      </c>
      <c r="E6192" s="4">
        <v>262256</v>
      </c>
      <c r="F6192">
        <v>1</v>
      </c>
    </row>
    <row r="6193" spans="1:6" ht="13.5" hidden="1" customHeight="1">
      <c r="A6193" s="4" t="s">
        <v>14213</v>
      </c>
      <c r="B6193" s="4" t="s">
        <v>14214</v>
      </c>
      <c r="C6193" s="4" t="str">
        <f ca="1">IFERROR(__xludf.DUMMYFUNCTION("GOOGLETRANSLATE(D:D,""auto"",""en"")"),"How to open table lamp with a cat")</f>
        <v>How to open table lamp with a cat</v>
      </c>
      <c r="D6193" s="5" t="s">
        <v>14215</v>
      </c>
      <c r="E6193" s="4">
        <v>251047</v>
      </c>
    </row>
    <row r="6194" spans="1:6" ht="13.5" hidden="1" customHeight="1">
      <c r="A6194" s="4" t="s">
        <v>14210</v>
      </c>
      <c r="B6194" s="4" t="s">
        <v>14114</v>
      </c>
      <c r="C6194" s="4" t="str">
        <f ca="1">IFERROR(__xludf.DUMMYFUNCTION("GOOGLETRANSLATE(D:D,""auto"",""en"")"),"Biscuits Cao Heyang group of comic monologues")</f>
        <v>Biscuits Cao Heyang group of comic monologues</v>
      </c>
      <c r="D6194" s="5" t="s">
        <v>14216</v>
      </c>
      <c r="E6194" s="4">
        <v>250411</v>
      </c>
    </row>
    <row r="6195" spans="1:6" ht="13.5" hidden="1" customHeight="1">
      <c r="A6195" s="4" t="s">
        <v>14217</v>
      </c>
      <c r="B6195" s="4" t="s">
        <v>14218</v>
      </c>
      <c r="C6195" s="4" t="str">
        <f ca="1">IFERROR(__xludf.DUMMYFUNCTION("GOOGLETRANSLATE(D:D,""auto"",""en"")"),"Burst windmill")</f>
        <v>Burst windmill</v>
      </c>
      <c r="D6195" s="5" t="s">
        <v>14219</v>
      </c>
      <c r="E6195" s="4">
        <v>249032</v>
      </c>
    </row>
    <row r="6196" spans="1:6" ht="13.5" hidden="1" customHeight="1">
      <c r="A6196" s="4" t="s">
        <v>14220</v>
      </c>
      <c r="B6196" s="4" t="s">
        <v>14221</v>
      </c>
      <c r="C6196" s="4" t="str">
        <f ca="1">IFERROR(__xludf.DUMMYFUNCTION("GOOGLETRANSLATE(D:D,""auto"",""en"")"),"Others can not understand the point of self-esteem")</f>
        <v>Others can not understand the point of self-esteem</v>
      </c>
      <c r="D6196" s="5" t="s">
        <v>14222</v>
      </c>
      <c r="E6196" s="4">
        <v>241819</v>
      </c>
    </row>
    <row r="6197" spans="1:6" ht="13.5" hidden="1" customHeight="1">
      <c r="A6197" s="4" t="s">
        <v>14223</v>
      </c>
      <c r="B6197" s="4" t="s">
        <v>14224</v>
      </c>
      <c r="C6197" s="4" t="str">
        <f ca="1">IFERROR(__xludf.DUMMYFUNCTION("GOOGLETRANSLATE(D:D,""auto"",""en"")"),"Han new world church president alleged manslaughter")</f>
        <v>Han new world church president alleged manslaughter</v>
      </c>
      <c r="D6197" s="5" t="s">
        <v>14225</v>
      </c>
      <c r="E6197" s="4">
        <v>231584</v>
      </c>
    </row>
    <row r="6198" spans="1:6" ht="13.5" hidden="1" customHeight="1">
      <c r="A6198" s="4" t="s">
        <v>14226</v>
      </c>
      <c r="B6198" s="4" t="s">
        <v>14227</v>
      </c>
      <c r="C6198" s="4" t="str">
        <f ca="1">IFERROR(__xludf.DUMMYFUNCTION("GOOGLETRANSLATE(D:D,""auto"",""en"")"),"Fritters with soy sauce or soy milk")</f>
        <v>Fritters with soy sauce or soy milk</v>
      </c>
      <c r="D6198" s="5" t="s">
        <v>14228</v>
      </c>
      <c r="E6198" s="4">
        <v>226470</v>
      </c>
    </row>
    <row r="6199" spans="1:6" ht="13.5" hidden="1" customHeight="1">
      <c r="A6199" s="4" t="s">
        <v>14229</v>
      </c>
      <c r="B6199" s="4" t="s">
        <v>14230</v>
      </c>
      <c r="C6199" s="4" t="str">
        <f ca="1">IFERROR(__xludf.DUMMYFUNCTION("GOOGLETRANSLATE(D:D,""auto"",""en"")"),"Mortgage")</f>
        <v>Mortgage</v>
      </c>
      <c r="D6199" s="5" t="s">
        <v>14231</v>
      </c>
      <c r="E6199" s="4">
        <v>217661</v>
      </c>
    </row>
    <row r="6200" spans="1:6" ht="13.5" hidden="1" customHeight="1">
      <c r="A6200" s="4" t="s">
        <v>7668</v>
      </c>
      <c r="B6200" s="4" t="s">
        <v>6134</v>
      </c>
      <c r="C6200" s="4" t="str">
        <f ca="1">IFERROR(__xludf.DUMMYFUNCTION("GOOGLETRANSLATE(D:D,""auto"",""en"")"),"Happy man comedy")</f>
        <v>Happy man comedy</v>
      </c>
      <c r="D6200" s="5" t="s">
        <v>7669</v>
      </c>
      <c r="E6200" s="4">
        <v>183472</v>
      </c>
    </row>
    <row r="6201" spans="1:6" ht="13.5" hidden="1" customHeight="1">
      <c r="A6201" s="4" t="s">
        <v>13403</v>
      </c>
      <c r="B6201" s="4" t="s">
        <v>13404</v>
      </c>
      <c r="C6201" s="4" t="str">
        <f ca="1">IFERROR(__xludf.DUMMYFUNCTION("GOOGLETRANSLATE(D:D,""auto"",""en"")"),"Permanent residence regulations for foreigners")</f>
        <v>Permanent residence regulations for foreigners</v>
      </c>
      <c r="D6201" s="5" t="s">
        <v>13405</v>
      </c>
      <c r="E6201" s="4">
        <v>162787</v>
      </c>
    </row>
    <row r="6202" spans="1:6" ht="13.5" hidden="1" customHeight="1">
      <c r="C6202" s="4" t="str">
        <f ca="1">IFERROR(__xludf.DUMMYFUNCTION("GOOGLETRANSLATE(D:D,""auto"",""en"")"),"#VALUE!")</f>
        <v>#VALUE!</v>
      </c>
    </row>
    <row r="6203" spans="1:6" ht="13.5" hidden="1" customHeight="1">
      <c r="A6203" s="4" t="s">
        <v>14232</v>
      </c>
      <c r="B6203" s="4" t="s">
        <v>14178</v>
      </c>
      <c r="C6203" s="4" t="str">
        <f ca="1">IFERROR(__xludf.DUMMYFUNCTION("GOOGLETRANSLATE(D:D,""auto"",""en"")"),"Sicong thumbs up")</f>
        <v>Sicong thumbs up</v>
      </c>
      <c r="D6203" s="4" t="s">
        <v>14233</v>
      </c>
      <c r="E6203" s="4">
        <v>5294464</v>
      </c>
    </row>
    <row r="6204" spans="1:6" ht="13.5" customHeight="1">
      <c r="A6204" s="4" t="s">
        <v>14234</v>
      </c>
      <c r="B6204" s="4" t="s">
        <v>14134</v>
      </c>
      <c r="C6204" s="4" t="str">
        <f ca="1">IFERROR(__xludf.DUMMYFUNCTION("GOOGLETRANSLATE(D:D,""auto"",""en"")"),"Xintiandi, president of the church's new crown virus tested negative")</f>
        <v>Xintiandi, president of the church's new crown virus tested negative</v>
      </c>
      <c r="D6204" s="5" t="s">
        <v>14235</v>
      </c>
      <c r="E6204" s="4">
        <v>2103352</v>
      </c>
      <c r="F6204">
        <v>1</v>
      </c>
    </row>
    <row r="6205" spans="1:6" ht="13.5" customHeight="1">
      <c r="A6205" s="4" t="s">
        <v>14236</v>
      </c>
      <c r="B6205" s="4" t="s">
        <v>14237</v>
      </c>
      <c r="C6205" s="4" t="str">
        <f ca="1">IFERROR(__xludf.DUMMYFUNCTION("GOOGLETRANSLATE(D:D,""auto"",""en"")"),"Vanessa Bryant called for severe punishment spread funerary police")</f>
        <v>Vanessa Bryant called for severe punishment spread funerary police</v>
      </c>
      <c r="D6205" s="5" t="s">
        <v>14238</v>
      </c>
      <c r="E6205" s="4">
        <v>1883862</v>
      </c>
      <c r="F6205">
        <v>1</v>
      </c>
    </row>
    <row r="6206" spans="1:6" ht="13.5" hidden="1" customHeight="1">
      <c r="A6206" s="4" t="s">
        <v>14239</v>
      </c>
      <c r="B6206" s="4" t="s">
        <v>14240</v>
      </c>
      <c r="C6206" s="4" t="str">
        <f ca="1">IFERROR(__xludf.DUMMYFUNCTION("GOOGLETRANSLATE(D:D,""auto"",""en"")"),"Harvin")</f>
        <v>Harvin</v>
      </c>
      <c r="D6206" s="5" t="s">
        <v>14241</v>
      </c>
      <c r="E6206" s="4">
        <v>1671658</v>
      </c>
    </row>
    <row r="6207" spans="1:6" ht="13.5" customHeight="1">
      <c r="A6207" s="4" t="s">
        <v>14242</v>
      </c>
      <c r="B6207" s="4" t="s">
        <v>14243</v>
      </c>
      <c r="C6207" s="4" t="str">
        <f ca="1">IFERROR(__xludf.DUMMYFUNCTION("GOOGLETRANSLATE(D:D,""auto"",""en"")"),"The first day on the job return to work")</f>
        <v>The first day on the job return to work</v>
      </c>
      <c r="D6207" s="5" t="s">
        <v>14244</v>
      </c>
      <c r="E6207" s="4">
        <v>1333901</v>
      </c>
      <c r="F6207">
        <v>1</v>
      </c>
    </row>
    <row r="6208" spans="1:6" ht="13.5" customHeight="1">
      <c r="A6208" s="4" t="s">
        <v>12126</v>
      </c>
      <c r="B6208" s="4" t="s">
        <v>12127</v>
      </c>
      <c r="C6208" s="4" t="str">
        <f ca="1">IFERROR(__xludf.DUMMYFUNCTION("GOOGLETRANSLATE(D:D,""auto"",""en"")"),"Korea epidemic")</f>
        <v>Korea epidemic</v>
      </c>
      <c r="D6208" s="5" t="s">
        <v>12128</v>
      </c>
      <c r="E6208" s="4">
        <v>1294916</v>
      </c>
      <c r="F6208">
        <v>1</v>
      </c>
    </row>
    <row r="6209" spans="1:6" ht="13.5" hidden="1" customHeight="1">
      <c r="A6209" s="4" t="s">
        <v>14245</v>
      </c>
      <c r="B6209" s="4" t="s">
        <v>14246</v>
      </c>
      <c r="C6209" s="4" t="str">
        <f ca="1">IFERROR(__xludf.DUMMYFUNCTION("GOOGLETRANSLATE(D:D,""auto"",""en"")"),"Yunnan Lincang to inform teachers and students forced to take drugs cauldron")</f>
        <v>Yunnan Lincang to inform teachers and students forced to take drugs cauldron</v>
      </c>
      <c r="D6209" s="5" t="s">
        <v>14247</v>
      </c>
      <c r="E6209" s="4">
        <v>1227892</v>
      </c>
    </row>
    <row r="6210" spans="1:6" ht="13.5" customHeight="1">
      <c r="A6210" s="4" t="s">
        <v>14248</v>
      </c>
      <c r="B6210" s="4" t="s">
        <v>14131</v>
      </c>
      <c r="C6210" s="4" t="str">
        <f ca="1">IFERROR(__xludf.DUMMYFUNCTION("GOOGLETRANSLATE(D:D,""auto"",""en"")"),"Zhejiang new foreign imported confirmed cases 1 case")</f>
        <v>Zhejiang new foreign imported confirmed cases 1 case</v>
      </c>
      <c r="D6210" s="5" t="s">
        <v>14249</v>
      </c>
      <c r="E6210" s="4">
        <v>1141424</v>
      </c>
      <c r="F6210">
        <v>1</v>
      </c>
    </row>
    <row r="6211" spans="1:6" ht="13.5" hidden="1" customHeight="1">
      <c r="A6211" s="4" t="s">
        <v>14250</v>
      </c>
      <c r="B6211" s="4" t="s">
        <v>14251</v>
      </c>
      <c r="C6211" s="4" t="str">
        <f ca="1">IFERROR(__xludf.DUMMYFUNCTION("GOOGLETRANSLATE(D:D,""auto"",""en"")"),"Afghan President refused to release Taliban prisoners")</f>
        <v>Afghan President refused to release Taliban prisoners</v>
      </c>
      <c r="D6211" s="5" t="s">
        <v>14252</v>
      </c>
      <c r="E6211" s="4">
        <v>1089707</v>
      </c>
    </row>
    <row r="6212" spans="1:6" ht="13.5" hidden="1" customHeight="1">
      <c r="A6212" s="4" t="s">
        <v>14253</v>
      </c>
      <c r="B6212" s="4" t="s">
        <v>14254</v>
      </c>
      <c r="C6212" s="4" t="str">
        <f ca="1">IFERROR(__xludf.DUMMYFUNCTION("GOOGLETRANSLATE(D:D,""auto"",""en"")"),"Potato chips fried rice")</f>
        <v>Potato chips fried rice</v>
      </c>
      <c r="D6212" s="5" t="s">
        <v>14255</v>
      </c>
      <c r="E6212" s="4">
        <v>1068717</v>
      </c>
    </row>
    <row r="6213" spans="1:6" ht="13.5" customHeight="1">
      <c r="A6213" s="4" t="s">
        <v>14110</v>
      </c>
      <c r="B6213" s="4" t="s">
        <v>14256</v>
      </c>
      <c r="C6213" s="4" t="str">
        <f ca="1">IFERROR(__xludf.DUMMYFUNCTION("GOOGLETRANSLATE(D:D,""auto"",""en"")"),"Pope ill cancel the organization of work")</f>
        <v>Pope ill cancel the organization of work</v>
      </c>
      <c r="D6213" s="5" t="s">
        <v>14257</v>
      </c>
      <c r="E6213" s="4">
        <v>858347</v>
      </c>
      <c r="F6213">
        <v>1</v>
      </c>
    </row>
    <row r="6214" spans="1:6" ht="13.5" hidden="1" customHeight="1">
      <c r="A6214" s="4" t="s">
        <v>14258</v>
      </c>
      <c r="B6214" s="4" t="s">
        <v>14122</v>
      </c>
      <c r="C6214" s="4" t="str">
        <f ca="1">IFERROR(__xludf.DUMMYFUNCTION("GOOGLETRANSLATE(D:D,""auto"",""en"")"),"China will promote the introduction of bio-safety law as soon as possible")</f>
        <v>China will promote the introduction of bio-safety law as soon as possible</v>
      </c>
      <c r="D6214" s="5" t="s">
        <v>14259</v>
      </c>
      <c r="E6214" s="4">
        <v>758544</v>
      </c>
    </row>
    <row r="6215" spans="1:6" ht="13.5" hidden="1" customHeight="1">
      <c r="A6215" s="4" t="s">
        <v>14110</v>
      </c>
      <c r="B6215" s="4" t="s">
        <v>14111</v>
      </c>
      <c r="C6215" s="4" t="str">
        <f ca="1">IFERROR(__xludf.DUMMYFUNCTION("GOOGLETRANSLATE(D:D,""auto"",""en"")"),"Xiaozhan studio apology")</f>
        <v>Xiaozhan studio apology</v>
      </c>
      <c r="D6215" s="5" t="s">
        <v>14112</v>
      </c>
      <c r="E6215" s="4">
        <v>710031</v>
      </c>
    </row>
    <row r="6216" spans="1:6" ht="13.5" customHeight="1">
      <c r="A6216" s="4" t="s">
        <v>14260</v>
      </c>
      <c r="B6216" s="4" t="s">
        <v>14261</v>
      </c>
      <c r="C6216" s="4" t="str">
        <f ca="1">IFERROR(__xludf.DUMMYFUNCTION("GOOGLETRANSLATE(D:D,""auto"",""en"")"),"Zhejiang adjusted for the two emergency response")</f>
        <v>Zhejiang adjusted for the two emergency response</v>
      </c>
      <c r="D6216" s="5" t="s">
        <v>14262</v>
      </c>
      <c r="E6216" s="4">
        <v>650612</v>
      </c>
      <c r="F6216">
        <v>1</v>
      </c>
    </row>
    <row r="6217" spans="1:6" ht="13.5" customHeight="1">
      <c r="A6217" s="4" t="s">
        <v>14263</v>
      </c>
      <c r="B6217" s="4" t="s">
        <v>14264</v>
      </c>
      <c r="C6217" s="4" t="str">
        <f ca="1">IFERROR(__xludf.DUMMYFUNCTION("GOOGLETRANSLATE(D:D,""auto"",""en"")"),"Village of Henan Jin fight against SARS 16 days")</f>
        <v>Village of Henan Jin fight against SARS 16 days</v>
      </c>
      <c r="D6217" s="5" t="s">
        <v>14265</v>
      </c>
      <c r="E6217" s="4">
        <v>649932</v>
      </c>
      <c r="F6217">
        <v>1</v>
      </c>
    </row>
    <row r="6218" spans="1:6" ht="13.5" hidden="1" customHeight="1">
      <c r="A6218" s="4" t="s">
        <v>14266</v>
      </c>
      <c r="B6218" s="4" t="s">
        <v>14172</v>
      </c>
      <c r="C6218" s="4" t="str">
        <f ca="1">IFERROR(__xludf.DUMMYFUNCTION("GOOGLETRANSLATE(D:D,""auto"",""en"")"),"Gaming circles")</f>
        <v>Gaming circles</v>
      </c>
      <c r="D6218" s="5" t="s">
        <v>14267</v>
      </c>
      <c r="E6218" s="4">
        <v>649219</v>
      </c>
    </row>
    <row r="6219" spans="1:6" ht="13.5" hidden="1" customHeight="1">
      <c r="A6219" s="4" t="s">
        <v>2339</v>
      </c>
      <c r="B6219" s="4" t="s">
        <v>2340</v>
      </c>
      <c r="C6219" s="4" t="str">
        <f ca="1">IFERROR(__xludf.DUMMYFUNCTION("GOOGLETRANSLATE(D:D,""auto"",""en"")"),"Shanghai Metro")</f>
        <v>Shanghai Metro</v>
      </c>
      <c r="D6219" s="5" t="s">
        <v>2341</v>
      </c>
      <c r="E6219" s="4">
        <v>648040</v>
      </c>
    </row>
    <row r="6220" spans="1:6" ht="13.5" hidden="1" customHeight="1">
      <c r="A6220" s="4" t="s">
        <v>14268</v>
      </c>
      <c r="B6220" s="4" t="s">
        <v>14172</v>
      </c>
      <c r="C6220" s="4" t="str">
        <f ca="1">IFERROR(__xludf.DUMMYFUNCTION("GOOGLETRANSLATE(D:D,""auto"",""en"")"),"Guo Wei Wei")</f>
        <v>Guo Wei Wei</v>
      </c>
      <c r="D6220" s="5" t="s">
        <v>14269</v>
      </c>
      <c r="E6220" s="4">
        <v>645680</v>
      </c>
    </row>
    <row r="6221" spans="1:6" ht="13.5" hidden="1" customHeight="1">
      <c r="A6221" s="4" t="s">
        <v>14270</v>
      </c>
      <c r="B6221" s="4" t="s">
        <v>14271</v>
      </c>
      <c r="C6221" s="4" t="str">
        <f ca="1">IFERROR(__xludf.DUMMYFUNCTION("GOOGLETRANSLATE(D:D,""auto"",""en"")"),"Macau All entertainment reopen")</f>
        <v>Macau All entertainment reopen</v>
      </c>
      <c r="D6221" s="5" t="s">
        <v>14272</v>
      </c>
      <c r="E6221" s="4">
        <v>644900</v>
      </c>
    </row>
    <row r="6222" spans="1:6" ht="13.5" hidden="1" customHeight="1">
      <c r="A6222" s="4" t="s">
        <v>14236</v>
      </c>
      <c r="B6222" s="4" t="s">
        <v>14273</v>
      </c>
      <c r="C6222" s="4" t="str">
        <f ca="1">IFERROR(__xludf.DUMMYFUNCTION("GOOGLETRANSLATE(D:D,""auto"",""en"")"),"Bai Kainan talk Assembly denounced plagiarism")</f>
        <v>Bai Kainan talk Assembly denounced plagiarism</v>
      </c>
      <c r="D6222" s="5" t="s">
        <v>14274</v>
      </c>
      <c r="E6222" s="4">
        <v>643180</v>
      </c>
    </row>
    <row r="6223" spans="1:6" ht="13.5" hidden="1" customHeight="1">
      <c r="A6223" s="4" t="s">
        <v>14275</v>
      </c>
      <c r="B6223" s="4" t="s">
        <v>14276</v>
      </c>
      <c r="C6223" s="4" t="str">
        <f ca="1">IFERROR(__xludf.DUMMYFUNCTION("GOOGLETRANSLATE(D:D,""auto"",""en"")"),"The original haircut Terrier is not really in a hurry")</f>
        <v>The original haircut Terrier is not really in a hurry</v>
      </c>
      <c r="D6223" s="5" t="s">
        <v>14277</v>
      </c>
      <c r="E6223" s="4">
        <v>641966</v>
      </c>
    </row>
    <row r="6224" spans="1:6" ht="13.5" customHeight="1">
      <c r="A6224" s="4" t="s">
        <v>14278</v>
      </c>
      <c r="B6224" s="4" t="s">
        <v>14122</v>
      </c>
      <c r="C6224" s="4" t="str">
        <f ca="1">IFERROR(__xludf.DUMMYFUNCTION("GOOGLETRANSLATE(D:D,""auto"",""en"")"),"French authorities proposed to abolish the veneer ceremony")</f>
        <v>French authorities proposed to abolish the veneer ceremony</v>
      </c>
      <c r="D6224" s="5" t="s">
        <v>14279</v>
      </c>
      <c r="E6224" s="4">
        <v>641919</v>
      </c>
      <c r="F6224">
        <v>1</v>
      </c>
    </row>
    <row r="6225" spans="1:6" ht="13.5" hidden="1" customHeight="1">
      <c r="A6225" s="4" t="s">
        <v>14248</v>
      </c>
      <c r="B6225" s="4" t="s">
        <v>14280</v>
      </c>
      <c r="C6225" s="4" t="str">
        <f ca="1">IFERROR(__xludf.DUMMYFUNCTION("GOOGLETRANSLATE(D:D,""auto"",""en"")"),"The most unfortunate turn over names")</f>
        <v>The most unfortunate turn over names</v>
      </c>
      <c r="D6225" s="5" t="s">
        <v>14281</v>
      </c>
      <c r="E6225" s="4">
        <v>637586</v>
      </c>
    </row>
    <row r="6226" spans="1:6" ht="13.5" hidden="1" customHeight="1">
      <c r="A6226" s="4" t="s">
        <v>14282</v>
      </c>
      <c r="B6226" s="4" t="s">
        <v>14283</v>
      </c>
      <c r="C6226" s="4" t="str">
        <f ca="1">IFERROR(__xludf.DUMMYFUNCTION("GOOGLETRANSLATE(D:D,""auto"",""en"")"),"Pakistan and other countries to send military aircraft transport of medical protective equipment")</f>
        <v>Pakistan and other countries to send military aircraft transport of medical protective equipment</v>
      </c>
      <c r="D6226" s="5" t="s">
        <v>14284</v>
      </c>
      <c r="E6226" s="4">
        <v>622229</v>
      </c>
    </row>
    <row r="6227" spans="1:6" ht="13.5" customHeight="1">
      <c r="A6227" s="4" t="s">
        <v>14285</v>
      </c>
      <c r="B6227" s="4" t="s">
        <v>14286</v>
      </c>
      <c r="C6227" s="4" t="str">
        <f ca="1">IFERROR(__xludf.DUMMYFUNCTION("GOOGLETRANSLATE(D:D,""auto"",""en"")"),"15000 refueling China refueling spell Wuhan Zhong Nanshan")</f>
        <v>15000 refueling China refueling spell Wuhan Zhong Nanshan</v>
      </c>
      <c r="D6227" s="5" t="s">
        <v>14287</v>
      </c>
      <c r="E6227" s="4">
        <v>615471</v>
      </c>
      <c r="F6227">
        <v>1</v>
      </c>
    </row>
    <row r="6228" spans="1:6" ht="13.5" hidden="1" customHeight="1">
      <c r="A6228" s="4" t="s">
        <v>14288</v>
      </c>
      <c r="B6228" s="4" t="s">
        <v>14175</v>
      </c>
      <c r="C6228" s="4" t="str">
        <f ca="1">IFERROR(__xludf.DUMMYFUNCTION("GOOGLETRANSLATE(D:D,""auto"",""en"")"),"Mu lesson collapse")</f>
        <v>Mu lesson collapse</v>
      </c>
      <c r="D6228" s="5" t="s">
        <v>14289</v>
      </c>
      <c r="E6228" s="4">
        <v>579315</v>
      </c>
    </row>
    <row r="6229" spans="1:6" ht="13.5" hidden="1" customHeight="1">
      <c r="A6229" s="4" t="s">
        <v>14290</v>
      </c>
      <c r="B6229" s="4" t="s">
        <v>14291</v>
      </c>
      <c r="C6229" s="4" t="str">
        <f ca="1">IFERROR(__xludf.DUMMYFUNCTION("GOOGLETRANSLATE(D:D,""auto"",""en"")"),"Knock over a child's first cp")</f>
        <v>Knock over a child's first cp</v>
      </c>
      <c r="D6229" s="5" t="s">
        <v>14292</v>
      </c>
      <c r="E6229" s="4">
        <v>527480</v>
      </c>
    </row>
    <row r="6230" spans="1:6" ht="13.5" customHeight="1">
      <c r="A6230" s="4" t="s">
        <v>14293</v>
      </c>
      <c r="B6230" s="4" t="s">
        <v>14210</v>
      </c>
      <c r="C6230" s="4" t="str">
        <f ca="1">IFERROR(__xludf.DUMMYFUNCTION("GOOGLETRANSLATE(D:D,""auto"",""en"")"),"Liu Liang, reducing lung pneumonia dead after the new crown anatomy")</f>
        <v>Liu Liang, reducing lung pneumonia dead after the new crown anatomy</v>
      </c>
      <c r="D6230" s="5" t="s">
        <v>14294</v>
      </c>
      <c r="E6230" s="4">
        <v>523890</v>
      </c>
      <c r="F6230">
        <v>1</v>
      </c>
    </row>
    <row r="6231" spans="1:6" ht="13.5" customHeight="1">
      <c r="A6231" s="4" t="s">
        <v>14295</v>
      </c>
      <c r="B6231" s="4" t="s">
        <v>14180</v>
      </c>
      <c r="C6231" s="4" t="str">
        <f ca="1">IFERROR(__xludf.DUMMYFUNCTION("GOOGLETRANSLATE(D:D,""auto"",""en"")"),"France need a doctor's prescription to buy masks")</f>
        <v>France need a doctor's prescription to buy masks</v>
      </c>
      <c r="D6231" s="5" t="s">
        <v>14296</v>
      </c>
      <c r="E6231" s="4">
        <v>518220</v>
      </c>
      <c r="F6231">
        <v>1</v>
      </c>
    </row>
    <row r="6232" spans="1:6" ht="13.5" customHeight="1">
      <c r="A6232" s="4" t="s">
        <v>13486</v>
      </c>
      <c r="B6232" s="4" t="s">
        <v>13393</v>
      </c>
      <c r="C6232" s="4" t="str">
        <f ca="1">IFERROR(__xludf.DUMMYFUNCTION("GOOGLETRANSLATE(D:D,""auto"",""en"")"),"School")</f>
        <v>School</v>
      </c>
      <c r="D6232" s="5" t="s">
        <v>13487</v>
      </c>
      <c r="E6232" s="4">
        <v>497019</v>
      </c>
      <c r="F6232">
        <v>1</v>
      </c>
    </row>
    <row r="6233" spans="1:6" ht="13.5" hidden="1" customHeight="1">
      <c r="A6233" s="4" t="s">
        <v>14297</v>
      </c>
      <c r="B6233" s="4" t="s">
        <v>14298</v>
      </c>
      <c r="C6233" s="4" t="str">
        <f ca="1">IFERROR(__xludf.DUMMYFUNCTION("GOOGLETRANSLATE(D:D,""auto"",""en"")"),"Single whoever can not really single")</f>
        <v>Single whoever can not really single</v>
      </c>
      <c r="D6233" s="5" t="s">
        <v>14299</v>
      </c>
      <c r="E6233" s="4">
        <v>467108</v>
      </c>
    </row>
    <row r="6234" spans="1:6" ht="13.5" hidden="1" customHeight="1">
      <c r="A6234" s="4" t="s">
        <v>14300</v>
      </c>
      <c r="B6234" s="4" t="s">
        <v>14276</v>
      </c>
      <c r="C6234" s="4" t="str">
        <f ca="1">IFERROR(__xludf.DUMMYFUNCTION("GOOGLETRANSLATE(D:D,""auto"",""en"")"),"Chinese characters are people to support each other's architecture")</f>
        <v>Chinese characters are people to support each other's architecture</v>
      </c>
      <c r="D6234" s="5" t="s">
        <v>14301</v>
      </c>
      <c r="E6234" s="4">
        <v>444859</v>
      </c>
    </row>
    <row r="6235" spans="1:6" ht="13.5" hidden="1" customHeight="1">
      <c r="A6235" s="4" t="s">
        <v>14302</v>
      </c>
      <c r="B6235" s="4" t="s">
        <v>14264</v>
      </c>
      <c r="C6235" s="4" t="str">
        <f ca="1">IFERROR(__xludf.DUMMYFUNCTION("GOOGLETRANSLATE(D:D,""auto"",""en"")"),"CSGO")</f>
        <v>CSGO</v>
      </c>
      <c r="D6235" s="5" t="s">
        <v>14303</v>
      </c>
      <c r="E6235" s="4">
        <v>433031</v>
      </c>
    </row>
    <row r="6236" spans="1:6" ht="13.5" hidden="1" customHeight="1">
      <c r="A6236" s="4" t="s">
        <v>14304</v>
      </c>
      <c r="B6236" s="4" t="s">
        <v>14276</v>
      </c>
      <c r="C6236" s="4" t="str">
        <f ca="1">IFERROR(__xludf.DUMMYFUNCTION("GOOGLETRANSLATE(D:D,""auto"",""en"")"),"4 by the Chongqing Yu Han to send visitors attending fever")</f>
        <v>4 by the Chongqing Yu Han to send visitors attending fever</v>
      </c>
      <c r="D6236" s="5" t="s">
        <v>14305</v>
      </c>
      <c r="E6236" s="4">
        <v>431403</v>
      </c>
    </row>
    <row r="6237" spans="1:6" ht="13.5" customHeight="1">
      <c r="A6237" s="4" t="s">
        <v>14306</v>
      </c>
      <c r="B6237" s="4" t="s">
        <v>14194</v>
      </c>
      <c r="C6237" s="4" t="str">
        <f ca="1">IFERROR(__xludf.DUMMYFUNCTION("GOOGLETRANSLATE(D:D,""auto"",""en"")"),"Shelter clean brother")</f>
        <v>Shelter clean brother</v>
      </c>
      <c r="D6237" s="5" t="s">
        <v>14307</v>
      </c>
      <c r="E6237" s="4">
        <v>417534</v>
      </c>
      <c r="F6237">
        <v>1</v>
      </c>
    </row>
    <row r="6238" spans="1:6" ht="13.5" customHeight="1">
      <c r="A6238" s="4" t="s">
        <v>14308</v>
      </c>
      <c r="B6238" s="4" t="s">
        <v>14309</v>
      </c>
      <c r="C6238" s="4" t="str">
        <f ca="1">IFERROR(__xludf.DUMMYFUNCTION("GOOGLETRANSLATE(D:D,""auto"",""en"")"),"31 provinces added 202 cases of pneumonia new crown")</f>
        <v>31 provinces added 202 cases of pneumonia new crown</v>
      </c>
      <c r="D6238" s="5" t="s">
        <v>14310</v>
      </c>
      <c r="E6238" s="4">
        <v>412028</v>
      </c>
      <c r="F6238">
        <v>1</v>
      </c>
    </row>
    <row r="6239" spans="1:6" ht="13.5" hidden="1" customHeight="1">
      <c r="A6239" s="4" t="s">
        <v>14311</v>
      </c>
      <c r="B6239" s="4" t="s">
        <v>14312</v>
      </c>
      <c r="C6239" s="4" t="str">
        <f ca="1">IFERROR(__xludf.DUMMYFUNCTION("GOOGLETRANSLATE(D:D,""auto"",""en"")"),"Understand Timor")</f>
        <v>Understand Timor</v>
      </c>
      <c r="D6239" s="5" t="s">
        <v>14313</v>
      </c>
      <c r="E6239" s="4">
        <v>366106</v>
      </c>
    </row>
    <row r="6240" spans="1:6" ht="13.5" hidden="1" customHeight="1">
      <c r="A6240" s="4" t="s">
        <v>14146</v>
      </c>
      <c r="B6240" s="4" t="s">
        <v>14147</v>
      </c>
      <c r="C6240" s="4" t="str">
        <f ca="1">IFERROR(__xludf.DUMMYFUNCTION("GOOGLETRANSLATE(D:D,""auto"",""en"")"),"Xiaozhan fan club apologize")</f>
        <v>Xiaozhan fan club apologize</v>
      </c>
      <c r="D6240" s="5" t="s">
        <v>14148</v>
      </c>
      <c r="E6240" s="4">
        <v>311910</v>
      </c>
    </row>
    <row r="6241" spans="1:6" ht="13.5" customHeight="1">
      <c r="A6241" s="4" t="s">
        <v>14314</v>
      </c>
      <c r="B6241" s="4" t="s">
        <v>14125</v>
      </c>
      <c r="C6241" s="4" t="str">
        <f ca="1">IFERROR(__xludf.DUMMYFUNCTION("GOOGLETRANSLATE(D:D,""auto"",""en"")"),"Military health care to maintain a zero infection")</f>
        <v>Military health care to maintain a zero infection</v>
      </c>
      <c r="D6241" s="5" t="s">
        <v>14315</v>
      </c>
      <c r="E6241" s="4">
        <v>307924</v>
      </c>
      <c r="F6241">
        <v>1</v>
      </c>
    </row>
    <row r="6242" spans="1:6" ht="13.5" hidden="1" customHeight="1">
      <c r="A6242" s="4" t="s">
        <v>14316</v>
      </c>
      <c r="B6242" s="4" t="s">
        <v>14317</v>
      </c>
      <c r="C6242" s="4" t="str">
        <f ca="1">IFERROR(__xludf.DUMMYFUNCTION("GOOGLETRANSLATE(D:D,""auto"",""en"")"),"The original mom is a hero")</f>
        <v>The original mom is a hero</v>
      </c>
      <c r="D6242" s="5" t="s">
        <v>14318</v>
      </c>
      <c r="E6242" s="4">
        <v>287987</v>
      </c>
    </row>
    <row r="6243" spans="1:6" ht="13.5" hidden="1" customHeight="1">
      <c r="A6243" s="4" t="s">
        <v>14152</v>
      </c>
      <c r="B6243" s="4" t="s">
        <v>14153</v>
      </c>
      <c r="C6243" s="4" t="str">
        <f ca="1">IFERROR(__xludf.DUMMYFUNCTION("GOOGLETRANSLATE(D:D,""auto"",""en"")"),"Jian Wang three")</f>
        <v>Jian Wang three</v>
      </c>
      <c r="D6243" s="5" t="s">
        <v>14154</v>
      </c>
      <c r="E6243" s="4">
        <v>280154</v>
      </c>
    </row>
    <row r="6244" spans="1:6" ht="13.5" hidden="1" customHeight="1">
      <c r="A6244" s="4" t="s">
        <v>14319</v>
      </c>
      <c r="B6244" s="4" t="s">
        <v>14320</v>
      </c>
      <c r="C6244" s="4" t="str">
        <f ca="1">IFERROR(__xludf.DUMMYFUNCTION("GOOGLETRANSLATE(D:D,""auto"",""en"")"),"Man sent to hospital to cure seven-ton stone")</f>
        <v>Man sent to hospital to cure seven-ton stone</v>
      </c>
      <c r="D6244" s="5" t="s">
        <v>14321</v>
      </c>
      <c r="E6244" s="4">
        <v>272126</v>
      </c>
    </row>
    <row r="6245" spans="1:6" ht="13.5" customHeight="1">
      <c r="A6245" s="4" t="s">
        <v>14322</v>
      </c>
      <c r="B6245" s="4" t="s">
        <v>14323</v>
      </c>
      <c r="C6245" s="4" t="str">
        <f ca="1">IFERROR(__xludf.DUMMYFUNCTION("GOOGLETRANSLATE(D:D,""auto"",""en"")"),"New 566 cases of the new crown pneumonia Italy")</f>
        <v>New 566 cases of the new crown pneumonia Italy</v>
      </c>
      <c r="D6245" s="5" t="s">
        <v>14324</v>
      </c>
      <c r="E6245" s="4">
        <v>270159</v>
      </c>
      <c r="F6245">
        <v>1</v>
      </c>
    </row>
    <row r="6246" spans="1:6" ht="13.5" hidden="1" customHeight="1">
      <c r="A6246" s="4" t="s">
        <v>14325</v>
      </c>
      <c r="B6246" s="4" t="s">
        <v>14326</v>
      </c>
      <c r="C6246" s="4" t="str">
        <f ca="1">IFERROR(__xludf.DUMMYFUNCTION("GOOGLETRANSLATE(D:D,""auto"",""en"")"),"James three pairs")</f>
        <v>James three pairs</v>
      </c>
      <c r="D6246" s="5" t="s">
        <v>14327</v>
      </c>
      <c r="E6246" s="4">
        <v>250208</v>
      </c>
    </row>
    <row r="6247" spans="1:6" ht="13.5" customHeight="1">
      <c r="A6247" s="4" t="s">
        <v>14152</v>
      </c>
      <c r="B6247" s="4" t="s">
        <v>14328</v>
      </c>
      <c r="C6247" s="4" t="str">
        <f ca="1">IFERROR(__xludf.DUMMYFUNCTION("GOOGLETRANSLATE(D:D,""auto"",""en"")"),"14 cities in Hubei new cases 0")</f>
        <v>14 cities in Hubei new cases 0</v>
      </c>
      <c r="D6247" s="5" t="s">
        <v>14329</v>
      </c>
      <c r="E6247" s="4">
        <v>242102</v>
      </c>
      <c r="F6247">
        <v>1</v>
      </c>
    </row>
    <row r="6248" spans="1:6" ht="13.5" customHeight="1">
      <c r="A6248" s="4" t="s">
        <v>14330</v>
      </c>
      <c r="B6248" s="4" t="s">
        <v>14261</v>
      </c>
      <c r="C6248" s="4" t="str">
        <f ca="1">IFERROR(__xludf.DUMMYFUNCTION("GOOGLETRANSLATE(D:D,""auto"",""en"")"),"New York for the first time confirmed cases")</f>
        <v>New York for the first time confirmed cases</v>
      </c>
      <c r="D6248" s="5" t="s">
        <v>14331</v>
      </c>
      <c r="E6248" s="4">
        <v>222163</v>
      </c>
      <c r="F6248">
        <v>1</v>
      </c>
    </row>
    <row r="6249" spans="1:6" ht="13.5" customHeight="1">
      <c r="A6249" s="4" t="s">
        <v>14152</v>
      </c>
      <c r="B6249" s="4" t="s">
        <v>14264</v>
      </c>
      <c r="C6249" s="4" t="str">
        <f ca="1">IFERROR(__xludf.DUMMYFUNCTION("GOOGLETRANSLATE(D:D,""auto"",""en"")"),"3 batches of 4,000 military medical personnel rush to the rescue Wuhan")</f>
        <v>3 batches of 4,000 military medical personnel rush to the rescue Wuhan</v>
      </c>
      <c r="D6249" s="5" t="s">
        <v>14332</v>
      </c>
      <c r="E6249" s="4">
        <v>211440</v>
      </c>
      <c r="F6249">
        <v>1</v>
      </c>
    </row>
    <row r="6250" spans="1:6" ht="13.5" customHeight="1">
      <c r="A6250" s="4" t="s">
        <v>14333</v>
      </c>
      <c r="B6250" s="4" t="s">
        <v>14334</v>
      </c>
      <c r="C6250" s="4" t="str">
        <f ca="1">IFERROR(__xludf.DUMMYFUNCTION("GOOGLETRANSLATE(D:D,""auto"",""en"")"),"China Overseas cumulative 7169 cases of pneumonia diagnosed with the new crown")</f>
        <v>China Overseas cumulative 7169 cases of pneumonia diagnosed with the new crown</v>
      </c>
      <c r="D6250" s="5" t="s">
        <v>14335</v>
      </c>
      <c r="E6250" s="4">
        <v>194497</v>
      </c>
      <c r="F6250">
        <v>1</v>
      </c>
    </row>
    <row r="6251" spans="1:6" ht="13.5" customHeight="1">
      <c r="A6251" s="4" t="s">
        <v>14336</v>
      </c>
      <c r="B6251" s="4" t="s">
        <v>14337</v>
      </c>
      <c r="C6251" s="4" t="str">
        <f ca="1">IFERROR(__xludf.DUMMYFUNCTION("GOOGLETRANSLATE(D:D,""auto"",""en"")"),"-20 shipped out 10 sorties rush to the rescue Wuhan")</f>
        <v>-20 shipped out 10 sorties rush to the rescue Wuhan</v>
      </c>
      <c r="D6251" s="5" t="s">
        <v>14338</v>
      </c>
      <c r="E6251" s="4">
        <v>193435</v>
      </c>
      <c r="F6251">
        <v>1</v>
      </c>
    </row>
    <row r="6252" spans="1:6" ht="13.5" hidden="1" customHeight="1">
      <c r="C6252" s="4" t="str">
        <f ca="1">IFERROR(__xludf.DUMMYFUNCTION("GOOGLETRANSLATE(D:D,""auto"",""en"")"),"#VALUE!")</f>
        <v>#VALUE!</v>
      </c>
    </row>
    <row r="6253" spans="1:6" ht="13.5" hidden="1" customHeight="1">
      <c r="A6253" s="4" t="s">
        <v>14339</v>
      </c>
      <c r="B6253" s="4" t="s">
        <v>14340</v>
      </c>
      <c r="C6253" s="4" t="str">
        <f ca="1">IFERROR(__xludf.DUMMYFUNCTION("GOOGLETRANSLATE(D:D,""auto"",""en"")"),"Shawn apology")</f>
        <v>Shawn apology</v>
      </c>
      <c r="D6253" s="4" t="s">
        <v>14341</v>
      </c>
      <c r="E6253" s="4">
        <v>4398703</v>
      </c>
    </row>
    <row r="6254" spans="1:6" ht="13.5" hidden="1" customHeight="1">
      <c r="A6254" s="4" t="s">
        <v>14342</v>
      </c>
      <c r="B6254" s="4" t="s">
        <v>14343</v>
      </c>
      <c r="C6254" s="4" t="str">
        <f ca="1">IFERROR(__xludf.DUMMYFUNCTION("GOOGLETRANSLATE(D:D,""auto"",""en"")"),"Sun Yang announced the complete blood sample bottle")</f>
        <v>Sun Yang announced the complete blood sample bottle</v>
      </c>
      <c r="D6254" s="5" t="s">
        <v>14344</v>
      </c>
      <c r="E6254" s="4">
        <v>2473290</v>
      </c>
    </row>
    <row r="6255" spans="1:6" ht="13.5" hidden="1" customHeight="1">
      <c r="A6255" s="4" t="s">
        <v>14345</v>
      </c>
      <c r="B6255" s="4" t="s">
        <v>14346</v>
      </c>
      <c r="C6255" s="4" t="str">
        <f ca="1">IFERROR(__xludf.DUMMYFUNCTION("GOOGLETRANSLATE(D:D,""auto"",""en"")"),"Jack Welch's death")</f>
        <v>Jack Welch's death</v>
      </c>
      <c r="D6255" s="5" t="s">
        <v>14347</v>
      </c>
      <c r="E6255" s="4">
        <v>2248850</v>
      </c>
    </row>
    <row r="6256" spans="1:6" ht="13.5" hidden="1" customHeight="1">
      <c r="A6256" s="4" t="s">
        <v>14348</v>
      </c>
      <c r="B6256" s="4" t="s">
        <v>14349</v>
      </c>
      <c r="C6256" s="4" t="str">
        <f ca="1">IFERROR(__xludf.DUMMYFUNCTION("GOOGLETRANSLATE(D:D,""auto"",""en"")"),"Know almost collapse")</f>
        <v>Know almost collapse</v>
      </c>
      <c r="D6256" s="5" t="s">
        <v>14350</v>
      </c>
      <c r="E6256" s="4">
        <v>2040859</v>
      </c>
    </row>
    <row r="6257" spans="1:6" ht="13.5" customHeight="1">
      <c r="A6257" s="4" t="s">
        <v>14351</v>
      </c>
      <c r="B6257" s="4" t="s">
        <v>14352</v>
      </c>
      <c r="C6257" s="4" t="str">
        <f ca="1">IFERROR(__xludf.DUMMYFUNCTION("GOOGLETRANSLATE(D:D,""auto"",""en"")"),"Hubei TV, Jiangsu Province, Hefei")</f>
        <v>Hubei TV, Jiangsu Province, Hefei</v>
      </c>
      <c r="D6257" s="5" t="s">
        <v>14353</v>
      </c>
      <c r="E6257" s="4">
        <v>1844751</v>
      </c>
      <c r="F6257">
        <v>1</v>
      </c>
    </row>
    <row r="6258" spans="1:6" ht="13.5" hidden="1" customHeight="1">
      <c r="A6258" s="4" t="s">
        <v>14354</v>
      </c>
      <c r="B6258" s="4" t="s">
        <v>11113</v>
      </c>
      <c r="C6258" s="4" t="str">
        <f ca="1">IFERROR(__xludf.DUMMYFUNCTION("GOOGLETRANSLATE(D:D,""auto"",""en"")"),"Stella kick Cuiying Jun")</f>
        <v>Stella kick Cuiying Jun</v>
      </c>
      <c r="D6258" s="5" t="s">
        <v>14355</v>
      </c>
      <c r="E6258" s="4">
        <v>1333221</v>
      </c>
    </row>
    <row r="6259" spans="1:6" ht="13.5" customHeight="1">
      <c r="A6259" s="4" t="s">
        <v>14356</v>
      </c>
      <c r="B6259" s="4" t="s">
        <v>14357</v>
      </c>
      <c r="C6259" s="4" t="str">
        <f ca="1">IFERROR(__xludf.DUMMYFUNCTION("GOOGLETRANSLATE(D:D,""auto"",""en"")"),"Gao Xin volunteer to plant masks")</f>
        <v>Gao Xin volunteer to plant masks</v>
      </c>
      <c r="D6259" s="5" t="s">
        <v>14358</v>
      </c>
      <c r="E6259" s="4">
        <v>1209354</v>
      </c>
      <c r="F6259">
        <v>1</v>
      </c>
    </row>
    <row r="6260" spans="1:6" ht="13.5" customHeight="1">
      <c r="A6260" s="4" t="s">
        <v>14359</v>
      </c>
      <c r="B6260" s="4" t="s">
        <v>14360</v>
      </c>
      <c r="C6260" s="4" t="str">
        <f ca="1">IFERROR(__xludf.DUMMYFUNCTION("GOOGLETRANSLATE(D:D,""auto"",""en"")"),"Zhong Nanshan team recommended strict implementation of prevention and control to the end of April")</f>
        <v>Zhong Nanshan team recommended strict implementation of prevention and control to the end of April</v>
      </c>
      <c r="D6260" s="5" t="s">
        <v>14361</v>
      </c>
      <c r="E6260" s="4">
        <v>1177737</v>
      </c>
      <c r="F6260">
        <v>1</v>
      </c>
    </row>
    <row r="6261" spans="1:6" ht="13.5" hidden="1" customHeight="1">
      <c r="A6261" s="4" t="s">
        <v>14362</v>
      </c>
      <c r="B6261" s="4" t="s">
        <v>14363</v>
      </c>
      <c r="C6261" s="4" t="str">
        <f ca="1">IFERROR(__xludf.DUMMYFUNCTION("GOOGLETRANSLATE(D:D,""auto"",""en"")"),"And non-discriminatory enforcement measures against foreign nationals")</f>
        <v>And non-discriminatory enforcement measures against foreign nationals</v>
      </c>
      <c r="D6261" s="5" t="s">
        <v>14364</v>
      </c>
      <c r="E6261" s="4">
        <v>1149812</v>
      </c>
    </row>
    <row r="6262" spans="1:6" ht="13.5" hidden="1" customHeight="1">
      <c r="A6262" s="4" t="s">
        <v>14365</v>
      </c>
      <c r="B6262" s="4" t="s">
        <v>14245</v>
      </c>
      <c r="C6262" s="4" t="str">
        <f ca="1">IFERROR(__xludf.DUMMYFUNCTION("GOOGLETRANSLATE(D:D,""auto"",""en"")"),"Idol speechless")</f>
        <v>Idol speechless</v>
      </c>
      <c r="D6262" s="5" t="s">
        <v>14366</v>
      </c>
      <c r="E6262" s="4">
        <v>1143008</v>
      </c>
    </row>
    <row r="6263" spans="1:6" ht="13.5" hidden="1" customHeight="1">
      <c r="A6263" s="4" t="s">
        <v>14367</v>
      </c>
      <c r="B6263" s="4" t="s">
        <v>14368</v>
      </c>
      <c r="C6263" s="4" t="str">
        <f ca="1">IFERROR(__xludf.DUMMYFUNCTION("GOOGLETRANSLATE(D:D,""auto"",""en"")"),"Three departments issued 16 new jobs")</f>
        <v>Three departments issued 16 new jobs</v>
      </c>
      <c r="D6263" s="5" t="s">
        <v>14369</v>
      </c>
      <c r="E6263" s="4">
        <v>876273</v>
      </c>
    </row>
    <row r="6264" spans="1:6" ht="13.5" hidden="1" customHeight="1">
      <c r="A6264" s="4" t="s">
        <v>14370</v>
      </c>
      <c r="B6264" s="4" t="s">
        <v>14371</v>
      </c>
      <c r="C6264" s="4" t="str">
        <f ca="1">IFERROR(__xludf.DUMMYFUNCTION("GOOGLETRANSLATE(D:D,""auto"",""en"")"),"Liu Hao Ran sun Lego")</f>
        <v>Liu Hao Ran sun Lego</v>
      </c>
      <c r="D6264" s="5" t="s">
        <v>14372</v>
      </c>
      <c r="E6264" s="4">
        <v>793625</v>
      </c>
    </row>
    <row r="6265" spans="1:6" ht="13.5" customHeight="1">
      <c r="A6265" s="4" t="s">
        <v>14373</v>
      </c>
      <c r="B6265" s="4" t="s">
        <v>14374</v>
      </c>
      <c r="C6265" s="4" t="str">
        <f ca="1">IFERROR(__xludf.DUMMYFUNCTION("GOOGLETRANSLATE(D:D,""auto"",""en"")"),"Why do you not buy masks")</f>
        <v>Why do you not buy masks</v>
      </c>
      <c r="D6265" s="5" t="s">
        <v>14375</v>
      </c>
      <c r="E6265" s="4">
        <v>752964</v>
      </c>
      <c r="F6265">
        <v>1</v>
      </c>
    </row>
    <row r="6266" spans="1:6" ht="13.5" customHeight="1">
      <c r="A6266" s="4" t="s">
        <v>14376</v>
      </c>
      <c r="B6266" s="4" t="s">
        <v>14377</v>
      </c>
      <c r="C6266" s="4" t="str">
        <f ca="1">IFERROR(__xludf.DUMMYFUNCTION("GOOGLETRANSLATE(D:D,""auto"",""en"")"),"Florida declared a public health emergency")</f>
        <v>Florida declared a public health emergency</v>
      </c>
      <c r="D6266" s="5" t="s">
        <v>14378</v>
      </c>
      <c r="E6266" s="4">
        <v>750606</v>
      </c>
      <c r="F6266">
        <v>1</v>
      </c>
    </row>
    <row r="6267" spans="1:6" ht="13.5" customHeight="1">
      <c r="A6267" s="4" t="s">
        <v>14379</v>
      </c>
      <c r="B6267" s="4" t="s">
        <v>14380</v>
      </c>
      <c r="C6267" s="4" t="str">
        <f ca="1">IFERROR(__xludf.DUMMYFUNCTION("GOOGLETRANSLATE(D:D,""auto"",""en"")"),"Ma rebate Japan 1 million masks")</f>
        <v>Ma rebate Japan 1 million masks</v>
      </c>
      <c r="D6267" s="5" t="s">
        <v>14381</v>
      </c>
      <c r="E6267" s="4">
        <v>742245</v>
      </c>
      <c r="F6267">
        <v>1</v>
      </c>
    </row>
    <row r="6268" spans="1:6" ht="13.5" hidden="1" customHeight="1">
      <c r="A6268" s="4" t="s">
        <v>14382</v>
      </c>
      <c r="B6268" s="4" t="s">
        <v>14383</v>
      </c>
      <c r="C6268" s="4" t="str">
        <f ca="1">IFERROR(__xludf.DUMMYFUNCTION("GOOGLETRANSLATE(D:D,""auto"",""en"")"),"China has become the UN Security Council presidency")</f>
        <v>China has become the UN Security Council presidency</v>
      </c>
      <c r="D6268" s="5" t="s">
        <v>14384</v>
      </c>
      <c r="E6268" s="4">
        <v>736873</v>
      </c>
    </row>
    <row r="6269" spans="1:6" ht="13.5" hidden="1" customHeight="1">
      <c r="A6269" s="4" t="s">
        <v>14385</v>
      </c>
      <c r="B6269" s="4" t="s">
        <v>14386</v>
      </c>
      <c r="C6269" s="4" t="str">
        <f ca="1">IFERROR(__xludf.DUMMYFUNCTION("GOOGLETRANSLATE(D:D,""auto"",""en"")"),"Zhu sparkle")</f>
        <v>Zhu sparkle</v>
      </c>
      <c r="D6269" s="5" t="s">
        <v>14387</v>
      </c>
      <c r="E6269" s="4">
        <v>729262</v>
      </c>
    </row>
    <row r="6270" spans="1:6" ht="13.5" hidden="1" customHeight="1">
      <c r="A6270" s="4" t="s">
        <v>14388</v>
      </c>
      <c r="B6270" s="4" t="s">
        <v>14242</v>
      </c>
      <c r="C6270" s="4" t="str">
        <f ca="1">IFERROR(__xludf.DUMMYFUNCTION("GOOGLETRANSLATE(D:D,""auto"",""en"")"),"Mom's eyes you eat snail powder")</f>
        <v>Mom's eyes you eat snail powder</v>
      </c>
      <c r="D6270" s="5" t="s">
        <v>14389</v>
      </c>
      <c r="E6270" s="4">
        <v>727136</v>
      </c>
    </row>
    <row r="6271" spans="1:6" ht="13.5" hidden="1" customHeight="1">
      <c r="A6271" s="4" t="s">
        <v>10528</v>
      </c>
      <c r="B6271" s="4" t="s">
        <v>10351</v>
      </c>
      <c r="C6271" s="4" t="str">
        <f ca="1">IFERROR(__xludf.DUMMYFUNCTION("GOOGLETRANSLATE(D:D,""auto"",""en"")"),"locust")</f>
        <v>locust</v>
      </c>
      <c r="D6271" s="5" t="s">
        <v>10529</v>
      </c>
      <c r="E6271" s="4">
        <v>721294</v>
      </c>
    </row>
    <row r="6272" spans="1:6" ht="13.5" hidden="1" customHeight="1">
      <c r="A6272" s="4" t="s">
        <v>14390</v>
      </c>
      <c r="B6272" s="4" t="s">
        <v>14391</v>
      </c>
      <c r="C6272" s="4" t="str">
        <f ca="1">IFERROR(__xludf.DUMMYFUNCTION("GOOGLETRANSLATE(D:D,""auto"",""en"")"),"Poor new term")</f>
        <v>Poor new term</v>
      </c>
      <c r="D6272" s="5" t="s">
        <v>14392</v>
      </c>
      <c r="E6272" s="4">
        <v>679079</v>
      </c>
    </row>
    <row r="6273" spans="1:6" ht="13.5" hidden="1" customHeight="1">
      <c r="A6273" s="4" t="s">
        <v>14390</v>
      </c>
      <c r="B6273" s="4" t="s">
        <v>14242</v>
      </c>
      <c r="C6273" s="4" t="str">
        <f ca="1">IFERROR(__xludf.DUMMYFUNCTION("GOOGLETRANSLATE(D:D,""auto"",""en"")"),"Teacher interview results")</f>
        <v>Teacher interview results</v>
      </c>
      <c r="D6273" s="5" t="s">
        <v>14393</v>
      </c>
      <c r="E6273" s="4">
        <v>624655</v>
      </c>
    </row>
    <row r="6274" spans="1:6" ht="13.5" customHeight="1">
      <c r="A6274" s="4" t="s">
        <v>14394</v>
      </c>
      <c r="B6274" s="4" t="s">
        <v>14395</v>
      </c>
      <c r="C6274" s="4" t="str">
        <f ca="1">IFERROR(__xludf.DUMMYFUNCTION("GOOGLETRANSLATE(D:D,""auto"",""en"")"),"To wear protective clothing became Notepad")</f>
        <v>To wear protective clothing became Notepad</v>
      </c>
      <c r="D6274" s="5" t="s">
        <v>14396</v>
      </c>
      <c r="E6274" s="4">
        <v>623777</v>
      </c>
      <c r="F6274">
        <v>1</v>
      </c>
    </row>
    <row r="6275" spans="1:6" ht="13.5" hidden="1" customHeight="1">
      <c r="A6275" s="4" t="s">
        <v>14397</v>
      </c>
      <c r="B6275" s="4" t="s">
        <v>14352</v>
      </c>
      <c r="C6275" s="4" t="str">
        <f ca="1">IFERROR(__xludf.DUMMYFUNCTION("GOOGLETRANSLATE(D:D,""auto"",""en"")"),"tapeworm")</f>
        <v>tapeworm</v>
      </c>
      <c r="D6275" s="5" t="s">
        <v>14398</v>
      </c>
      <c r="E6275" s="4">
        <v>611966</v>
      </c>
    </row>
    <row r="6276" spans="1:6" ht="13.5" hidden="1" customHeight="1">
      <c r="A6276" s="4" t="s">
        <v>14399</v>
      </c>
      <c r="B6276" s="4" t="s">
        <v>14400</v>
      </c>
      <c r="C6276" s="4" t="str">
        <f ca="1">IFERROR(__xludf.DUMMYFUNCTION("GOOGLETRANSLATE(D:D,""auto"",""en"")"),"Wang Yinan")</f>
        <v>Wang Yinan</v>
      </c>
      <c r="D6276" s="5" t="s">
        <v>14401</v>
      </c>
      <c r="E6276" s="4">
        <v>593049</v>
      </c>
    </row>
    <row r="6277" spans="1:6" ht="13.5" hidden="1" customHeight="1">
      <c r="A6277" s="4" t="s">
        <v>14402</v>
      </c>
      <c r="B6277" s="4" t="s">
        <v>11113</v>
      </c>
      <c r="C6277" s="4" t="str">
        <f ca="1">IFERROR(__xludf.DUMMYFUNCTION("GOOGLETRANSLATE(D:D,""auto"",""en"")"),"How to wipe tears of the whole makeup")</f>
        <v>How to wipe tears of the whole makeup</v>
      </c>
      <c r="D6277" s="5" t="s">
        <v>14403</v>
      </c>
      <c r="E6277" s="4">
        <v>567304</v>
      </c>
    </row>
    <row r="6278" spans="1:6" ht="13.5" customHeight="1">
      <c r="A6278" s="4" t="s">
        <v>14399</v>
      </c>
      <c r="B6278" s="4" t="s">
        <v>14404</v>
      </c>
      <c r="C6278" s="4" t="str">
        <f ca="1">IFERROR(__xludf.DUMMYFUNCTION("GOOGLETRANSLATE(D:D,""auto"",""en"")"),"South Korea's new crown pneumonia hospitals 16 nurses to resign")</f>
        <v>South Korea's new crown pneumonia hospitals 16 nurses to resign</v>
      </c>
      <c r="D6278" s="5" t="s">
        <v>14405</v>
      </c>
      <c r="E6278" s="4">
        <v>545620</v>
      </c>
      <c r="F6278">
        <v>1</v>
      </c>
    </row>
    <row r="6279" spans="1:6" ht="13.5" hidden="1" customHeight="1">
      <c r="A6279" s="4" t="s">
        <v>12063</v>
      </c>
      <c r="B6279" s="4" t="s">
        <v>12051</v>
      </c>
      <c r="C6279" s="4" t="str">
        <f ca="1">IFERROR(__xludf.DUMMYFUNCTION("GOOGLETRANSLATE(D:D,""auto"",""en"")"),"settle down")</f>
        <v>settle down</v>
      </c>
      <c r="D6279" s="5" t="s">
        <v>12064</v>
      </c>
      <c r="E6279" s="4">
        <v>510725</v>
      </c>
    </row>
    <row r="6280" spans="1:6" ht="13.5" hidden="1" customHeight="1">
      <c r="A6280" s="4" t="s">
        <v>14406</v>
      </c>
      <c r="B6280" s="4" t="s">
        <v>14407</v>
      </c>
      <c r="C6280" s="4" t="str">
        <f ca="1">IFERROR(__xludf.DUMMYFUNCTION("GOOGLETRANSLATE(D:D,""auto"",""en"")"),"Settle old house prototype story")</f>
        <v>Settle old house prototype story</v>
      </c>
      <c r="D6280" s="5" t="s">
        <v>14408</v>
      </c>
      <c r="E6280" s="4">
        <v>505860</v>
      </c>
    </row>
    <row r="6281" spans="1:6" ht="13.5" hidden="1" customHeight="1">
      <c r="A6281" s="4" t="s">
        <v>14409</v>
      </c>
      <c r="B6281" s="4" t="s">
        <v>14410</v>
      </c>
      <c r="C6281" s="4" t="str">
        <f ca="1">IFERROR(__xludf.DUMMYFUNCTION("GOOGLETRANSLATE(D:D,""auto"",""en"")"),"Jiang Dalin who set")</f>
        <v>Jiang Dalin who set</v>
      </c>
      <c r="D6281" s="5" t="s">
        <v>14411</v>
      </c>
      <c r="E6281" s="4">
        <v>470490</v>
      </c>
    </row>
    <row r="6282" spans="1:6" ht="13.5" customHeight="1">
      <c r="A6282" s="4" t="s">
        <v>14412</v>
      </c>
      <c r="B6282" s="4" t="s">
        <v>14413</v>
      </c>
      <c r="C6282" s="4" t="str">
        <f ca="1">IFERROR(__xludf.DUMMYFUNCTION("GOOGLETRANSLATE(D:D,""auto"",""en"")"),"South Korean Chien Shelter hospital")</f>
        <v>South Korean Chien Shelter hospital</v>
      </c>
      <c r="D6282" s="5" t="s">
        <v>14414</v>
      </c>
      <c r="E6282" s="4">
        <v>458287</v>
      </c>
      <c r="F6282">
        <v>1</v>
      </c>
    </row>
    <row r="6283" spans="1:6" ht="13.5" hidden="1" customHeight="1">
      <c r="A6283" s="4" t="s">
        <v>14415</v>
      </c>
      <c r="B6283" s="4" t="s">
        <v>14416</v>
      </c>
      <c r="C6283" s="4" t="str">
        <f ca="1">IFERROR(__xludf.DUMMYFUNCTION("GOOGLETRANSLATE(D:D,""auto"",""en"")"),"Li Yi Feng live crowd Hanyan")</f>
        <v>Li Yi Feng live crowd Hanyan</v>
      </c>
      <c r="D6283" s="5" t="s">
        <v>14417</v>
      </c>
      <c r="E6283" s="4">
        <v>442850</v>
      </c>
    </row>
    <row r="6284" spans="1:6" ht="13.5" customHeight="1">
      <c r="A6284" s="4" t="s">
        <v>14418</v>
      </c>
      <c r="B6284" s="4" t="s">
        <v>14419</v>
      </c>
      <c r="C6284" s="4" t="str">
        <f ca="1">IFERROR(__xludf.DUMMYFUNCTION("GOOGLETRANSLATE(D:D,""auto"",""en"")"),"The new crown pneumonia lesions model 3D printing")</f>
        <v>The new crown pneumonia lesions model 3D printing</v>
      </c>
      <c r="D6284" s="5" t="s">
        <v>14420</v>
      </c>
      <c r="E6284" s="4">
        <v>440905</v>
      </c>
      <c r="F6284">
        <v>1</v>
      </c>
    </row>
    <row r="6285" spans="1:6" ht="13.5" hidden="1" customHeight="1">
      <c r="A6285" s="4" t="s">
        <v>14421</v>
      </c>
      <c r="B6285" s="4" t="s">
        <v>14422</v>
      </c>
      <c r="C6285" s="4" t="str">
        <f ca="1">IFERROR(__xludf.DUMMYFUNCTION("GOOGLETRANSLATE(D:D,""auto"",""en"")"),"Million illegal immigrants on the impact of Greece and Turkey")</f>
        <v>Million illegal immigrants on the impact of Greece and Turkey</v>
      </c>
      <c r="D6285" s="5" t="s">
        <v>14423</v>
      </c>
      <c r="E6285" s="4">
        <v>435224</v>
      </c>
    </row>
    <row r="6286" spans="1:6" ht="13.5" hidden="1" customHeight="1">
      <c r="A6286" s="4" t="s">
        <v>14424</v>
      </c>
      <c r="B6286" s="4" t="s">
        <v>14352</v>
      </c>
      <c r="C6286" s="4" t="str">
        <f ca="1">IFERROR(__xludf.DUMMYFUNCTION("GOOGLETRANSLATE(D:D,""auto"",""en"")"),"Bonnie perfect relationship")</f>
        <v>Bonnie perfect relationship</v>
      </c>
      <c r="D6286" s="5" t="s">
        <v>14425</v>
      </c>
      <c r="E6286" s="4">
        <v>413105</v>
      </c>
    </row>
    <row r="6287" spans="1:6" ht="13.5" hidden="1" customHeight="1">
      <c r="A6287" s="4" t="s">
        <v>14345</v>
      </c>
      <c r="B6287" s="4" t="s">
        <v>14352</v>
      </c>
      <c r="C6287" s="4" t="str">
        <f ca="1">IFERROR(__xludf.DUMMYFUNCTION("GOOGLETRANSLATE(D:D,""auto"",""en"")"),"Governor of Hokkaido")</f>
        <v>Governor of Hokkaido</v>
      </c>
      <c r="D6287" s="5" t="s">
        <v>14426</v>
      </c>
      <c r="E6287" s="4">
        <v>393850</v>
      </c>
    </row>
    <row r="6288" spans="1:6" ht="13.5" hidden="1" customHeight="1">
      <c r="A6288" s="4" t="s">
        <v>14427</v>
      </c>
      <c r="B6288" s="4" t="s">
        <v>14428</v>
      </c>
      <c r="C6288" s="4" t="str">
        <f ca="1">IFERROR(__xludf.DUMMYFUNCTION("GOOGLETRANSLATE(D:D,""auto"",""en"")"),"Fully completed by 2020 Compass Global System")</f>
        <v>Fully completed by 2020 Compass Global System</v>
      </c>
      <c r="D6288" s="5" t="s">
        <v>14429</v>
      </c>
      <c r="E6288" s="4">
        <v>367370</v>
      </c>
    </row>
    <row r="6289" spans="1:6" ht="13.5" hidden="1" customHeight="1">
      <c r="A6289" s="4" t="s">
        <v>14421</v>
      </c>
      <c r="B6289" s="4" t="s">
        <v>14428</v>
      </c>
      <c r="C6289" s="4" t="str">
        <f ca="1">IFERROR(__xludf.DUMMYFUNCTION("GOOGLETRANSLATE(D:D,""auto"",""en"")"),"The Taliban announced the termination part of the Armistice Agreement")</f>
        <v>The Taliban announced the termination part of the Armistice Agreement</v>
      </c>
      <c r="D6289" s="5" t="s">
        <v>14430</v>
      </c>
      <c r="E6289" s="4">
        <v>361050</v>
      </c>
    </row>
    <row r="6290" spans="1:6" ht="13.5" hidden="1" customHeight="1">
      <c r="A6290" s="4" t="s">
        <v>14431</v>
      </c>
      <c r="B6290" s="4" t="s">
        <v>14432</v>
      </c>
      <c r="C6290" s="4" t="str">
        <f ca="1">IFERROR(__xludf.DUMMYFUNCTION("GOOGLETRANSLATE(D:D,""auto"",""en"")"),"Shawn")</f>
        <v>Shawn</v>
      </c>
      <c r="D6290" s="5" t="s">
        <v>14433</v>
      </c>
      <c r="E6290" s="4">
        <v>341473</v>
      </c>
    </row>
    <row r="6291" spans="1:6" ht="13.5" hidden="1" customHeight="1">
      <c r="A6291" s="4" t="s">
        <v>14434</v>
      </c>
      <c r="B6291" s="4" t="s">
        <v>14435</v>
      </c>
      <c r="C6291" s="4" t="str">
        <f ca="1">IFERROR(__xludf.DUMMYFUNCTION("GOOGLETRANSLATE(D:D,""auto"",""en"")"),"US stocks")</f>
        <v>US stocks</v>
      </c>
      <c r="D6291" s="5" t="s">
        <v>14436</v>
      </c>
      <c r="E6291" s="4">
        <v>341234</v>
      </c>
    </row>
    <row r="6292" spans="1:6" ht="13.5" hidden="1" customHeight="1">
      <c r="A6292" s="4" t="s">
        <v>14437</v>
      </c>
      <c r="B6292" s="4" t="s">
        <v>14438</v>
      </c>
      <c r="C6292" s="4" t="str">
        <f ca="1">IFERROR(__xludf.DUMMYFUNCTION("GOOGLETRANSLATE(D:D,""auto"",""en"")"),"Zhangye in the end how beautiful")</f>
        <v>Zhangye in the end how beautiful</v>
      </c>
      <c r="D6292" s="5" t="s">
        <v>14439</v>
      </c>
      <c r="E6292" s="4">
        <v>315424</v>
      </c>
    </row>
    <row r="6293" spans="1:6" ht="13.5" hidden="1" customHeight="1">
      <c r="A6293" s="4" t="s">
        <v>14440</v>
      </c>
      <c r="B6293" s="4" t="s">
        <v>14441</v>
      </c>
      <c r="C6293" s="4" t="str">
        <f ca="1">IFERROR(__xludf.DUMMYFUNCTION("GOOGLETRANSLATE(D:D,""auto"",""en"")"),"US supermarket toilet paper was looted")</f>
        <v>US supermarket toilet paper was looted</v>
      </c>
      <c r="D6293" s="5" t="s">
        <v>14442</v>
      </c>
      <c r="E6293" s="4">
        <v>315217</v>
      </c>
    </row>
    <row r="6294" spans="1:6" ht="13.5" customHeight="1">
      <c r="A6294" s="4" t="s">
        <v>14443</v>
      </c>
      <c r="B6294" s="4" t="s">
        <v>14428</v>
      </c>
      <c r="C6294" s="4" t="str">
        <f ca="1">IFERROR(__xludf.DUMMYFUNCTION("GOOGLETRANSLATE(D:D,""auto"",""en"")"),"Liaoning police died in a quarantine line")</f>
        <v>Liaoning police died in a quarantine line</v>
      </c>
      <c r="D6294" s="5" t="s">
        <v>14444</v>
      </c>
      <c r="E6294" s="4">
        <v>312023</v>
      </c>
      <c r="F6294">
        <v>1</v>
      </c>
    </row>
    <row r="6295" spans="1:6" ht="13.5" hidden="1" customHeight="1">
      <c r="A6295" s="4" t="s">
        <v>14406</v>
      </c>
      <c r="B6295" s="4" t="s">
        <v>14391</v>
      </c>
      <c r="C6295" s="4" t="str">
        <f ca="1">IFERROR(__xludf.DUMMYFUNCTION("GOOGLETRANSLATE(D:D,""auto"",""en"")"),"Mr. Hao Ze")</f>
        <v>Mr. Hao Ze</v>
      </c>
      <c r="D6295" s="5" t="s">
        <v>14445</v>
      </c>
      <c r="E6295" s="4">
        <v>281551</v>
      </c>
    </row>
    <row r="6296" spans="1:6" ht="13.5" hidden="1" customHeight="1">
      <c r="A6296" s="4" t="s">
        <v>14446</v>
      </c>
      <c r="B6296" s="4" t="s">
        <v>14236</v>
      </c>
      <c r="C6296" s="4" t="str">
        <f ca="1">IFERROR(__xludf.DUMMYFUNCTION("GOOGLETRANSLATE(D:D,""auto"",""en"")"),"Wang Yibo makeup")</f>
        <v>Wang Yibo makeup</v>
      </c>
      <c r="D6296" s="5" t="s">
        <v>14447</v>
      </c>
      <c r="E6296" s="4">
        <v>280516</v>
      </c>
    </row>
    <row r="6297" spans="1:6" ht="13.5" hidden="1" customHeight="1">
      <c r="A6297" s="4" t="s">
        <v>14448</v>
      </c>
      <c r="B6297" s="4" t="s">
        <v>14422</v>
      </c>
      <c r="C6297" s="4" t="str">
        <f ca="1">IFERROR(__xludf.DUMMYFUNCTION("GOOGLETRANSLATE(D:D,""auto"",""en"")"),"The Canadian government recommends that people hoard goods as soon as possible")</f>
        <v>The Canadian government recommends that people hoard goods as soon as possible</v>
      </c>
      <c r="D6297" s="5" t="s">
        <v>14449</v>
      </c>
      <c r="E6297" s="4">
        <v>278301</v>
      </c>
    </row>
    <row r="6298" spans="1:6" ht="13.5" hidden="1" customHeight="1">
      <c r="A6298" s="4" t="s">
        <v>14443</v>
      </c>
      <c r="B6298" s="4" t="s">
        <v>14419</v>
      </c>
      <c r="C6298" s="4" t="str">
        <f ca="1">IFERROR(__xludf.DUMMYFUNCTION("GOOGLETRANSLATE(D:D,""auto"",""en"")"),"Changsha County packaging plant fire")</f>
        <v>Changsha County packaging plant fire</v>
      </c>
      <c r="D6298" s="5" t="s">
        <v>14450</v>
      </c>
      <c r="E6298" s="4">
        <v>235114</v>
      </c>
    </row>
    <row r="6299" spans="1:6" ht="13.5" hidden="1" customHeight="1">
      <c r="A6299" s="4" t="s">
        <v>14451</v>
      </c>
      <c r="B6299" s="4" t="s">
        <v>14452</v>
      </c>
      <c r="C6299" s="4" t="str">
        <f ca="1">IFERROR(__xludf.DUMMYFUNCTION("GOOGLETRANSLATE(D:D,""auto"",""en"")"),"Article spicy fried noodles")</f>
        <v>Article spicy fried noodles</v>
      </c>
      <c r="D6299" s="5" t="s">
        <v>14453</v>
      </c>
      <c r="E6299" s="4">
        <v>233852</v>
      </c>
    </row>
    <row r="6300" spans="1:6" ht="13.5" hidden="1" customHeight="1">
      <c r="A6300" s="4" t="s">
        <v>14440</v>
      </c>
      <c r="B6300" s="4" t="s">
        <v>14343</v>
      </c>
      <c r="C6300" s="4" t="str">
        <f ca="1">IFERROR(__xludf.DUMMYFUNCTION("GOOGLETRANSLATE(D:D,""auto"",""en"")"),"Climbing girl can find the signal at home to class")</f>
        <v>Climbing girl can find the signal at home to class</v>
      </c>
      <c r="D6300" s="5" t="s">
        <v>14454</v>
      </c>
      <c r="E6300" s="4">
        <v>200866</v>
      </c>
    </row>
    <row r="6301" spans="1:6" ht="13.5" customHeight="1">
      <c r="A6301" s="4" t="s">
        <v>14455</v>
      </c>
      <c r="B6301" s="4" t="s">
        <v>14456</v>
      </c>
      <c r="C6301" s="4" t="str">
        <f ca="1">IFERROR(__xludf.DUMMYFUNCTION("GOOGLETRANSLATE(D:D,""auto"",""en"")"),"C919 large aircraft to return to work")</f>
        <v>C919 large aircraft to return to work</v>
      </c>
      <c r="D6301" s="5" t="s">
        <v>14457</v>
      </c>
      <c r="E6301" s="4">
        <v>120319</v>
      </c>
      <c r="F6301">
        <v>1</v>
      </c>
    </row>
    <row r="6302" spans="1:6" ht="13.5" hidden="1" customHeight="1">
      <c r="C6302" s="4" t="str">
        <f ca="1">IFERROR(__xludf.DUMMYFUNCTION("GOOGLETRANSLATE(D:D,""auto"",""en"")"),"#VALUE!")</f>
        <v>#VALUE!</v>
      </c>
    </row>
    <row r="6303" spans="1:6" ht="13.5" customHeight="1">
      <c r="A6303" s="4" t="s">
        <v>14458</v>
      </c>
      <c r="B6303" s="4" t="s">
        <v>14459</v>
      </c>
      <c r="C6303" s="4" t="str">
        <f ca="1">IFERROR(__xludf.DUMMYFUNCTION("GOOGLETRANSLATE(D:D,""auto"",""en"")"),"Zhejiang new seven cases were imported cases in Italy")</f>
        <v>Zhejiang new seven cases were imported cases in Italy</v>
      </c>
      <c r="D6303" s="4" t="s">
        <v>14460</v>
      </c>
      <c r="E6303" s="4">
        <v>2747472</v>
      </c>
      <c r="F6303">
        <v>1</v>
      </c>
    </row>
    <row r="6304" spans="1:6" ht="13.5" hidden="1" customHeight="1">
      <c r="A6304" s="4" t="s">
        <v>14461</v>
      </c>
      <c r="B6304" s="4" t="s">
        <v>14462</v>
      </c>
      <c r="C6304" s="4" t="str">
        <f ca="1">IFERROR(__xludf.DUMMYFUNCTION("GOOGLETRANSLATE(D:D,""auto"",""en"")"),"The state will accelerate Graduate Artificial Intelligence")</f>
        <v>The state will accelerate Graduate Artificial Intelligence</v>
      </c>
      <c r="D6304" s="5" t="s">
        <v>14463</v>
      </c>
      <c r="E6304" s="4">
        <v>1716348</v>
      </c>
    </row>
    <row r="6305" spans="1:6" ht="13.5" hidden="1" customHeight="1">
      <c r="A6305" s="4" t="s">
        <v>14464</v>
      </c>
      <c r="B6305" s="4" t="s">
        <v>14465</v>
      </c>
      <c r="C6305" s="4" t="str">
        <f ca="1">IFERROR(__xludf.DUMMYFUNCTION("GOOGLETRANSLATE(D:D,""auto"",""en"")"),"Iran Chinese treatment program translated into Persian")</f>
        <v>Iran Chinese treatment program translated into Persian</v>
      </c>
      <c r="D6305" s="5" t="s">
        <v>14466</v>
      </c>
      <c r="E6305" s="4">
        <v>1502852</v>
      </c>
    </row>
    <row r="6306" spans="1:6" ht="13.5" hidden="1" customHeight="1">
      <c r="A6306" s="4" t="s">
        <v>14467</v>
      </c>
      <c r="B6306" s="4" t="s">
        <v>14468</v>
      </c>
      <c r="C6306" s="4" t="str">
        <f ca="1">IFERROR(__xludf.DUMMYFUNCTION("GOOGLETRANSLATE(D:D,""auto"",""en"")"),"Ma Weiwei")</f>
        <v>Ma Weiwei</v>
      </c>
      <c r="D6306" s="5" t="s">
        <v>14469</v>
      </c>
      <c r="E6306" s="4">
        <v>1498726</v>
      </c>
    </row>
    <row r="6307" spans="1:6" ht="13.5" customHeight="1">
      <c r="A6307" s="4" t="s">
        <v>14470</v>
      </c>
      <c r="B6307" s="4" t="s">
        <v>14471</v>
      </c>
      <c r="C6307" s="4" t="str">
        <f ca="1">IFERROR(__xludf.DUMMYFUNCTION("GOOGLETRANSLATE(D:D,""auto"",""en"")"),"Shanghai new cases of pneumonia in one case a new crown")</f>
        <v>Shanghai new cases of pneumonia in one case a new crown</v>
      </c>
      <c r="D6307" s="5" t="s">
        <v>14472</v>
      </c>
      <c r="E6307" s="4">
        <v>1454231</v>
      </c>
      <c r="F6307">
        <v>1</v>
      </c>
    </row>
    <row r="6308" spans="1:6" ht="13.5" customHeight="1">
      <c r="A6308" s="4" t="s">
        <v>14473</v>
      </c>
      <c r="B6308" s="4" t="s">
        <v>14474</v>
      </c>
      <c r="C6308" s="4" t="str">
        <f ca="1">IFERROR(__xludf.DUMMYFUNCTION("GOOGLETRANSLATE(D:D,""auto"",""en"")"),"South Korea confirmed a total of 4812 cases of pneumonia new crown")</f>
        <v>South Korea confirmed a total of 4812 cases of pneumonia new crown</v>
      </c>
      <c r="D6308" s="5" t="s">
        <v>14475</v>
      </c>
      <c r="E6308" s="4">
        <v>1439648</v>
      </c>
      <c r="F6308">
        <v>1</v>
      </c>
    </row>
    <row r="6309" spans="1:6" ht="13.5" hidden="1" customHeight="1">
      <c r="A6309" s="4" t="s">
        <v>14476</v>
      </c>
      <c r="B6309" s="4" t="s">
        <v>14477</v>
      </c>
      <c r="C6309" s="4" t="str">
        <f ca="1">IFERROR(__xludf.DUMMYFUNCTION("GOOGLETRANSLATE(D:D,""auto"",""en"")"),"How to fight to eat snail powder")</f>
        <v>How to fight to eat snail powder</v>
      </c>
      <c r="D6309" s="5" t="s">
        <v>14478</v>
      </c>
      <c r="E6309" s="4">
        <v>1428366</v>
      </c>
    </row>
    <row r="6310" spans="1:6" ht="13.5" customHeight="1">
      <c r="A6310" s="4" t="s">
        <v>14479</v>
      </c>
      <c r="B6310" s="4" t="s">
        <v>14406</v>
      </c>
      <c r="C6310" s="4" t="str">
        <f ca="1">IFERROR(__xludf.DUMMYFUNCTION("GOOGLETRANSLATE(D:D,""auto"",""en"")"),"Wuhan foreign residence may apply for 3000 yuan government bailout")</f>
        <v>Wuhan foreign residence may apply for 3000 yuan government bailout</v>
      </c>
      <c r="D6310" s="5" t="s">
        <v>14480</v>
      </c>
      <c r="E6310" s="4">
        <v>1395036</v>
      </c>
      <c r="F6310">
        <v>1</v>
      </c>
    </row>
    <row r="6311" spans="1:6" ht="13.5" customHeight="1">
      <c r="A6311" s="4" t="s">
        <v>14481</v>
      </c>
      <c r="B6311" s="4" t="s">
        <v>14399</v>
      </c>
      <c r="C6311" s="4" t="str">
        <f ca="1">IFERROR(__xludf.DUMMYFUNCTION("GOOGLETRANSLATE(D:D,""auto"",""en"")"),"Liaoning Dandong new cases were diagnosed three cases")</f>
        <v>Liaoning Dandong new cases were diagnosed three cases</v>
      </c>
      <c r="D6311" s="5" t="s">
        <v>14482</v>
      </c>
      <c r="E6311" s="4">
        <v>1372995</v>
      </c>
      <c r="F6311">
        <v>1</v>
      </c>
    </row>
    <row r="6312" spans="1:6" ht="13.5" hidden="1" customHeight="1">
      <c r="A6312" s="4" t="s">
        <v>14339</v>
      </c>
      <c r="B6312" s="4" t="s">
        <v>14340</v>
      </c>
      <c r="C6312" s="4" t="str">
        <f ca="1">IFERROR(__xludf.DUMMYFUNCTION("GOOGLETRANSLATE(D:D,""auto"",""en"")"),"Shawn apology")</f>
        <v>Shawn apology</v>
      </c>
      <c r="D6312" s="5" t="s">
        <v>14341</v>
      </c>
      <c r="E6312" s="4">
        <v>1359304</v>
      </c>
    </row>
    <row r="6313" spans="1:6" ht="13.5" customHeight="1">
      <c r="A6313" s="4" t="s">
        <v>14483</v>
      </c>
      <c r="B6313" s="4" t="s">
        <v>14402</v>
      </c>
      <c r="C6313" s="4" t="str">
        <f ca="1">IFERROR(__xludf.DUMMYFUNCTION("GOOGLETRANSLATE(D:D,""auto"",""en"")"),"31 provinces added 125 cases of pneumonia new crown")</f>
        <v>31 provinces added 125 cases of pneumonia new crown</v>
      </c>
      <c r="D6313" s="5" t="s">
        <v>14484</v>
      </c>
      <c r="E6313" s="4">
        <v>1349458</v>
      </c>
      <c r="F6313">
        <v>1</v>
      </c>
    </row>
    <row r="6314" spans="1:6" ht="13.5" customHeight="1">
      <c r="A6314" s="4" t="s">
        <v>14351</v>
      </c>
      <c r="B6314" s="4" t="s">
        <v>14352</v>
      </c>
      <c r="C6314" s="4" t="str">
        <f ca="1">IFERROR(__xludf.DUMMYFUNCTION("GOOGLETRANSLATE(D:D,""auto"",""en"")"),"Hubei TV, Jiangsu Province, Hefei")</f>
        <v>Hubei TV, Jiangsu Province, Hefei</v>
      </c>
      <c r="D6314" s="5" t="s">
        <v>14353</v>
      </c>
      <c r="E6314" s="4">
        <v>1318990</v>
      </c>
      <c r="F6314">
        <v>1</v>
      </c>
    </row>
    <row r="6315" spans="1:6" ht="13.5" customHeight="1">
      <c r="A6315" s="4" t="s">
        <v>14485</v>
      </c>
      <c r="B6315" s="4" t="s">
        <v>14446</v>
      </c>
      <c r="C6315" s="4" t="str">
        <f ca="1">IFERROR(__xludf.DUMMYFUNCTION("GOOGLETRANSLATE(D:D,""auto"",""en"")"),"WHO staff in Iran infected with the new virus crown")</f>
        <v>WHO staff in Iran infected with the new virus crown</v>
      </c>
      <c r="D6315" s="5" t="s">
        <v>14486</v>
      </c>
      <c r="E6315" s="4">
        <v>1303566</v>
      </c>
      <c r="F6315">
        <v>1</v>
      </c>
    </row>
    <row r="6316" spans="1:6" ht="13.5" hidden="1" customHeight="1">
      <c r="A6316" s="4" t="s">
        <v>14342</v>
      </c>
      <c r="B6316" s="4" t="s">
        <v>14343</v>
      </c>
      <c r="C6316" s="4" t="str">
        <f ca="1">IFERROR(__xludf.DUMMYFUNCTION("GOOGLETRANSLATE(D:D,""auto"",""en"")"),"Sun Yang announced the complete blood sample bottle")</f>
        <v>Sun Yang announced the complete blood sample bottle</v>
      </c>
      <c r="D6316" s="5" t="s">
        <v>14344</v>
      </c>
      <c r="E6316" s="4">
        <v>1288531</v>
      </c>
    </row>
    <row r="6317" spans="1:6" ht="13.5" hidden="1" customHeight="1">
      <c r="A6317" s="4" t="s">
        <v>14354</v>
      </c>
      <c r="B6317" s="4" t="s">
        <v>11113</v>
      </c>
      <c r="C6317" s="4" t="str">
        <f ca="1">IFERROR(__xludf.DUMMYFUNCTION("GOOGLETRANSLATE(D:D,""auto"",""en"")"),"Stella kick Cuiying Jun")</f>
        <v>Stella kick Cuiying Jun</v>
      </c>
      <c r="D6317" s="5" t="s">
        <v>14355</v>
      </c>
      <c r="E6317" s="4">
        <v>1265472</v>
      </c>
    </row>
    <row r="6318" spans="1:6" ht="13.5" hidden="1" customHeight="1">
      <c r="A6318" s="4" t="s">
        <v>14487</v>
      </c>
      <c r="B6318" s="4" t="s">
        <v>14488</v>
      </c>
      <c r="C6318" s="4" t="str">
        <f ca="1">IFERROR(__xludf.DUMMYFUNCTION("GOOGLETRANSLATE(D:D,""auto"",""en"")"),"Sun Li Yang seeking performance beyond bless")</f>
        <v>Sun Li Yang seeking performance beyond bless</v>
      </c>
      <c r="D6318" s="5" t="s">
        <v>14489</v>
      </c>
      <c r="E6318" s="4">
        <v>1240755</v>
      </c>
    </row>
    <row r="6319" spans="1:6" ht="13.5" hidden="1" customHeight="1">
      <c r="A6319" s="4" t="s">
        <v>14490</v>
      </c>
      <c r="B6319" s="4" t="s">
        <v>14491</v>
      </c>
      <c r="C6319" s="4" t="str">
        <f ca="1">IFERROR(__xludf.DUMMYFUNCTION("GOOGLETRANSLATE(D:D,""auto"",""en"")"),"The new Gossip Girl starring")</f>
        <v>The new Gossip Girl starring</v>
      </c>
      <c r="D6319" s="5" t="s">
        <v>14492</v>
      </c>
      <c r="E6319" s="4">
        <v>1227660</v>
      </c>
    </row>
    <row r="6320" spans="1:6" ht="13.5" hidden="1" customHeight="1">
      <c r="A6320" s="4" t="s">
        <v>14493</v>
      </c>
      <c r="B6320" s="4" t="s">
        <v>14468</v>
      </c>
      <c r="C6320" s="4" t="str">
        <f ca="1">IFERROR(__xludf.DUMMYFUNCTION("GOOGLETRANSLATE(D:D,""auto"",""en"")"),"Wang actually force")</f>
        <v>Wang actually force</v>
      </c>
      <c r="D6320" s="5" t="s">
        <v>14494</v>
      </c>
      <c r="E6320" s="4">
        <v>1165567</v>
      </c>
    </row>
    <row r="6321" spans="1:6" ht="13.5" hidden="1" customHeight="1">
      <c r="A6321" s="4" t="s">
        <v>14495</v>
      </c>
      <c r="B6321" s="4" t="s">
        <v>14496</v>
      </c>
      <c r="C6321" s="4" t="str">
        <f ca="1">IFERROR(__xludf.DUMMYFUNCTION("GOOGLETRANSLATE(D:D,""auto"",""en"")"),"Lishui")</f>
        <v>Lishui</v>
      </c>
      <c r="D6321" s="5" t="s">
        <v>14497</v>
      </c>
      <c r="E6321" s="4">
        <v>1121207</v>
      </c>
    </row>
    <row r="6322" spans="1:6" ht="13.5" hidden="1" customHeight="1">
      <c r="A6322" s="4" t="s">
        <v>14498</v>
      </c>
      <c r="B6322" s="4" t="s">
        <v>14499</v>
      </c>
      <c r="C6322" s="4" t="str">
        <f ca="1">IFERROR(__xludf.DUMMYFUNCTION("GOOGLETRANSLATE(D:D,""auto"",""en"")"),"Fight to overtake a lot of the market value of Baidu")</f>
        <v>Fight to overtake a lot of the market value of Baidu</v>
      </c>
      <c r="D6322" s="5" t="s">
        <v>14500</v>
      </c>
      <c r="E6322" s="4">
        <v>918112</v>
      </c>
    </row>
    <row r="6323" spans="1:6" ht="13.5" hidden="1" customHeight="1">
      <c r="A6323" s="4" t="s">
        <v>14501</v>
      </c>
      <c r="B6323" s="4" t="s">
        <v>14502</v>
      </c>
      <c r="C6323" s="4" t="str">
        <f ca="1">IFERROR(__xludf.DUMMYFUNCTION("GOOGLETRANSLATE(D:D,""auto"",""en"")"),"How to coax his girlfriend with a Korean way")</f>
        <v>How to coax his girlfriend with a Korean way</v>
      </c>
      <c r="D6323" s="5" t="s">
        <v>14503</v>
      </c>
      <c r="E6323" s="4">
        <v>718488</v>
      </c>
    </row>
    <row r="6324" spans="1:6" ht="13.5" hidden="1" customHeight="1">
      <c r="A6324" s="4" t="s">
        <v>14504</v>
      </c>
      <c r="B6324" s="4" t="s">
        <v>14505</v>
      </c>
      <c r="C6324" s="4" t="str">
        <f ca="1">IFERROR(__xludf.DUMMYFUNCTION("GOOGLETRANSLATE(D:D,""auto"",""en"")"),"odd")</f>
        <v>odd</v>
      </c>
      <c r="D6324" s="5" t="s">
        <v>14506</v>
      </c>
      <c r="E6324" s="4">
        <v>682933</v>
      </c>
    </row>
    <row r="6325" spans="1:6" ht="13.5" hidden="1" customHeight="1">
      <c r="A6325" s="4" t="s">
        <v>14507</v>
      </c>
      <c r="B6325" s="4" t="s">
        <v>14508</v>
      </c>
      <c r="C6325" s="4" t="str">
        <f ca="1">IFERROR(__xludf.DUMMYFUNCTION("GOOGLETRANSLATE(D:D,""auto"",""en"")"),"Trump said that now held a rally safety")</f>
        <v>Trump said that now held a rally safety</v>
      </c>
      <c r="D6325" s="5" t="s">
        <v>14509</v>
      </c>
      <c r="E6325" s="4">
        <v>638464</v>
      </c>
    </row>
    <row r="6326" spans="1:6" ht="13.5" hidden="1" customHeight="1">
      <c r="A6326" s="4" t="s">
        <v>14510</v>
      </c>
      <c r="B6326" s="4" t="s">
        <v>14511</v>
      </c>
      <c r="C6326" s="4" t="str">
        <f ca="1">IFERROR(__xludf.DUMMYFUNCTION("GOOGLETRANSLATE(D:D,""auto"",""en"")"),"Run")</f>
        <v>Run</v>
      </c>
      <c r="D6326" s="5" t="s">
        <v>14512</v>
      </c>
      <c r="E6326" s="4">
        <v>513314</v>
      </c>
    </row>
    <row r="6327" spans="1:6" ht="13.5" customHeight="1">
      <c r="A6327" s="4" t="s">
        <v>14513</v>
      </c>
      <c r="B6327" s="4" t="s">
        <v>14514</v>
      </c>
      <c r="C6327" s="4" t="str">
        <f ca="1">IFERROR(__xludf.DUMMYFUNCTION("GOOGLETRANSLATE(D:D,""auto"",""en"")"),"Mongolia Xiang China donated 20,000 masks")</f>
        <v>Mongolia Xiang China donated 20,000 masks</v>
      </c>
      <c r="D6327" s="5" t="s">
        <v>14515</v>
      </c>
      <c r="E6327" s="4">
        <v>509712</v>
      </c>
      <c r="F6327">
        <v>1</v>
      </c>
    </row>
    <row r="6328" spans="1:6" ht="13.5" hidden="1" customHeight="1">
      <c r="A6328" s="4" t="s">
        <v>14513</v>
      </c>
      <c r="B6328" s="4" t="s">
        <v>14367</v>
      </c>
      <c r="C6328" s="4" t="str">
        <f ca="1">IFERROR(__xludf.DUMMYFUNCTION("GOOGLETRANSLATE(D:D,""auto"",""en"")"),"Apple's $ 500 million litigation settlement spin-down door")</f>
        <v>Apple's $ 500 million litigation settlement spin-down door</v>
      </c>
      <c r="D6328" s="5" t="s">
        <v>14516</v>
      </c>
      <c r="E6328" s="4">
        <v>483315</v>
      </c>
    </row>
    <row r="6329" spans="1:6" ht="13.5" hidden="1" customHeight="1">
      <c r="A6329" s="4" t="s">
        <v>14464</v>
      </c>
      <c r="B6329" s="4" t="s">
        <v>14517</v>
      </c>
      <c r="C6329" s="4" t="str">
        <f ca="1">IFERROR(__xludf.DUMMYFUNCTION("GOOGLETRANSLATE(D:D,""auto"",""en"")"),"Big Joe White Snake")</f>
        <v>Big Joe White Snake</v>
      </c>
      <c r="D6329" s="5" t="s">
        <v>14518</v>
      </c>
      <c r="E6329" s="4">
        <v>465863</v>
      </c>
    </row>
    <row r="6330" spans="1:6" ht="13.5" customHeight="1">
      <c r="A6330" s="4" t="s">
        <v>14519</v>
      </c>
      <c r="B6330" s="4" t="s">
        <v>14520</v>
      </c>
      <c r="C6330" s="4" t="str">
        <f ca="1">IFERROR(__xludf.DUMMYFUNCTION("GOOGLETRANSLATE(D:D,""auto"",""en"")"),"NBA released a new memo crown pneumonia")</f>
        <v>NBA released a new memo crown pneumonia</v>
      </c>
      <c r="D6330" s="5" t="s">
        <v>14521</v>
      </c>
      <c r="E6330" s="4">
        <v>458457</v>
      </c>
      <c r="F6330">
        <v>1</v>
      </c>
    </row>
    <row r="6331" spans="1:6" ht="13.5" customHeight="1">
      <c r="A6331" s="4" t="s">
        <v>14522</v>
      </c>
      <c r="B6331" s="4" t="s">
        <v>14523</v>
      </c>
      <c r="C6331" s="4" t="str">
        <f ca="1">IFERROR(__xludf.DUMMYFUNCTION("GOOGLETRANSLATE(D:D,""auto"",""en"")"),"Yellowstone two cards causing many villagers fever infection")</f>
        <v>Yellowstone two cards causing many villagers fever infection</v>
      </c>
      <c r="D6331" s="5" t="s">
        <v>14524</v>
      </c>
      <c r="E6331" s="4">
        <v>441782</v>
      </c>
      <c r="F6331">
        <v>1</v>
      </c>
    </row>
    <row r="6332" spans="1:6" ht="13.5" hidden="1" customHeight="1">
      <c r="A6332" s="4" t="s">
        <v>14513</v>
      </c>
      <c r="B6332" s="4" t="s">
        <v>14505</v>
      </c>
      <c r="C6332" s="4" t="str">
        <f ca="1">IFERROR(__xludf.DUMMYFUNCTION("GOOGLETRANSLATE(D:D,""auto"",""en"")"),"What made you decide to want to break up the moment")</f>
        <v>What made you decide to want to break up the moment</v>
      </c>
      <c r="D6332" s="5" t="s">
        <v>14525</v>
      </c>
      <c r="E6332" s="4">
        <v>403789</v>
      </c>
    </row>
    <row r="6333" spans="1:6" ht="13.5" hidden="1" customHeight="1">
      <c r="A6333" s="4" t="s">
        <v>14519</v>
      </c>
      <c r="B6333" s="4" t="s">
        <v>14526</v>
      </c>
      <c r="C6333" s="4" t="str">
        <f ca="1">IFERROR(__xludf.DUMMYFUNCTION("GOOGLETRANSLATE(D:D,""auto"",""en"")"),"Beijing college entrance examination was held for the first time the new adaptive testing")</f>
        <v>Beijing college entrance examination was held for the first time the new adaptive testing</v>
      </c>
      <c r="D6333" s="5" t="s">
        <v>14527</v>
      </c>
      <c r="E6333" s="4">
        <v>395894</v>
      </c>
    </row>
    <row r="6334" spans="1:6" ht="13.5" hidden="1" customHeight="1">
      <c r="A6334" s="4" t="s">
        <v>14528</v>
      </c>
      <c r="B6334" s="4" t="s">
        <v>14529</v>
      </c>
      <c r="C6334" s="4" t="str">
        <f ca="1">IFERROR(__xludf.DUMMYFUNCTION("GOOGLETRANSLATE(D:D,""auto"",""en"")"),"Our band lineup")</f>
        <v>Our band lineup</v>
      </c>
      <c r="D6334" s="5" t="s">
        <v>14530</v>
      </c>
      <c r="E6334" s="4">
        <v>371460</v>
      </c>
    </row>
    <row r="6335" spans="1:6" ht="13.5" customHeight="1">
      <c r="A6335" s="4" t="s">
        <v>14522</v>
      </c>
      <c r="B6335" s="4" t="s">
        <v>14443</v>
      </c>
      <c r="C6335" s="4" t="str">
        <f ca="1">IFERROR(__xludf.DUMMYFUNCTION("GOOGLETRANSLATE(D:D,""auto"",""en"")"),"The new crown the difference between the lungs and patients with SARS patients with pneumonia")</f>
        <v>The new crown the difference between the lungs and patients with SARS patients with pneumonia</v>
      </c>
      <c r="D6335" s="5" t="s">
        <v>14531</v>
      </c>
      <c r="E6335" s="4">
        <v>350383</v>
      </c>
      <c r="F6335">
        <v>1</v>
      </c>
    </row>
    <row r="6336" spans="1:6" ht="13.5" customHeight="1">
      <c r="A6336" s="4" t="s">
        <v>14532</v>
      </c>
      <c r="B6336" s="4" t="s">
        <v>14533</v>
      </c>
      <c r="C6336" s="4" t="str">
        <f ca="1">IFERROR(__xludf.DUMMYFUNCTION("GOOGLETRANSLATE(D:D,""auto"",""en"")"),"After 95 small mountain Vulcan nurse")</f>
        <v>After 95 small mountain Vulcan nurse</v>
      </c>
      <c r="D6336" s="5" t="s">
        <v>14534</v>
      </c>
      <c r="E6336" s="4">
        <v>337182</v>
      </c>
      <c r="F6336">
        <v>1</v>
      </c>
    </row>
    <row r="6337" spans="1:6" ht="13.5" hidden="1" customHeight="1">
      <c r="A6337" s="4" t="s">
        <v>10528</v>
      </c>
      <c r="B6337" s="4" t="s">
        <v>10351</v>
      </c>
      <c r="C6337" s="4" t="str">
        <f ca="1">IFERROR(__xludf.DUMMYFUNCTION("GOOGLETRANSLATE(D:D,""auto"",""en"")"),"locust")</f>
        <v>locust</v>
      </c>
      <c r="D6337" s="5" t="s">
        <v>10529</v>
      </c>
      <c r="E6337" s="4">
        <v>333454</v>
      </c>
    </row>
    <row r="6338" spans="1:6" ht="13.5" hidden="1" customHeight="1">
      <c r="A6338" s="4" t="s">
        <v>14519</v>
      </c>
      <c r="B6338" s="4" t="s">
        <v>14535</v>
      </c>
      <c r="C6338" s="4" t="str">
        <f ca="1">IFERROR(__xludf.DUMMYFUNCTION("GOOGLETRANSLATE(D:D,""auto"",""en"")"),"Qilian Mountains photographed snow leopard with four boxes Activities")</f>
        <v>Qilian Mountains photographed snow leopard with four boxes Activities</v>
      </c>
      <c r="D6338" s="5" t="s">
        <v>14536</v>
      </c>
      <c r="E6338" s="4">
        <v>317493</v>
      </c>
    </row>
    <row r="6339" spans="1:6" ht="13.5" customHeight="1">
      <c r="A6339" s="4" t="s">
        <v>14537</v>
      </c>
      <c r="B6339" s="4" t="s">
        <v>14538</v>
      </c>
      <c r="C6339" s="4" t="str">
        <f ca="1">IFERROR(__xludf.DUMMYFUNCTION("GOOGLETRANSLATE(D:D,""auto"",""en"")"),"US CDC misplaced crown a new patient")</f>
        <v>US CDC misplaced crown a new patient</v>
      </c>
      <c r="D6339" s="5" t="s">
        <v>14539</v>
      </c>
      <c r="E6339" s="4">
        <v>294582</v>
      </c>
      <c r="F6339">
        <v>1</v>
      </c>
    </row>
    <row r="6340" spans="1:6" ht="13.5" customHeight="1">
      <c r="A6340" s="4" t="s">
        <v>14540</v>
      </c>
      <c r="B6340" s="4" t="s">
        <v>14345</v>
      </c>
      <c r="C6340" s="4" t="str">
        <f ca="1">IFERROR(__xludf.DUMMYFUNCTION("GOOGLETRANSLATE(D:D,""auto"",""en"")"),"Japan's new crown pneumonia treatment program")</f>
        <v>Japan's new crown pneumonia treatment program</v>
      </c>
      <c r="D6340" s="5" t="s">
        <v>14541</v>
      </c>
      <c r="E6340" s="4">
        <v>287907</v>
      </c>
      <c r="F6340">
        <v>1</v>
      </c>
    </row>
    <row r="6341" spans="1:6" ht="13.5" hidden="1" customHeight="1">
      <c r="A6341" s="4" t="s">
        <v>14542</v>
      </c>
      <c r="B6341" s="4" t="s">
        <v>14543</v>
      </c>
      <c r="C6341" s="4" t="str">
        <f ca="1">IFERROR(__xludf.DUMMYFUNCTION("GOOGLETRANSLATE(D:D,""auto"",""en"")"),"Nokia CEO departures")</f>
        <v>Nokia CEO departures</v>
      </c>
      <c r="D6341" s="5" t="s">
        <v>14544</v>
      </c>
      <c r="E6341" s="4">
        <v>273420</v>
      </c>
    </row>
    <row r="6342" spans="1:6" ht="13.5" hidden="1" customHeight="1">
      <c r="A6342" s="4" t="s">
        <v>14545</v>
      </c>
      <c r="B6342" s="4" t="s">
        <v>14546</v>
      </c>
      <c r="C6342" s="4" t="str">
        <f ca="1">IFERROR(__xludf.DUMMYFUNCTION("GOOGLETRANSLATE(D:D,""auto"",""en"")"),"More than 100 South Korean soldiers are Christians Xintiandi")</f>
        <v>More than 100 South Korean soldiers are Christians Xintiandi</v>
      </c>
      <c r="D6342" s="5" t="s">
        <v>14547</v>
      </c>
      <c r="E6342" s="4">
        <v>269700</v>
      </c>
    </row>
    <row r="6343" spans="1:6" ht="13.5" hidden="1" customHeight="1">
      <c r="A6343" s="4" t="s">
        <v>14548</v>
      </c>
      <c r="B6343" s="4" t="s">
        <v>14549</v>
      </c>
      <c r="C6343" s="4" t="str">
        <f ca="1">IFERROR(__xludf.DUMMYFUNCTION("GOOGLETRANSLATE(D:D,""auto"",""en"")"),"South Korean government to enter 24 hours on full alert")</f>
        <v>South Korean government to enter 24 hours on full alert</v>
      </c>
      <c r="D6343" s="5" t="s">
        <v>14550</v>
      </c>
      <c r="E6343" s="4">
        <v>264261</v>
      </c>
    </row>
    <row r="6344" spans="1:6" ht="13.5" hidden="1" customHeight="1">
      <c r="A6344" s="4" t="s">
        <v>14528</v>
      </c>
      <c r="B6344" s="4" t="s">
        <v>14551</v>
      </c>
      <c r="C6344" s="4" t="str">
        <f ca="1">IFERROR(__xludf.DUMMYFUNCTION("GOOGLETRANSLATE(D:D,""auto"",""en"")"),"Central requirements around care and support for front-line community workers")</f>
        <v>Central requirements around care and support for front-line community workers</v>
      </c>
      <c r="D6344" s="5" t="s">
        <v>14552</v>
      </c>
      <c r="E6344" s="4">
        <v>259206</v>
      </c>
    </row>
    <row r="6345" spans="1:6" ht="13.5" hidden="1" customHeight="1">
      <c r="A6345" s="4" t="s">
        <v>14553</v>
      </c>
      <c r="B6345" s="4" t="s">
        <v>14477</v>
      </c>
      <c r="C6345" s="4" t="str">
        <f ca="1">IFERROR(__xludf.DUMMYFUNCTION("GOOGLETRANSLATE(D:D,""auto"",""en"")"),"Aoyama a storm Tam")</f>
        <v>Aoyama a storm Tam</v>
      </c>
      <c r="D6345" s="5" t="s">
        <v>14554</v>
      </c>
      <c r="E6345" s="4">
        <v>246462</v>
      </c>
    </row>
    <row r="6346" spans="1:6" ht="13.5" hidden="1" customHeight="1">
      <c r="A6346" s="4" t="s">
        <v>14555</v>
      </c>
      <c r="B6346" s="4" t="s">
        <v>14546</v>
      </c>
      <c r="C6346" s="4" t="str">
        <f ca="1">IFERROR(__xludf.DUMMYFUNCTION("GOOGLETRANSLATE(D:D,""auto"",""en"")"),"China Working Group visits Pakistan locust area")</f>
        <v>China Working Group visits Pakistan locust area</v>
      </c>
      <c r="D6346" s="5" t="s">
        <v>14556</v>
      </c>
      <c r="E6346" s="4">
        <v>243778</v>
      </c>
    </row>
    <row r="6347" spans="1:6" ht="13.5" hidden="1" customHeight="1">
      <c r="A6347" s="4" t="s">
        <v>14557</v>
      </c>
      <c r="B6347" s="4" t="s">
        <v>14549</v>
      </c>
      <c r="C6347" s="4" t="str">
        <f ca="1">IFERROR(__xludf.DUMMYFUNCTION("GOOGLETRANSLATE(D:D,""auto"",""en"")"),"Zhejiang 8 imported cases work the same restaurant in Italy")</f>
        <v>Zhejiang 8 imported cases work the same restaurant in Italy</v>
      </c>
      <c r="D6347" s="5" t="s">
        <v>14558</v>
      </c>
      <c r="E6347" s="4">
        <v>234894</v>
      </c>
    </row>
    <row r="6348" spans="1:6" ht="13.5" customHeight="1">
      <c r="A6348" s="4" t="s">
        <v>14559</v>
      </c>
      <c r="B6348" s="4" t="s">
        <v>14560</v>
      </c>
      <c r="C6348" s="4" t="str">
        <f ca="1">IFERROR(__xludf.DUMMYFUNCTION("GOOGLETRANSLATE(D:D,""auto"",""en"")"),"10 to more than 10 consecutive days without new cases")</f>
        <v>10 to more than 10 consecutive days without new cases</v>
      </c>
      <c r="D6348" s="5" t="s">
        <v>14561</v>
      </c>
      <c r="E6348" s="4">
        <v>229111</v>
      </c>
      <c r="F6348">
        <v>1</v>
      </c>
    </row>
    <row r="6349" spans="1:6" ht="13.5" customHeight="1">
      <c r="A6349" s="4" t="s">
        <v>14562</v>
      </c>
      <c r="B6349" s="4" t="s">
        <v>14563</v>
      </c>
      <c r="C6349" s="4" t="str">
        <f ca="1">IFERROR(__xludf.DUMMYFUNCTION("GOOGLETRANSLATE(D:D,""auto"",""en"")"),"Italy confirmed a total of 2036 cases of pneumonia new crown")</f>
        <v>Italy confirmed a total of 2036 cases of pneumonia new crown</v>
      </c>
      <c r="D6349" s="5" t="s">
        <v>14564</v>
      </c>
      <c r="E6349" s="4">
        <v>224383</v>
      </c>
      <c r="F6349">
        <v>1</v>
      </c>
    </row>
    <row r="6350" spans="1:6" ht="13.5" hidden="1" customHeight="1">
      <c r="A6350" s="4" t="s">
        <v>14562</v>
      </c>
      <c r="B6350" s="4" t="s">
        <v>14565</v>
      </c>
      <c r="C6350" s="4" t="str">
        <f ca="1">IFERROR(__xludf.DUMMYFUNCTION("GOOGLETRANSLATE(D:D,""auto"",""en"")"),"Collarbone put lipstick challenge")</f>
        <v>Collarbone put lipstick challenge</v>
      </c>
      <c r="D6350" s="5" t="s">
        <v>14566</v>
      </c>
      <c r="E6350" s="4">
        <v>221053</v>
      </c>
    </row>
    <row r="6351" spans="1:6" ht="13.5" customHeight="1">
      <c r="A6351" s="4" t="s">
        <v>14562</v>
      </c>
      <c r="B6351" s="4" t="s">
        <v>14567</v>
      </c>
      <c r="C6351" s="4" t="str">
        <f ca="1">IFERROR(__xludf.DUMMYFUNCTION("GOOGLETRANSLATE(D:D,""auto"",""en"")"),"2 consecutive days outside the Hubei no new deaths")</f>
        <v>2 consecutive days outside the Hubei no new deaths</v>
      </c>
      <c r="D6351" s="5" t="s">
        <v>14568</v>
      </c>
      <c r="E6351" s="4">
        <v>214552</v>
      </c>
      <c r="F6351">
        <v>1</v>
      </c>
    </row>
    <row r="6352" spans="1:6" ht="13.5" customHeight="1">
      <c r="A6352" s="4" t="s">
        <v>14562</v>
      </c>
      <c r="B6352" s="4" t="s">
        <v>14569</v>
      </c>
      <c r="C6352" s="4" t="str">
        <f ca="1">IFERROR(__xludf.DUMMYFUNCTION("GOOGLETRANSLATE(D:D,""auto"",""en"")"),"9-year-old boy hillside scaffolding online courses")</f>
        <v>9-year-old boy hillside scaffolding online courses</v>
      </c>
      <c r="D6352" s="5" t="s">
        <v>14570</v>
      </c>
      <c r="E6352" s="4">
        <v>192134</v>
      </c>
      <c r="F6352">
        <v>1</v>
      </c>
    </row>
    <row r="6353" spans="1:6" ht="13.5" hidden="1" customHeight="1">
      <c r="C6353" s="4" t="str">
        <f ca="1">IFERROR(__xludf.DUMMYFUNCTION("GOOGLETRANSLATE(D:D,""auto"",""en"")"),"#VALUE!")</f>
        <v>#VALUE!</v>
      </c>
    </row>
    <row r="6354" spans="1:6" ht="13.5" hidden="1" customHeight="1">
      <c r="A6354" s="4" t="s">
        <v>8801</v>
      </c>
      <c r="B6354" s="4" t="s">
        <v>14571</v>
      </c>
      <c r="C6354" s="4" t="str">
        <f ca="1">IFERROR(__xludf.DUMMYFUNCTION("GOOGLETRANSLATE(D:D,""auto"",""en"")"),"Huanggang write a letter of thanks to Zheng Shuang")</f>
        <v>Huanggang write a letter of thanks to Zheng Shuang</v>
      </c>
      <c r="D6354" s="4" t="s">
        <v>14572</v>
      </c>
      <c r="E6354" s="4">
        <v>1484693</v>
      </c>
    </row>
    <row r="6355" spans="1:6" ht="13.5" hidden="1" customHeight="1">
      <c r="A6355" s="4" t="s">
        <v>14573</v>
      </c>
      <c r="B6355" s="4" t="s">
        <v>14574</v>
      </c>
      <c r="C6355" s="4" t="str">
        <f ca="1">IFERROR(__xludf.DUMMYFUNCTION("GOOGLETRANSLATE(D:D,""auto"",""en"")"),"Pakistan locusts into breed stage")</f>
        <v>Pakistan locusts into breed stage</v>
      </c>
      <c r="D6355" s="5" t="s">
        <v>14575</v>
      </c>
      <c r="E6355" s="4">
        <v>1470286</v>
      </c>
    </row>
    <row r="6356" spans="1:6" ht="13.5" customHeight="1">
      <c r="A6356" s="4" t="s">
        <v>14576</v>
      </c>
      <c r="B6356" s="4" t="s">
        <v>14577</v>
      </c>
      <c r="C6356" s="4" t="str">
        <f ca="1">IFERROR(__xludf.DUMMYFUNCTION("GOOGLETRANSLATE(D:D,""auto"",""en"")"),"Seafood market began to work in South disinfection")</f>
        <v>Seafood market began to work in South disinfection</v>
      </c>
      <c r="D6356" s="5" t="s">
        <v>14578</v>
      </c>
      <c r="E6356" s="4">
        <v>1351031</v>
      </c>
      <c r="F6356">
        <v>1</v>
      </c>
    </row>
    <row r="6357" spans="1:6" ht="13.5" hidden="1" customHeight="1">
      <c r="A6357" s="4" t="s">
        <v>11499</v>
      </c>
      <c r="B6357" s="4" t="s">
        <v>11500</v>
      </c>
      <c r="C6357" s="4" t="str">
        <f ca="1">IFERROR(__xludf.DUMMYFUNCTION("GOOGLETRANSLATE(D:D,""auto"",""en"")"),"Liu Zhen")</f>
        <v>Liu Zhen</v>
      </c>
      <c r="D6357" s="5" t="s">
        <v>11501</v>
      </c>
      <c r="E6357" s="4">
        <v>1336447</v>
      </c>
    </row>
    <row r="6358" spans="1:6" ht="13.5" hidden="1" customHeight="1">
      <c r="A6358" s="4" t="s">
        <v>14579</v>
      </c>
      <c r="B6358" s="4" t="s">
        <v>14580</v>
      </c>
      <c r="C6358" s="4" t="str">
        <f ca="1">IFERROR(__xludf.DUMMYFUNCTION("GOOGLETRANSLATE(D:D,""auto"",""en"")"),"Virus suspected of using microwave heating bills")</f>
        <v>Virus suspected of using microwave heating bills</v>
      </c>
      <c r="D6358" s="5" t="s">
        <v>14581</v>
      </c>
      <c r="E6358" s="4">
        <v>1330372</v>
      </c>
    </row>
    <row r="6359" spans="1:6" ht="13.5" hidden="1" customHeight="1">
      <c r="A6359" s="4" t="s">
        <v>14582</v>
      </c>
      <c r="B6359" s="4" t="s">
        <v>14583</v>
      </c>
      <c r="C6359" s="4" t="str">
        <f ca="1">IFERROR(__xludf.DUMMYFUNCTION("GOOGLETRANSLATE(D:D,""auto"",""en"")"),"Luna documentary")</f>
        <v>Luna documentary</v>
      </c>
      <c r="D6359" s="5" t="s">
        <v>14584</v>
      </c>
      <c r="E6359" s="4">
        <v>1320596</v>
      </c>
    </row>
    <row r="6360" spans="1:6" ht="13.5" hidden="1" customHeight="1">
      <c r="A6360" s="4" t="s">
        <v>14585</v>
      </c>
      <c r="B6360" s="4" t="s">
        <v>14586</v>
      </c>
      <c r="C6360" s="4" t="str">
        <f ca="1">IFERROR(__xludf.DUMMYFUNCTION("GOOGLETRANSLATE(D:D,""auto"",""en"")"),"Stella hate Jiang Dalin")</f>
        <v>Stella hate Jiang Dalin</v>
      </c>
      <c r="D6360" s="5" t="s">
        <v>14587</v>
      </c>
      <c r="E6360" s="4">
        <v>1144288</v>
      </c>
    </row>
    <row r="6361" spans="1:6" ht="13.5" hidden="1" customHeight="1">
      <c r="A6361" s="4" t="s">
        <v>14588</v>
      </c>
      <c r="B6361" s="4" t="s">
        <v>14580</v>
      </c>
      <c r="C6361" s="4" t="str">
        <f ca="1">IFERROR(__xludf.DUMMYFUNCTION("GOOGLETRANSLATE(D:D,""auto"",""en"")"),"Four questions to respond to China's bursts of US restrictions on Chinese media")</f>
        <v>Four questions to respond to China's bursts of US restrictions on Chinese media</v>
      </c>
      <c r="D6361" s="5" t="s">
        <v>14589</v>
      </c>
      <c r="E6361" s="4">
        <v>913141</v>
      </c>
    </row>
    <row r="6362" spans="1:6" ht="13.5" hidden="1" customHeight="1">
      <c r="A6362" s="4" t="s">
        <v>14590</v>
      </c>
      <c r="B6362" s="4" t="s">
        <v>14591</v>
      </c>
      <c r="C6362" s="4" t="str">
        <f ca="1">IFERROR(__xludf.DUMMYFUNCTION("GOOGLETRANSLATE(D:D,""auto"",""en"")"),"FINA will consider Sun Yang the gold medal penalty to Horton")</f>
        <v>FINA will consider Sun Yang the gold medal penalty to Horton</v>
      </c>
      <c r="D6362" s="5" t="s">
        <v>14592</v>
      </c>
      <c r="E6362" s="4">
        <v>875750</v>
      </c>
    </row>
    <row r="6363" spans="1:6" ht="13.5" hidden="1" customHeight="1">
      <c r="A6363" s="4" t="s">
        <v>14593</v>
      </c>
      <c r="B6363" s="4" t="s">
        <v>14594</v>
      </c>
      <c r="C6363" s="4" t="str">
        <f ca="1">IFERROR(__xludf.DUMMYFUNCTION("GOOGLETRANSLATE(D:D,""auto"",""en"")"),"Zhu Wang Zijian sparkle")</f>
        <v>Zhu Wang Zijian sparkle</v>
      </c>
      <c r="D6363" s="5" t="s">
        <v>14595</v>
      </c>
      <c r="E6363" s="4">
        <v>872736</v>
      </c>
    </row>
    <row r="6364" spans="1:6" ht="13.5" customHeight="1">
      <c r="A6364" s="4" t="s">
        <v>14596</v>
      </c>
      <c r="B6364" s="4" t="s">
        <v>14597</v>
      </c>
      <c r="C6364" s="4" t="str">
        <f ca="1">IFERROR(__xludf.DUMMYFUNCTION("GOOGLETRANSLATE(D:D,""auto"",""en"")"),"Daegu, South Korea diagnosed mixed with a long queue to buy masks")</f>
        <v>Daegu, South Korea diagnosed mixed with a long queue to buy masks</v>
      </c>
      <c r="D6364" s="5" t="s">
        <v>14598</v>
      </c>
      <c r="E6364" s="4">
        <v>844411</v>
      </c>
      <c r="F6364">
        <v>1</v>
      </c>
    </row>
    <row r="6365" spans="1:6" ht="13.5" customHeight="1">
      <c r="A6365" s="4" t="s">
        <v>14599</v>
      </c>
      <c r="B6365" s="4" t="s">
        <v>14597</v>
      </c>
      <c r="C6365" s="4" t="str">
        <f ca="1">IFERROR(__xludf.DUMMYFUNCTION("GOOGLETRANSLATE(D:D,""auto"",""en"")"),"Shennongjia wild boar occurrence of African swine fever epidemic")</f>
        <v>Shennongjia wild boar occurrence of African swine fever epidemic</v>
      </c>
      <c r="D6365" s="5" t="s">
        <v>14600</v>
      </c>
      <c r="E6365" s="4">
        <v>790430</v>
      </c>
      <c r="F6365">
        <v>1</v>
      </c>
    </row>
    <row r="6366" spans="1:6" ht="13.5" hidden="1" customHeight="1">
      <c r="A6366" s="4" t="s">
        <v>14601</v>
      </c>
      <c r="B6366" s="4" t="s">
        <v>14597</v>
      </c>
      <c r="C6366" s="4" t="str">
        <f ca="1">IFERROR(__xludf.DUMMYFUNCTION("GOOGLETRANSLATE(D:D,""auto"",""en"")"),"Master mood")</f>
        <v>Master mood</v>
      </c>
      <c r="D6366" s="5" t="s">
        <v>14602</v>
      </c>
      <c r="E6366" s="4">
        <v>766821</v>
      </c>
    </row>
    <row r="6367" spans="1:6" ht="13.5" hidden="1" customHeight="1">
      <c r="A6367" s="4" t="s">
        <v>14603</v>
      </c>
      <c r="B6367" s="4" t="s">
        <v>14604</v>
      </c>
      <c r="C6367" s="4" t="str">
        <f ca="1">IFERROR(__xludf.DUMMYFUNCTION("GOOGLETRANSLATE(D:D,""auto"",""en"")"),"Tibet to try to grow citrus successfully harrow")</f>
        <v>Tibet to try to grow citrus successfully harrow</v>
      </c>
      <c r="D6367" s="5" t="s">
        <v>14605</v>
      </c>
      <c r="E6367" s="4">
        <v>719637</v>
      </c>
    </row>
    <row r="6368" spans="1:6" ht="13.5" hidden="1" customHeight="1">
      <c r="A6368" s="4" t="s">
        <v>12063</v>
      </c>
      <c r="B6368" s="4" t="s">
        <v>12051</v>
      </c>
      <c r="C6368" s="4" t="str">
        <f ca="1">IFERROR(__xludf.DUMMYFUNCTION("GOOGLETRANSLATE(D:D,""auto"",""en"")"),"settle down")</f>
        <v>settle down</v>
      </c>
      <c r="D6368" s="5" t="s">
        <v>12064</v>
      </c>
      <c r="E6368" s="4">
        <v>604996</v>
      </c>
    </row>
    <row r="6369" spans="1:6" ht="13.5" hidden="1" customHeight="1">
      <c r="A6369" s="4" t="s">
        <v>13910</v>
      </c>
      <c r="B6369" s="4" t="s">
        <v>13911</v>
      </c>
      <c r="C6369" s="4" t="str">
        <f ca="1">IFERROR(__xludf.DUMMYFUNCTION("GOOGLETRANSLATE(D:D,""auto"",""en"")"),"Xiaozhan")</f>
        <v>Xiaozhan</v>
      </c>
      <c r="D6369" s="5" t="s">
        <v>13912</v>
      </c>
      <c r="E6369" s="4">
        <v>603636</v>
      </c>
    </row>
    <row r="6370" spans="1:6" ht="13.5" hidden="1" customHeight="1">
      <c r="A6370" s="4" t="s">
        <v>14606</v>
      </c>
      <c r="B6370" s="4" t="s">
        <v>14607</v>
      </c>
      <c r="C6370" s="4" t="str">
        <f ca="1">IFERROR(__xludf.DUMMYFUNCTION("GOOGLETRANSLATE(D:D,""auto"",""en"")"),"Xingxiao Yao")</f>
        <v>Xingxiao Yao</v>
      </c>
      <c r="D6370" s="5" t="s">
        <v>14608</v>
      </c>
      <c r="E6370" s="4">
        <v>591758</v>
      </c>
    </row>
    <row r="6371" spans="1:6" ht="13.5" hidden="1" customHeight="1">
      <c r="A6371" s="4" t="s">
        <v>14609</v>
      </c>
      <c r="B6371" s="4" t="s">
        <v>14610</v>
      </c>
      <c r="C6371" s="4" t="str">
        <f ca="1">IFERROR(__xludf.DUMMYFUNCTION("GOOGLETRANSLATE(D:D,""auto"",""en"")"),"Li Jiaqi studio")</f>
        <v>Li Jiaqi studio</v>
      </c>
      <c r="D6371" s="5" t="s">
        <v>14611</v>
      </c>
      <c r="E6371" s="4">
        <v>587456</v>
      </c>
    </row>
    <row r="6372" spans="1:6" ht="13.5" hidden="1" customHeight="1">
      <c r="A6372" s="4" t="s">
        <v>14612</v>
      </c>
      <c r="B6372" s="4" t="s">
        <v>14613</v>
      </c>
      <c r="C6372" s="4" t="str">
        <f ca="1">IFERROR(__xludf.DUMMYFUNCTION("GOOGLETRANSLATE(D:D,""auto"",""en"")"),"Maotai Group of major personnel changes")</f>
        <v>Maotai Group of major personnel changes</v>
      </c>
      <c r="D6372" s="5" t="s">
        <v>14614</v>
      </c>
      <c r="E6372" s="4">
        <v>581601</v>
      </c>
    </row>
    <row r="6373" spans="1:6" ht="13.5" hidden="1" customHeight="1">
      <c r="A6373" s="4" t="s">
        <v>8801</v>
      </c>
      <c r="B6373" s="4" t="s">
        <v>7783</v>
      </c>
      <c r="C6373" s="4" t="str">
        <f ca="1">IFERROR(__xludf.DUMMYFUNCTION("GOOGLETRANSLATE(D:D,""auto"",""en"")"),"Chen Wei")</f>
        <v>Chen Wei</v>
      </c>
      <c r="D6373" s="5" t="s">
        <v>8802</v>
      </c>
      <c r="E6373" s="4">
        <v>569853</v>
      </c>
    </row>
    <row r="6374" spans="1:6" ht="13.5" customHeight="1">
      <c r="A6374" s="4" t="s">
        <v>14615</v>
      </c>
      <c r="B6374" s="4" t="s">
        <v>14616</v>
      </c>
      <c r="C6374" s="4" t="str">
        <f ca="1">IFERROR(__xludf.DUMMYFUNCTION("GOOGLETRANSLATE(D:D,""auto"",""en"")"),"Fugitive because of too much wear face masks arrested incomplete")</f>
        <v>Fugitive because of too much wear face masks arrested incomplete</v>
      </c>
      <c r="D6374" s="5" t="s">
        <v>14617</v>
      </c>
      <c r="E6374" s="4">
        <v>568169</v>
      </c>
      <c r="F6374">
        <v>1</v>
      </c>
    </row>
    <row r="6375" spans="1:6" ht="13.5" hidden="1" customHeight="1">
      <c r="A6375" s="4" t="s">
        <v>14585</v>
      </c>
      <c r="B6375" s="4" t="s">
        <v>14583</v>
      </c>
      <c r="C6375" s="4" t="str">
        <f ca="1">IFERROR(__xludf.DUMMYFUNCTION("GOOGLETRANSLATE(D:D,""auto"",""en"")"),"Phoenix Entertainment")</f>
        <v>Phoenix Entertainment</v>
      </c>
      <c r="D6375" s="5" t="s">
        <v>14618</v>
      </c>
      <c r="E6375" s="4">
        <v>558039</v>
      </c>
    </row>
    <row r="6376" spans="1:6" ht="13.5" customHeight="1">
      <c r="A6376" s="4" t="s">
        <v>14619</v>
      </c>
      <c r="B6376" s="4" t="s">
        <v>14620</v>
      </c>
      <c r="C6376" s="4" t="str">
        <f ca="1">IFERROR(__xludf.DUMMYFUNCTION("GOOGLETRANSLATE(D:D,""auto"",""en"")"),"Zhong Nanshan, Academician Li Lanjuan other 10 teams gathered in Hubei")</f>
        <v>Zhong Nanshan, Academician Li Lanjuan other 10 teams gathered in Hubei</v>
      </c>
      <c r="D6376" s="5" t="s">
        <v>14621</v>
      </c>
      <c r="E6376" s="4">
        <v>554997</v>
      </c>
      <c r="F6376">
        <v>1</v>
      </c>
    </row>
    <row r="6377" spans="1:6" ht="13.5" customHeight="1">
      <c r="A6377" s="4" t="s">
        <v>14622</v>
      </c>
      <c r="B6377" s="4" t="s">
        <v>14623</v>
      </c>
      <c r="C6377" s="4" t="str">
        <f ca="1">IFERROR(__xludf.DUMMYFUNCTION("GOOGLETRANSLATE(D:D,""auto"",""en"")"),"Rocket Forces responded to the State to nurse her boyfriend")</f>
        <v>Rocket Forces responded to the State to nurse her boyfriend</v>
      </c>
      <c r="D6377" s="5" t="s">
        <v>14624</v>
      </c>
      <c r="E6377" s="4">
        <v>468283</v>
      </c>
      <c r="F6377">
        <v>1</v>
      </c>
    </row>
    <row r="6378" spans="1:6" ht="13.5" hidden="1" customHeight="1">
      <c r="A6378" s="4" t="s">
        <v>14625</v>
      </c>
      <c r="B6378" s="4" t="s">
        <v>14626</v>
      </c>
      <c r="C6378" s="4" t="str">
        <f ca="1">IFERROR(__xludf.DUMMYFUNCTION("GOOGLETRANSLATE(D:D,""auto"",""en"")"),"Cook laugh")</f>
        <v>Cook laugh</v>
      </c>
      <c r="D6378" s="5" t="s">
        <v>14627</v>
      </c>
      <c r="E6378" s="4">
        <v>448488</v>
      </c>
    </row>
    <row r="6379" spans="1:6" ht="13.5" hidden="1" customHeight="1">
      <c r="A6379" s="4" t="s">
        <v>14628</v>
      </c>
      <c r="B6379" s="4" t="s">
        <v>14629</v>
      </c>
      <c r="C6379" s="4" t="str">
        <f ca="1">IFERROR(__xludf.DUMMYFUNCTION("GOOGLETRANSLATE(D:D,""auto"",""en"")"),"Chen Yao Men")</f>
        <v>Chen Yao Men</v>
      </c>
      <c r="D6379" s="5" t="s">
        <v>14630</v>
      </c>
      <c r="E6379" s="4">
        <v>446941</v>
      </c>
    </row>
    <row r="6380" spans="1:6" ht="13.5" customHeight="1">
      <c r="A6380" s="4" t="s">
        <v>14631</v>
      </c>
      <c r="B6380" s="4" t="s">
        <v>14632</v>
      </c>
      <c r="C6380" s="4" t="str">
        <f ca="1">IFERROR(__xludf.DUMMYFUNCTION("GOOGLETRANSLATE(D:D,""auto"",""en"")"),"Vulcan Hill Hospital Doctors big eyes")</f>
        <v>Vulcan Hill Hospital Doctors big eyes</v>
      </c>
      <c r="D6380" s="5" t="s">
        <v>14633</v>
      </c>
      <c r="E6380" s="4">
        <v>440482</v>
      </c>
      <c r="F6380">
        <v>1</v>
      </c>
    </row>
    <row r="6381" spans="1:6" ht="13.5" hidden="1" customHeight="1">
      <c r="A6381" s="4" t="s">
        <v>14634</v>
      </c>
      <c r="B6381" s="4" t="s">
        <v>14629</v>
      </c>
      <c r="C6381" s="4" t="str">
        <f ca="1">IFERROR(__xludf.DUMMYFUNCTION("GOOGLETRANSLATE(D:D,""auto"",""en"")"),"Love will be in the end")</f>
        <v>Love will be in the end</v>
      </c>
      <c r="D6381" s="5" t="s">
        <v>14635</v>
      </c>
      <c r="E6381" s="4">
        <v>383752</v>
      </c>
    </row>
    <row r="6382" spans="1:6" ht="13.5" hidden="1" customHeight="1">
      <c r="A6382" s="4" t="s">
        <v>14612</v>
      </c>
      <c r="B6382" s="4" t="s">
        <v>14636</v>
      </c>
      <c r="C6382" s="4" t="str">
        <f ca="1">IFERROR(__xludf.DUMMYFUNCTION("GOOGLETRANSLATE(D:D,""auto"",""en"")"),"Henan prohibited a reward teachers live courses")</f>
        <v>Henan prohibited a reward teachers live courses</v>
      </c>
      <c r="D6382" s="5" t="s">
        <v>14637</v>
      </c>
      <c r="E6382" s="4">
        <v>382881</v>
      </c>
    </row>
    <row r="6383" spans="1:6" ht="13.5" hidden="1" customHeight="1">
      <c r="A6383" s="4" t="s">
        <v>14638</v>
      </c>
      <c r="B6383" s="4" t="s">
        <v>14591</v>
      </c>
      <c r="C6383" s="4" t="str">
        <f ca="1">IFERROR(__xludf.DUMMYFUNCTION("GOOGLETRANSLATE(D:D,""auto"",""en"")"),"Hong eighty-one")</f>
        <v>Hong eighty-one</v>
      </c>
      <c r="D6383" s="5" t="s">
        <v>14639</v>
      </c>
      <c r="E6383" s="4">
        <v>378133</v>
      </c>
    </row>
    <row r="6384" spans="1:6" ht="13.5" hidden="1" customHeight="1">
      <c r="A6384" s="4" t="s">
        <v>14640</v>
      </c>
      <c r="B6384" s="4" t="s">
        <v>14591</v>
      </c>
      <c r="C6384" s="4" t="str">
        <f ca="1">IFERROR(__xludf.DUMMYFUNCTION("GOOGLETRANSLATE(D:D,""auto"",""en"")"),"Hera issued with brother")</f>
        <v>Hera issued with brother</v>
      </c>
      <c r="D6384" s="5" t="s">
        <v>14641</v>
      </c>
      <c r="E6384" s="4">
        <v>373667</v>
      </c>
    </row>
    <row r="6385" spans="1:6" ht="13.5" hidden="1" customHeight="1">
      <c r="A6385" s="4" t="s">
        <v>14642</v>
      </c>
      <c r="B6385" s="4" t="s">
        <v>14643</v>
      </c>
      <c r="C6385" s="4" t="str">
        <f ca="1">IFERROR(__xludf.DUMMYFUNCTION("GOOGLETRANSLATE(D:D,""auto"",""en"")"),"Jiangsu Internet police")</f>
        <v>Jiangsu Internet police</v>
      </c>
      <c r="D6385" s="5" t="s">
        <v>14644</v>
      </c>
      <c r="E6385" s="4">
        <v>350806</v>
      </c>
    </row>
    <row r="6386" spans="1:6" ht="13.5" hidden="1" customHeight="1">
      <c r="A6386" s="4" t="s">
        <v>14434</v>
      </c>
      <c r="B6386" s="4" t="s">
        <v>14435</v>
      </c>
      <c r="C6386" s="4" t="str">
        <f ca="1">IFERROR(__xludf.DUMMYFUNCTION("GOOGLETRANSLATE(D:D,""auto"",""en"")"),"US stocks")</f>
        <v>US stocks</v>
      </c>
      <c r="D6386" s="5" t="s">
        <v>14436</v>
      </c>
      <c r="E6386" s="4">
        <v>347636</v>
      </c>
    </row>
    <row r="6387" spans="1:6" ht="13.5" customHeight="1">
      <c r="A6387" s="4" t="s">
        <v>14645</v>
      </c>
      <c r="B6387" s="4" t="s">
        <v>14646</v>
      </c>
      <c r="C6387" s="4" t="str">
        <f ca="1">IFERROR(__xludf.DUMMYFUNCTION("GOOGLETRANSLATE(D:D,""auto"",""en"")"),"Wuhan batches will step back to normal medical order")</f>
        <v>Wuhan batches will step back to normal medical order</v>
      </c>
      <c r="D6387" s="5" t="s">
        <v>14647</v>
      </c>
      <c r="E6387" s="4">
        <v>342635</v>
      </c>
      <c r="F6387">
        <v>1</v>
      </c>
    </row>
    <row r="6388" spans="1:6" ht="13.5" hidden="1" customHeight="1">
      <c r="A6388" s="4" t="s">
        <v>14648</v>
      </c>
      <c r="B6388" s="4" t="s">
        <v>14597</v>
      </c>
      <c r="C6388" s="4" t="str">
        <f ca="1">IFERROR(__xludf.DUMMYFUNCTION("GOOGLETRANSLATE(D:D,""auto"",""en"")"),"Li Ji shadow on the actor's death")</f>
        <v>Li Ji shadow on the actor's death</v>
      </c>
      <c r="D6388" s="5" t="s">
        <v>14649</v>
      </c>
      <c r="E6388" s="4">
        <v>340492</v>
      </c>
    </row>
    <row r="6389" spans="1:6" ht="13.5" customHeight="1">
      <c r="A6389" s="4" t="s">
        <v>14622</v>
      </c>
      <c r="B6389" s="4" t="s">
        <v>14597</v>
      </c>
      <c r="C6389" s="4" t="str">
        <f ca="1">IFERROR(__xludf.DUMMYFUNCTION("GOOGLETRANSLATE(D:D,""auto"",""en"")"),"Shelter hospital to see patients prepare for graduate school mentor")</f>
        <v>Shelter hospital to see patients prepare for graduate school mentor</v>
      </c>
      <c r="D6389" s="5" t="s">
        <v>14650</v>
      </c>
      <c r="E6389" s="4">
        <v>338759</v>
      </c>
      <c r="F6389">
        <v>1</v>
      </c>
    </row>
    <row r="6390" spans="1:6" ht="13.5" customHeight="1">
      <c r="A6390" s="4" t="s">
        <v>14596</v>
      </c>
      <c r="B6390" s="4" t="s">
        <v>14651</v>
      </c>
      <c r="C6390" s="4" t="str">
        <f ca="1">IFERROR(__xludf.DUMMYFUNCTION("GOOGLETRANSLATE(D:D,""auto"",""en"")"),"After the return to work with colleagues to get along")</f>
        <v>After the return to work with colleagues to get along</v>
      </c>
      <c r="D6390" s="5" t="s">
        <v>14652</v>
      </c>
      <c r="E6390" s="4">
        <v>327754</v>
      </c>
      <c r="F6390">
        <v>1</v>
      </c>
    </row>
    <row r="6391" spans="1:6" ht="13.5" hidden="1" customHeight="1">
      <c r="A6391" s="4" t="s">
        <v>14590</v>
      </c>
      <c r="B6391" s="4" t="s">
        <v>14653</v>
      </c>
      <c r="C6391" s="4" t="str">
        <f ca="1">IFERROR(__xludf.DUMMYFUNCTION("GOOGLETRANSLATE(D:D,""auto"",""en"")"),"For the first time and people are not even sleep Mai")</f>
        <v>For the first time and people are not even sleep Mai</v>
      </c>
      <c r="D6391" s="5" t="s">
        <v>14654</v>
      </c>
      <c r="E6391" s="4">
        <v>324183</v>
      </c>
    </row>
    <row r="6392" spans="1:6" ht="13.5" customHeight="1">
      <c r="A6392" s="4" t="s">
        <v>14655</v>
      </c>
      <c r="B6392" s="4" t="s">
        <v>14656</v>
      </c>
      <c r="C6392" s="4" t="str">
        <f ca="1">IFERROR(__xludf.DUMMYFUNCTION("GOOGLETRANSLATE(D:D,""auto"",""en"")"),"Wuhan was beaten garnish utterance")</f>
        <v>Wuhan was beaten garnish utterance</v>
      </c>
      <c r="D6392" s="5" t="s">
        <v>14657</v>
      </c>
      <c r="E6392" s="4">
        <v>318844</v>
      </c>
      <c r="F6392">
        <v>1</v>
      </c>
    </row>
    <row r="6393" spans="1:6" ht="13.5" customHeight="1">
      <c r="A6393" s="4" t="s">
        <v>10672</v>
      </c>
      <c r="B6393" s="4" t="s">
        <v>10673</v>
      </c>
      <c r="C6393" s="4" t="str">
        <f ca="1">IFERROR(__xludf.DUMMYFUNCTION("GOOGLETRANSLATE(D:D,""auto"",""en"")"),"Japan epidemic")</f>
        <v>Japan epidemic</v>
      </c>
      <c r="D6393" s="5" t="s">
        <v>10674</v>
      </c>
      <c r="E6393" s="4">
        <v>311058</v>
      </c>
      <c r="F6393">
        <v>1</v>
      </c>
    </row>
    <row r="6394" spans="1:6" ht="13.5" hidden="1" customHeight="1">
      <c r="A6394" s="4" t="s">
        <v>14658</v>
      </c>
      <c r="B6394" s="4" t="s">
        <v>14659</v>
      </c>
      <c r="C6394" s="4" t="str">
        <f ca="1">IFERROR(__xludf.DUMMYFUNCTION("GOOGLETRANSLATE(D:D,""auto"",""en"")"),"9.3 million poor people realized easily relocated")</f>
        <v>9.3 million poor people realized easily relocated</v>
      </c>
      <c r="D6394" s="5" t="s">
        <v>14660</v>
      </c>
      <c r="E6394" s="4">
        <v>301693</v>
      </c>
    </row>
    <row r="6395" spans="1:6" ht="13.5" hidden="1" customHeight="1">
      <c r="A6395" s="4" t="s">
        <v>14661</v>
      </c>
      <c r="B6395" s="4" t="s">
        <v>14662</v>
      </c>
      <c r="C6395" s="4" t="str">
        <f ca="1">IFERROR(__xludf.DUMMYFUNCTION("GOOGLETRANSLATE(D:D,""auto"",""en"")"),"Wenzhou undergraduate Qizhe can buy a house")</f>
        <v>Wenzhou undergraduate Qizhe can buy a house</v>
      </c>
      <c r="D6395" s="5" t="s">
        <v>14663</v>
      </c>
      <c r="E6395" s="4">
        <v>297836</v>
      </c>
    </row>
    <row r="6396" spans="1:6" ht="13.5" hidden="1" customHeight="1">
      <c r="A6396" s="4" t="s">
        <v>14664</v>
      </c>
      <c r="B6396" s="4" t="s">
        <v>14665</v>
      </c>
      <c r="C6396" s="4" t="str">
        <f ca="1">IFERROR(__xludf.DUMMYFUNCTION("GOOGLETRANSLATE(D:D,""auto"",""en"")"),"Greece to send special forces to prevent cross-border refugee")</f>
        <v>Greece to send special forces to prevent cross-border refugee</v>
      </c>
      <c r="D6396" s="5" t="s">
        <v>14666</v>
      </c>
      <c r="E6396" s="4">
        <v>296793</v>
      </c>
    </row>
    <row r="6397" spans="1:6" ht="13.5" customHeight="1">
      <c r="A6397" s="4" t="s">
        <v>14590</v>
      </c>
      <c r="B6397" s="4" t="s">
        <v>14667</v>
      </c>
      <c r="C6397" s="4" t="str">
        <f ca="1">IFERROR(__xludf.DUMMYFUNCTION("GOOGLETRANSLATE(D:D,""auto"",""en"")"),"Thailand isolation")</f>
        <v>Thailand isolation</v>
      </c>
      <c r="D6397" s="5" t="s">
        <v>14668</v>
      </c>
      <c r="E6397" s="4">
        <v>280294</v>
      </c>
      <c r="F6397">
        <v>1</v>
      </c>
    </row>
    <row r="6398" spans="1:6" ht="13.5" hidden="1" customHeight="1">
      <c r="A6398" s="4" t="s">
        <v>11378</v>
      </c>
      <c r="B6398" s="4" t="s">
        <v>11379</v>
      </c>
      <c r="C6398" s="4" t="str">
        <f ca="1">IFERROR(__xludf.DUMMYFUNCTION("GOOGLETRANSLATE(D:D,""auto"",""en"")"),"Perfect relationship")</f>
        <v>Perfect relationship</v>
      </c>
      <c r="D6398" s="5" t="s">
        <v>11380</v>
      </c>
      <c r="E6398" s="4">
        <v>265051</v>
      </c>
    </row>
    <row r="6399" spans="1:6" ht="13.5" hidden="1" customHeight="1">
      <c r="A6399" s="4" t="s">
        <v>14669</v>
      </c>
      <c r="B6399" s="4" t="s">
        <v>14670</v>
      </c>
      <c r="C6399" s="4" t="str">
        <f ca="1">IFERROR(__xludf.DUMMYFUNCTION("GOOGLETRANSLATE(D:D,""auto"",""en"")"),"Love repay type")</f>
        <v>Love repay type</v>
      </c>
      <c r="D6399" s="5" t="s">
        <v>14671</v>
      </c>
      <c r="E6399" s="4">
        <v>255285</v>
      </c>
    </row>
    <row r="6400" spans="1:6" ht="13.5" hidden="1" customHeight="1">
      <c r="A6400" s="4" t="s">
        <v>14672</v>
      </c>
      <c r="B6400" s="4" t="s">
        <v>14636</v>
      </c>
      <c r="C6400" s="4" t="str">
        <f ca="1">IFERROR(__xludf.DUMMYFUNCTION("GOOGLETRANSLATE(D:D,""auto"",""en"")"),"C Luo mother suffered a stroke were rushed to hospital")</f>
        <v>C Luo mother suffered a stroke were rushed to hospital</v>
      </c>
      <c r="D6400" s="5" t="s">
        <v>14673</v>
      </c>
      <c r="E6400" s="4">
        <v>247541</v>
      </c>
    </row>
    <row r="6401" spans="1:6" ht="13.5" hidden="1" customHeight="1">
      <c r="A6401" s="4" t="s">
        <v>14674</v>
      </c>
      <c r="B6401" s="4" t="s">
        <v>14675</v>
      </c>
      <c r="C6401" s="4" t="str">
        <f ca="1">IFERROR(__xludf.DUMMYFUNCTION("GOOGLETRANSLATE(D:D,""auto"",""en"")"),"Fed rate cut")</f>
        <v>Fed rate cut</v>
      </c>
      <c r="D6401" s="5" t="s">
        <v>14676</v>
      </c>
      <c r="E6401" s="4">
        <v>219363</v>
      </c>
    </row>
    <row r="6402" spans="1:6" ht="13.5" hidden="1" customHeight="1">
      <c r="A6402" s="4" t="s">
        <v>14677</v>
      </c>
      <c r="B6402" s="4" t="s">
        <v>14678</v>
      </c>
      <c r="C6402" s="4" t="str">
        <f ca="1">IFERROR(__xludf.DUMMYFUNCTION("GOOGLETRANSLATE(D:D,""auto"",""en"")"),"The IOC fully support the Tokyo Olympic Games")</f>
        <v>The IOC fully support the Tokyo Olympic Games</v>
      </c>
      <c r="D6402" s="5" t="s">
        <v>14679</v>
      </c>
      <c r="E6402" s="4">
        <v>152778</v>
      </c>
    </row>
    <row r="6403" spans="1:6" ht="13.5" hidden="1" customHeight="1">
      <c r="A6403" s="4" t="s">
        <v>14680</v>
      </c>
      <c r="B6403" s="4" t="s">
        <v>14681</v>
      </c>
      <c r="C6403" s="4" t="str">
        <f ca="1">IFERROR(__xludf.DUMMYFUNCTION("GOOGLETRANSLATE(D:D,""auto"",""en"")"),"Tokyo Olympics was postponed to allow the end be held")</f>
        <v>Tokyo Olympics was postponed to allow the end be held</v>
      </c>
      <c r="D6403" s="5" t="s">
        <v>14682</v>
      </c>
      <c r="E6403" s="4">
        <v>136463</v>
      </c>
    </row>
    <row r="6404" spans="1:6" ht="13.5" hidden="1" customHeight="1">
      <c r="C6404" s="4" t="str">
        <f ca="1">IFERROR(__xludf.DUMMYFUNCTION("GOOGLETRANSLATE(D:D,""auto"",""en"")"),"#VALUE!")</f>
        <v>#VALUE!</v>
      </c>
    </row>
    <row r="6405" spans="1:6" ht="13.5" customHeight="1">
      <c r="A6405" s="4" t="s">
        <v>14683</v>
      </c>
      <c r="B6405" s="4" t="s">
        <v>14684</v>
      </c>
      <c r="C6405" s="4" t="str">
        <f ca="1">IFERROR(__xludf.DUMMYFUNCTION("GOOGLETRANSLATE(D:D,""auto"",""en"")"),"ZHANG Wen-hong predict the eventual development of a new virus crown")</f>
        <v>ZHANG Wen-hong predict the eventual development of a new virus crown</v>
      </c>
      <c r="D6405" s="4" t="s">
        <v>14685</v>
      </c>
      <c r="E6405" s="4">
        <v>4634943</v>
      </c>
      <c r="F6405">
        <v>1</v>
      </c>
    </row>
    <row r="6406" spans="1:6" ht="13.5" customHeight="1">
      <c r="A6406" s="4" t="s">
        <v>14686</v>
      </c>
      <c r="B6406" s="4" t="s">
        <v>14687</v>
      </c>
      <c r="C6406" s="4" t="str">
        <f ca="1">IFERROR(__xludf.DUMMYFUNCTION("GOOGLETRANSLATE(D:D,""auto"",""en"")"),"Hubei new confirmed cases 115 cases")</f>
        <v>Hubei new confirmed cases 115 cases</v>
      </c>
      <c r="D6406" s="5" t="s">
        <v>14688</v>
      </c>
      <c r="E6406" s="4">
        <v>1465448</v>
      </c>
      <c r="F6406">
        <v>1</v>
      </c>
    </row>
    <row r="6407" spans="1:6" ht="13.5" customHeight="1">
      <c r="A6407" s="4" t="s">
        <v>14689</v>
      </c>
      <c r="B6407" s="4" t="s">
        <v>14690</v>
      </c>
      <c r="C6407" s="4" t="str">
        <f ca="1">IFERROR(__xludf.DUMMYFUNCTION("GOOGLETRANSLATE(D:D,""auto"",""en"")"),"Wuhan to be promoted cadres line 10 Contagion")</f>
        <v>Wuhan to be promoted cadres line 10 Contagion</v>
      </c>
      <c r="D6407" s="5" t="s">
        <v>14691</v>
      </c>
      <c r="E6407" s="4">
        <v>1173775</v>
      </c>
      <c r="F6407">
        <v>1</v>
      </c>
    </row>
    <row r="6408" spans="1:6" ht="13.5" customHeight="1">
      <c r="A6408" s="4" t="s">
        <v>13486</v>
      </c>
      <c r="B6408" s="4" t="s">
        <v>13393</v>
      </c>
      <c r="C6408" s="4" t="str">
        <f ca="1">IFERROR(__xludf.DUMMYFUNCTION("GOOGLETRANSLATE(D:D,""auto"",""en"")"),"School")</f>
        <v>School</v>
      </c>
      <c r="D6408" s="5" t="s">
        <v>13487</v>
      </c>
      <c r="E6408" s="4">
        <v>1083315</v>
      </c>
      <c r="F6408">
        <v>1</v>
      </c>
    </row>
    <row r="6409" spans="1:6" ht="13.5" hidden="1" customHeight="1">
      <c r="A6409" s="4" t="s">
        <v>14692</v>
      </c>
      <c r="B6409" s="4" t="s">
        <v>14693</v>
      </c>
      <c r="C6409" s="4" t="str">
        <f ca="1">IFERROR(__xludf.DUMMYFUNCTION("GOOGLETRANSLATE(D:D,""auto"",""en"")"),"US Super Tuesday")</f>
        <v>US Super Tuesday</v>
      </c>
      <c r="D6409" s="5" t="s">
        <v>14694</v>
      </c>
      <c r="E6409" s="4">
        <v>965139</v>
      </c>
    </row>
    <row r="6410" spans="1:6" ht="13.5" hidden="1" customHeight="1">
      <c r="A6410" s="4" t="s">
        <v>14695</v>
      </c>
      <c r="B6410" s="4" t="s">
        <v>14696</v>
      </c>
      <c r="C6410" s="4" t="str">
        <f ca="1">IFERROR(__xludf.DUMMYFUNCTION("GOOGLETRANSLATE(D:D,""auto"",""en"")"),"Abe cough in the Senate to speak")</f>
        <v>Abe cough in the Senate to speak</v>
      </c>
      <c r="D6410" s="5" t="s">
        <v>14697</v>
      </c>
      <c r="E6410" s="4">
        <v>842186</v>
      </c>
    </row>
    <row r="6411" spans="1:6" ht="13.5" hidden="1" customHeight="1">
      <c r="A6411" s="4" t="s">
        <v>14698</v>
      </c>
      <c r="B6411" s="4" t="s">
        <v>14699</v>
      </c>
      <c r="C6411" s="4" t="str">
        <f ca="1">IFERROR(__xludf.DUMMYFUNCTION("GOOGLETRANSLATE(D:D,""auto"",""en"")"),"Wang Zijian boyfriend force")</f>
        <v>Wang Zijian boyfriend force</v>
      </c>
      <c r="D6411" s="5" t="s">
        <v>14700</v>
      </c>
      <c r="E6411" s="4">
        <v>838496</v>
      </c>
    </row>
    <row r="6412" spans="1:6" ht="13.5" customHeight="1">
      <c r="A6412" s="4" t="s">
        <v>11499</v>
      </c>
      <c r="B6412" s="4" t="s">
        <v>14701</v>
      </c>
      <c r="C6412" s="4" t="str">
        <f ca="1">IFERROR(__xludf.DUMMYFUNCTION("GOOGLETRANSLATE(D:D,""auto"",""en"")"),"German cruise ship carrying 1,200 passengers detection results released")</f>
        <v>German cruise ship carrying 1,200 passengers detection results released</v>
      </c>
      <c r="D6412" s="5" t="s">
        <v>14702</v>
      </c>
      <c r="E6412" s="4">
        <v>831203</v>
      </c>
      <c r="F6412">
        <v>1</v>
      </c>
    </row>
    <row r="6413" spans="1:6" ht="13.5" customHeight="1">
      <c r="A6413" s="4" t="s">
        <v>14703</v>
      </c>
      <c r="B6413" s="4" t="s">
        <v>14704</v>
      </c>
      <c r="C6413" s="4" t="str">
        <f ca="1">IFERROR(__xludf.DUMMYFUNCTION("GOOGLETRANSLATE(D:D,""auto"",""en"")"),"South Korea confirmed a total of 5328 cases of pneumonia new crown")</f>
        <v>South Korea confirmed a total of 5328 cases of pneumonia new crown</v>
      </c>
      <c r="D6413" s="5" t="s">
        <v>14705</v>
      </c>
      <c r="E6413" s="4">
        <v>823495</v>
      </c>
      <c r="F6413">
        <v>1</v>
      </c>
    </row>
    <row r="6414" spans="1:6" ht="13.5" customHeight="1">
      <c r="A6414" s="4" t="s">
        <v>14706</v>
      </c>
      <c r="B6414" s="4" t="s">
        <v>14628</v>
      </c>
      <c r="C6414" s="4" t="str">
        <f ca="1">IFERROR(__xludf.DUMMYFUNCTION("GOOGLETRANSLATE(D:D,""auto"",""en"")"),"New undergraduate college record 1672")</f>
        <v>New undergraduate college record 1672</v>
      </c>
      <c r="D6414" s="5" t="s">
        <v>14707</v>
      </c>
      <c r="E6414" s="4">
        <v>817474</v>
      </c>
      <c r="F6414">
        <v>1</v>
      </c>
    </row>
    <row r="6415" spans="1:6" ht="13.5" hidden="1" customHeight="1">
      <c r="A6415" s="4" t="s">
        <v>14708</v>
      </c>
      <c r="B6415" s="4" t="s">
        <v>14709</v>
      </c>
      <c r="C6415" s="4" t="str">
        <f ca="1">IFERROR(__xludf.DUMMYFUNCTION("GOOGLETRANSLATE(D:D,""auto"",""en"")"),"More than Zhejiang overseas Chinese to return home from Italy")</f>
        <v>More than Zhejiang overseas Chinese to return home from Italy</v>
      </c>
      <c r="D6415" s="5" t="s">
        <v>14710</v>
      </c>
      <c r="E6415" s="4">
        <v>809381</v>
      </c>
    </row>
    <row r="6416" spans="1:6" ht="13.5" hidden="1" customHeight="1">
      <c r="A6416" s="4" t="s">
        <v>11499</v>
      </c>
      <c r="B6416" s="4" t="s">
        <v>11500</v>
      </c>
      <c r="C6416" s="4" t="str">
        <f ca="1">IFERROR(__xludf.DUMMYFUNCTION("GOOGLETRANSLATE(D:D,""auto"",""en"")"),"Liu Zhen")</f>
        <v>Liu Zhen</v>
      </c>
      <c r="D6416" s="5" t="s">
        <v>11501</v>
      </c>
      <c r="E6416" s="4">
        <v>805994</v>
      </c>
    </row>
    <row r="6417" spans="1:6" ht="13.5" customHeight="1">
      <c r="A6417" s="4" t="s">
        <v>14711</v>
      </c>
      <c r="B6417" s="4" t="s">
        <v>14640</v>
      </c>
      <c r="C6417" s="4" t="str">
        <f ca="1">IFERROR(__xludf.DUMMYFUNCTION("GOOGLETRANSLATE(D:D,""auto"",""en"")"),"Overseas Chinese over 10,000 confirmed cases")</f>
        <v>Overseas Chinese over 10,000 confirmed cases</v>
      </c>
      <c r="D6417" s="5" t="s">
        <v>14712</v>
      </c>
      <c r="E6417" s="4">
        <v>797234</v>
      </c>
      <c r="F6417">
        <v>1</v>
      </c>
    </row>
    <row r="6418" spans="1:6" ht="13.5" hidden="1" customHeight="1">
      <c r="A6418" s="4" t="s">
        <v>14582</v>
      </c>
      <c r="B6418" s="4" t="s">
        <v>14583</v>
      </c>
      <c r="C6418" s="4" t="str">
        <f ca="1">IFERROR(__xludf.DUMMYFUNCTION("GOOGLETRANSLATE(D:D,""auto"",""en"")"),"Luna documentary")</f>
        <v>Luna documentary</v>
      </c>
      <c r="D6418" s="5" t="s">
        <v>14584</v>
      </c>
      <c r="E6418" s="4">
        <v>795221</v>
      </c>
    </row>
    <row r="6419" spans="1:6" ht="13.5" customHeight="1">
      <c r="A6419" s="4" t="s">
        <v>14713</v>
      </c>
      <c r="B6419" s="4" t="s">
        <v>14714</v>
      </c>
      <c r="C6419" s="4" t="str">
        <f ca="1">IFERROR(__xludf.DUMMYFUNCTION("GOOGLETRANSLATE(D:D,""auto"",""en"")"),"31 provinces add new crown pneumonia cases 119 cases")</f>
        <v>31 provinces add new crown pneumonia cases 119 cases</v>
      </c>
      <c r="D6419" s="5" t="s">
        <v>14715</v>
      </c>
      <c r="E6419" s="4">
        <v>784823</v>
      </c>
      <c r="F6419">
        <v>1</v>
      </c>
    </row>
    <row r="6420" spans="1:6" ht="13.5" hidden="1" customHeight="1">
      <c r="A6420" s="4" t="s">
        <v>14716</v>
      </c>
      <c r="B6420" s="4" t="s">
        <v>14717</v>
      </c>
      <c r="C6420" s="4" t="str">
        <f ca="1">IFERROR(__xludf.DUMMYFUNCTION("GOOGLETRANSLATE(D:D,""auto"",""en"")"),"Xiaozhan ins Avatar")</f>
        <v>Xiaozhan ins Avatar</v>
      </c>
      <c r="D6420" s="5" t="s">
        <v>14718</v>
      </c>
      <c r="E6420" s="4">
        <v>778251</v>
      </c>
    </row>
    <row r="6421" spans="1:6" ht="13.5" customHeight="1">
      <c r="A6421" s="4" t="s">
        <v>14719</v>
      </c>
      <c r="B6421" s="4" t="s">
        <v>14720</v>
      </c>
      <c r="C6421" s="4" t="str">
        <f ca="1">IFERROR(__xludf.DUMMYFUNCTION("GOOGLETRANSLATE(D:D,""auto"",""en"")"),"Undergraduates courses owe the bill nearly 700 yuan")</f>
        <v>Undergraduates courses owe the bill nearly 700 yuan</v>
      </c>
      <c r="D6421" s="5" t="s">
        <v>14721</v>
      </c>
      <c r="E6421" s="4">
        <v>770698</v>
      </c>
      <c r="F6421">
        <v>1</v>
      </c>
    </row>
    <row r="6422" spans="1:6" ht="13.5" hidden="1" customHeight="1">
      <c r="A6422" s="4" t="s">
        <v>14722</v>
      </c>
      <c r="B6422" s="4" t="s">
        <v>14723</v>
      </c>
      <c r="C6422" s="4" t="str">
        <f ca="1">IFERROR(__xludf.DUMMYFUNCTION("GOOGLETRANSLATE(D:D,""auto"",""en"")"),"Russia twenty thousand people to eat wild leek")</f>
        <v>Russia twenty thousand people to eat wild leek</v>
      </c>
      <c r="D6422" s="5" t="s">
        <v>14724</v>
      </c>
      <c r="E6422" s="4">
        <v>763446</v>
      </c>
    </row>
    <row r="6423" spans="1:6" ht="13.5" customHeight="1">
      <c r="A6423" s="4" t="s">
        <v>14725</v>
      </c>
      <c r="B6423" s="4" t="s">
        <v>14619</v>
      </c>
      <c r="C6423" s="4" t="str">
        <f ca="1">IFERROR(__xludf.DUMMYFUNCTION("GOOGLETRANSLATE(D:D,""auto"",""en"")"),"Trump donated $ 100,000 to fight the epidemic wages")</f>
        <v>Trump donated $ 100,000 to fight the epidemic wages</v>
      </c>
      <c r="D6423" s="5" t="s">
        <v>14726</v>
      </c>
      <c r="E6423" s="4">
        <v>762558</v>
      </c>
      <c r="F6423">
        <v>1</v>
      </c>
    </row>
    <row r="6424" spans="1:6" ht="13.5" customHeight="1">
      <c r="A6424" s="4" t="s">
        <v>14727</v>
      </c>
      <c r="B6424" s="4" t="s">
        <v>14728</v>
      </c>
      <c r="C6424" s="4" t="str">
        <f ca="1">IFERROR(__xludf.DUMMYFUNCTION("GOOGLETRANSLATE(D:D,""auto"",""en"")"),"RMB has also been isolated disinfection")</f>
        <v>RMB has also been isolated disinfection</v>
      </c>
      <c r="D6424" s="5" t="s">
        <v>14729</v>
      </c>
      <c r="E6424" s="4">
        <v>758425</v>
      </c>
      <c r="F6424">
        <v>1</v>
      </c>
    </row>
    <row r="6425" spans="1:6" ht="13.5" customHeight="1">
      <c r="A6425" s="4" t="s">
        <v>14722</v>
      </c>
      <c r="B6425" s="4" t="s">
        <v>14730</v>
      </c>
      <c r="C6425" s="4" t="str">
        <f ca="1">IFERROR(__xludf.DUMMYFUNCTION("GOOGLETRANSLATE(D:D,""auto"",""en"")"),"Beijing three new cases of newly diagnosed cases of pneumonia crown")</f>
        <v>Beijing three new cases of newly diagnosed cases of pneumonia crown</v>
      </c>
      <c r="D6425" s="5" t="s">
        <v>14731</v>
      </c>
      <c r="E6425" s="4">
        <v>670291</v>
      </c>
      <c r="F6425">
        <v>1</v>
      </c>
    </row>
    <row r="6426" spans="1:6" ht="13.5" hidden="1" customHeight="1">
      <c r="A6426" s="4" t="s">
        <v>14732</v>
      </c>
      <c r="B6426" s="4" t="s">
        <v>14733</v>
      </c>
      <c r="C6426" s="4" t="str">
        <f ca="1">IFERROR(__xludf.DUMMYFUNCTION("GOOGLETRANSLATE(D:D,""auto"",""en"")"),"What people have too much eye trouble")</f>
        <v>What people have too much eye trouble</v>
      </c>
      <c r="D6426" s="5" t="s">
        <v>14734</v>
      </c>
      <c r="E6426" s="4">
        <v>658158</v>
      </c>
    </row>
    <row r="6427" spans="1:6" ht="13.5" customHeight="1">
      <c r="A6427" s="4" t="s">
        <v>14735</v>
      </c>
      <c r="B6427" s="4" t="s">
        <v>14736</v>
      </c>
      <c r="C6427" s="4" t="str">
        <f ca="1">IFERROR(__xludf.DUMMYFUNCTION("GOOGLETRANSLATE(D:D,""auto"",""en"")"),"Women's illegal sneaked into a hospital isolation ward theft")</f>
        <v>Women's illegal sneaked into a hospital isolation ward theft</v>
      </c>
      <c r="D6427" s="5" t="s">
        <v>14737</v>
      </c>
      <c r="E6427" s="4">
        <v>593360</v>
      </c>
      <c r="F6427">
        <v>1</v>
      </c>
    </row>
    <row r="6428" spans="1:6" ht="13.5" hidden="1" customHeight="1">
      <c r="A6428" s="4" t="s">
        <v>14738</v>
      </c>
      <c r="B6428" s="4" t="s">
        <v>14739</v>
      </c>
      <c r="C6428" s="4" t="str">
        <f ca="1">IFERROR(__xludf.DUMMYFUNCTION("GOOGLETRANSLATE(D:D,""auto"",""en"")"),"Wu Yifan T magazine cover")</f>
        <v>Wu Yifan T magazine cover</v>
      </c>
      <c r="D6428" s="5" t="s">
        <v>14740</v>
      </c>
      <c r="E6428" s="4">
        <v>540598</v>
      </c>
    </row>
    <row r="6429" spans="1:6" ht="13.5" hidden="1" customHeight="1">
      <c r="A6429" s="4" t="s">
        <v>14741</v>
      </c>
      <c r="B6429" s="4" t="s">
        <v>14742</v>
      </c>
      <c r="C6429" s="4" t="str">
        <f ca="1">IFERROR(__xludf.DUMMYFUNCTION("GOOGLETRANSLATE(D:D,""auto"",""en"")"),"Farewell My Concubine dynamic poster")</f>
        <v>Farewell My Concubine dynamic poster</v>
      </c>
      <c r="D6429" s="5" t="s">
        <v>14743</v>
      </c>
      <c r="E6429" s="4">
        <v>540499</v>
      </c>
    </row>
    <row r="6430" spans="1:6" ht="13.5" hidden="1" customHeight="1">
      <c r="A6430" s="4" t="s">
        <v>14732</v>
      </c>
      <c r="B6430" s="4" t="s">
        <v>14744</v>
      </c>
      <c r="C6430" s="4" t="str">
        <f ca="1">IFERROR(__xludf.DUMMYFUNCTION("GOOGLETRANSLATE(D:D,""auto"",""en"")"),"The British government made the worst")</f>
        <v>The British government made the worst</v>
      </c>
      <c r="D6430" s="5" t="s">
        <v>14745</v>
      </c>
      <c r="E6430" s="4">
        <v>540188</v>
      </c>
    </row>
    <row r="6431" spans="1:6" ht="13.5" hidden="1" customHeight="1">
      <c r="A6431" s="4" t="s">
        <v>14746</v>
      </c>
      <c r="B6431" s="4" t="s">
        <v>14747</v>
      </c>
      <c r="C6431" s="4" t="str">
        <f ca="1">IFERROR(__xludf.DUMMYFUNCTION("GOOGLETRANSLATE(D:D,""auto"",""en"")"),"Children said most terrible sentence")</f>
        <v>Children said most terrible sentence</v>
      </c>
      <c r="D6431" s="5" t="s">
        <v>14748</v>
      </c>
      <c r="E6431" s="4">
        <v>458789</v>
      </c>
    </row>
    <row r="6432" spans="1:6" ht="13.5" customHeight="1">
      <c r="A6432" s="4" t="s">
        <v>12126</v>
      </c>
      <c r="B6432" s="4" t="s">
        <v>12127</v>
      </c>
      <c r="C6432" s="4" t="str">
        <f ca="1">IFERROR(__xludf.DUMMYFUNCTION("GOOGLETRANSLATE(D:D,""auto"",""en"")"),"Korea epidemic")</f>
        <v>Korea epidemic</v>
      </c>
      <c r="D6432" s="5" t="s">
        <v>12128</v>
      </c>
      <c r="E6432" s="4">
        <v>434144</v>
      </c>
      <c r="F6432">
        <v>1</v>
      </c>
    </row>
    <row r="6433" spans="1:6" ht="13.5" hidden="1" customHeight="1">
      <c r="A6433" s="4" t="s">
        <v>14749</v>
      </c>
      <c r="B6433" s="4" t="s">
        <v>14750</v>
      </c>
      <c r="C6433" s="4" t="str">
        <f ca="1">IFERROR(__xludf.DUMMYFUNCTION("GOOGLETRANSLATE(D:D,""auto"",""en"")"),"Gold up")</f>
        <v>Gold up</v>
      </c>
      <c r="D6433" s="5" t="s">
        <v>14751</v>
      </c>
      <c r="E6433" s="4">
        <v>426140</v>
      </c>
    </row>
    <row r="6434" spans="1:6" ht="13.5" customHeight="1">
      <c r="A6434" s="4" t="s">
        <v>14749</v>
      </c>
      <c r="B6434" s="4" t="s">
        <v>14723</v>
      </c>
      <c r="C6434" s="4" t="str">
        <f ca="1">IFERROR(__xludf.DUMMYFUNCTION("GOOGLETRANSLATE(D:D,""auto"",""en"")"),"The South Korean government designated masks sale scene crowded")</f>
        <v>The South Korean government designated masks sale scene crowded</v>
      </c>
      <c r="D6434" s="5" t="s">
        <v>14752</v>
      </c>
      <c r="E6434" s="4">
        <v>407789</v>
      </c>
      <c r="F6434">
        <v>1</v>
      </c>
    </row>
    <row r="6435" spans="1:6" ht="13.5" hidden="1" customHeight="1">
      <c r="A6435" s="4" t="s">
        <v>14746</v>
      </c>
      <c r="B6435" s="4" t="s">
        <v>14753</v>
      </c>
      <c r="C6435" s="4" t="str">
        <f ca="1">IFERROR(__xludf.DUMMYFUNCTION("GOOGLETRANSLATE(D:D,""auto"",""en"")"),"Yen falls far short of the value of the same person's photo")</f>
        <v>Yen falls far short of the value of the same person's photo</v>
      </c>
      <c r="D6435" s="5" t="s">
        <v>14754</v>
      </c>
      <c r="E6435" s="4">
        <v>393918</v>
      </c>
    </row>
    <row r="6436" spans="1:6" ht="13.5" hidden="1" customHeight="1">
      <c r="A6436" s="4" t="s">
        <v>14755</v>
      </c>
      <c r="B6436" s="4" t="s">
        <v>14622</v>
      </c>
      <c r="C6436" s="4" t="str">
        <f ca="1">IFERROR(__xludf.DUMMYFUNCTION("GOOGLETRANSLATE(D:D,""auto"",""en"")"),"Iran temporarily released more than 54,000 prisoners")</f>
        <v>Iran temporarily released more than 54,000 prisoners</v>
      </c>
      <c r="D6436" s="5" t="s">
        <v>14756</v>
      </c>
      <c r="E6436" s="4">
        <v>382239</v>
      </c>
    </row>
    <row r="6437" spans="1:6" ht="13.5" hidden="1" customHeight="1">
      <c r="A6437" s="4" t="s">
        <v>14606</v>
      </c>
      <c r="B6437" s="4" t="s">
        <v>14607</v>
      </c>
      <c r="C6437" s="4" t="str">
        <f ca="1">IFERROR(__xludf.DUMMYFUNCTION("GOOGLETRANSLATE(D:D,""auto"",""en"")"),"Xingxiao Yao")</f>
        <v>Xingxiao Yao</v>
      </c>
      <c r="D6437" s="5" t="s">
        <v>14608</v>
      </c>
      <c r="E6437" s="4">
        <v>356165</v>
      </c>
    </row>
    <row r="6438" spans="1:6" ht="13.5" hidden="1" customHeight="1">
      <c r="A6438" s="4" t="s">
        <v>14757</v>
      </c>
      <c r="B6438" s="4" t="s">
        <v>14758</v>
      </c>
      <c r="C6438" s="4" t="str">
        <f ca="1">IFERROR(__xludf.DUMMYFUNCTION("GOOGLETRANSLATE(D:D,""auto"",""en"")"),"Coffee Oreo Shuangpinai")</f>
        <v>Coffee Oreo Shuangpinai</v>
      </c>
      <c r="D6438" s="5" t="s">
        <v>14759</v>
      </c>
      <c r="E6438" s="4">
        <v>298271</v>
      </c>
    </row>
    <row r="6439" spans="1:6" ht="13.5" customHeight="1">
      <c r="A6439" s="4" t="s">
        <v>14713</v>
      </c>
      <c r="B6439" s="4" t="s">
        <v>14760</v>
      </c>
      <c r="C6439" s="4" t="str">
        <f ca="1">IFERROR(__xludf.DUMMYFUNCTION("GOOGLETRANSLATE(D:D,""auto"",""en"")"),"Veterans say it should work to close the shelter")</f>
        <v>Veterans say it should work to close the shelter</v>
      </c>
      <c r="D6439" s="5" t="s">
        <v>14761</v>
      </c>
      <c r="E6439" s="4">
        <v>294703</v>
      </c>
      <c r="F6439">
        <v>1</v>
      </c>
    </row>
    <row r="6440" spans="1:6" ht="13.5" hidden="1" customHeight="1">
      <c r="A6440" s="4" t="s">
        <v>14762</v>
      </c>
      <c r="B6440" s="4" t="s">
        <v>14763</v>
      </c>
      <c r="C6440" s="4" t="str">
        <f ca="1">IFERROR(__xludf.DUMMYFUNCTION("GOOGLETRANSLATE(D:D,""auto"",""en"")"),"February property market turnover down eighty percent")</f>
        <v>February property market turnover down eighty percent</v>
      </c>
      <c r="D6440" s="5" t="s">
        <v>14764</v>
      </c>
      <c r="E6440" s="4">
        <v>293168</v>
      </c>
    </row>
    <row r="6441" spans="1:6" ht="13.5" hidden="1" customHeight="1">
      <c r="A6441" s="4" t="s">
        <v>14765</v>
      </c>
      <c r="B6441" s="4" t="s">
        <v>14625</v>
      </c>
      <c r="C6441" s="4" t="str">
        <f ca="1">IFERROR(__xludf.DUMMYFUNCTION("GOOGLETRANSLATE(D:D,""auto"",""en"")"),"Tencent classroom collapse")</f>
        <v>Tencent classroom collapse</v>
      </c>
      <c r="D6441" s="5" t="s">
        <v>14766</v>
      </c>
      <c r="E6441" s="4">
        <v>277559</v>
      </c>
    </row>
    <row r="6442" spans="1:6" ht="13.5" hidden="1" customHeight="1">
      <c r="A6442" s="4" t="s">
        <v>14767</v>
      </c>
      <c r="B6442" s="4" t="s">
        <v>14768</v>
      </c>
      <c r="C6442" s="4" t="str">
        <f ca="1">IFERROR(__xludf.DUMMYFUNCTION("GOOGLETRANSLATE(D:D,""auto"",""en"")"),"Fairy jk uniforms Competition")</f>
        <v>Fairy jk uniforms Competition</v>
      </c>
      <c r="D6442" s="5" t="s">
        <v>14769</v>
      </c>
      <c r="E6442" s="4">
        <v>244925</v>
      </c>
    </row>
    <row r="6443" spans="1:6" ht="13.5" hidden="1" customHeight="1">
      <c r="A6443" s="4" t="s">
        <v>14609</v>
      </c>
      <c r="B6443" s="4" t="s">
        <v>14610</v>
      </c>
      <c r="C6443" s="4" t="str">
        <f ca="1">IFERROR(__xludf.DUMMYFUNCTION("GOOGLETRANSLATE(D:D,""auto"",""en"")"),"Li Jiaqi studio")</f>
        <v>Li Jiaqi studio</v>
      </c>
      <c r="D6443" s="5" t="s">
        <v>14611</v>
      </c>
      <c r="E6443" s="4">
        <v>237412</v>
      </c>
    </row>
    <row r="6444" spans="1:6" ht="13.5" hidden="1" customHeight="1">
      <c r="A6444" s="4" t="s">
        <v>14770</v>
      </c>
      <c r="B6444" s="4" t="s">
        <v>14771</v>
      </c>
      <c r="C6444" s="4" t="str">
        <f ca="1">IFERROR(__xludf.DUMMYFUNCTION("GOOGLETRANSLATE(D:D,""auto"",""en"")"),"Duncan coach first win")</f>
        <v>Duncan coach first win</v>
      </c>
      <c r="D6444" s="5" t="s">
        <v>14772</v>
      </c>
      <c r="E6444" s="4">
        <v>216325</v>
      </c>
    </row>
    <row r="6445" spans="1:6" ht="13.5" hidden="1" customHeight="1">
      <c r="A6445" s="4" t="s">
        <v>14773</v>
      </c>
      <c r="B6445" s="4" t="s">
        <v>14758</v>
      </c>
      <c r="C6445" s="4" t="str">
        <f ca="1">IFERROR(__xludf.DUMMYFUNCTION("GOOGLETRANSLATE(D:D,""auto"",""en"")"),"India banned the entry is intended to Iraqi citizens South Korea and Japan four countries")</f>
        <v>India banned the entry is intended to Iraqi citizens South Korea and Japan four countries</v>
      </c>
      <c r="D6445" s="5" t="s">
        <v>14774</v>
      </c>
      <c r="E6445" s="4">
        <v>207590</v>
      </c>
    </row>
    <row r="6446" spans="1:6" ht="13.5" hidden="1" customHeight="1">
      <c r="A6446" s="4" t="s">
        <v>14775</v>
      </c>
      <c r="B6446" s="4" t="s">
        <v>14744</v>
      </c>
      <c r="C6446" s="4" t="str">
        <f ca="1">IFERROR(__xludf.DUMMYFUNCTION("GOOGLETRANSLATE(D:D,""auto"",""en"")"),"Trump on the phone with Taliban leaders")</f>
        <v>Trump on the phone with Taliban leaders</v>
      </c>
      <c r="D6446" s="5" t="s">
        <v>14776</v>
      </c>
      <c r="E6446" s="4">
        <v>194631</v>
      </c>
    </row>
    <row r="6447" spans="1:6" ht="13.5" hidden="1" customHeight="1">
      <c r="A6447" s="4" t="s">
        <v>14585</v>
      </c>
      <c r="B6447" s="4" t="s">
        <v>14747</v>
      </c>
      <c r="C6447" s="4" t="str">
        <f ca="1">IFERROR(__xludf.DUMMYFUNCTION("GOOGLETRANSLATE(D:D,""auto"",""en"")"),"What grievances suffered because too sensible")</f>
        <v>What grievances suffered because too sensible</v>
      </c>
      <c r="D6447" s="5" t="s">
        <v>14777</v>
      </c>
      <c r="E6447" s="4">
        <v>192174</v>
      </c>
    </row>
    <row r="6448" spans="1:6" ht="13.5" customHeight="1">
      <c r="A6448" s="4" t="s">
        <v>14585</v>
      </c>
      <c r="B6448" s="4" t="s">
        <v>14778</v>
      </c>
      <c r="C6448" s="4" t="str">
        <f ca="1">IFERROR(__xludf.DUMMYFUNCTION("GOOGLETRANSLATE(D:D,""auto"",""en"")"),"Beijing to adjust the immigration officers overseas isolation policy")</f>
        <v>Beijing to adjust the immigration officers overseas isolation policy</v>
      </c>
      <c r="D6448" s="5" t="s">
        <v>14779</v>
      </c>
      <c r="E6448" s="4">
        <v>174247</v>
      </c>
      <c r="F6448">
        <v>1</v>
      </c>
    </row>
    <row r="6449" spans="1:6" ht="13.5" hidden="1" customHeight="1">
      <c r="A6449" s="4" t="s">
        <v>14585</v>
      </c>
      <c r="B6449" s="4" t="s">
        <v>14583</v>
      </c>
      <c r="C6449" s="4" t="str">
        <f ca="1">IFERROR(__xludf.DUMMYFUNCTION("GOOGLETRANSLATE(D:D,""auto"",""en"")"),"Phoenix Entertainment")</f>
        <v>Phoenix Entertainment</v>
      </c>
      <c r="D6449" s="5" t="s">
        <v>14618</v>
      </c>
      <c r="E6449" s="4">
        <v>168072</v>
      </c>
    </row>
    <row r="6450" spans="1:6" ht="13.5" hidden="1" customHeight="1">
      <c r="A6450" s="4" t="s">
        <v>14585</v>
      </c>
      <c r="B6450" s="4" t="s">
        <v>14586</v>
      </c>
      <c r="C6450" s="4" t="str">
        <f ca="1">IFERROR(__xludf.DUMMYFUNCTION("GOOGLETRANSLATE(D:D,""auto"",""en"")"),"Stella hate Jiang Dalin")</f>
        <v>Stella hate Jiang Dalin</v>
      </c>
      <c r="D6450" s="5" t="s">
        <v>14587</v>
      </c>
      <c r="E6450" s="4">
        <v>164112</v>
      </c>
    </row>
    <row r="6451" spans="1:6" ht="13.5" hidden="1" customHeight="1">
      <c r="A6451" s="4" t="s">
        <v>14780</v>
      </c>
      <c r="B6451" s="4" t="s">
        <v>14781</v>
      </c>
      <c r="C6451" s="4" t="str">
        <f ca="1">IFERROR(__xludf.DUMMYFUNCTION("GOOGLETRANSLATE(D:D,""auto"",""en"")"),"James was elected the Month")</f>
        <v>James was elected the Month</v>
      </c>
      <c r="D6451" s="5" t="s">
        <v>14782</v>
      </c>
      <c r="E6451" s="4">
        <v>143110</v>
      </c>
    </row>
    <row r="6452" spans="1:6" ht="13.5" hidden="1" customHeight="1">
      <c r="A6452" s="4" t="s">
        <v>14783</v>
      </c>
      <c r="B6452" s="4" t="s">
        <v>14674</v>
      </c>
      <c r="C6452" s="4" t="str">
        <f ca="1">IFERROR(__xludf.DUMMYFUNCTION("GOOGLETRANSLATE(D:D,""auto"",""en"")"),"31 provinces lottery sales in January decreased")</f>
        <v>31 provinces lottery sales in January decreased</v>
      </c>
      <c r="D6452" s="5" t="s">
        <v>14784</v>
      </c>
      <c r="E6452" s="4">
        <v>124902</v>
      </c>
    </row>
    <row r="6453" spans="1:6" ht="13.5" hidden="1" customHeight="1">
      <c r="A6453" s="4" t="s">
        <v>14783</v>
      </c>
      <c r="B6453" s="4" t="s">
        <v>14785</v>
      </c>
      <c r="C6453" s="4" t="str">
        <f ca="1">IFERROR(__xludf.DUMMYFUNCTION("GOOGLETRANSLATE(D:D,""auto"",""en"")"),"Han Guozhong Nancy Hill Lotte chemical plant explosion")</f>
        <v>Han Guozhong Nancy Hill Lotte chemical plant explosion</v>
      </c>
      <c r="D6453" s="5" t="s">
        <v>14786</v>
      </c>
      <c r="E6453" s="4">
        <v>116673</v>
      </c>
    </row>
    <row r="6454" spans="1:6" ht="13.5" hidden="1" customHeight="1">
      <c r="C6454" s="4" t="str">
        <f ca="1">IFERROR(__xludf.DUMMYFUNCTION("GOOGLETRANSLATE(D:D,""auto"",""en"")"),"#VALUE!")</f>
        <v>#VALUE!</v>
      </c>
    </row>
    <row r="6455" spans="1:6" ht="13.5" customHeight="1">
      <c r="A6455" s="4" t="s">
        <v>14787</v>
      </c>
      <c r="B6455" s="4" t="s">
        <v>14788</v>
      </c>
      <c r="C6455" s="4" t="str">
        <f ca="1">IFERROR(__xludf.DUMMYFUNCTION("GOOGLETRANSLATE(D:D,""auto"",""en"")"),"New virus attacks the central nervous system crown")</f>
        <v>New virus attacks the central nervous system crown</v>
      </c>
      <c r="D6455" s="4" t="s">
        <v>14789</v>
      </c>
      <c r="E6455" s="4">
        <v>2524363</v>
      </c>
      <c r="F6455">
        <v>1</v>
      </c>
    </row>
    <row r="6456" spans="1:6" ht="13.5" hidden="1" customHeight="1">
      <c r="A6456" s="4" t="s">
        <v>14790</v>
      </c>
      <c r="B6456" s="4" t="s">
        <v>14791</v>
      </c>
      <c r="C6456" s="4" t="str">
        <f ca="1">IFERROR(__xludf.DUMMYFUNCTION("GOOGLETRANSLATE(D:D,""auto"",""en"")"),"papi sauce children")</f>
        <v>papi sauce children</v>
      </c>
      <c r="D6456" s="5" t="s">
        <v>14792</v>
      </c>
      <c r="E6456" s="4">
        <v>1768383</v>
      </c>
    </row>
    <row r="6457" spans="1:6" ht="13.5" customHeight="1">
      <c r="A6457" s="4" t="s">
        <v>14793</v>
      </c>
      <c r="B6457" s="4" t="s">
        <v>14788</v>
      </c>
      <c r="C6457" s="4" t="str">
        <f ca="1">IFERROR(__xludf.DUMMYFUNCTION("GOOGLETRANSLATE(D:D,""auto"",""en"")"),"Italy decided to close schools and universities nationwide")</f>
        <v>Italy decided to close schools and universities nationwide</v>
      </c>
      <c r="D6457" s="5" t="s">
        <v>14794</v>
      </c>
      <c r="E6457" s="4">
        <v>1543332</v>
      </c>
      <c r="F6457">
        <v>1</v>
      </c>
    </row>
    <row r="6458" spans="1:6" ht="13.5" hidden="1" customHeight="1">
      <c r="A6458" s="4" t="s">
        <v>14795</v>
      </c>
      <c r="B6458" s="4" t="s">
        <v>14796</v>
      </c>
      <c r="C6458" s="4" t="str">
        <f ca="1">IFERROR(__xludf.DUMMYFUNCTION("GOOGLETRANSLATE(D:D,""auto"",""en"")"),"Cuiying Jun nausea")</f>
        <v>Cuiying Jun nausea</v>
      </c>
      <c r="D6458" s="5" t="s">
        <v>14797</v>
      </c>
      <c r="E6458" s="4">
        <v>1486225</v>
      </c>
    </row>
    <row r="6459" spans="1:6" ht="13.5" hidden="1" customHeight="1">
      <c r="A6459" s="4" t="s">
        <v>14798</v>
      </c>
      <c r="B6459" s="4" t="s">
        <v>14799</v>
      </c>
      <c r="C6459" s="4" t="str">
        <f ca="1">IFERROR(__xludf.DUMMYFUNCTION("GOOGLETRANSLATE(D:D,""auto"",""en"")"),"65-year-old Chen Tao-ming")</f>
        <v>65-year-old Chen Tao-ming</v>
      </c>
      <c r="D6459" s="5" t="s">
        <v>14800</v>
      </c>
      <c r="E6459" s="4">
        <v>1384390</v>
      </c>
    </row>
    <row r="6460" spans="1:6" ht="13.5" hidden="1" customHeight="1">
      <c r="A6460" s="4" t="s">
        <v>14790</v>
      </c>
      <c r="B6460" s="4" t="s">
        <v>14801</v>
      </c>
      <c r="C6460" s="4" t="str">
        <f ca="1">IFERROR(__xludf.DUMMYFUNCTION("GOOGLETRANSLATE(D:D,""auto"",""en"")"),"Looking for Saipan")</f>
        <v>Looking for Saipan</v>
      </c>
      <c r="D6460" s="5" t="s">
        <v>14802</v>
      </c>
      <c r="E6460" s="4">
        <v>1350423</v>
      </c>
    </row>
    <row r="6461" spans="1:6" ht="13.5" customHeight="1">
      <c r="A6461" s="4" t="s">
        <v>14803</v>
      </c>
      <c r="B6461" s="4" t="s">
        <v>14804</v>
      </c>
      <c r="C6461" s="4" t="str">
        <f ca="1">IFERROR(__xludf.DUMMYFUNCTION("GOOGLETRANSLATE(D:D,""auto"",""en"")"),"Foreign Ministry strongly anti-symmetric Chinese virus is a new virus crown")</f>
        <v>Foreign Ministry strongly anti-symmetric Chinese virus is a new virus crown</v>
      </c>
      <c r="D6461" s="5" t="s">
        <v>14805</v>
      </c>
      <c r="E6461" s="4">
        <v>857307</v>
      </c>
      <c r="F6461">
        <v>1</v>
      </c>
    </row>
    <row r="6462" spans="1:6" ht="13.5" hidden="1" customHeight="1">
      <c r="A6462" s="4" t="s">
        <v>14806</v>
      </c>
      <c r="B6462" s="4" t="s">
        <v>14807</v>
      </c>
      <c r="C6462" s="4" t="str">
        <f ca="1">IFERROR(__xludf.DUMMYFUNCTION("GOOGLETRANSLATE(D:D,""auto"",""en"")"),"Bright room mom")</f>
        <v>Bright room mom</v>
      </c>
      <c r="D6462" s="5" t="s">
        <v>14808</v>
      </c>
      <c r="E6462" s="4">
        <v>792753</v>
      </c>
    </row>
    <row r="6463" spans="1:6" ht="13.5" hidden="1" customHeight="1">
      <c r="A6463" s="4" t="s">
        <v>14806</v>
      </c>
      <c r="B6463" s="4" t="s">
        <v>14809</v>
      </c>
      <c r="C6463" s="4" t="str">
        <f ca="1">IFERROR(__xludf.DUMMYFUNCTION("GOOGLETRANSLATE(D:D,""auto"",""en"")"),"Yan distressed old couple")</f>
        <v>Yan distressed old couple</v>
      </c>
      <c r="D6463" s="5" t="s">
        <v>14810</v>
      </c>
      <c r="E6463" s="4">
        <v>621514</v>
      </c>
    </row>
    <row r="6464" spans="1:6" ht="13.5" hidden="1" customHeight="1">
      <c r="A6464" s="4" t="s">
        <v>14811</v>
      </c>
      <c r="B6464" s="4" t="s">
        <v>14812</v>
      </c>
      <c r="C6464" s="4" t="str">
        <f ca="1">IFERROR(__xludf.DUMMYFUNCTION("GOOGLETRANSLATE(D:D,""auto"",""en"")"),"UK container reproducing Tibetans case")</f>
        <v>UK container reproducing Tibetans case</v>
      </c>
      <c r="D6464" s="5" t="s">
        <v>14813</v>
      </c>
      <c r="E6464" s="4">
        <v>593906</v>
      </c>
    </row>
    <row r="6465" spans="1:6" ht="13.5" hidden="1" customHeight="1">
      <c r="A6465" s="4" t="s">
        <v>14814</v>
      </c>
      <c r="B6465" s="4" t="s">
        <v>14815</v>
      </c>
      <c r="C6465" s="4" t="str">
        <f ca="1">IFERROR(__xludf.DUMMYFUNCTION("GOOGLETRANSLATE(D:D,""auto"",""en"")"),"Youth psychosis")</f>
        <v>Youth psychosis</v>
      </c>
      <c r="D6465" s="5" t="s">
        <v>14816</v>
      </c>
      <c r="E6465" s="4">
        <v>524240</v>
      </c>
    </row>
    <row r="6466" spans="1:6" ht="13.5" hidden="1" customHeight="1">
      <c r="A6466" s="4" t="s">
        <v>12063</v>
      </c>
      <c r="B6466" s="4" t="s">
        <v>12051</v>
      </c>
      <c r="C6466" s="4" t="str">
        <f ca="1">IFERROR(__xludf.DUMMYFUNCTION("GOOGLETRANSLATE(D:D,""auto"",""en"")"),"settle down")</f>
        <v>settle down</v>
      </c>
      <c r="D6466" s="5" t="s">
        <v>12064</v>
      </c>
      <c r="E6466" s="4">
        <v>503775</v>
      </c>
    </row>
    <row r="6467" spans="1:6" ht="13.5" hidden="1" customHeight="1">
      <c r="A6467" s="4" t="s">
        <v>14817</v>
      </c>
      <c r="B6467" s="4" t="s">
        <v>14818</v>
      </c>
      <c r="C6467" s="4" t="str">
        <f ca="1">IFERROR(__xludf.DUMMYFUNCTION("GOOGLETRANSLATE(D:D,""auto"",""en"")"),"Desert locusts are unlikely to move to China")</f>
        <v>Desert locusts are unlikely to move to China</v>
      </c>
      <c r="D6467" s="5" t="s">
        <v>14819</v>
      </c>
      <c r="E6467" s="4">
        <v>414544</v>
      </c>
    </row>
    <row r="6468" spans="1:6" ht="13.5" customHeight="1">
      <c r="A6468" s="4" t="s">
        <v>14820</v>
      </c>
      <c r="B6468" s="4" t="s">
        <v>14821</v>
      </c>
      <c r="C6468" s="4" t="str">
        <f ca="1">IFERROR(__xludf.DUMMYFUNCTION("GOOGLETRANSLATE(D:D,""auto"",""en"")"),"21 provinces nationwide emergency response level down")</f>
        <v>21 provinces nationwide emergency response level down</v>
      </c>
      <c r="D6468" s="5" t="s">
        <v>14822</v>
      </c>
      <c r="E6468" s="4">
        <v>367707</v>
      </c>
      <c r="F6468">
        <v>1</v>
      </c>
    </row>
    <row r="6469" spans="1:6" ht="13.5" customHeight="1">
      <c r="A6469" s="4" t="s">
        <v>14823</v>
      </c>
      <c r="B6469" s="4" t="s">
        <v>14824</v>
      </c>
      <c r="C6469" s="4" t="str">
        <f ca="1">IFERROR(__xludf.DUMMYFUNCTION("GOOGLETRANSLATE(D:D,""auto"",""en"")"),"The French government requisitioned the National masks")</f>
        <v>The French government requisitioned the National masks</v>
      </c>
      <c r="D6469" s="5" t="s">
        <v>14825</v>
      </c>
      <c r="E6469" s="4">
        <v>357329</v>
      </c>
      <c r="F6469">
        <v>1</v>
      </c>
    </row>
    <row r="6470" spans="1:6" ht="13.5" hidden="1" customHeight="1">
      <c r="A6470" s="4" t="s">
        <v>14826</v>
      </c>
      <c r="B6470" s="4" t="s">
        <v>14827</v>
      </c>
      <c r="C6470" s="4" t="str">
        <f ca="1">IFERROR(__xludf.DUMMYFUNCTION("GOOGLETRANSLATE(D:D,""auto"",""en"")"),"Li Jiaqi")</f>
        <v>Li Jiaqi</v>
      </c>
      <c r="D6470" s="5" t="s">
        <v>14828</v>
      </c>
      <c r="E6470" s="4">
        <v>357324</v>
      </c>
    </row>
    <row r="6471" spans="1:6" ht="13.5" hidden="1" customHeight="1">
      <c r="A6471" s="4" t="s">
        <v>14829</v>
      </c>
      <c r="B6471" s="4" t="s">
        <v>14830</v>
      </c>
      <c r="C6471" s="4" t="str">
        <f ca="1">IFERROR(__xludf.DUMMYFUNCTION("GOOGLETRANSLATE(D:D,""auto"",""en"")"),"dmzj")</f>
        <v>dmzj</v>
      </c>
      <c r="D6471" s="5" t="s">
        <v>14831</v>
      </c>
      <c r="E6471" s="4">
        <v>355634</v>
      </c>
    </row>
    <row r="6472" spans="1:6" ht="13.5" hidden="1" customHeight="1">
      <c r="A6472" s="4" t="s">
        <v>14832</v>
      </c>
      <c r="B6472" s="4" t="s">
        <v>14833</v>
      </c>
      <c r="C6472" s="4" t="str">
        <f ca="1">IFERROR(__xludf.DUMMYFUNCTION("GOOGLETRANSLATE(D:D,""auto"",""en"")"),"Parents in the eyes of good-looking stars")</f>
        <v>Parents in the eyes of good-looking stars</v>
      </c>
      <c r="D6472" s="5" t="s">
        <v>14834</v>
      </c>
      <c r="E6472" s="4">
        <v>354706</v>
      </c>
    </row>
    <row r="6473" spans="1:6" ht="13.5" hidden="1" customHeight="1">
      <c r="A6473" s="4" t="s">
        <v>14835</v>
      </c>
      <c r="B6473" s="4" t="s">
        <v>14836</v>
      </c>
      <c r="C6473" s="4" t="str">
        <f ca="1">IFERROR(__xludf.DUMMYFUNCTION("GOOGLETRANSLATE(D:D,""auto"",""en"")"),"Wu Yifan freckles makeup")</f>
        <v>Wu Yifan freckles makeup</v>
      </c>
      <c r="D6473" s="5" t="s">
        <v>14837</v>
      </c>
      <c r="E6473" s="4">
        <v>354142</v>
      </c>
    </row>
    <row r="6474" spans="1:6" ht="13.5" hidden="1" customHeight="1">
      <c r="A6474" s="4" t="s">
        <v>14838</v>
      </c>
      <c r="B6474" s="4" t="s">
        <v>14839</v>
      </c>
      <c r="C6474" s="4" t="str">
        <f ca="1">IFERROR(__xludf.DUMMYFUNCTION("GOOGLETRANSLATE(D:D,""auto"",""en"")"),"Ye Donglie")</f>
        <v>Ye Donglie</v>
      </c>
      <c r="D6474" s="5" t="s">
        <v>14840</v>
      </c>
      <c r="E6474" s="4">
        <v>352302</v>
      </c>
    </row>
    <row r="6475" spans="1:6" ht="13.5" customHeight="1">
      <c r="A6475" s="4" t="s">
        <v>14841</v>
      </c>
      <c r="B6475" s="4" t="s">
        <v>14842</v>
      </c>
      <c r="C6475" s="4" t="str">
        <f ca="1">IFERROR(__xludf.DUMMYFUNCTION("GOOGLETRANSLATE(D:D,""auto"",""en"")"),"The new British crown pneumonia as a statutory infectious diseases")</f>
        <v>The new British crown pneumonia as a statutory infectious diseases</v>
      </c>
      <c r="D6475" s="5" t="s">
        <v>14843</v>
      </c>
      <c r="E6475" s="4">
        <v>351392</v>
      </c>
      <c r="F6475">
        <v>1</v>
      </c>
    </row>
    <row r="6476" spans="1:6" ht="13.5" customHeight="1">
      <c r="A6476" s="4" t="s">
        <v>14844</v>
      </c>
      <c r="B6476" s="4" t="s">
        <v>14845</v>
      </c>
      <c r="C6476" s="4" t="str">
        <f ca="1">IFERROR(__xludf.DUMMYFUNCTION("GOOGLETRANSLATE(D:D,""auto"",""en"")"),"Net more than what students have classes")</f>
        <v>Net more than what students have classes</v>
      </c>
      <c r="D6476" s="5" t="s">
        <v>14846</v>
      </c>
      <c r="E6476" s="4">
        <v>350779</v>
      </c>
      <c r="F6476">
        <v>1</v>
      </c>
    </row>
    <row r="6477" spans="1:6" ht="13.5" hidden="1" customHeight="1">
      <c r="A6477" s="4" t="s">
        <v>14847</v>
      </c>
      <c r="B6477" s="4" t="s">
        <v>14848</v>
      </c>
      <c r="C6477" s="4" t="str">
        <f ca="1">IFERROR(__xludf.DUMMYFUNCTION("GOOGLETRANSLATE(D:D,""auto"",""en"")"),"The memory of an experience poorest")</f>
        <v>The memory of an experience poorest</v>
      </c>
      <c r="D6477" s="5" t="s">
        <v>14849</v>
      </c>
      <c r="E6477" s="4">
        <v>349497</v>
      </c>
    </row>
    <row r="6478" spans="1:6" ht="13.5" hidden="1" customHeight="1">
      <c r="A6478" s="4" t="s">
        <v>14850</v>
      </c>
      <c r="B6478" s="4" t="s">
        <v>14824</v>
      </c>
      <c r="C6478" s="4" t="str">
        <f ca="1">IFERROR(__xludf.DUMMYFUNCTION("GOOGLETRANSLATE(D:D,""auto"",""en"")"),"Take your ride Pan Zhang Yu")</f>
        <v>Take your ride Pan Zhang Yu</v>
      </c>
      <c r="D6478" s="5" t="s">
        <v>14851</v>
      </c>
      <c r="E6478" s="4">
        <v>349049</v>
      </c>
    </row>
    <row r="6479" spans="1:6" ht="13.5" hidden="1" customHeight="1">
      <c r="A6479" s="4" t="s">
        <v>13097</v>
      </c>
      <c r="B6479" s="4" t="s">
        <v>13050</v>
      </c>
      <c r="C6479" s="4" t="str">
        <f ca="1">IFERROR(__xludf.DUMMYFUNCTION("GOOGLETRANSLATE(D:D,""auto"",""en"")"),"Palm things")</f>
        <v>Palm things</v>
      </c>
      <c r="D6479" s="5" t="s">
        <v>13098</v>
      </c>
      <c r="E6479" s="4">
        <v>348133</v>
      </c>
    </row>
    <row r="6480" spans="1:6" ht="13.5" hidden="1" customHeight="1">
      <c r="A6480" s="4" t="s">
        <v>14852</v>
      </c>
      <c r="B6480" s="4" t="s">
        <v>14853</v>
      </c>
      <c r="C6480" s="4" t="str">
        <f ca="1">IFERROR(__xludf.DUMMYFUNCTION("GOOGLETRANSLATE(D:D,""auto"",""en"")"),"Live singing star rollover site")</f>
        <v>Live singing star rollover site</v>
      </c>
      <c r="D6480" s="5" t="s">
        <v>14854</v>
      </c>
      <c r="E6480" s="4">
        <v>345356</v>
      </c>
    </row>
    <row r="6481" spans="1:6" ht="13.5" customHeight="1">
      <c r="A6481" s="4" t="s">
        <v>14855</v>
      </c>
      <c r="B6481" s="4" t="s">
        <v>14856</v>
      </c>
      <c r="C6481" s="4" t="str">
        <f ca="1">IFERROR(__xludf.DUMMYFUNCTION("GOOGLETRANSLATE(D:D,""auto"",""en"")"),"South Korea's largest Chinese enclave city of zero infection")</f>
        <v>South Korea's largest Chinese enclave city of zero infection</v>
      </c>
      <c r="D6481" s="5" t="s">
        <v>14857</v>
      </c>
      <c r="E6481" s="4">
        <v>330061</v>
      </c>
      <c r="F6481">
        <v>1</v>
      </c>
    </row>
    <row r="6482" spans="1:6" ht="13.5" hidden="1" customHeight="1">
      <c r="A6482" s="4" t="s">
        <v>14858</v>
      </c>
      <c r="B6482" s="4" t="s">
        <v>14859</v>
      </c>
      <c r="C6482" s="4" t="str">
        <f ca="1">IFERROR(__xludf.DUMMYFUNCTION("GOOGLETRANSLATE(D:D,""auto"",""en"")"),"Toast made not afford to eat the way")</f>
        <v>Toast made not afford to eat the way</v>
      </c>
      <c r="D6482" s="5" t="s">
        <v>14860</v>
      </c>
      <c r="E6482" s="4">
        <v>293575</v>
      </c>
    </row>
    <row r="6483" spans="1:6" ht="13.5" customHeight="1">
      <c r="A6483" s="4" t="s">
        <v>14861</v>
      </c>
      <c r="B6483" s="4" t="s">
        <v>14862</v>
      </c>
      <c r="C6483" s="4" t="str">
        <f ca="1">IFERROR(__xludf.DUMMYFUNCTION("GOOGLETRANSLATE(D:D,""auto"",""en"")"),"Iran's political arena into a new crown hardest hit by pneumonia")</f>
        <v>Iran's political arena into a new crown hardest hit by pneumonia</v>
      </c>
      <c r="D6483" s="5" t="s">
        <v>14863</v>
      </c>
      <c r="E6483" s="4">
        <v>277444</v>
      </c>
      <c r="F6483">
        <v>1</v>
      </c>
    </row>
    <row r="6484" spans="1:6" ht="13.5" customHeight="1">
      <c r="A6484" s="4" t="s">
        <v>14864</v>
      </c>
      <c r="B6484" s="4" t="s">
        <v>14865</v>
      </c>
      <c r="C6484" s="4" t="str">
        <f ca="1">IFERROR(__xludf.DUMMYFUNCTION("GOOGLETRANSLATE(D:D,""auto"",""en"")"),"Hubei Nanzhang acres of cherry spring open")</f>
        <v>Hubei Nanzhang acres of cherry spring open</v>
      </c>
      <c r="D6484" s="5" t="s">
        <v>14866</v>
      </c>
      <c r="E6484" s="4">
        <v>266608</v>
      </c>
      <c r="F6484">
        <v>1</v>
      </c>
    </row>
    <row r="6485" spans="1:6" ht="13.5" hidden="1" customHeight="1">
      <c r="A6485" s="4" t="s">
        <v>14867</v>
      </c>
      <c r="B6485" s="4" t="s">
        <v>14868</v>
      </c>
      <c r="C6485" s="4" t="str">
        <f ca="1">IFERROR(__xludf.DUMMYFUNCTION("GOOGLETRANSLATE(D:D,""auto"",""en"")"),"Crayon Dinosaur shoes")</f>
        <v>Crayon Dinosaur shoes</v>
      </c>
      <c r="D6485" s="5" t="s">
        <v>14869</v>
      </c>
      <c r="E6485" s="4">
        <v>263329</v>
      </c>
    </row>
    <row r="6486" spans="1:6" ht="13.5" hidden="1" customHeight="1">
      <c r="A6486" s="4" t="s">
        <v>14870</v>
      </c>
      <c r="B6486" s="4" t="s">
        <v>14853</v>
      </c>
      <c r="C6486" s="4" t="str">
        <f ca="1">IFERROR(__xludf.DUMMYFUNCTION("GOOGLETRANSLATE(D:D,""auto"",""en"")"),"What handsome young father experience")</f>
        <v>What handsome young father experience</v>
      </c>
      <c r="D6486" s="5" t="s">
        <v>14871</v>
      </c>
      <c r="E6486" s="4">
        <v>256191</v>
      </c>
    </row>
    <row r="6487" spans="1:6" ht="13.5" hidden="1" customHeight="1">
      <c r="A6487" s="4" t="s">
        <v>14872</v>
      </c>
      <c r="B6487" s="4" t="s">
        <v>14873</v>
      </c>
      <c r="C6487" s="4" t="str">
        <f ca="1">IFERROR(__xludf.DUMMYFUNCTION("GOOGLETRANSLATE(D:D,""auto"",""en"")"),"Gan Wei to give up priority in the allocation of property rights")</f>
        <v>Gan Wei to give up priority in the allocation of property rights</v>
      </c>
      <c r="D6487" s="5" t="s">
        <v>14874</v>
      </c>
      <c r="E6487" s="4">
        <v>253498</v>
      </c>
    </row>
    <row r="6488" spans="1:6" ht="13.5" hidden="1" customHeight="1">
      <c r="A6488" s="4" t="s">
        <v>14875</v>
      </c>
      <c r="B6488" s="4" t="s">
        <v>14876</v>
      </c>
      <c r="C6488" s="4" t="str">
        <f ca="1">IFERROR(__xludf.DUMMYFUNCTION("GOOGLETRANSLATE(D:D,""auto"",""en"")"),"The United States launched air strikes against the Taliban")</f>
        <v>The United States launched air strikes against the Taliban</v>
      </c>
      <c r="D6488" s="5" t="s">
        <v>14877</v>
      </c>
      <c r="E6488" s="4">
        <v>233492</v>
      </c>
    </row>
    <row r="6489" spans="1:6" ht="13.5" hidden="1" customHeight="1">
      <c r="A6489" s="4" t="s">
        <v>14878</v>
      </c>
      <c r="B6489" s="4" t="s">
        <v>14879</v>
      </c>
      <c r="C6489" s="4" t="str">
        <f ca="1">IFERROR(__xludf.DUMMYFUNCTION("GOOGLETRANSLATE(D:D,""auto"",""en"")"),"Net eat red potatoes")</f>
        <v>Net eat red potatoes</v>
      </c>
      <c r="D6489" s="5" t="s">
        <v>14880</v>
      </c>
      <c r="E6489" s="4">
        <v>233375</v>
      </c>
    </row>
    <row r="6490" spans="1:6" ht="13.5" hidden="1" customHeight="1">
      <c r="A6490" s="4" t="s">
        <v>14835</v>
      </c>
      <c r="B6490" s="4" t="s">
        <v>14881</v>
      </c>
      <c r="C6490" s="4" t="str">
        <f ca="1">IFERROR(__xludf.DUMMYFUNCTION("GOOGLETRANSLATE(D:D,""auto"",""en"")"),"Pork sandals")</f>
        <v>Pork sandals</v>
      </c>
      <c r="D6490" s="5" t="s">
        <v>14882</v>
      </c>
      <c r="E6490" s="4">
        <v>226853</v>
      </c>
    </row>
    <row r="6491" spans="1:6" ht="13.5" hidden="1" customHeight="1">
      <c r="A6491" s="4" t="s">
        <v>14883</v>
      </c>
      <c r="B6491" s="4" t="s">
        <v>14884</v>
      </c>
      <c r="C6491" s="4" t="str">
        <f ca="1">IFERROR(__xludf.DUMMYFUNCTION("GOOGLETRANSLATE(D:D,""auto"",""en"")"),"Elegant and sexy look like")</f>
        <v>Elegant and sexy look like</v>
      </c>
      <c r="D6491" s="5" t="s">
        <v>14885</v>
      </c>
      <c r="E6491" s="4">
        <v>218218</v>
      </c>
    </row>
    <row r="6492" spans="1:6" ht="13.5" hidden="1" customHeight="1">
      <c r="A6492" s="4" t="s">
        <v>14886</v>
      </c>
      <c r="B6492" s="4" t="s">
        <v>14887</v>
      </c>
      <c r="C6492" s="4" t="str">
        <f ca="1">IFERROR(__xludf.DUMMYFUNCTION("GOOGLETRANSLATE(D:D,""auto"",""en"")"),"Perfect relationship plot")</f>
        <v>Perfect relationship plot</v>
      </c>
      <c r="D6492" s="5" t="s">
        <v>14888</v>
      </c>
      <c r="E6492" s="4">
        <v>211678</v>
      </c>
    </row>
    <row r="6493" spans="1:6" ht="13.5" hidden="1" customHeight="1">
      <c r="A6493" s="4" t="s">
        <v>14889</v>
      </c>
      <c r="B6493" s="4" t="s">
        <v>14890</v>
      </c>
      <c r="C6493" s="4" t="str">
        <f ca="1">IFERROR(__xludf.DUMMYFUNCTION("GOOGLETRANSLATE(D:D,""auto"",""en"")"),"Australians have begun to grab the toilet paper")</f>
        <v>Australians have begun to grab the toilet paper</v>
      </c>
      <c r="D6493" s="5" t="s">
        <v>14891</v>
      </c>
      <c r="E6493" s="4">
        <v>206049</v>
      </c>
    </row>
    <row r="6494" spans="1:6" ht="13.5" hidden="1" customHeight="1">
      <c r="A6494" s="4" t="s">
        <v>14892</v>
      </c>
      <c r="B6494" s="4" t="s">
        <v>14893</v>
      </c>
      <c r="C6494" s="4" t="str">
        <f ca="1">IFERROR(__xludf.DUMMYFUNCTION("GOOGLETRANSLATE(D:D,""auto"",""en"")"),"More than 4128 million members contribute 4.73 billion yuan")</f>
        <v>More than 4128 million members contribute 4.73 billion yuan</v>
      </c>
      <c r="D6494" s="5" t="s">
        <v>14894</v>
      </c>
      <c r="E6494" s="4">
        <v>199734</v>
      </c>
    </row>
    <row r="6495" spans="1:6" ht="13.5" customHeight="1">
      <c r="A6495" s="4" t="s">
        <v>14895</v>
      </c>
      <c r="B6495" s="4" t="s">
        <v>14896</v>
      </c>
      <c r="C6495" s="4" t="str">
        <f ca="1">IFERROR(__xludf.DUMMYFUNCTION("GOOGLETRANSLATE(D:D,""auto"",""en"")"),"Beijing to develop the country's first new clinical pathway crown pneumonia")</f>
        <v>Beijing to develop the country's first new clinical pathway crown pneumonia</v>
      </c>
      <c r="D6495" s="5" t="s">
        <v>14897</v>
      </c>
      <c r="E6495" s="4">
        <v>188909</v>
      </c>
      <c r="F6495">
        <v>1</v>
      </c>
    </row>
    <row r="6496" spans="1:6" ht="13.5" hidden="1" customHeight="1">
      <c r="A6496" s="4" t="s">
        <v>14898</v>
      </c>
      <c r="B6496" s="4" t="s">
        <v>14899</v>
      </c>
      <c r="C6496" s="4" t="str">
        <f ca="1">IFERROR(__xludf.DUMMYFUNCTION("GOOGLETRANSLATE(D:D,""auto"",""en"")"),"Harbor seal pups rescued in Panjin")</f>
        <v>Harbor seal pups rescued in Panjin</v>
      </c>
      <c r="D6496" s="5" t="s">
        <v>14900</v>
      </c>
      <c r="E6496" s="4">
        <v>186986</v>
      </c>
    </row>
    <row r="6497" spans="1:6" ht="13.5" customHeight="1">
      <c r="A6497" s="4" t="s">
        <v>14901</v>
      </c>
      <c r="B6497" s="4" t="s">
        <v>14902</v>
      </c>
      <c r="C6497" s="4" t="str">
        <f ca="1">IFERROR(__xludf.DUMMYFUNCTION("GOOGLETRANSLATE(D:D,""auto"",""en"")"),"Mosquitoes will spread new viruses crown")</f>
        <v>Mosquitoes will spread new viruses crown</v>
      </c>
      <c r="D6497" s="5" t="s">
        <v>14903</v>
      </c>
      <c r="E6497" s="4">
        <v>185604</v>
      </c>
      <c r="F6497">
        <v>1</v>
      </c>
    </row>
    <row r="6498" spans="1:6" ht="13.5" hidden="1" customHeight="1">
      <c r="A6498" s="4" t="s">
        <v>14904</v>
      </c>
      <c r="B6498" s="4" t="s">
        <v>14905</v>
      </c>
      <c r="C6498" s="4" t="str">
        <f ca="1">IFERROR(__xludf.DUMMYFUNCTION("GOOGLETRANSLATE(D:D,""auto"",""en"")"),"Dilly Reba flop")</f>
        <v>Dilly Reba flop</v>
      </c>
      <c r="D6498" s="5" t="s">
        <v>14906</v>
      </c>
      <c r="E6498" s="4">
        <v>184243</v>
      </c>
    </row>
    <row r="6499" spans="1:6" ht="13.5" hidden="1" customHeight="1">
      <c r="A6499" s="4" t="s">
        <v>14907</v>
      </c>
      <c r="B6499" s="4" t="s">
        <v>14908</v>
      </c>
      <c r="C6499" s="4" t="str">
        <f ca="1">IFERROR(__xludf.DUMMYFUNCTION("GOOGLETRANSLATE(D:D,""auto"",""en"")"),"Aciu")</f>
        <v>Aciu</v>
      </c>
      <c r="D6499" s="5" t="s">
        <v>14909</v>
      </c>
      <c r="E6499" s="4">
        <v>181838</v>
      </c>
    </row>
    <row r="6500" spans="1:6" ht="13.5" hidden="1" customHeight="1">
      <c r="A6500" s="4" t="s">
        <v>14814</v>
      </c>
      <c r="B6500" s="4" t="s">
        <v>14910</v>
      </c>
      <c r="C6500" s="4" t="str">
        <f ca="1">IFERROR(__xludf.DUMMYFUNCTION("GOOGLETRANSLATE(D:D,""auto"",""en"")"),"Moving a chest CT examination done less than 3 minutes")</f>
        <v>Moving a chest CT examination done less than 3 minutes</v>
      </c>
      <c r="D6500" s="5" t="s">
        <v>14911</v>
      </c>
      <c r="E6500" s="4">
        <v>176074</v>
      </c>
    </row>
    <row r="6501" spans="1:6" ht="13.5" hidden="1" customHeight="1">
      <c r="A6501" s="4" t="s">
        <v>14912</v>
      </c>
      <c r="B6501" s="4" t="s">
        <v>14913</v>
      </c>
      <c r="C6501" s="4" t="str">
        <f ca="1">IFERROR(__xludf.DUMMYFUNCTION("GOOGLETRANSLATE(D:D,""auto"",""en"")"),"Japanese Internet users berserk granite")</f>
        <v>Japanese Internet users berserk granite</v>
      </c>
      <c r="D6501" s="5" t="s">
        <v>14914</v>
      </c>
      <c r="E6501" s="4">
        <v>175615</v>
      </c>
    </row>
    <row r="6502" spans="1:6" ht="13.5" hidden="1" customHeight="1">
      <c r="A6502" s="4" t="s">
        <v>14915</v>
      </c>
      <c r="B6502" s="4" t="s">
        <v>14916</v>
      </c>
      <c r="C6502" s="4" t="str">
        <f ca="1">IFERROR(__xludf.DUMMYFUNCTION("GOOGLETRANSLATE(D:D,""auto"",""en"")"),"Veteran Zhang Denghan")</f>
        <v>Veteran Zhang Denghan</v>
      </c>
      <c r="D6502" s="5" t="s">
        <v>14917</v>
      </c>
      <c r="E6502" s="4">
        <v>156245</v>
      </c>
    </row>
    <row r="6503" spans="1:6" ht="13.5" customHeight="1">
      <c r="A6503" s="4" t="s">
        <v>14912</v>
      </c>
      <c r="B6503" s="4" t="s">
        <v>14918</v>
      </c>
      <c r="C6503" s="4" t="str">
        <f ca="1">IFERROR(__xludf.DUMMYFUNCTION("GOOGLETRANSLATE(D:D,""auto"",""en"")"),"Louvre reopened")</f>
        <v>Louvre reopened</v>
      </c>
      <c r="D6503" s="5" t="s">
        <v>14919</v>
      </c>
      <c r="E6503" s="4">
        <v>139129</v>
      </c>
      <c r="F6503">
        <v>1</v>
      </c>
    </row>
    <row r="6504" spans="1:6" ht="13.5" hidden="1" customHeight="1">
      <c r="A6504" s="4" t="s">
        <v>14883</v>
      </c>
      <c r="B6504" s="4" t="s">
        <v>14920</v>
      </c>
      <c r="C6504" s="4" t="str">
        <f ca="1">IFERROR(__xludf.DUMMYFUNCTION("GOOGLETRANSLATE(D:D,""auto"",""en"")"),"Aaron Kwok mother set spiritual ceremony")</f>
        <v>Aaron Kwok mother set spiritual ceremony</v>
      </c>
      <c r="D6504" s="5" t="s">
        <v>14921</v>
      </c>
      <c r="E6504" s="4">
        <v>97394</v>
      </c>
    </row>
    <row r="6505" spans="1:6" ht="13.5" hidden="1" customHeight="1">
      <c r="C6505" s="4" t="str">
        <f ca="1">IFERROR(__xludf.DUMMYFUNCTION("GOOGLETRANSLATE(D:D,""auto"",""en"")"),"#VALUE!")</f>
        <v>#VALUE!</v>
      </c>
    </row>
    <row r="6506" spans="1:6" ht="13.5" customHeight="1">
      <c r="A6506" s="4" t="s">
        <v>14922</v>
      </c>
      <c r="B6506" s="4" t="s">
        <v>14798</v>
      </c>
      <c r="C6506" s="4" t="str">
        <f ca="1">IFERROR(__xludf.DUMMYFUNCTION("GOOGLETRANSLATE(D:D,""auto"",""en"")"),"Wuhan staying with relatives crowded 8 Bedroom")</f>
        <v>Wuhan staying with relatives crowded 8 Bedroom</v>
      </c>
      <c r="D6506" s="4" t="s">
        <v>14923</v>
      </c>
      <c r="E6506" s="4">
        <v>3744594</v>
      </c>
      <c r="F6506">
        <v>1</v>
      </c>
    </row>
    <row r="6507" spans="1:6" ht="13.5" customHeight="1">
      <c r="A6507" s="4" t="s">
        <v>14924</v>
      </c>
      <c r="B6507" s="4" t="s">
        <v>14925</v>
      </c>
      <c r="C6507" s="4" t="str">
        <f ca="1">IFERROR(__xludf.DUMMYFUNCTION("GOOGLETRANSLATE(D:D,""auto"",""en"")"),"Princess Cruises has an outbreak occurs")</f>
        <v>Princess Cruises has an outbreak occurs</v>
      </c>
      <c r="D6507" s="5" t="s">
        <v>14926</v>
      </c>
      <c r="E6507" s="4">
        <v>2555639</v>
      </c>
      <c r="F6507">
        <v>1</v>
      </c>
    </row>
    <row r="6508" spans="1:6" ht="13.5" customHeight="1">
      <c r="A6508" s="4" t="s">
        <v>14927</v>
      </c>
      <c r="B6508" s="4" t="s">
        <v>14928</v>
      </c>
      <c r="C6508" s="4" t="str">
        <f ca="1">IFERROR(__xludf.DUMMYFUNCTION("GOOGLETRANSLATE(D:D,""auto"",""en"")"),"Pakistan come to China National Hospital masks stock")</f>
        <v>Pakistan come to China National Hospital masks stock</v>
      </c>
      <c r="D6508" s="5" t="s">
        <v>14929</v>
      </c>
      <c r="E6508" s="4">
        <v>1934947</v>
      </c>
      <c r="F6508">
        <v>1</v>
      </c>
    </row>
    <row r="6509" spans="1:6" ht="13.5" hidden="1" customHeight="1">
      <c r="A6509" s="4" t="s">
        <v>14930</v>
      </c>
      <c r="B6509" s="4" t="s">
        <v>14855</v>
      </c>
      <c r="C6509" s="4" t="str">
        <f ca="1">IFERROR(__xludf.DUMMYFUNCTION("GOOGLETRANSLATE(D:D,""auto"",""en"")"),"Recent television shows good gas man")</f>
        <v>Recent television shows good gas man</v>
      </c>
      <c r="D6509" s="5" t="s">
        <v>14931</v>
      </c>
      <c r="E6509" s="4">
        <v>1759082</v>
      </c>
    </row>
    <row r="6510" spans="1:6" ht="13.5" customHeight="1">
      <c r="A6510" s="4" t="s">
        <v>14932</v>
      </c>
      <c r="B6510" s="4" t="s">
        <v>14817</v>
      </c>
      <c r="C6510" s="4" t="str">
        <f ca="1">IFERROR(__xludf.DUMMYFUNCTION("GOOGLETRANSLATE(D:D,""auto"",""en"")"),"Masks the country's first self-service vending machines")</f>
        <v>Masks the country's first self-service vending machines</v>
      </c>
      <c r="D6510" s="5" t="s">
        <v>14933</v>
      </c>
      <c r="E6510" s="4">
        <v>1221551</v>
      </c>
      <c r="F6510">
        <v>1</v>
      </c>
    </row>
    <row r="6511" spans="1:6" ht="13.5" hidden="1" customHeight="1">
      <c r="A6511" s="4" t="s">
        <v>14934</v>
      </c>
      <c r="B6511" s="4" t="s">
        <v>14935</v>
      </c>
      <c r="C6511" s="4" t="str">
        <f ca="1">IFERROR(__xludf.DUMMYFUNCTION("GOOGLETRANSLATE(D:D,""auto"",""en"")"),"More than 170 national leaders support condolences to China")</f>
        <v>More than 170 national leaders support condolences to China</v>
      </c>
      <c r="D6511" s="5" t="s">
        <v>14936</v>
      </c>
      <c r="E6511" s="4">
        <v>1191901</v>
      </c>
    </row>
    <row r="6512" spans="1:6" ht="13.5" customHeight="1">
      <c r="A6512" s="4" t="s">
        <v>14937</v>
      </c>
      <c r="B6512" s="4" t="s">
        <v>14938</v>
      </c>
      <c r="C6512" s="4" t="str">
        <f ca="1">IFERROR(__xludf.DUMMYFUNCTION("GOOGLETRANSLATE(D:D,""auto"",""en"")"),"US Center for Disease Control confirmed the number of states to stop publishing")</f>
        <v>US Center for Disease Control confirmed the number of states to stop publishing</v>
      </c>
      <c r="D6512" s="5" t="s">
        <v>14939</v>
      </c>
      <c r="E6512" s="4">
        <v>936715</v>
      </c>
      <c r="F6512">
        <v>1</v>
      </c>
    </row>
    <row r="6513" spans="1:6" ht="13.5" hidden="1" customHeight="1">
      <c r="A6513" s="4" t="s">
        <v>14940</v>
      </c>
      <c r="B6513" s="4" t="s">
        <v>14941</v>
      </c>
      <c r="C6513" s="4" t="str">
        <f ca="1">IFERROR(__xludf.DUMMYFUNCTION("GOOGLETRANSLATE(D:D,""auto"",""en"")"),"Olympic Games opening ceremony of the two prominent leaders encourage men and women to send a delegation")</f>
        <v>Olympic Games opening ceremony of the two prominent leaders encourage men and women to send a delegation</v>
      </c>
      <c r="D6513" s="5" t="s">
        <v>14942</v>
      </c>
      <c r="E6513" s="4">
        <v>926637</v>
      </c>
    </row>
    <row r="6514" spans="1:6" ht="13.5" hidden="1" customHeight="1">
      <c r="A6514" s="4" t="s">
        <v>14940</v>
      </c>
      <c r="B6514" s="4" t="s">
        <v>14870</v>
      </c>
      <c r="C6514" s="4" t="str">
        <f ca="1">IFERROR(__xludf.DUMMYFUNCTION("GOOGLETRANSLATE(D:D,""auto"",""en"")"),"Soft-shelled turtle and other turtles would not join the list of fasting")</f>
        <v>Soft-shelled turtle and other turtles would not join the list of fasting</v>
      </c>
      <c r="D6514" s="5" t="s">
        <v>14943</v>
      </c>
      <c r="E6514" s="4">
        <v>873132</v>
      </c>
    </row>
    <row r="6515" spans="1:6" ht="13.5" hidden="1" customHeight="1">
      <c r="A6515" s="4" t="s">
        <v>14944</v>
      </c>
      <c r="B6515" s="4" t="s">
        <v>14852</v>
      </c>
      <c r="C6515" s="4" t="str">
        <f ca="1">IFERROR(__xludf.DUMMYFUNCTION("GOOGLETRANSLATE(D:D,""auto"",""en"")"),"Trump ridicule Bloomberg")</f>
        <v>Trump ridicule Bloomberg</v>
      </c>
      <c r="D6515" s="5" t="s">
        <v>14945</v>
      </c>
      <c r="E6515" s="4">
        <v>862434</v>
      </c>
    </row>
    <row r="6516" spans="1:6" ht="13.5" hidden="1" customHeight="1">
      <c r="A6516" s="4" t="s">
        <v>14946</v>
      </c>
      <c r="B6516" s="4" t="s">
        <v>14947</v>
      </c>
      <c r="C6516" s="4" t="str">
        <f ca="1">IFERROR(__xludf.DUMMYFUNCTION("GOOGLETRANSLATE(D:D,""auto"",""en"")"),"Zhejiang imported cases had passed through Paris, Guangzhou, Hangzhou,")</f>
        <v>Zhejiang imported cases had passed through Paris, Guangzhou, Hangzhou,</v>
      </c>
      <c r="D6516" s="5" t="s">
        <v>14948</v>
      </c>
      <c r="E6516" s="4">
        <v>856273</v>
      </c>
    </row>
    <row r="6517" spans="1:6" ht="13.5" customHeight="1">
      <c r="A6517" s="4" t="s">
        <v>14937</v>
      </c>
      <c r="B6517" s="4" t="s">
        <v>14949</v>
      </c>
      <c r="C6517" s="4" t="str">
        <f ca="1">IFERROR(__xludf.DUMMYFUNCTION("GOOGLETRANSLATE(D:D,""auto"",""en"")"),"Sichuan new confirmed cases 1 case")</f>
        <v>Sichuan new confirmed cases 1 case</v>
      </c>
      <c r="D6517" s="5" t="s">
        <v>14950</v>
      </c>
      <c r="E6517" s="4">
        <v>780324</v>
      </c>
      <c r="F6517">
        <v>1</v>
      </c>
    </row>
    <row r="6518" spans="1:6" ht="13.5" hidden="1" customHeight="1">
      <c r="A6518" s="4" t="s">
        <v>14951</v>
      </c>
      <c r="B6518" s="4" t="s">
        <v>14947</v>
      </c>
      <c r="C6518" s="4" t="str">
        <f ca="1">IFERROR(__xludf.DUMMYFUNCTION("GOOGLETRANSLATE(D:D,""auto"",""en"")"),"Los Angeles declared a state of emergency")</f>
        <v>Los Angeles declared a state of emergency</v>
      </c>
      <c r="D6518" s="5" t="s">
        <v>14952</v>
      </c>
      <c r="E6518" s="4">
        <v>768340</v>
      </c>
    </row>
    <row r="6519" spans="1:6" ht="13.5" customHeight="1">
      <c r="A6519" s="4" t="s">
        <v>14953</v>
      </c>
      <c r="B6519" s="4" t="s">
        <v>14954</v>
      </c>
      <c r="C6519" s="4" t="str">
        <f ca="1">IFERROR(__xludf.DUMMYFUNCTION("GOOGLETRANSLATE(D:D,""auto"",""en"")"),"South Korea's new crown pneumonia rose to 5766 people")</f>
        <v>South Korea's new crown pneumonia rose to 5766 people</v>
      </c>
      <c r="D6519" s="5" t="s">
        <v>14955</v>
      </c>
      <c r="E6519" s="4">
        <v>766052</v>
      </c>
      <c r="F6519">
        <v>1</v>
      </c>
    </row>
    <row r="6520" spans="1:6" ht="13.5" customHeight="1">
      <c r="A6520" s="4" t="s">
        <v>14956</v>
      </c>
      <c r="B6520" s="4" t="s">
        <v>14957</v>
      </c>
      <c r="C6520" s="4" t="str">
        <f ca="1">IFERROR(__xludf.DUMMYFUNCTION("GOOGLETRANSLATE(D:D,""auto"",""en"")"),"South Korea proposed a total ban on the export masks")</f>
        <v>South Korea proposed a total ban on the export masks</v>
      </c>
      <c r="D6520" s="5" t="s">
        <v>14958</v>
      </c>
      <c r="E6520" s="4">
        <v>633097</v>
      </c>
      <c r="F6520">
        <v>1</v>
      </c>
    </row>
    <row r="6521" spans="1:6" ht="13.5" hidden="1" customHeight="1">
      <c r="A6521" s="4" t="s">
        <v>14959</v>
      </c>
      <c r="B6521" s="4" t="s">
        <v>14960</v>
      </c>
      <c r="C6521" s="4" t="str">
        <f ca="1">IFERROR(__xludf.DUMMYFUNCTION("GOOGLETRANSLATE(D:D,""auto"",""en"")"),"Foxconn employee died")</f>
        <v>Foxconn employee died</v>
      </c>
      <c r="D6521" s="5" t="s">
        <v>14961</v>
      </c>
      <c r="E6521" s="4">
        <v>626983</v>
      </c>
    </row>
    <row r="6522" spans="1:6" ht="13.5" hidden="1" customHeight="1">
      <c r="A6522" s="4" t="s">
        <v>14962</v>
      </c>
      <c r="B6522" s="4" t="s">
        <v>14963</v>
      </c>
      <c r="C6522" s="4" t="str">
        <f ca="1">IFERROR(__xludf.DUMMYFUNCTION("GOOGLETRANSLATE(D:D,""auto"",""en"")"),"Wang Zi milk leakage slide")</f>
        <v>Wang Zi milk leakage slide</v>
      </c>
      <c r="D6522" s="5" t="s">
        <v>14964</v>
      </c>
      <c r="E6522" s="4">
        <v>625749</v>
      </c>
    </row>
    <row r="6523" spans="1:6" ht="13.5" hidden="1" customHeight="1">
      <c r="A6523" s="4" t="s">
        <v>14965</v>
      </c>
      <c r="B6523" s="4" t="s">
        <v>14790</v>
      </c>
      <c r="C6523" s="4" t="str">
        <f ca="1">IFERROR(__xludf.DUMMYFUNCTION("GOOGLETRANSLATE(D:D,""auto"",""en"")"),"Shanghai Disneyland aerial")</f>
        <v>Shanghai Disneyland aerial</v>
      </c>
      <c r="D6523" s="5" t="s">
        <v>14966</v>
      </c>
      <c r="E6523" s="4">
        <v>624072</v>
      </c>
    </row>
    <row r="6524" spans="1:6" ht="13.5" hidden="1" customHeight="1">
      <c r="A6524" s="4" t="s">
        <v>14967</v>
      </c>
      <c r="B6524" s="4" t="s">
        <v>14968</v>
      </c>
      <c r="C6524" s="4" t="str">
        <f ca="1">IFERROR(__xludf.DUMMYFUNCTION("GOOGLETRANSLATE(D:D,""auto"",""en"")"),"He tries to eat the evidence was choked when corrupt officials arrested")</f>
        <v>He tries to eat the evidence was choked when corrupt officials arrested</v>
      </c>
      <c r="D6524" s="5" t="s">
        <v>14969</v>
      </c>
      <c r="E6524" s="4">
        <v>614796</v>
      </c>
    </row>
    <row r="6525" spans="1:6" ht="13.5" customHeight="1">
      <c r="A6525" s="4" t="s">
        <v>14970</v>
      </c>
      <c r="B6525" s="4" t="s">
        <v>14971</v>
      </c>
      <c r="C6525" s="4" t="str">
        <f ca="1">IFERROR(__xludf.DUMMYFUNCTION("GOOGLETRANSLATE(D:D,""auto"",""en"")"),"Shelter hospital said 10-year-old boy is too boring")</f>
        <v>Shelter hospital said 10-year-old boy is too boring</v>
      </c>
      <c r="D6525" s="5" t="s">
        <v>14972</v>
      </c>
      <c r="E6525" s="4">
        <v>549308</v>
      </c>
      <c r="F6525">
        <v>1</v>
      </c>
    </row>
    <row r="6526" spans="1:6" ht="13.5" hidden="1" customHeight="1">
      <c r="A6526" s="4" t="s">
        <v>14946</v>
      </c>
      <c r="B6526" s="4" t="s">
        <v>14861</v>
      </c>
      <c r="C6526" s="4" t="str">
        <f ca="1">IFERROR(__xludf.DUMMYFUNCTION("GOOGLETRANSLATE(D:D,""auto"",""en"")"),"Zheng Qi donate money")</f>
        <v>Zheng Qi donate money</v>
      </c>
      <c r="D6526" s="5" t="s">
        <v>14973</v>
      </c>
      <c r="E6526" s="4">
        <v>540127</v>
      </c>
    </row>
    <row r="6527" spans="1:6" ht="13.5" customHeight="1">
      <c r="A6527" s="4" t="s">
        <v>14974</v>
      </c>
      <c r="B6527" s="4" t="s">
        <v>14975</v>
      </c>
      <c r="C6527" s="4" t="str">
        <f ca="1">IFERROR(__xludf.DUMMYFUNCTION("GOOGLETRANSLATE(D:D,""auto"",""en"")"),"I do not want to go to work in contact with patients diagnosed lied")</f>
        <v>I do not want to go to work in contact with patients diagnosed lied</v>
      </c>
      <c r="D6527" s="5" t="s">
        <v>14976</v>
      </c>
      <c r="E6527" s="4">
        <v>528208</v>
      </c>
      <c r="F6527">
        <v>1</v>
      </c>
    </row>
    <row r="6528" spans="1:6" ht="13.5" hidden="1" customHeight="1">
      <c r="A6528" s="4" t="s">
        <v>14977</v>
      </c>
      <c r="B6528" s="4" t="s">
        <v>14838</v>
      </c>
      <c r="C6528" s="4" t="str">
        <f ca="1">IFERROR(__xludf.DUMMYFUNCTION("GOOGLETRANSLATE(D:D,""auto"",""en"")"),"We have to take back more than 1,300 Chinese citizens stranded abroad")</f>
        <v>We have to take back more than 1,300 Chinese citizens stranded abroad</v>
      </c>
      <c r="D6528" s="5" t="s">
        <v>14978</v>
      </c>
      <c r="E6528" s="4">
        <v>507170</v>
      </c>
    </row>
    <row r="6529" spans="1:6" ht="13.5" hidden="1" customHeight="1">
      <c r="A6529" s="4" t="s">
        <v>14979</v>
      </c>
      <c r="B6529" s="4" t="s">
        <v>14850</v>
      </c>
      <c r="C6529" s="4" t="str">
        <f ca="1">IFERROR(__xludf.DUMMYFUNCTION("GOOGLETRANSLATE(D:D,""auto"",""en"")"),"The death of former UN Secretary-General")</f>
        <v>The death of former UN Secretary-General</v>
      </c>
      <c r="D6529" s="5" t="s">
        <v>14980</v>
      </c>
      <c r="E6529" s="4">
        <v>504503</v>
      </c>
    </row>
    <row r="6530" spans="1:6" ht="13.5" hidden="1" customHeight="1">
      <c r="A6530" s="4" t="s">
        <v>14981</v>
      </c>
      <c r="B6530" s="4" t="s">
        <v>14847</v>
      </c>
      <c r="C6530" s="4" t="str">
        <f ca="1">IFERROR(__xludf.DUMMYFUNCTION("GOOGLETRANSLATE(D:D,""auto"",""en"")"),"This year the girls section most would like to receive a gift")</f>
        <v>This year the girls section most would like to receive a gift</v>
      </c>
      <c r="D6530" s="5" t="s">
        <v>14982</v>
      </c>
      <c r="E6530" s="4">
        <v>456121</v>
      </c>
    </row>
    <row r="6531" spans="1:6" ht="13.5" hidden="1" customHeight="1">
      <c r="A6531" s="4" t="s">
        <v>14983</v>
      </c>
      <c r="B6531" s="4" t="s">
        <v>14984</v>
      </c>
      <c r="C6531" s="4" t="str">
        <f ca="1">IFERROR(__xludf.DUMMYFUNCTION("GOOGLETRANSLATE(D:D,""auto"",""en"")"),"Donations 333 yuan hope quickly dissipated virus")</f>
        <v>Donations 333 yuan hope quickly dissipated virus</v>
      </c>
      <c r="D6531" s="5" t="s">
        <v>14985</v>
      </c>
      <c r="E6531" s="4">
        <v>445787</v>
      </c>
    </row>
    <row r="6532" spans="1:6" ht="13.5" hidden="1" customHeight="1">
      <c r="A6532" s="4" t="s">
        <v>14986</v>
      </c>
      <c r="B6532" s="4" t="s">
        <v>1156</v>
      </c>
      <c r="C6532" s="4" t="str">
        <f ca="1">IFERROR(__xludf.DUMMYFUNCTION("GOOGLETRANSLATE(D:D,""auto"",""en"")"),"Waking of Insects")</f>
        <v>Waking of Insects</v>
      </c>
      <c r="D6532" s="5" t="s">
        <v>14987</v>
      </c>
      <c r="E6532" s="4">
        <v>444127</v>
      </c>
    </row>
    <row r="6533" spans="1:6" ht="13.5" hidden="1" customHeight="1">
      <c r="A6533" s="4" t="s">
        <v>14988</v>
      </c>
      <c r="B6533" s="4" t="s">
        <v>14989</v>
      </c>
      <c r="C6533" s="4" t="str">
        <f ca="1">IFERROR(__xludf.DUMMYFUNCTION("GOOGLETRANSLATE(D:D,""auto"",""en"")"),"Zhuo")</f>
        <v>Zhuo</v>
      </c>
      <c r="D6533" s="5" t="s">
        <v>14990</v>
      </c>
      <c r="E6533" s="4">
        <v>435150</v>
      </c>
    </row>
    <row r="6534" spans="1:6" ht="13.5" customHeight="1">
      <c r="A6534" s="4" t="s">
        <v>14991</v>
      </c>
      <c r="B6534" s="4" t="s">
        <v>14960</v>
      </c>
      <c r="C6534" s="4" t="str">
        <f ca="1">IFERROR(__xludf.DUMMYFUNCTION("GOOGLETRANSLATE(D:D,""auto"",""en"")"),"Malone called Guoping team to Wuhan donations")</f>
        <v>Malone called Guoping team to Wuhan donations</v>
      </c>
      <c r="D6534" s="5" t="s">
        <v>14992</v>
      </c>
      <c r="E6534" s="4">
        <v>428700</v>
      </c>
      <c r="F6534">
        <v>1</v>
      </c>
    </row>
    <row r="6535" spans="1:6" ht="13.5" customHeight="1">
      <c r="A6535" s="4" t="s">
        <v>14956</v>
      </c>
      <c r="B6535" s="4" t="s">
        <v>14925</v>
      </c>
      <c r="C6535" s="4" t="str">
        <f ca="1">IFERROR(__xludf.DUMMYFUNCTION("GOOGLETRANSLATE(D:D,""auto"",""en"")"),"62 countries, seven international organizations, donations to China")</f>
        <v>62 countries, seven international organizations, donations to China</v>
      </c>
      <c r="D6535" s="5" t="s">
        <v>14993</v>
      </c>
      <c r="E6535" s="4">
        <v>425130</v>
      </c>
      <c r="F6535">
        <v>1</v>
      </c>
    </row>
    <row r="6536" spans="1:6" ht="13.5" hidden="1" customHeight="1">
      <c r="A6536" s="4" t="s">
        <v>14994</v>
      </c>
      <c r="B6536" s="4" t="s">
        <v>14995</v>
      </c>
      <c r="C6536" s="4" t="str">
        <f ca="1">IFERROR(__xludf.DUMMYFUNCTION("GOOGLETRANSLATE(D:D,""auto"",""en"")"),"12308 daily average of answering more than 1,100 calls for assistance through")</f>
        <v>12308 daily average of answering more than 1,100 calls for assistance through</v>
      </c>
      <c r="D6536" s="5" t="s">
        <v>14996</v>
      </c>
      <c r="E6536" s="4">
        <v>401532</v>
      </c>
    </row>
    <row r="6537" spans="1:6" ht="13.5" hidden="1" customHeight="1">
      <c r="A6537" s="4" t="s">
        <v>14962</v>
      </c>
      <c r="B6537" s="4" t="s">
        <v>14811</v>
      </c>
      <c r="C6537" s="4" t="str">
        <f ca="1">IFERROR(__xludf.DUMMYFUNCTION("GOOGLETRANSLATE(D:D,""auto"",""en"")"),"Mulan Special Edition Poster")</f>
        <v>Mulan Special Edition Poster</v>
      </c>
      <c r="D6537" s="5" t="s">
        <v>14997</v>
      </c>
      <c r="E6537" s="4">
        <v>380998</v>
      </c>
    </row>
    <row r="6538" spans="1:6" ht="13.5" hidden="1" customHeight="1">
      <c r="A6538" s="4" t="s">
        <v>14826</v>
      </c>
      <c r="B6538" s="4" t="s">
        <v>14827</v>
      </c>
      <c r="C6538" s="4" t="str">
        <f ca="1">IFERROR(__xludf.DUMMYFUNCTION("GOOGLETRANSLATE(D:D,""auto"",""en"")"),"Li Jiaqi")</f>
        <v>Li Jiaqi</v>
      </c>
      <c r="D6538" s="5" t="s">
        <v>14828</v>
      </c>
      <c r="E6538" s="4">
        <v>362250</v>
      </c>
    </row>
    <row r="6539" spans="1:6" ht="13.5" hidden="1" customHeight="1">
      <c r="A6539" s="4" t="s">
        <v>14832</v>
      </c>
      <c r="B6539" s="4" t="s">
        <v>14833</v>
      </c>
      <c r="C6539" s="4" t="str">
        <f ca="1">IFERROR(__xludf.DUMMYFUNCTION("GOOGLETRANSLATE(D:D,""auto"",""en"")"),"Parents in the eyes of good-looking stars")</f>
        <v>Parents in the eyes of good-looking stars</v>
      </c>
      <c r="D6539" s="5" t="s">
        <v>14834</v>
      </c>
      <c r="E6539" s="4">
        <v>323033</v>
      </c>
    </row>
    <row r="6540" spans="1:6" ht="13.5" customHeight="1">
      <c r="A6540" s="4" t="s">
        <v>14998</v>
      </c>
      <c r="B6540" s="4" t="s">
        <v>14999</v>
      </c>
      <c r="C6540" s="4" t="str">
        <f ca="1">IFERROR(__xludf.DUMMYFUNCTION("GOOGLETRANSLATE(D:D,""auto"",""en"")"),"Beijing Add 1 new cases of pneumonia crown")</f>
        <v>Beijing Add 1 new cases of pneumonia crown</v>
      </c>
      <c r="D6540" s="5" t="s">
        <v>15000</v>
      </c>
      <c r="E6540" s="4">
        <v>314362</v>
      </c>
      <c r="F6540">
        <v>1</v>
      </c>
    </row>
    <row r="6541" spans="1:6" ht="13.5" hidden="1" customHeight="1">
      <c r="A6541" s="4" t="s">
        <v>15001</v>
      </c>
      <c r="B6541" s="4" t="s">
        <v>15002</v>
      </c>
      <c r="C6541" s="4" t="str">
        <f ca="1">IFERROR(__xludf.DUMMYFUNCTION("GOOGLETRANSLATE(D:D,""auto"",""en"")"),"shopping cart")</f>
        <v>shopping cart</v>
      </c>
      <c r="D6541" s="5" t="s">
        <v>15003</v>
      </c>
      <c r="E6541" s="4">
        <v>305343</v>
      </c>
    </row>
    <row r="6542" spans="1:6" ht="13.5" hidden="1" customHeight="1">
      <c r="A6542" s="4" t="s">
        <v>14832</v>
      </c>
      <c r="B6542" s="4" t="s">
        <v>14947</v>
      </c>
      <c r="C6542" s="4" t="str">
        <f ca="1">IFERROR(__xludf.DUMMYFUNCTION("GOOGLETRANSLATE(D:D,""auto"",""en"")"),"Locusts swept through East Africa")</f>
        <v>Locusts swept through East Africa</v>
      </c>
      <c r="D6542" s="5" t="s">
        <v>15004</v>
      </c>
      <c r="E6542" s="4">
        <v>304173</v>
      </c>
    </row>
    <row r="6543" spans="1:6" ht="13.5" hidden="1" customHeight="1">
      <c r="A6543" s="4" t="s">
        <v>15005</v>
      </c>
      <c r="B6543" s="4" t="s">
        <v>15006</v>
      </c>
      <c r="C6543" s="4" t="str">
        <f ca="1">IFERROR(__xludf.DUMMYFUNCTION("GOOGLETRANSLATE(D:D,""auto"",""en"")"),"Sichuan Wild Cherry Blossom Ten Mile")</f>
        <v>Sichuan Wild Cherry Blossom Ten Mile</v>
      </c>
      <c r="D6543" s="5" t="s">
        <v>15007</v>
      </c>
      <c r="E6543" s="4">
        <v>285512</v>
      </c>
    </row>
    <row r="6544" spans="1:6" ht="13.5" customHeight="1">
      <c r="A6544" s="4" t="s">
        <v>15001</v>
      </c>
      <c r="B6544" s="4" t="s">
        <v>15008</v>
      </c>
      <c r="C6544" s="4" t="str">
        <f ca="1">IFERROR(__xludf.DUMMYFUNCTION("GOOGLETRANSLATE(D:D,""auto"",""en"")"),"Japan will detect the new crown into the health insurance pneumonia")</f>
        <v>Japan will detect the new crown into the health insurance pneumonia</v>
      </c>
      <c r="D6544" s="5" t="s">
        <v>15009</v>
      </c>
      <c r="E6544" s="4">
        <v>277907</v>
      </c>
      <c r="F6544">
        <v>1</v>
      </c>
    </row>
    <row r="6545" spans="1:6" ht="13.5" hidden="1" customHeight="1">
      <c r="A6545" s="4" t="s">
        <v>15010</v>
      </c>
      <c r="B6545" s="4" t="s">
        <v>14960</v>
      </c>
      <c r="C6545" s="4" t="str">
        <f ca="1">IFERROR(__xludf.DUMMYFUNCTION("GOOGLETRANSLATE(D:D,""auto"",""en"")"),"Tianhai 0 yuan will transfer the entire equity interest")</f>
        <v>Tianhai 0 yuan will transfer the entire equity interest</v>
      </c>
      <c r="D6545" s="5" t="s">
        <v>15011</v>
      </c>
      <c r="E6545" s="4">
        <v>264866</v>
      </c>
    </row>
    <row r="6546" spans="1:6" ht="13.5" hidden="1" customHeight="1">
      <c r="A6546" s="4" t="s">
        <v>14977</v>
      </c>
      <c r="B6546" s="4" t="s">
        <v>15012</v>
      </c>
      <c r="C6546" s="4" t="str">
        <f ca="1">IFERROR(__xludf.DUMMYFUNCTION("GOOGLETRANSLATE(D:D,""auto"",""en"")"),"Chess champion won walked Tsinghua qualifications")</f>
        <v>Chess champion won walked Tsinghua qualifications</v>
      </c>
      <c r="D6546" s="5" t="s">
        <v>15013</v>
      </c>
      <c r="E6546" s="4">
        <v>261166</v>
      </c>
    </row>
    <row r="6547" spans="1:6" ht="13.5" hidden="1" customHeight="1">
      <c r="A6547" s="4" t="s">
        <v>15014</v>
      </c>
      <c r="B6547" s="4" t="s">
        <v>14850</v>
      </c>
      <c r="C6547" s="4" t="str">
        <f ca="1">IFERROR(__xludf.DUMMYFUNCTION("GOOGLETRANSLATE(D:D,""auto"",""en"")"),"Pets forced open field")</f>
        <v>Pets forced open field</v>
      </c>
      <c r="D6547" s="5" t="s">
        <v>15015</v>
      </c>
      <c r="E6547" s="4">
        <v>260425</v>
      </c>
    </row>
    <row r="6548" spans="1:6" ht="13.5" hidden="1" customHeight="1">
      <c r="A6548" s="4" t="s">
        <v>15016</v>
      </c>
      <c r="B6548" s="4" t="s">
        <v>15017</v>
      </c>
      <c r="C6548" s="4" t="str">
        <f ca="1">IFERROR(__xludf.DUMMYFUNCTION("GOOGLETRANSLATE(D:D,""auto"",""en"")"),"Cardcaptor Sakura Bracelet")</f>
        <v>Cardcaptor Sakura Bracelet</v>
      </c>
      <c r="D6548" s="5" t="s">
        <v>15018</v>
      </c>
      <c r="E6548" s="4">
        <v>260409</v>
      </c>
    </row>
    <row r="6549" spans="1:6" ht="13.5" hidden="1" customHeight="1">
      <c r="A6549" s="4" t="s">
        <v>15019</v>
      </c>
      <c r="B6549" s="4" t="s">
        <v>14984</v>
      </c>
      <c r="C6549" s="4" t="str">
        <f ca="1">IFERROR(__xludf.DUMMYFUNCTION("GOOGLETRANSLATE(D:D,""auto"",""en"")"),"All Italian sports events within the field must be empty")</f>
        <v>All Italian sports events within the field must be empty</v>
      </c>
      <c r="D6549" s="5" t="s">
        <v>15020</v>
      </c>
      <c r="E6549" s="4">
        <v>259487</v>
      </c>
    </row>
    <row r="6550" spans="1:6" ht="13.5" hidden="1" customHeight="1">
      <c r="A6550" s="4" t="s">
        <v>15021</v>
      </c>
      <c r="B6550" s="4" t="s">
        <v>15017</v>
      </c>
      <c r="C6550" s="4" t="str">
        <f ca="1">IFERROR(__xludf.DUMMYFUNCTION("GOOGLETRANSLATE(D:D,""auto"",""en"")"),"Youth have given you 2 files")</f>
        <v>Youth have given you 2 files</v>
      </c>
      <c r="D6550" s="5" t="s">
        <v>15022</v>
      </c>
      <c r="E6550" s="4">
        <v>259108</v>
      </c>
    </row>
    <row r="6551" spans="1:6" ht="13.5" hidden="1" customHeight="1">
      <c r="A6551" s="4" t="s">
        <v>15023</v>
      </c>
      <c r="B6551" s="4" t="s">
        <v>15017</v>
      </c>
      <c r="C6551" s="4" t="str">
        <f ca="1">IFERROR(__xludf.DUMMYFUNCTION("GOOGLETRANSLATE(D:D,""auto"",""en"")"),"Huang Zi Jiao Summer Meng married")</f>
        <v>Huang Zi Jiao Summer Meng married</v>
      </c>
      <c r="D6551" s="5" t="s">
        <v>15024</v>
      </c>
      <c r="E6551" s="4">
        <v>258346</v>
      </c>
    </row>
    <row r="6552" spans="1:6" ht="13.5" hidden="1" customHeight="1">
      <c r="A6552" s="4" t="s">
        <v>14795</v>
      </c>
      <c r="B6552" s="4" t="s">
        <v>14796</v>
      </c>
      <c r="C6552" s="4" t="str">
        <f ca="1">IFERROR(__xludf.DUMMYFUNCTION("GOOGLETRANSLATE(D:D,""auto"",""en"")"),"Cuiying Jun nausea")</f>
        <v>Cuiying Jun nausea</v>
      </c>
      <c r="D6552" s="5" t="s">
        <v>14797</v>
      </c>
      <c r="E6552" s="4">
        <v>257804</v>
      </c>
    </row>
    <row r="6553" spans="1:6" ht="13.5" hidden="1" customHeight="1">
      <c r="A6553" s="4" t="s">
        <v>15001</v>
      </c>
      <c r="B6553" s="4" t="s">
        <v>14904</v>
      </c>
      <c r="C6553" s="4" t="str">
        <f ca="1">IFERROR(__xludf.DUMMYFUNCTION("GOOGLETRANSLATE(D:D,""auto"",""en"")"),"Exposure age of childhood cuisine")</f>
        <v>Exposure age of childhood cuisine</v>
      </c>
      <c r="D6553" s="5" t="s">
        <v>15025</v>
      </c>
      <c r="E6553" s="4">
        <v>255131</v>
      </c>
    </row>
    <row r="6554" spans="1:6" ht="13.5" hidden="1" customHeight="1">
      <c r="A6554" s="4" t="s">
        <v>14795</v>
      </c>
      <c r="B6554" s="4" t="s">
        <v>14889</v>
      </c>
      <c r="C6554" s="4" t="str">
        <f ca="1">IFERROR(__xludf.DUMMYFUNCTION("GOOGLETRANSLATE(D:D,""auto"",""en"")"),"Countries around the world are now buying surge")</f>
        <v>Countries around the world are now buying surge</v>
      </c>
      <c r="D6554" s="5" t="s">
        <v>15026</v>
      </c>
      <c r="E6554" s="4">
        <v>200734</v>
      </c>
    </row>
    <row r="6555" spans="1:6" ht="13.5" hidden="1" customHeight="1">
      <c r="C6555" s="4" t="str">
        <f ca="1">IFERROR(__xludf.DUMMYFUNCTION("GOOGLETRANSLATE(D:D,""auto"",""en"")"),"#VALUE!")</f>
        <v>#VALUE!</v>
      </c>
    </row>
    <row r="6556" spans="1:6" ht="13.5" customHeight="1">
      <c r="A6556" s="4" t="s">
        <v>15027</v>
      </c>
      <c r="B6556" s="4" t="s">
        <v>15028</v>
      </c>
      <c r="C6556" s="4" t="str">
        <f ca="1">IFERROR(__xludf.DUMMYFUNCTION("GOOGLETRANSLATE(D:D,""auto"",""en"")"),"Wuhan new cases are expected in late March fundamental cleared")</f>
        <v>Wuhan new cases are expected in late March fundamental cleared</v>
      </c>
      <c r="D6556" s="4" t="s">
        <v>15029</v>
      </c>
      <c r="E6556" s="4">
        <v>1589847</v>
      </c>
      <c r="F6556">
        <v>1</v>
      </c>
    </row>
    <row r="6557" spans="1:6" ht="13.5" customHeight="1">
      <c r="A6557" s="4" t="s">
        <v>15030</v>
      </c>
      <c r="B6557" s="4" t="s">
        <v>15031</v>
      </c>
      <c r="C6557" s="4" t="str">
        <f ca="1">IFERROR(__xludf.DUMMYFUNCTION("GOOGLETRANSLATE(D:D,""auto"",""en"")"),"Gansu new foreign input 11 cases")</f>
        <v>Gansu new foreign input 11 cases</v>
      </c>
      <c r="D6557" s="5" t="s">
        <v>15032</v>
      </c>
      <c r="E6557" s="4">
        <v>1589418</v>
      </c>
      <c r="F6557">
        <v>1</v>
      </c>
    </row>
    <row r="6558" spans="1:6" ht="13.5" hidden="1" customHeight="1">
      <c r="A6558" s="4" t="s">
        <v>15033</v>
      </c>
      <c r="B6558" s="4" t="s">
        <v>15034</v>
      </c>
      <c r="C6558" s="4" t="str">
        <f ca="1">IFERROR(__xludf.DUMMYFUNCTION("GOOGLETRANSLATE(D:D,""auto"",""en"")"),"Jobs widow bare donate $ 25 billion")</f>
        <v>Jobs widow bare donate $ 25 billion</v>
      </c>
      <c r="D6558" s="5" t="s">
        <v>15035</v>
      </c>
      <c r="E6558" s="4">
        <v>1583454</v>
      </c>
    </row>
    <row r="6559" spans="1:6" ht="13.5" hidden="1" customHeight="1">
      <c r="A6559" s="4" t="s">
        <v>15036</v>
      </c>
      <c r="B6559" s="4" t="s">
        <v>15037</v>
      </c>
      <c r="C6559" s="4" t="str">
        <f ca="1">IFERROR(__xludf.DUMMYFUNCTION("GOOGLETRANSLATE(D:D,""auto"",""en"")"),"Stella Ye Donglie together")</f>
        <v>Stella Ye Donglie together</v>
      </c>
      <c r="D6559" s="5" t="s">
        <v>15038</v>
      </c>
      <c r="E6559" s="4">
        <v>1582572</v>
      </c>
    </row>
    <row r="6560" spans="1:6" ht="13.5" hidden="1" customHeight="1">
      <c r="A6560" s="4" t="s">
        <v>15039</v>
      </c>
      <c r="B6560" s="4" t="s">
        <v>15040</v>
      </c>
      <c r="C6560" s="4" t="str">
        <f ca="1">IFERROR(__xludf.DUMMYFUNCTION("GOOGLETRANSLATE(D:D,""auto"",""en"")"),"Rolling the white line")</f>
        <v>Rolling the white line</v>
      </c>
      <c r="D6560" s="5" t="s">
        <v>15041</v>
      </c>
      <c r="E6560" s="4">
        <v>1072750</v>
      </c>
    </row>
    <row r="6561" spans="1:6" ht="13.5" hidden="1" customHeight="1">
      <c r="A6561" s="4" t="s">
        <v>15042</v>
      </c>
      <c r="B6561" s="4" t="s">
        <v>15043</v>
      </c>
      <c r="C6561" s="4" t="str">
        <f ca="1">IFERROR(__xludf.DUMMYFUNCTION("GOOGLETRANSLATE(D:D,""auto"",""en"")"),"Sansei III pillow book finale")</f>
        <v>Sansei III pillow book finale</v>
      </c>
      <c r="D6561" s="5" t="s">
        <v>15044</v>
      </c>
      <c r="E6561" s="4">
        <v>972832</v>
      </c>
    </row>
    <row r="6562" spans="1:6" ht="13.5" hidden="1" customHeight="1">
      <c r="A6562" s="4" t="s">
        <v>15045</v>
      </c>
      <c r="B6562" s="4" t="s">
        <v>15046</v>
      </c>
      <c r="C6562" s="4" t="str">
        <f ca="1">IFERROR(__xludf.DUMMYFUNCTION("GOOGLETRANSLATE(D:D,""auto"",""en"")"),"Kim Hee Chul live")</f>
        <v>Kim Hee Chul live</v>
      </c>
      <c r="D6562" s="5" t="s">
        <v>15047</v>
      </c>
      <c r="E6562" s="4">
        <v>915993</v>
      </c>
    </row>
    <row r="6563" spans="1:6" ht="13.5" hidden="1" customHeight="1">
      <c r="A6563" s="4" t="s">
        <v>15048</v>
      </c>
      <c r="B6563" s="4" t="s">
        <v>15049</v>
      </c>
      <c r="C6563" s="4" t="str">
        <f ca="1">IFERROR(__xludf.DUMMYFUNCTION("GOOGLETRANSLATE(D:D,""auto"",""en"")"),"Saipan found")</f>
        <v>Saipan found</v>
      </c>
      <c r="D6563" s="5" t="s">
        <v>15050</v>
      </c>
      <c r="E6563" s="4">
        <v>780152</v>
      </c>
    </row>
    <row r="6564" spans="1:6" ht="13.5" customHeight="1">
      <c r="A6564" s="4" t="s">
        <v>15051</v>
      </c>
      <c r="B6564" s="4" t="s">
        <v>15052</v>
      </c>
      <c r="C6564" s="4" t="str">
        <f ca="1">IFERROR(__xludf.DUMMYFUNCTION("GOOGLETRANSLATE(D:D,""auto"",""en"")"),"Ministry of Foreign Affairs to respond to the United States and host China to apologize epidemic")</f>
        <v>Ministry of Foreign Affairs to respond to the United States and host China to apologize epidemic</v>
      </c>
      <c r="D6564" s="5" t="s">
        <v>15053</v>
      </c>
      <c r="E6564" s="4">
        <v>645639</v>
      </c>
      <c r="F6564">
        <v>1</v>
      </c>
    </row>
    <row r="6565" spans="1:6" ht="13.5" hidden="1" customHeight="1">
      <c r="A6565" s="4" t="s">
        <v>15054</v>
      </c>
      <c r="B6565" s="4" t="s">
        <v>15055</v>
      </c>
      <c r="C6565" s="4" t="str">
        <f ca="1">IFERROR(__xludf.DUMMYFUNCTION("GOOGLETRANSLATE(D:D,""auto"",""en"")"),"Zhang Jing ride ride drama")</f>
        <v>Zhang Jing ride ride drama</v>
      </c>
      <c r="D6565" s="5" t="s">
        <v>15056</v>
      </c>
      <c r="E6565" s="4">
        <v>636528</v>
      </c>
    </row>
    <row r="6566" spans="1:6" ht="13.5" hidden="1" customHeight="1">
      <c r="A6566" s="4" t="s">
        <v>15057</v>
      </c>
      <c r="B6566" s="4" t="s">
        <v>15052</v>
      </c>
      <c r="C6566" s="4" t="str">
        <f ca="1">IFERROR(__xludf.DUMMYFUNCTION("GOOGLETRANSLATE(D:D,""auto"",""en"")"),"Spodoptera frugiperda has invaded our country")</f>
        <v>Spodoptera frugiperda has invaded our country</v>
      </c>
      <c r="D6566" s="5" t="s">
        <v>15058</v>
      </c>
      <c r="E6566" s="4">
        <v>546698</v>
      </c>
    </row>
    <row r="6567" spans="1:6" ht="13.5" hidden="1" customHeight="1">
      <c r="A6567" s="4" t="s">
        <v>15059</v>
      </c>
      <c r="B6567" s="4" t="s">
        <v>15060</v>
      </c>
      <c r="C6567" s="4" t="str">
        <f ca="1">IFERROR(__xludf.DUMMYFUNCTION("GOOGLETRANSLATE(D:D,""auto"",""en"")"),"Japanese visa")</f>
        <v>Japanese visa</v>
      </c>
      <c r="D6567" s="5" t="s">
        <v>15061</v>
      </c>
      <c r="E6567" s="4">
        <v>512437</v>
      </c>
    </row>
    <row r="6568" spans="1:6" ht="13.5" hidden="1" customHeight="1">
      <c r="A6568" s="4" t="s">
        <v>15062</v>
      </c>
      <c r="B6568" s="4" t="s">
        <v>15063</v>
      </c>
      <c r="C6568" s="4" t="str">
        <f ca="1">IFERROR(__xludf.DUMMYFUNCTION("GOOGLETRANSLATE(D:D,""auto"",""en"")"),"Joe Chen Allen's sweet")</f>
        <v>Joe Chen Allen's sweet</v>
      </c>
      <c r="D6568" s="5" t="s">
        <v>15064</v>
      </c>
      <c r="E6568" s="4">
        <v>503355</v>
      </c>
    </row>
    <row r="6569" spans="1:6" ht="13.5" hidden="1" customHeight="1">
      <c r="A6569" s="4" t="s">
        <v>15065</v>
      </c>
      <c r="B6569" s="4" t="s">
        <v>15066</v>
      </c>
      <c r="C6569" s="4" t="str">
        <f ca="1">IFERROR(__xludf.DUMMYFUNCTION("GOOGLETRANSLATE(D:D,""auto"",""en"")"),"Xu aunt good warm")</f>
        <v>Xu aunt good warm</v>
      </c>
      <c r="D6569" s="5" t="s">
        <v>15067</v>
      </c>
      <c r="E6569" s="4">
        <v>447780</v>
      </c>
    </row>
    <row r="6570" spans="1:6" ht="13.5" hidden="1" customHeight="1">
      <c r="A6570" s="4" t="s">
        <v>15062</v>
      </c>
      <c r="B6570" s="4" t="s">
        <v>15068</v>
      </c>
      <c r="C6570" s="4" t="str">
        <f ca="1">IFERROR(__xludf.DUMMYFUNCTION("GOOGLETRANSLATE(D:D,""auto"",""en"")"),"Iran launched the national mobilization plan")</f>
        <v>Iran launched the national mobilization plan</v>
      </c>
      <c r="D6570" s="5" t="s">
        <v>15069</v>
      </c>
      <c r="E6570" s="4">
        <v>447345</v>
      </c>
    </row>
    <row r="6571" spans="1:6" ht="13.5" hidden="1" customHeight="1">
      <c r="A6571" s="4" t="s">
        <v>15070</v>
      </c>
      <c r="B6571" s="4" t="s">
        <v>15046</v>
      </c>
      <c r="C6571" s="4" t="str">
        <f ca="1">IFERROR(__xludf.DUMMYFUNCTION("GOOGLETRANSLATE(D:D,""auto"",""en"")"),"Homemade popcorn girl sue the families of the death of a neighbor")</f>
        <v>Homemade popcorn girl sue the families of the death of a neighbor</v>
      </c>
      <c r="D6571" s="5" t="s">
        <v>15071</v>
      </c>
      <c r="E6571" s="4">
        <v>446477</v>
      </c>
    </row>
    <row r="6572" spans="1:6" ht="13.5" hidden="1" customHeight="1">
      <c r="A6572" s="4" t="s">
        <v>15072</v>
      </c>
      <c r="B6572" s="4" t="s">
        <v>15073</v>
      </c>
      <c r="C6572" s="4" t="str">
        <f ca="1">IFERROR(__xludf.DUMMYFUNCTION("GOOGLETRANSLATE(D:D,""auto"",""en"")"),"Parents let slip things")</f>
        <v>Parents let slip things</v>
      </c>
      <c r="D6572" s="5" t="s">
        <v>15074</v>
      </c>
      <c r="E6572" s="4">
        <v>445677</v>
      </c>
    </row>
    <row r="6573" spans="1:6" ht="13.5" hidden="1" customHeight="1">
      <c r="A6573" s="4" t="s">
        <v>15075</v>
      </c>
      <c r="B6573" s="4" t="s">
        <v>15076</v>
      </c>
      <c r="C6573" s="4" t="str">
        <f ca="1">IFERROR(__xludf.DUMMYFUNCTION("GOOGLETRANSLATE(D:D,""auto"",""en"")"),"This year the first Super Moon March 10 debut")</f>
        <v>This year the first Super Moon March 10 debut</v>
      </c>
      <c r="D6573" s="5" t="s">
        <v>15077</v>
      </c>
      <c r="E6573" s="4">
        <v>444554</v>
      </c>
    </row>
    <row r="6574" spans="1:6" ht="13.5" hidden="1" customHeight="1">
      <c r="A6574" s="4" t="s">
        <v>15078</v>
      </c>
      <c r="B6574" s="4" t="s">
        <v>15079</v>
      </c>
      <c r="C6574" s="4" t="str">
        <f ca="1">IFERROR(__xludf.DUMMYFUNCTION("GOOGLETRANSLATE(D:D,""auto"",""en"")"),"Petal earrings")</f>
        <v>Petal earrings</v>
      </c>
      <c r="D6574" s="5" t="s">
        <v>15080</v>
      </c>
      <c r="E6574" s="4">
        <v>444044</v>
      </c>
    </row>
    <row r="6575" spans="1:6" ht="13.5" hidden="1" customHeight="1">
      <c r="A6575" s="4" t="s">
        <v>14826</v>
      </c>
      <c r="B6575" s="4" t="s">
        <v>14827</v>
      </c>
      <c r="C6575" s="4" t="str">
        <f ca="1">IFERROR(__xludf.DUMMYFUNCTION("GOOGLETRANSLATE(D:D,""auto"",""en"")"),"Li Jiaqi")</f>
        <v>Li Jiaqi</v>
      </c>
      <c r="D6575" s="5" t="s">
        <v>14828</v>
      </c>
      <c r="E6575" s="4">
        <v>443131</v>
      </c>
    </row>
    <row r="6576" spans="1:6" ht="13.5" hidden="1" customHeight="1">
      <c r="A6576" s="4" t="s">
        <v>15081</v>
      </c>
      <c r="B6576" s="4" t="s">
        <v>15082</v>
      </c>
      <c r="C6576" s="4" t="str">
        <f ca="1">IFERROR(__xludf.DUMMYFUNCTION("GOOGLETRANSLATE(D:D,""auto"",""en"")"),"Childhood special fire jingle")</f>
        <v>Childhood special fire jingle</v>
      </c>
      <c r="D6576" s="5" t="s">
        <v>15083</v>
      </c>
      <c r="E6576" s="4">
        <v>442408</v>
      </c>
    </row>
    <row r="6577" spans="1:6" ht="13.5" hidden="1" customHeight="1">
      <c r="A6577" s="4" t="s">
        <v>15084</v>
      </c>
      <c r="B6577" s="4" t="s">
        <v>15046</v>
      </c>
      <c r="C6577" s="4" t="str">
        <f ca="1">IFERROR(__xludf.DUMMYFUNCTION("GOOGLETRANSLATE(D:D,""auto"",""en"")"),"Silvia studio")</f>
        <v>Silvia studio</v>
      </c>
      <c r="D6577" s="5" t="s">
        <v>15085</v>
      </c>
      <c r="E6577" s="4">
        <v>441631</v>
      </c>
    </row>
    <row r="6578" spans="1:6" ht="13.5" hidden="1" customHeight="1">
      <c r="A6578" s="4" t="s">
        <v>15086</v>
      </c>
      <c r="B6578" s="4" t="s">
        <v>15087</v>
      </c>
      <c r="C6578" s="4" t="str">
        <f ca="1">IFERROR(__xludf.DUMMYFUNCTION("GOOGLETRANSLATE(D:D,""auto"",""en"")"),"To settle down mansion")</f>
        <v>To settle down mansion</v>
      </c>
      <c r="D6578" s="5" t="s">
        <v>15088</v>
      </c>
      <c r="E6578" s="4">
        <v>441193</v>
      </c>
    </row>
    <row r="6579" spans="1:6" ht="13.5" hidden="1" customHeight="1">
      <c r="A6579" s="4" t="s">
        <v>15089</v>
      </c>
      <c r="B6579" s="4" t="s">
        <v>15090</v>
      </c>
      <c r="C6579" s="4" t="str">
        <f ca="1">IFERROR(__xludf.DUMMYFUNCTION("GOOGLETRANSLATE(D:D,""auto"",""en"")"),"Ice Blush")</f>
        <v>Ice Blush</v>
      </c>
      <c r="D6579" s="5" t="s">
        <v>15091</v>
      </c>
      <c r="E6579" s="4">
        <v>440240</v>
      </c>
    </row>
    <row r="6580" spans="1:6" ht="13.5" hidden="1" customHeight="1">
      <c r="A6580" s="4" t="s">
        <v>15092</v>
      </c>
      <c r="B6580" s="4" t="s">
        <v>15093</v>
      </c>
      <c r="C6580" s="4" t="str">
        <f ca="1">IFERROR(__xludf.DUMMYFUNCTION("GOOGLETRANSLATE(D:D,""auto"",""en"")"),"Oocyte")</f>
        <v>Oocyte</v>
      </c>
      <c r="D6580" s="5" t="s">
        <v>15094</v>
      </c>
      <c r="E6580" s="4">
        <v>439639</v>
      </c>
    </row>
    <row r="6581" spans="1:6" ht="13.5" hidden="1" customHeight="1">
      <c r="A6581" s="4" t="s">
        <v>15039</v>
      </c>
      <c r="B6581" s="4" t="s">
        <v>15095</v>
      </c>
      <c r="C6581" s="4" t="str">
        <f ca="1">IFERROR(__xludf.DUMMYFUNCTION("GOOGLETRANSLATE(D:D,""auto"",""en"")"),"Only later I did not know at that time to understand the plot")</f>
        <v>Only later I did not know at that time to understand the plot</v>
      </c>
      <c r="D6581" s="5" t="s">
        <v>15096</v>
      </c>
      <c r="E6581" s="4">
        <v>432032</v>
      </c>
    </row>
    <row r="6582" spans="1:6" ht="13.5" hidden="1" customHeight="1">
      <c r="A6582" s="4" t="s">
        <v>15097</v>
      </c>
      <c r="B6582" s="4" t="s">
        <v>15098</v>
      </c>
      <c r="C6582" s="4" t="str">
        <f ca="1">IFERROR(__xludf.DUMMYFUNCTION("GOOGLETRANSLATE(D:D,""auto"",""en"")"),"Ronaldinho using false passports arrested")</f>
        <v>Ronaldinho using false passports arrested</v>
      </c>
      <c r="D6582" s="5" t="s">
        <v>15099</v>
      </c>
      <c r="E6582" s="4">
        <v>396823</v>
      </c>
    </row>
    <row r="6583" spans="1:6" ht="13.5" hidden="1" customHeight="1">
      <c r="A6583" s="4" t="s">
        <v>15062</v>
      </c>
      <c r="B6583" s="4" t="s">
        <v>15040</v>
      </c>
      <c r="C6583" s="4" t="str">
        <f ca="1">IFERROR(__xludf.DUMMYFUNCTION("GOOGLETRANSLATE(D:D,""auto"",""en"")"),"Chenmeng Yao Zhou Yixuan fans")</f>
        <v>Chenmeng Yao Zhou Yixuan fans</v>
      </c>
      <c r="D6583" s="5" t="s">
        <v>15100</v>
      </c>
      <c r="E6583" s="4">
        <v>387286</v>
      </c>
    </row>
    <row r="6584" spans="1:6" ht="13.5" hidden="1" customHeight="1">
      <c r="A6584" s="4" t="s">
        <v>15101</v>
      </c>
      <c r="B6584" s="4" t="s">
        <v>15102</v>
      </c>
      <c r="C6584" s="4" t="str">
        <f ca="1">IFERROR(__xludf.DUMMYFUNCTION("GOOGLETRANSLATE(D:D,""auto"",""en"")"),"Turkish Parliament started fighting")</f>
        <v>Turkish Parliament started fighting</v>
      </c>
      <c r="D6584" s="5" t="s">
        <v>15103</v>
      </c>
      <c r="E6584" s="4">
        <v>364621</v>
      </c>
    </row>
    <row r="6585" spans="1:6" ht="13.5" hidden="1" customHeight="1">
      <c r="A6585" s="4" t="s">
        <v>15054</v>
      </c>
      <c r="B6585" s="4" t="s">
        <v>15104</v>
      </c>
      <c r="C6585" s="4" t="str">
        <f ca="1">IFERROR(__xludf.DUMMYFUNCTION("GOOGLETRANSLATE(D:D,""auto"",""en"")"),"Yu Jiali married")</f>
        <v>Yu Jiali married</v>
      </c>
      <c r="D6585" s="5" t="s">
        <v>15105</v>
      </c>
      <c r="E6585" s="4">
        <v>358812</v>
      </c>
    </row>
    <row r="6586" spans="1:6" ht="13.5" hidden="1" customHeight="1">
      <c r="A6586" s="4" t="s">
        <v>15106</v>
      </c>
      <c r="B6586" s="4" t="s">
        <v>15107</v>
      </c>
      <c r="C6586" s="4" t="str">
        <f ca="1">IFERROR(__xludf.DUMMYFUNCTION("GOOGLETRANSLATE(D:D,""auto"",""en"")"),"Thousands of tourists into Lake flowers")</f>
        <v>Thousands of tourists into Lake flowers</v>
      </c>
      <c r="D6586" s="5" t="s">
        <v>15108</v>
      </c>
      <c r="E6586" s="4">
        <v>322010</v>
      </c>
    </row>
    <row r="6587" spans="1:6" ht="13.5" customHeight="1">
      <c r="A6587" s="4" t="s">
        <v>15109</v>
      </c>
      <c r="B6587" s="4" t="s">
        <v>15110</v>
      </c>
      <c r="C6587" s="4" t="str">
        <f ca="1">IFERROR(__xludf.DUMMYFUNCTION("GOOGLETRANSLATE(D:D,""auto"",""en"")"),"commencement time")</f>
        <v>commencement time</v>
      </c>
      <c r="D6587" s="5" t="s">
        <v>15111</v>
      </c>
      <c r="E6587" s="4">
        <v>311168</v>
      </c>
      <c r="F6587">
        <v>1</v>
      </c>
    </row>
    <row r="6588" spans="1:6" ht="13.5" hidden="1" customHeight="1">
      <c r="A6588" s="4" t="s">
        <v>4043</v>
      </c>
      <c r="B6588" s="4" t="s">
        <v>15112</v>
      </c>
      <c r="C6588" s="4" t="str">
        <f ca="1">IFERROR(__xludf.DUMMYFUNCTION("GOOGLETRANSLATE(D:D,""auto"",""en"")"),"Yiyangqianxi ins")</f>
        <v>Yiyangqianxi ins</v>
      </c>
      <c r="D6588" s="5" t="s">
        <v>15113</v>
      </c>
      <c r="E6588" s="4">
        <v>304187</v>
      </c>
    </row>
    <row r="6589" spans="1:6" ht="13.5" hidden="1" customHeight="1">
      <c r="A6589" s="4" t="s">
        <v>15114</v>
      </c>
      <c r="B6589" s="4" t="s">
        <v>14998</v>
      </c>
      <c r="C6589" s="4" t="str">
        <f ca="1">IFERROR(__xludf.DUMMYFUNCTION("GOOGLETRANSLATE(D:D,""auto"",""en"")"),"Chinese control measures at least 100,000 cases of successful prevention")</f>
        <v>Chinese control measures at least 100,000 cases of successful prevention</v>
      </c>
      <c r="D6589" s="5" t="s">
        <v>15115</v>
      </c>
      <c r="E6589" s="4">
        <v>292604</v>
      </c>
    </row>
    <row r="6590" spans="1:6" ht="13.5" hidden="1" customHeight="1">
      <c r="A6590" s="4" t="s">
        <v>15116</v>
      </c>
      <c r="B6590" s="4" t="s">
        <v>15117</v>
      </c>
      <c r="C6590" s="4" t="str">
        <f ca="1">IFERROR(__xludf.DUMMYFUNCTION("GOOGLETRANSLATE(D:D,""auto"",""en"")"),"The most beautiful university in your eyes")</f>
        <v>The most beautiful university in your eyes</v>
      </c>
      <c r="D6590" s="5" t="s">
        <v>15118</v>
      </c>
      <c r="E6590" s="4">
        <v>289007</v>
      </c>
    </row>
    <row r="6591" spans="1:6" ht="13.5" customHeight="1">
      <c r="A6591" s="4" t="s">
        <v>15119</v>
      </c>
      <c r="B6591" s="4" t="s">
        <v>15120</v>
      </c>
      <c r="C6591" s="4" t="str">
        <f ca="1">IFERROR(__xludf.DUMMYFUNCTION("GOOGLETRANSLATE(D:D,""auto"",""en"")"),"Italy Piacenza mayor confirmed")</f>
        <v>Italy Piacenza mayor confirmed</v>
      </c>
      <c r="D6591" s="5" t="s">
        <v>15121</v>
      </c>
      <c r="E6591" s="4">
        <v>275579</v>
      </c>
      <c r="F6591">
        <v>1</v>
      </c>
    </row>
    <row r="6592" spans="1:6" ht="13.5" hidden="1" customHeight="1">
      <c r="A6592" s="4" t="s">
        <v>15122</v>
      </c>
      <c r="B6592" s="4" t="s">
        <v>15123</v>
      </c>
      <c r="C6592" s="4" t="str">
        <f ca="1">IFERROR(__xludf.DUMMYFUNCTION("GOOGLETRANSLATE(D:D,""auto"",""en"")"),"Faker2000 kill")</f>
        <v>Faker2000 kill</v>
      </c>
      <c r="D6592" s="5" t="s">
        <v>15124</v>
      </c>
      <c r="E6592" s="4">
        <v>269738</v>
      </c>
    </row>
    <row r="6593" spans="1:6" ht="13.5" customHeight="1">
      <c r="A6593" s="4" t="s">
        <v>15125</v>
      </c>
      <c r="B6593" s="4" t="s">
        <v>15126</v>
      </c>
      <c r="C6593" s="4" t="str">
        <f ca="1">IFERROR(__xludf.DUMMYFUNCTION("GOOGLETRANSLATE(D:D,""auto"",""en"")"),"The doctor for the patient to stop to enjoy the sunset")</f>
        <v>The doctor for the patient to stop to enjoy the sunset</v>
      </c>
      <c r="D6593" s="5" t="s">
        <v>15127</v>
      </c>
      <c r="E6593" s="4">
        <v>262227</v>
      </c>
      <c r="F6593">
        <v>1</v>
      </c>
    </row>
    <row r="6594" spans="1:6" ht="13.5" hidden="1" customHeight="1">
      <c r="A6594" s="4" t="s">
        <v>15128</v>
      </c>
      <c r="B6594" s="4" t="s">
        <v>15129</v>
      </c>
      <c r="C6594" s="4" t="str">
        <f ca="1">IFERROR(__xludf.DUMMYFUNCTION("GOOGLETRANSLATE(D:D,""auto"",""en"")"),"Net red salad carp")</f>
        <v>Net red salad carp</v>
      </c>
      <c r="D6594" s="5" t="s">
        <v>15130</v>
      </c>
      <c r="E6594" s="4">
        <v>251805</v>
      </c>
    </row>
    <row r="6595" spans="1:6" ht="13.5" hidden="1" customHeight="1">
      <c r="A6595" s="4" t="s">
        <v>15131</v>
      </c>
      <c r="B6595" s="4" t="s">
        <v>15066</v>
      </c>
      <c r="C6595" s="4" t="str">
        <f ca="1">IFERROR(__xludf.DUMMYFUNCTION("GOOGLETRANSLATE(D:D,""auto"",""en"")"),"Contemporary Freaky Ratings List")</f>
        <v>Contemporary Freaky Ratings List</v>
      </c>
      <c r="D6595" s="5" t="s">
        <v>15132</v>
      </c>
      <c r="E6595" s="4">
        <v>239312</v>
      </c>
    </row>
    <row r="6596" spans="1:6" ht="13.5" hidden="1" customHeight="1">
      <c r="A6596" s="4" t="s">
        <v>15128</v>
      </c>
      <c r="B6596" s="4" t="s">
        <v>15133</v>
      </c>
      <c r="C6596" s="4" t="str">
        <f ca="1">IFERROR(__xludf.DUMMYFUNCTION("GOOGLETRANSLATE(D:D,""auto"",""en"")"),"Ye Donglie playing Cuiying Jun")</f>
        <v>Ye Donglie playing Cuiying Jun</v>
      </c>
      <c r="D6596" s="5" t="s">
        <v>15134</v>
      </c>
      <c r="E6596" s="4">
        <v>225152</v>
      </c>
    </row>
    <row r="6597" spans="1:6" ht="13.5" hidden="1" customHeight="1">
      <c r="A6597" s="4" t="s">
        <v>15135</v>
      </c>
      <c r="B6597" s="4" t="s">
        <v>15028</v>
      </c>
      <c r="C6597" s="4" t="str">
        <f ca="1">IFERROR(__xludf.DUMMYFUNCTION("GOOGLETRANSLATE(D:D,""auto"",""en"")"),"Advanced real comic eye")</f>
        <v>Advanced real comic eye</v>
      </c>
      <c r="D6597" s="5" t="s">
        <v>15136</v>
      </c>
      <c r="E6597" s="4">
        <v>217761</v>
      </c>
    </row>
    <row r="6598" spans="1:6" ht="13.5" hidden="1" customHeight="1">
      <c r="A6598" s="4" t="s">
        <v>15128</v>
      </c>
      <c r="B6598" s="4" t="s">
        <v>15137</v>
      </c>
      <c r="C6598" s="4" t="str">
        <f ca="1">IFERROR(__xludf.DUMMYFUNCTION("GOOGLETRANSLATE(D:D,""auto"",""en"")"),"600 photos recording ICU Nine Lives")</f>
        <v>600 photos recording ICU Nine Lives</v>
      </c>
      <c r="D6598" s="5" t="s">
        <v>15138</v>
      </c>
      <c r="E6598" s="4">
        <v>212648</v>
      </c>
    </row>
    <row r="6599" spans="1:6" ht="13.5" hidden="1" customHeight="1">
      <c r="A6599" s="4" t="s">
        <v>15139</v>
      </c>
      <c r="B6599" s="4" t="s">
        <v>15140</v>
      </c>
      <c r="C6599" s="4" t="str">
        <f ca="1">IFERROR(__xludf.DUMMYFUNCTION("GOOGLETRANSLATE(D:D,""auto"",""en"")"),"Swan moved north en route and returned")</f>
        <v>Swan moved north en route and returned</v>
      </c>
      <c r="D6599" s="5" t="s">
        <v>15141</v>
      </c>
      <c r="E6599" s="4">
        <v>210908</v>
      </c>
    </row>
    <row r="6600" spans="1:6" ht="13.5" hidden="1" customHeight="1">
      <c r="A6600" s="4" t="s">
        <v>15142</v>
      </c>
      <c r="B6600" s="4" t="s">
        <v>15143</v>
      </c>
      <c r="C6600" s="4" t="str">
        <f ca="1">IFERROR(__xludf.DUMMYFUNCTION("GOOGLETRANSLATE(D:D,""auto"",""en"")"),"800 meters above sea level acres Cherry Blossom")</f>
        <v>800 meters above sea level acres Cherry Blossom</v>
      </c>
      <c r="D6600" s="5" t="s">
        <v>15144</v>
      </c>
      <c r="E6600" s="4">
        <v>201086</v>
      </c>
    </row>
    <row r="6601" spans="1:6" ht="13.5" hidden="1" customHeight="1">
      <c r="A6601" s="4" t="s">
        <v>15145</v>
      </c>
      <c r="B6601" s="4" t="s">
        <v>15146</v>
      </c>
      <c r="C6601" s="4" t="str">
        <f ca="1">IFERROR(__xludf.DUMMYFUNCTION("GOOGLETRANSLATE(D:D,""auto"",""en"")"),"When the team last remaining girl")</f>
        <v>When the team last remaining girl</v>
      </c>
      <c r="D6601" s="5" t="s">
        <v>15147</v>
      </c>
      <c r="E6601" s="4">
        <v>199855</v>
      </c>
    </row>
    <row r="6602" spans="1:6" ht="13.5" customHeight="1">
      <c r="A6602" s="4" t="s">
        <v>15139</v>
      </c>
      <c r="B6602" s="4" t="s">
        <v>15148</v>
      </c>
      <c r="C6602" s="4" t="str">
        <f ca="1">IFERROR(__xludf.DUMMYFUNCTION("GOOGLETRANSLATE(D:D,""auto"",""en"")"),"South Korea's new crown cumulative confirmed 6088 cases of pneumonia")</f>
        <v>South Korea's new crown cumulative confirmed 6088 cases of pneumonia</v>
      </c>
      <c r="D6602" s="5" t="s">
        <v>15149</v>
      </c>
      <c r="E6602" s="4">
        <v>199228</v>
      </c>
      <c r="F6602">
        <v>1</v>
      </c>
    </row>
    <row r="6603" spans="1:6" ht="13.5" customHeight="1">
      <c r="A6603" s="4" t="s">
        <v>15150</v>
      </c>
      <c r="B6603" s="4" t="s">
        <v>15151</v>
      </c>
      <c r="C6603" s="4" t="str">
        <f ca="1">IFERROR(__xludf.DUMMYFUNCTION("GOOGLETRANSLATE(D:D,""auto"",""en"")"),"The new crown confirmed the first case of pneumonia cases in South Africa")</f>
        <v>The new crown confirmed the first case of pneumonia cases in South Africa</v>
      </c>
      <c r="D6603" s="5" t="s">
        <v>15152</v>
      </c>
      <c r="E6603" s="4">
        <v>180649</v>
      </c>
      <c r="F6603">
        <v>1</v>
      </c>
    </row>
    <row r="6604" spans="1:6" ht="13.5" hidden="1" customHeight="1">
      <c r="A6604" s="4" t="s">
        <v>15153</v>
      </c>
      <c r="B6604" s="4" t="s">
        <v>15154</v>
      </c>
      <c r="C6604" s="4" t="str">
        <f ca="1">IFERROR(__xludf.DUMMYFUNCTION("GOOGLETRANSLATE(D:D,""auto"",""en"")"),"Beijing requires Each table can only take one person")</f>
        <v>Beijing requires Each table can only take one person</v>
      </c>
      <c r="D6604" s="5" t="s">
        <v>15155</v>
      </c>
      <c r="E6604" s="4">
        <v>168782</v>
      </c>
    </row>
    <row r="6605" spans="1:6" ht="13.5" hidden="1" customHeight="1">
      <c r="C6605" s="4" t="str">
        <f ca="1">IFERROR(__xludf.DUMMYFUNCTION("GOOGLETRANSLATE(D:D,""auto"",""en"")"),"#VALUE!")</f>
        <v>#VALUE!</v>
      </c>
    </row>
    <row r="6606" spans="1:6" ht="13.5" hidden="1" customHeight="1">
      <c r="A6606" s="4" t="s">
        <v>15156</v>
      </c>
      <c r="B6606" s="4" t="s">
        <v>15157</v>
      </c>
      <c r="C6606" s="4" t="str">
        <f ca="1">IFERROR(__xludf.DUMMYFUNCTION("GOOGLETRANSLATE(D:D,""auto"",""en"")"),"16-year-old Lai Yin Wu Zunlin photo")</f>
        <v>16-year-old Lai Yin Wu Zunlin photo</v>
      </c>
      <c r="D6606" s="4" t="s">
        <v>15158</v>
      </c>
      <c r="E6606" s="4">
        <v>5057920</v>
      </c>
    </row>
    <row r="6607" spans="1:6" ht="13.5" customHeight="1">
      <c r="A6607" s="4" t="s">
        <v>15159</v>
      </c>
      <c r="B6607" s="4" t="s">
        <v>15101</v>
      </c>
      <c r="C6607" s="4" t="str">
        <f ca="1">IFERROR(__xludf.DUMMYFUNCTION("GOOGLETRANSLATE(D:D,""auto"",""en"")"),"Hubei Provincial People's Congress Jiang Chaoliang resigned from the post of Director")</f>
        <v>Hubei Provincial People's Congress Jiang Chaoliang resigned from the post of Director</v>
      </c>
      <c r="D6607" s="5" t="s">
        <v>15160</v>
      </c>
      <c r="E6607" s="4">
        <v>4246269</v>
      </c>
      <c r="F6607">
        <v>1</v>
      </c>
    </row>
    <row r="6608" spans="1:6" ht="13.5" hidden="1" customHeight="1">
      <c r="A6608" s="4" t="s">
        <v>15161</v>
      </c>
      <c r="B6608" s="4" t="s">
        <v>15162</v>
      </c>
      <c r="C6608" s="4" t="str">
        <f ca="1">IFERROR(__xludf.DUMMYFUNCTION("GOOGLETRANSLATE(D:D,""auto"",""en"")"),"Chen Michelle Chen plans to have a second child")</f>
        <v>Chen Michelle Chen plans to have a second child</v>
      </c>
      <c r="D6608" s="5" t="s">
        <v>15163</v>
      </c>
      <c r="E6608" s="4">
        <v>3949823</v>
      </c>
    </row>
    <row r="6609" spans="1:6" ht="13.5" customHeight="1">
      <c r="A6609" s="4" t="s">
        <v>15164</v>
      </c>
      <c r="B6609" s="4" t="s">
        <v>15165</v>
      </c>
      <c r="C6609" s="4" t="str">
        <f ca="1">IFERROR(__xludf.DUMMYFUNCTION("GOOGLETRANSLATE(D:D,""auto"",""en"")"),"Doctors northeast single-handedly with partial hospital")</f>
        <v>Doctors northeast single-handedly with partial hospital</v>
      </c>
      <c r="D6609" s="5" t="s">
        <v>15166</v>
      </c>
      <c r="E6609" s="4">
        <v>1652002</v>
      </c>
      <c r="F6609">
        <v>1</v>
      </c>
    </row>
    <row r="6610" spans="1:6" ht="13.5" hidden="1" customHeight="1">
      <c r="A6610" s="4" t="s">
        <v>15167</v>
      </c>
      <c r="B6610" s="4" t="s">
        <v>15168</v>
      </c>
      <c r="C6610" s="4" t="str">
        <f ca="1">IFERROR(__xludf.DUMMYFUNCTION("GOOGLETRANSLATE(D:D,""auto"",""en"")"),"Phantom sofa kiss")</f>
        <v>Phantom sofa kiss</v>
      </c>
      <c r="D6610" s="5" t="s">
        <v>15169</v>
      </c>
      <c r="E6610" s="4">
        <v>1560565</v>
      </c>
    </row>
    <row r="6611" spans="1:6" ht="13.5" hidden="1" customHeight="1">
      <c r="A6611" s="4" t="s">
        <v>15170</v>
      </c>
      <c r="B6611" s="4" t="s">
        <v>15171</v>
      </c>
      <c r="C6611" s="4" t="str">
        <f ca="1">IFERROR(__xludf.DUMMYFUNCTION("GOOGLETRANSLATE(D:D,""auto"",""en"")"),"Yiyangqianxi Northeast uncle formula hides hand")</f>
        <v>Yiyangqianxi Northeast uncle formula hides hand</v>
      </c>
      <c r="D6611" s="5" t="s">
        <v>15172</v>
      </c>
      <c r="E6611" s="4">
        <v>1378567</v>
      </c>
    </row>
    <row r="6612" spans="1:6" ht="13.5" customHeight="1">
      <c r="A6612" s="4" t="s">
        <v>15173</v>
      </c>
      <c r="B6612" s="4" t="s">
        <v>15174</v>
      </c>
      <c r="C6612" s="4" t="str">
        <f ca="1">IFERROR(__xludf.DUMMYFUNCTION("GOOGLETRANSLATE(D:D,""auto"",""en"")"),"South Korea prohibits the export of medical supplies during outbreak")</f>
        <v>South Korea prohibits the export of medical supplies during outbreak</v>
      </c>
      <c r="D6612" s="5" t="s">
        <v>15175</v>
      </c>
      <c r="E6612" s="4">
        <v>1107144</v>
      </c>
      <c r="F6612">
        <v>1</v>
      </c>
    </row>
    <row r="6613" spans="1:6" ht="13.5" customHeight="1">
      <c r="A6613" s="4" t="s">
        <v>15176</v>
      </c>
      <c r="B6613" s="4" t="s">
        <v>15177</v>
      </c>
      <c r="C6613" s="4" t="str">
        <f ca="1">IFERROR(__xludf.DUMMYFUNCTION("GOOGLETRANSLATE(D:D,""auto"",""en"")"),"Chinese in the United States about the new virus detection spending crown")</f>
        <v>Chinese in the United States about the new virus detection spending crown</v>
      </c>
      <c r="D6613" s="5" t="s">
        <v>15178</v>
      </c>
      <c r="E6613" s="4">
        <v>931946</v>
      </c>
      <c r="F6613">
        <v>1</v>
      </c>
    </row>
    <row r="6614" spans="1:6" ht="13.5" hidden="1" customHeight="1">
      <c r="A6614" s="4" t="s">
        <v>15179</v>
      </c>
      <c r="B6614" s="4" t="s">
        <v>15180</v>
      </c>
      <c r="C6614" s="4" t="str">
        <f ca="1">IFERROR(__xludf.DUMMYFUNCTION("GOOGLETRANSLATE(D:D,""auto"",""en"")"),"Curry comeback")</f>
        <v>Curry comeback</v>
      </c>
      <c r="D6614" s="5" t="s">
        <v>15181</v>
      </c>
      <c r="E6614" s="4">
        <v>805012</v>
      </c>
    </row>
    <row r="6615" spans="1:6" ht="13.5" customHeight="1">
      <c r="A6615" s="4" t="s">
        <v>15182</v>
      </c>
      <c r="B6615" s="4" t="s">
        <v>15183</v>
      </c>
      <c r="C6615" s="4" t="str">
        <f ca="1">IFERROR(__xludf.DUMMYFUNCTION("GOOGLETRANSLATE(D:D,""auto"",""en"")"),"Chinese students at Milan's camera to record epidemic")</f>
        <v>Chinese students at Milan's camera to record epidemic</v>
      </c>
      <c r="D6615" s="5" t="s">
        <v>15184</v>
      </c>
      <c r="E6615" s="4">
        <v>799104</v>
      </c>
      <c r="F6615">
        <v>1</v>
      </c>
    </row>
    <row r="6616" spans="1:6" ht="13.5" hidden="1" customHeight="1">
      <c r="A6616" s="4" t="s">
        <v>15185</v>
      </c>
      <c r="B6616" s="4" t="s">
        <v>15186</v>
      </c>
      <c r="C6616" s="4" t="str">
        <f ca="1">IFERROR(__xludf.DUMMYFUNCTION("GOOGLETRANSLATE(D:D,""auto"",""en"")"),"California continues to refuse Supreme Princess dock")</f>
        <v>California continues to refuse Supreme Princess dock</v>
      </c>
      <c r="D6616" s="5" t="s">
        <v>15187</v>
      </c>
      <c r="E6616" s="4">
        <v>721160</v>
      </c>
    </row>
    <row r="6617" spans="1:6" ht="13.5" hidden="1" customHeight="1">
      <c r="A6617" s="4" t="s">
        <v>15188</v>
      </c>
      <c r="B6617" s="4" t="s">
        <v>15189</v>
      </c>
      <c r="C6617" s="4" t="str">
        <f ca="1">IFERROR(__xludf.DUMMYFUNCTION("GOOGLETRANSLATE(D:D,""auto"",""en"")"),"State Post Bureau courier respond street vendor")</f>
        <v>State Post Bureau courier respond street vendor</v>
      </c>
      <c r="D6617" s="5" t="s">
        <v>15190</v>
      </c>
      <c r="E6617" s="4">
        <v>720046</v>
      </c>
    </row>
    <row r="6618" spans="1:6" ht="13.5" customHeight="1">
      <c r="A6618" s="4" t="s">
        <v>15191</v>
      </c>
      <c r="B6618" s="4" t="s">
        <v>15116</v>
      </c>
      <c r="C6618" s="4" t="str">
        <f ca="1">IFERROR(__xludf.DUMMYFUNCTION("GOOGLETRANSLATE(D:D,""auto"",""en"")"),"In addition to the new Hubei Wuhan cleared")</f>
        <v>In addition to the new Hubei Wuhan cleared</v>
      </c>
      <c r="D6618" s="5" t="s">
        <v>15192</v>
      </c>
      <c r="E6618" s="4">
        <v>604920</v>
      </c>
      <c r="F6618">
        <v>1</v>
      </c>
    </row>
    <row r="6619" spans="1:6" ht="13.5" hidden="1" customHeight="1">
      <c r="A6619" s="4" t="s">
        <v>15193</v>
      </c>
      <c r="B6619" s="4" t="s">
        <v>15194</v>
      </c>
      <c r="C6619" s="4" t="str">
        <f ca="1">IFERROR(__xludf.DUMMYFUNCTION("GOOGLETRANSLATE(D:D,""auto"",""en"")"),"No touch of a button lift")</f>
        <v>No touch of a button lift</v>
      </c>
      <c r="D6619" s="5" t="s">
        <v>15195</v>
      </c>
      <c r="E6619" s="4">
        <v>578823</v>
      </c>
    </row>
    <row r="6620" spans="1:6" ht="13.5" hidden="1" customHeight="1">
      <c r="A6620" s="4" t="s">
        <v>15196</v>
      </c>
      <c r="B6620" s="4" t="s">
        <v>15197</v>
      </c>
      <c r="C6620" s="4" t="str">
        <f ca="1">IFERROR(__xludf.DUMMYFUNCTION("GOOGLETRANSLATE(D:D,""auto"",""en"")"),"Housing bright man set")</f>
        <v>Housing bright man set</v>
      </c>
      <c r="D6620" s="5" t="s">
        <v>15198</v>
      </c>
      <c r="E6620" s="4">
        <v>563923</v>
      </c>
    </row>
    <row r="6621" spans="1:6" ht="13.5" hidden="1" customHeight="1">
      <c r="A6621" s="4" t="s">
        <v>15199</v>
      </c>
      <c r="B6621" s="4" t="s">
        <v>15200</v>
      </c>
      <c r="C6621" s="4" t="str">
        <f ca="1">IFERROR(__xludf.DUMMYFUNCTION("GOOGLETRANSLATE(D:D,""auto"",""en"")"),"Uncle Daddy Korea into a bird")</f>
        <v>Uncle Daddy Korea into a bird</v>
      </c>
      <c r="D6621" s="5" t="s">
        <v>15201</v>
      </c>
      <c r="E6621" s="4">
        <v>563902</v>
      </c>
    </row>
    <row r="6622" spans="1:6" ht="13.5" customHeight="1">
      <c r="A6622" s="4" t="s">
        <v>13486</v>
      </c>
      <c r="B6622" s="4" t="s">
        <v>13393</v>
      </c>
      <c r="C6622" s="4" t="str">
        <f ca="1">IFERROR(__xludf.DUMMYFUNCTION("GOOGLETRANSLATE(D:D,""auto"",""en"")"),"School")</f>
        <v>School</v>
      </c>
      <c r="D6622" s="5" t="s">
        <v>13487</v>
      </c>
      <c r="E6622" s="4">
        <v>562145</v>
      </c>
      <c r="F6622">
        <v>1</v>
      </c>
    </row>
    <row r="6623" spans="1:6" ht="13.5" hidden="1" customHeight="1">
      <c r="A6623" s="4" t="s">
        <v>15202</v>
      </c>
      <c r="B6623" s="4" t="s">
        <v>15183</v>
      </c>
      <c r="C6623" s="4" t="str">
        <f ca="1">IFERROR(__xludf.DUMMYFUNCTION("GOOGLETRANSLATE(D:D,""auto"",""en"")"),"Sydney Supermarket female customer to grab toilet paper crossed swords")</f>
        <v>Sydney Supermarket female customer to grab toilet paper crossed swords</v>
      </c>
      <c r="D6623" s="5" t="s">
        <v>15203</v>
      </c>
      <c r="E6623" s="4">
        <v>561418</v>
      </c>
    </row>
    <row r="6624" spans="1:6" ht="13.5" hidden="1" customHeight="1">
      <c r="A6624" s="4" t="s">
        <v>15204</v>
      </c>
      <c r="B6624" s="4" t="s">
        <v>15205</v>
      </c>
      <c r="C6624" s="4" t="str">
        <f ca="1">IFERROR(__xludf.DUMMYFUNCTION("GOOGLETRANSLATE(D:D,""auto"",""en"")"),"Premarital 21 days")</f>
        <v>Premarital 21 days</v>
      </c>
      <c r="D6624" s="5" t="s">
        <v>15206</v>
      </c>
      <c r="E6624" s="4">
        <v>559944</v>
      </c>
    </row>
    <row r="6625" spans="1:6" ht="13.5" hidden="1" customHeight="1">
      <c r="A6625" s="4" t="s">
        <v>15207</v>
      </c>
      <c r="B6625" s="4" t="s">
        <v>15208</v>
      </c>
      <c r="C6625" s="4" t="str">
        <f ca="1">IFERROR(__xludf.DUMMYFUNCTION("GOOGLETRANSLATE(D:D,""auto"",""en"")"),"Qingchuan occurred 3.9 earthquake")</f>
        <v>Qingchuan occurred 3.9 earthquake</v>
      </c>
      <c r="D6625" s="5" t="s">
        <v>15209</v>
      </c>
      <c r="E6625" s="4">
        <v>558992</v>
      </c>
    </row>
    <row r="6626" spans="1:6" ht="13.5" customHeight="1">
      <c r="A6626" s="4" t="s">
        <v>15210</v>
      </c>
      <c r="B6626" s="4" t="s">
        <v>15162</v>
      </c>
      <c r="C6626" s="4" t="str">
        <f ca="1">IFERROR(__xludf.DUMMYFUNCTION("GOOGLETRANSLATE(D:D,""auto"",""en"")"),"Cathay Pacific passenger information leaked 9.4 million")</f>
        <v>Cathay Pacific passenger information leaked 9.4 million</v>
      </c>
      <c r="D6626" s="5" t="s">
        <v>15211</v>
      </c>
      <c r="E6626" s="4">
        <v>558363</v>
      </c>
      <c r="F6626">
        <v>1</v>
      </c>
    </row>
    <row r="6627" spans="1:6" ht="13.5" customHeight="1">
      <c r="A6627" s="4" t="s">
        <v>15191</v>
      </c>
      <c r="B6627" s="4" t="s">
        <v>15212</v>
      </c>
      <c r="C6627" s="4" t="str">
        <f ca="1">IFERROR(__xludf.DUMMYFUNCTION("GOOGLETRANSLATE(D:D,""auto"",""en"")"),"Facebook employees infected with the new virus crown")</f>
        <v>Facebook employees infected with the new virus crown</v>
      </c>
      <c r="D6627" s="5" t="s">
        <v>15213</v>
      </c>
      <c r="E6627" s="4">
        <v>557882</v>
      </c>
      <c r="F6627">
        <v>1</v>
      </c>
    </row>
    <row r="6628" spans="1:6" ht="13.5" hidden="1" customHeight="1">
      <c r="A6628" s="4" t="s">
        <v>15214</v>
      </c>
      <c r="B6628" s="4" t="s">
        <v>15215</v>
      </c>
      <c r="C6628" s="4" t="str">
        <f ca="1">IFERROR(__xludf.DUMMYFUNCTION("GOOGLETRANSLATE(D:D,""auto"",""en"")"),"Shu Qing Chen Yingjie's sweet")</f>
        <v>Shu Qing Chen Yingjie's sweet</v>
      </c>
      <c r="D6628" s="5" t="s">
        <v>15216</v>
      </c>
      <c r="E6628" s="4">
        <v>557794</v>
      </c>
    </row>
    <row r="6629" spans="1:6" ht="13.5" hidden="1" customHeight="1">
      <c r="A6629" s="4" t="s">
        <v>15217</v>
      </c>
      <c r="B6629" s="4" t="s">
        <v>15139</v>
      </c>
      <c r="C6629" s="4" t="str">
        <f ca="1">IFERROR(__xludf.DUMMYFUNCTION("GOOGLETRANSLATE(D:D,""auto"",""en"")"),"Pure milk hidden magical eat")</f>
        <v>Pure milk hidden magical eat</v>
      </c>
      <c r="D6629" s="5" t="s">
        <v>15218</v>
      </c>
      <c r="E6629" s="4">
        <v>531162</v>
      </c>
    </row>
    <row r="6630" spans="1:6" ht="13.5" customHeight="1">
      <c r="A6630" s="4" t="s">
        <v>15219</v>
      </c>
      <c r="B6630" s="4" t="s">
        <v>15116</v>
      </c>
      <c r="C6630" s="4" t="str">
        <f ca="1">IFERROR(__xludf.DUMMYFUNCTION("GOOGLETRANSLATE(D:D,""auto"",""en"")"),"Wuhan, the new crown the new 126 cases of pneumonia")</f>
        <v>Wuhan, the new crown the new 126 cases of pneumonia</v>
      </c>
      <c r="D6630" s="5" t="s">
        <v>15220</v>
      </c>
      <c r="E6630" s="4">
        <v>507726</v>
      </c>
      <c r="F6630">
        <v>1</v>
      </c>
    </row>
    <row r="6631" spans="1:6" ht="13.5" customHeight="1">
      <c r="A6631" s="4" t="s">
        <v>15221</v>
      </c>
      <c r="B6631" s="4" t="s">
        <v>15222</v>
      </c>
      <c r="C6631" s="4" t="str">
        <f ca="1">IFERROR(__xludf.DUMMYFUNCTION("GOOGLETRANSLATE(D:D,""auto"",""en"")"),"The new crown pneumonia patients discharged accurately call out the names of doctors")</f>
        <v>The new crown pneumonia patients discharged accurately call out the names of doctors</v>
      </c>
      <c r="D6631" s="5" t="s">
        <v>15223</v>
      </c>
      <c r="E6631" s="4">
        <v>487425</v>
      </c>
      <c r="F6631">
        <v>1</v>
      </c>
    </row>
    <row r="6632" spans="1:6" ht="13.5" hidden="1" customHeight="1">
      <c r="A6632" s="4" t="s">
        <v>15224</v>
      </c>
      <c r="B6632" s="4" t="s">
        <v>15225</v>
      </c>
      <c r="C6632" s="4" t="str">
        <f ca="1">IFERROR(__xludf.DUMMYFUNCTION("GOOGLETRANSLATE(D:D,""auto"",""en"")"),"The mansion prototype")</f>
        <v>The mansion prototype</v>
      </c>
      <c r="D6632" s="5" t="s">
        <v>15226</v>
      </c>
      <c r="E6632" s="4">
        <v>420956</v>
      </c>
    </row>
    <row r="6633" spans="1:6" ht="13.5" customHeight="1">
      <c r="A6633" s="4" t="s">
        <v>15227</v>
      </c>
      <c r="B6633" s="4" t="s">
        <v>15189</v>
      </c>
      <c r="C6633" s="4" t="str">
        <f ca="1">IFERROR(__xludf.DUMMYFUNCTION("GOOGLETRANSLATE(D:D,""auto"",""en"")"),"Doctors ZHANG Wen-hong hardcore big truth Collection")</f>
        <v>Doctors ZHANG Wen-hong hardcore big truth Collection</v>
      </c>
      <c r="D6633" s="5" t="s">
        <v>15228</v>
      </c>
      <c r="E6633" s="4">
        <v>384973</v>
      </c>
      <c r="F6633">
        <v>1</v>
      </c>
    </row>
    <row r="6634" spans="1:6" ht="13.5" hidden="1" customHeight="1">
      <c r="A6634" s="4" t="s">
        <v>15229</v>
      </c>
      <c r="B6634" s="4" t="s">
        <v>15230</v>
      </c>
      <c r="C6634" s="4" t="str">
        <f ca="1">IFERROR(__xludf.DUMMYFUNCTION("GOOGLETRANSLATE(D:D,""auto"",""en"")"),"Curry even in three logoshot")</f>
        <v>Curry even in three logoshot</v>
      </c>
      <c r="D6634" s="5" t="s">
        <v>15231</v>
      </c>
      <c r="E6634" s="4">
        <v>373559</v>
      </c>
    </row>
    <row r="6635" spans="1:6" ht="13.5" hidden="1" customHeight="1">
      <c r="A6635" s="4" t="s">
        <v>15232</v>
      </c>
      <c r="B6635" s="4" t="s">
        <v>15233</v>
      </c>
      <c r="C6635" s="4" t="str">
        <f ca="1">IFERROR(__xludf.DUMMYFUNCTION("GOOGLETRANSLATE(D:D,""auto"",""en"")"),"Australian newspaper print blank pages when toilet paper")</f>
        <v>Australian newspaper print blank pages when toilet paper</v>
      </c>
      <c r="D6635" s="5" t="s">
        <v>15234</v>
      </c>
      <c r="E6635" s="4">
        <v>367063</v>
      </c>
    </row>
    <row r="6636" spans="1:6" ht="13.5" hidden="1" customHeight="1">
      <c r="A6636" s="4" t="s">
        <v>15235</v>
      </c>
      <c r="B6636" s="4" t="s">
        <v>15139</v>
      </c>
      <c r="C6636" s="4" t="str">
        <f ca="1">IFERROR(__xludf.DUMMYFUNCTION("GOOGLETRANSLATE(D:D,""auto"",""en"")"),"Zhu shining cute")</f>
        <v>Zhu shining cute</v>
      </c>
      <c r="D6636" s="5" t="s">
        <v>15236</v>
      </c>
      <c r="E6636" s="4">
        <v>358228</v>
      </c>
    </row>
    <row r="6637" spans="1:6" ht="13.5" hidden="1" customHeight="1">
      <c r="A6637" s="4" t="s">
        <v>15237</v>
      </c>
      <c r="B6637" s="4" t="s">
        <v>15238</v>
      </c>
      <c r="C6637" s="4" t="str">
        <f ca="1">IFERROR(__xludf.DUMMYFUNCTION("GOOGLETRANSLATE(D:D,""auto"",""en"")"),"You've seen the best looking guy in the prime person")</f>
        <v>You've seen the best looking guy in the prime person</v>
      </c>
      <c r="D6637" s="5" t="s">
        <v>15239</v>
      </c>
      <c r="E6637" s="4">
        <v>356666</v>
      </c>
    </row>
    <row r="6638" spans="1:6" ht="13.5" customHeight="1">
      <c r="A6638" s="4" t="s">
        <v>15240</v>
      </c>
      <c r="B6638" s="4" t="s">
        <v>15241</v>
      </c>
      <c r="C6638" s="4" t="str">
        <f ca="1">IFERROR(__xludf.DUMMYFUNCTION("GOOGLETRANSLATE(D:D,""auto"",""en"")"),"Iranian Speaker adviser died of pneumonia because of the new crown")</f>
        <v>Iranian Speaker adviser died of pneumonia because of the new crown</v>
      </c>
      <c r="D6638" s="5" t="s">
        <v>15242</v>
      </c>
      <c r="E6638" s="4">
        <v>324656</v>
      </c>
      <c r="F6638">
        <v>1</v>
      </c>
    </row>
    <row r="6639" spans="1:6" ht="13.5" hidden="1" customHeight="1">
      <c r="A6639" s="4" t="s">
        <v>15243</v>
      </c>
      <c r="B6639" s="4" t="s">
        <v>15244</v>
      </c>
      <c r="C6639" s="4" t="str">
        <f ca="1">IFERROR(__xludf.DUMMYFUNCTION("GOOGLETRANSLATE(D:D,""auto"",""en"")"),"SAIC's two subsidiaries pay cut")</f>
        <v>SAIC's two subsidiaries pay cut</v>
      </c>
      <c r="D6639" s="5" t="s">
        <v>15245</v>
      </c>
      <c r="E6639" s="4">
        <v>312456</v>
      </c>
    </row>
    <row r="6640" spans="1:6" ht="13.5" hidden="1" customHeight="1">
      <c r="A6640" s="4" t="s">
        <v>3745</v>
      </c>
      <c r="B6640" s="4" t="s">
        <v>3746</v>
      </c>
      <c r="C6640" s="4" t="str">
        <f ca="1">IFERROR(__xludf.DUMMYFUNCTION("GOOGLETRANSLATE(D:D,""auto"",""en"")"),"Please listen to good friend")</f>
        <v>Please listen to good friend</v>
      </c>
      <c r="D6640" s="5" t="s">
        <v>3747</v>
      </c>
      <c r="E6640" s="4">
        <v>303590</v>
      </c>
    </row>
    <row r="6641" spans="1:6" ht="13.5" customHeight="1">
      <c r="A6641" s="4" t="s">
        <v>15246</v>
      </c>
      <c r="B6641" s="4" t="s">
        <v>15247</v>
      </c>
      <c r="C6641" s="4" t="str">
        <f ca="1">IFERROR(__xludf.DUMMYFUNCTION("GOOGLETRANSLATE(D:D,""auto"",""en"")"),"Beijing new offshore four cases of imported cases of pneumonia new crown")</f>
        <v>Beijing new offshore four cases of imported cases of pneumonia new crown</v>
      </c>
      <c r="D6641" s="5" t="s">
        <v>15248</v>
      </c>
      <c r="E6641" s="4">
        <v>284679</v>
      </c>
      <c r="F6641">
        <v>1</v>
      </c>
    </row>
    <row r="6642" spans="1:6" ht="13.5" customHeight="1">
      <c r="A6642" s="4" t="s">
        <v>15249</v>
      </c>
      <c r="B6642" s="4" t="s">
        <v>15057</v>
      </c>
      <c r="C6642" s="4" t="str">
        <f ca="1">IFERROR(__xludf.DUMMYFUNCTION("GOOGLETRANSLATE(D:D,""auto"",""en"")"),"Shaanxi fight the epidemic frontline health care subsidies for ultra-president was removed from office")</f>
        <v>Shaanxi fight the epidemic frontline health care subsidies for ultra-president was removed from office</v>
      </c>
      <c r="D6642" s="5" t="s">
        <v>15250</v>
      </c>
      <c r="E6642" s="4">
        <v>274322</v>
      </c>
      <c r="F6642">
        <v>1</v>
      </c>
    </row>
    <row r="6643" spans="1:6" ht="13.5" hidden="1" customHeight="1">
      <c r="A6643" s="4" t="s">
        <v>15249</v>
      </c>
      <c r="B6643" s="4" t="s">
        <v>15238</v>
      </c>
      <c r="C6643" s="4" t="str">
        <f ca="1">IFERROR(__xludf.DUMMYFUNCTION("GOOGLETRANSLATE(D:D,""auto"",""en"")"),"In order to write the lyrics and rhyme")</f>
        <v>In order to write the lyrics and rhyme</v>
      </c>
      <c r="D6643" s="5" t="s">
        <v>15251</v>
      </c>
      <c r="E6643" s="4">
        <v>259149</v>
      </c>
    </row>
    <row r="6644" spans="1:6" ht="13.5" hidden="1" customHeight="1">
      <c r="A6644" s="4" t="s">
        <v>15252</v>
      </c>
      <c r="B6644" s="4" t="s">
        <v>15253</v>
      </c>
      <c r="C6644" s="4" t="str">
        <f ca="1">IFERROR(__xludf.DUMMYFUNCTION("GOOGLETRANSLATE(D:D,""auto"",""en"")"),"US stocks suffered another setback")</f>
        <v>US stocks suffered another setback</v>
      </c>
      <c r="D6644" s="5" t="s">
        <v>15254</v>
      </c>
      <c r="E6644" s="4">
        <v>258578</v>
      </c>
    </row>
    <row r="6645" spans="1:6" ht="13.5" customHeight="1">
      <c r="A6645" s="4" t="s">
        <v>15246</v>
      </c>
      <c r="B6645" s="4" t="s">
        <v>15097</v>
      </c>
      <c r="C6645" s="4" t="str">
        <f ca="1">IFERROR(__xludf.DUMMYFUNCTION("GOOGLETRANSLATE(D:D,""auto"",""en"")"),"South Korea's new crown rose to 6284 people diagnosed with pneumonia")</f>
        <v>South Korea's new crown rose to 6284 people diagnosed with pneumonia</v>
      </c>
      <c r="D6645" s="5" t="s">
        <v>15255</v>
      </c>
      <c r="E6645" s="4">
        <v>258517</v>
      </c>
      <c r="F6645">
        <v>1</v>
      </c>
    </row>
    <row r="6646" spans="1:6" ht="13.5" hidden="1" customHeight="1">
      <c r="A6646" s="4" t="s">
        <v>15256</v>
      </c>
      <c r="B6646" s="4" t="s">
        <v>15200</v>
      </c>
      <c r="C6646" s="4" t="str">
        <f ca="1">IFERROR(__xludf.DUMMYFUNCTION("GOOGLETRANSLATE(D:D,""auto"",""en"")"),"Resolutely stop discrimination against Chinese citizens incident")</f>
        <v>Resolutely stop discrimination against Chinese citizens incident</v>
      </c>
      <c r="D6646" s="5" t="s">
        <v>15257</v>
      </c>
      <c r="E6646" s="4">
        <v>246460</v>
      </c>
    </row>
    <row r="6647" spans="1:6" ht="13.5" customHeight="1">
      <c r="A6647" s="4" t="s">
        <v>15258</v>
      </c>
      <c r="B6647" s="4" t="s">
        <v>15233</v>
      </c>
      <c r="C6647" s="4" t="str">
        <f ca="1">IFERROR(__xludf.DUMMYFUNCTION("GOOGLETRANSLATE(D:D,""auto"",""en"")"),"Near the Olympic flame lighting found in patients with pneumonia new crown")</f>
        <v>Near the Olympic flame lighting found in patients with pneumonia new crown</v>
      </c>
      <c r="D6647" s="5" t="s">
        <v>15259</v>
      </c>
      <c r="E6647" s="4">
        <v>232936</v>
      </c>
      <c r="F6647">
        <v>1</v>
      </c>
    </row>
    <row r="6648" spans="1:6" ht="13.5" customHeight="1">
      <c r="A6648" s="4" t="s">
        <v>15260</v>
      </c>
      <c r="B6648" s="4" t="s">
        <v>15215</v>
      </c>
      <c r="C6648" s="4" t="str">
        <f ca="1">IFERROR(__xludf.DUMMYFUNCTION("GOOGLETRANSLATE(D:D,""auto"",""en"")"),"Woman sneaked into the isolation ward stealing four people were accountable")</f>
        <v>Woman sneaked into the isolation ward stealing four people were accountable</v>
      </c>
      <c r="D6648" s="5" t="s">
        <v>15261</v>
      </c>
      <c r="E6648" s="4">
        <v>229854</v>
      </c>
      <c r="F6648">
        <v>1</v>
      </c>
    </row>
    <row r="6649" spans="1:6" ht="13.5" customHeight="1">
      <c r="A6649" s="4" t="s">
        <v>15072</v>
      </c>
      <c r="B6649" s="4" t="s">
        <v>15054</v>
      </c>
      <c r="C6649" s="4" t="str">
        <f ca="1">IFERROR(__xludf.DUMMYFUNCTION("GOOGLETRANSLATE(D:D,""auto"",""en"")"),"Wuhan hospital video connection Hospital Italy")</f>
        <v>Wuhan hospital video connection Hospital Italy</v>
      </c>
      <c r="D6649" s="5" t="s">
        <v>15262</v>
      </c>
      <c r="E6649" s="4">
        <v>213612</v>
      </c>
      <c r="F6649">
        <v>1</v>
      </c>
    </row>
    <row r="6650" spans="1:6" ht="13.5" hidden="1" customHeight="1">
      <c r="A6650" s="4" t="s">
        <v>15263</v>
      </c>
      <c r="B6650" s="4" t="s">
        <v>15264</v>
      </c>
      <c r="C6650" s="4" t="str">
        <f ca="1">IFERROR(__xludf.DUMMYFUNCTION("GOOGLETRANSLATE(D:D,""auto"",""en"")"),"Cherry Makeup")</f>
        <v>Cherry Makeup</v>
      </c>
      <c r="D6650" s="5" t="s">
        <v>15265</v>
      </c>
      <c r="E6650" s="4">
        <v>200598</v>
      </c>
    </row>
    <row r="6651" spans="1:6" ht="13.5" hidden="1" customHeight="1">
      <c r="A6651" s="4" t="s">
        <v>15072</v>
      </c>
      <c r="B6651" s="4" t="s">
        <v>15073</v>
      </c>
      <c r="C6651" s="4" t="str">
        <f ca="1">IFERROR(__xludf.DUMMYFUNCTION("GOOGLETRANSLATE(D:D,""auto"",""en"")"),"Parents let slip things")</f>
        <v>Parents let slip things</v>
      </c>
      <c r="D6651" s="5" t="s">
        <v>15074</v>
      </c>
      <c r="E6651" s="4">
        <v>198226</v>
      </c>
    </row>
    <row r="6652" spans="1:6" ht="13.5" customHeight="1">
      <c r="A6652" s="4" t="s">
        <v>15266</v>
      </c>
      <c r="B6652" s="4" t="s">
        <v>15267</v>
      </c>
      <c r="C6652" s="4" t="str">
        <f ca="1">IFERROR(__xludf.DUMMYFUNCTION("GOOGLETRANSLATE(D:D,""auto"",""en"")"),"Britain is no longer day more confirmed cases cited dissatisfaction with position")</f>
        <v>Britain is no longer day more confirmed cases cited dissatisfaction with position</v>
      </c>
      <c r="D6652" s="5" t="s">
        <v>15268</v>
      </c>
      <c r="E6652" s="4">
        <v>183053</v>
      </c>
      <c r="F6652">
        <v>1</v>
      </c>
    </row>
    <row r="6653" spans="1:6" ht="13.5" hidden="1" customHeight="1">
      <c r="A6653" s="4" t="s">
        <v>14826</v>
      </c>
      <c r="B6653" s="4" t="s">
        <v>14827</v>
      </c>
      <c r="C6653" s="4" t="str">
        <f ca="1">IFERROR(__xludf.DUMMYFUNCTION("GOOGLETRANSLATE(D:D,""auto"",""en"")"),"Li Jiaqi")</f>
        <v>Li Jiaqi</v>
      </c>
      <c r="D6653" s="5" t="s">
        <v>14828</v>
      </c>
      <c r="E6653" s="4">
        <v>158472</v>
      </c>
    </row>
    <row r="6654" spans="1:6" ht="13.5" hidden="1" customHeight="1">
      <c r="A6654" s="4" t="s">
        <v>15269</v>
      </c>
      <c r="B6654" s="4" t="s">
        <v>15270</v>
      </c>
      <c r="C6654" s="4" t="str">
        <f ca="1">IFERROR(__xludf.DUMMYFUNCTION("GOOGLETRANSLATE(D:D,""auto"",""en"")"),"Zhang Zhi Qatar race and first-round exit")</f>
        <v>Zhang Zhi Qatar race and first-round exit</v>
      </c>
      <c r="D6654" s="5" t="s">
        <v>15271</v>
      </c>
      <c r="E6654" s="4">
        <v>113121</v>
      </c>
    </row>
    <row r="6655" spans="1:6" ht="13.5" customHeight="1">
      <c r="A6655" s="4" t="s">
        <v>15272</v>
      </c>
      <c r="B6655" s="4" t="s">
        <v>15264</v>
      </c>
      <c r="C6655" s="4" t="str">
        <f ca="1">IFERROR(__xludf.DUMMYFUNCTION("GOOGLETRANSLATE(D:D,""auto"",""en"")"),"Postal courier industry to return to work rate has reached 90.2%")</f>
        <v>Postal courier industry to return to work rate has reached 90.2%</v>
      </c>
      <c r="D6655" s="5" t="s">
        <v>15273</v>
      </c>
      <c r="E6655" s="4">
        <v>112482</v>
      </c>
      <c r="F6655">
        <v>1</v>
      </c>
    </row>
    <row r="6656" spans="1:6" ht="13.5" hidden="1" customHeight="1">
      <c r="C6656" s="4" t="str">
        <f ca="1">IFERROR(__xludf.DUMMYFUNCTION("GOOGLETRANSLATE(D:D,""auto"",""en"")"),"#VALUE!")</f>
        <v>#VALUE!</v>
      </c>
    </row>
    <row r="6657" spans="1:6" ht="13.5" hidden="1" customHeight="1">
      <c r="A6657" s="4" t="s">
        <v>15274</v>
      </c>
      <c r="B6657" s="4" t="s">
        <v>15275</v>
      </c>
      <c r="C6657" s="4" t="str">
        <f ca="1">IFERROR(__xludf.DUMMYFUNCTION("GOOGLETRANSLATE(D:D,""auto"",""en"")"),"Aunt May is 15 years trafficked children found")</f>
        <v>Aunt May is 15 years trafficked children found</v>
      </c>
      <c r="D6657" s="4" t="s">
        <v>15276</v>
      </c>
      <c r="E6657" s="4">
        <v>3331472</v>
      </c>
    </row>
    <row r="6658" spans="1:6" ht="13.5" hidden="1" customHeight="1">
      <c r="A6658" s="4" t="s">
        <v>15277</v>
      </c>
      <c r="B6658" s="4" t="s">
        <v>15278</v>
      </c>
      <c r="C6658" s="4" t="str">
        <f ca="1">IFERROR(__xludf.DUMMYFUNCTION("GOOGLETRANSLATE(D:D,""auto"",""en"")"),"Zheng Shuang Yu Hao Ming hug")</f>
        <v>Zheng Shuang Yu Hao Ming hug</v>
      </c>
      <c r="D6658" s="5" t="s">
        <v>15279</v>
      </c>
      <c r="E6658" s="4">
        <v>2596986</v>
      </c>
    </row>
    <row r="6659" spans="1:6" ht="13.5" hidden="1" customHeight="1">
      <c r="A6659" s="4" t="s">
        <v>15280</v>
      </c>
      <c r="B6659" s="4" t="s">
        <v>15281</v>
      </c>
      <c r="C6659" s="4" t="str">
        <f ca="1">IFERROR(__xludf.DUMMYFUNCTION("GOOGLETRANSLATE(D:D,""auto"",""en"")"),"Shen Teng faceless men so funny")</f>
        <v>Shen Teng faceless men so funny</v>
      </c>
      <c r="D6659" s="5" t="s">
        <v>15282</v>
      </c>
      <c r="E6659" s="4">
        <v>1866101</v>
      </c>
    </row>
    <row r="6660" spans="1:6" ht="13.5" hidden="1" customHeight="1">
      <c r="A6660" s="4" t="s">
        <v>15283</v>
      </c>
      <c r="B6660" s="4" t="s">
        <v>15281</v>
      </c>
      <c r="C6660" s="4" t="str">
        <f ca="1">IFERROR(__xludf.DUMMYFUNCTION("GOOGLETRANSLATE(D:D,""auto"",""en"")"),"Shuang Cheng Guan Xiaotong Frozen")</f>
        <v>Shuang Cheng Guan Xiaotong Frozen</v>
      </c>
      <c r="D6660" s="5" t="s">
        <v>15284</v>
      </c>
      <c r="E6660" s="4">
        <v>1657477</v>
      </c>
    </row>
    <row r="6661" spans="1:6" ht="13.5" customHeight="1">
      <c r="A6661" s="4" t="s">
        <v>15285</v>
      </c>
      <c r="B6661" s="4" t="s">
        <v>15286</v>
      </c>
      <c r="C6661" s="4" t="str">
        <f ca="1">IFERROR(__xludf.DUMMYFUNCTION("GOOGLETRANSLATE(D:D,""auto"",""en"")"),"Tokyo Olympic Organizing Committee to cancel student performances on the torch ceremony")</f>
        <v>Tokyo Olympic Organizing Committee to cancel student performances on the torch ceremony</v>
      </c>
      <c r="D6661" s="5" t="s">
        <v>15287</v>
      </c>
      <c r="E6661" s="4">
        <v>1378361</v>
      </c>
      <c r="F6661">
        <v>1</v>
      </c>
    </row>
    <row r="6662" spans="1:6" ht="13.5" hidden="1" customHeight="1">
      <c r="A6662" s="4" t="s">
        <v>15288</v>
      </c>
      <c r="B6662" s="4" t="s">
        <v>15289</v>
      </c>
      <c r="C6662" s="4" t="str">
        <f ca="1">IFERROR(__xludf.DUMMYFUNCTION("GOOGLETRANSLATE(D:D,""auto"",""en"")"),"Qingyu years to shoot movies")</f>
        <v>Qingyu years to shoot movies</v>
      </c>
      <c r="D6662" s="5" t="s">
        <v>15290</v>
      </c>
      <c r="E6662" s="4">
        <v>1147388</v>
      </c>
    </row>
    <row r="6663" spans="1:6" ht="13.5" hidden="1" customHeight="1">
      <c r="A6663" s="4" t="s">
        <v>15291</v>
      </c>
      <c r="B6663" s="4" t="s">
        <v>15292</v>
      </c>
      <c r="C6663" s="4" t="str">
        <f ca="1">IFERROR(__xludf.DUMMYFUNCTION("GOOGLETRANSLATE(D:D,""auto"",""en"")"),"Stella Ye Donglie Kissing")</f>
        <v>Stella Ye Donglie Kissing</v>
      </c>
      <c r="D6663" s="5" t="s">
        <v>15293</v>
      </c>
      <c r="E6663" s="4">
        <v>1119854</v>
      </c>
    </row>
    <row r="6664" spans="1:6" ht="13.5" customHeight="1">
      <c r="A6664" s="4" t="s">
        <v>15294</v>
      </c>
      <c r="B6664" s="4" t="s">
        <v>15295</v>
      </c>
      <c r="C6664" s="4" t="str">
        <f ca="1">IFERROR(__xludf.DUMMYFUNCTION("GOOGLETRANSLATE(D:D,""auto"",""en"")"),"Confirmed cases worldwide has reached 100,000 cases")</f>
        <v>Confirmed cases worldwide has reached 100,000 cases</v>
      </c>
      <c r="D6664" s="5" t="s">
        <v>15296</v>
      </c>
      <c r="E6664" s="4">
        <v>837768</v>
      </c>
      <c r="F6664">
        <v>1</v>
      </c>
    </row>
    <row r="6665" spans="1:6" ht="13.5" customHeight="1">
      <c r="A6665" s="4" t="s">
        <v>15277</v>
      </c>
      <c r="B6665" s="4" t="s">
        <v>15297</v>
      </c>
      <c r="C6665" s="4" t="str">
        <f ca="1">IFERROR(__xludf.DUMMYFUNCTION("GOOGLETRANSLATE(D:D,""auto"",""en"")"),"Add 17 cases of pneumonia foreign Gansu enter a new crown")</f>
        <v>Add 17 cases of pneumonia foreign Gansu enter a new crown</v>
      </c>
      <c r="D6665" s="5" t="s">
        <v>15298</v>
      </c>
      <c r="E6665" s="4">
        <v>793103</v>
      </c>
      <c r="F6665">
        <v>1</v>
      </c>
    </row>
    <row r="6666" spans="1:6" ht="13.5" hidden="1" customHeight="1">
      <c r="A6666" s="4" t="s">
        <v>15299</v>
      </c>
      <c r="B6666" s="4" t="s">
        <v>15300</v>
      </c>
      <c r="C6666" s="4" t="str">
        <f ca="1">IFERROR(__xludf.DUMMYFUNCTION("GOOGLETRANSLATE(D:D,""auto"",""en"")"),"Jiang Dalin Tanxin Kai broke")</f>
        <v>Jiang Dalin Tanxin Kai broke</v>
      </c>
      <c r="D6666" s="5" t="s">
        <v>15301</v>
      </c>
      <c r="E6666" s="4">
        <v>784461</v>
      </c>
    </row>
    <row r="6667" spans="1:6" ht="13.5" hidden="1" customHeight="1">
      <c r="A6667" s="4" t="s">
        <v>15302</v>
      </c>
      <c r="B6667" s="4" t="s">
        <v>15303</v>
      </c>
      <c r="C6667" s="4" t="str">
        <f ca="1">IFERROR(__xludf.DUMMYFUNCTION("GOOGLETRANSLATE(D:D,""auto"",""en"")"),"May you be in this world to be gentle")</f>
        <v>May you be in this world to be gentle</v>
      </c>
      <c r="D6667" s="5" t="s">
        <v>15304</v>
      </c>
      <c r="E6667" s="4">
        <v>737540</v>
      </c>
    </row>
    <row r="6668" spans="1:6" ht="13.5" hidden="1" customHeight="1">
      <c r="A6668" s="4" t="s">
        <v>15305</v>
      </c>
      <c r="B6668" s="4" t="s">
        <v>15306</v>
      </c>
      <c r="C6668" s="4" t="str">
        <f ca="1">IFERROR(__xludf.DUMMYFUNCTION("GOOGLETRANSLATE(D:D,""auto"",""en"")"),"Since even been wearing a double open")</f>
        <v>Since even been wearing a double open</v>
      </c>
      <c r="D6668" s="5" t="s">
        <v>15307</v>
      </c>
      <c r="E6668" s="4">
        <v>675341</v>
      </c>
    </row>
    <row r="6669" spans="1:6" ht="13.5" hidden="1" customHeight="1">
      <c r="A6669" s="4" t="s">
        <v>15308</v>
      </c>
      <c r="B6669" s="4" t="s">
        <v>15309</v>
      </c>
      <c r="C6669" s="4" t="str">
        <f ca="1">IFERROR(__xludf.DUMMYFUNCTION("GOOGLETRANSLATE(D:D,""auto"",""en"")"),"Octogenarian grandmother cured kneel thanks")</f>
        <v>Octogenarian grandmother cured kneel thanks</v>
      </c>
      <c r="D6669" s="5" t="s">
        <v>15310</v>
      </c>
      <c r="E6669" s="4">
        <v>656122</v>
      </c>
    </row>
    <row r="6670" spans="1:6" ht="13.5" hidden="1" customHeight="1">
      <c r="A6670" s="4" t="s">
        <v>15311</v>
      </c>
      <c r="B6670" s="4" t="s">
        <v>15312</v>
      </c>
      <c r="C6670" s="4" t="str">
        <f ca="1">IFERROR(__xludf.DUMMYFUNCTION("GOOGLETRANSLATE(D:D,""auto"",""en"")"),"Rooms are bright single jump")</f>
        <v>Rooms are bright single jump</v>
      </c>
      <c r="D6670" s="5" t="s">
        <v>15313</v>
      </c>
      <c r="E6670" s="4">
        <v>632631</v>
      </c>
    </row>
    <row r="6671" spans="1:6" ht="13.5" hidden="1" customHeight="1">
      <c r="A6671" s="4" t="s">
        <v>15314</v>
      </c>
      <c r="B6671" s="4" t="s">
        <v>15281</v>
      </c>
      <c r="C6671" s="4" t="str">
        <f ca="1">IFERROR(__xludf.DUMMYFUNCTION("GOOGLETRANSLATE(D:D,""auto"",""en"")"),"Huachen Yu cos Rebels")</f>
        <v>Huachen Yu cos Rebels</v>
      </c>
      <c r="D6671" s="5" t="s">
        <v>15315</v>
      </c>
      <c r="E6671" s="4">
        <v>617077</v>
      </c>
    </row>
    <row r="6672" spans="1:6" ht="13.5" hidden="1" customHeight="1">
      <c r="A6672" s="4" t="s">
        <v>15316</v>
      </c>
      <c r="B6672" s="4" t="s">
        <v>15317</v>
      </c>
      <c r="C6672" s="4" t="str">
        <f ca="1">IFERROR(__xludf.DUMMYFUNCTION("GOOGLETRANSLATE(D:D,""auto"",""en"")"),"China issued 11.2 billion yuan of subsidies steady return of post")</f>
        <v>China issued 11.2 billion yuan of subsidies steady return of post</v>
      </c>
      <c r="D6672" s="5" t="s">
        <v>15318</v>
      </c>
      <c r="E6672" s="4">
        <v>506921</v>
      </c>
    </row>
    <row r="6673" spans="1:6" ht="13.5" hidden="1" customHeight="1">
      <c r="A6673" s="4" t="s">
        <v>2917</v>
      </c>
      <c r="B6673" s="4" t="s">
        <v>2918</v>
      </c>
      <c r="C6673" s="4" t="str">
        <f ca="1">IFERROR(__xludf.DUMMYFUNCTION("GOOGLETRANSLATE(D:D,""auto"",""en"")"),"Negotiator")</f>
        <v>Negotiator</v>
      </c>
      <c r="D6673" s="5" t="s">
        <v>2919</v>
      </c>
      <c r="E6673" s="4">
        <v>488132</v>
      </c>
    </row>
    <row r="6674" spans="1:6" ht="13.5" hidden="1" customHeight="1">
      <c r="A6674" s="4" t="s">
        <v>15319</v>
      </c>
      <c r="B6674" s="4" t="s">
        <v>15320</v>
      </c>
      <c r="C6674" s="4" t="str">
        <f ca="1">IFERROR(__xludf.DUMMYFUNCTION("GOOGLETRANSLATE(D:D,""auto"",""en"")"),"Song Weilong to Silvia studio")</f>
        <v>Song Weilong to Silvia studio</v>
      </c>
      <c r="D6674" s="5" t="s">
        <v>15321</v>
      </c>
      <c r="E6674" s="4">
        <v>465660</v>
      </c>
    </row>
    <row r="6675" spans="1:6" ht="13.5" customHeight="1">
      <c r="A6675" s="4" t="s">
        <v>15322</v>
      </c>
      <c r="B6675" s="4" t="s">
        <v>15323</v>
      </c>
      <c r="C6675" s="4" t="str">
        <f ca="1">IFERROR(__xludf.DUMMYFUNCTION("GOOGLETRANSLATE(D:D,""auto"",""en"")"),"Students sharing meals invention Admiralty fork anti-cross-infection")</f>
        <v>Students sharing meals invention Admiralty fork anti-cross-infection</v>
      </c>
      <c r="D6675" s="5" t="s">
        <v>15324</v>
      </c>
      <c r="E6675" s="4">
        <v>455486</v>
      </c>
      <c r="F6675">
        <v>1</v>
      </c>
    </row>
    <row r="6676" spans="1:6" ht="13.5" hidden="1" customHeight="1">
      <c r="A6676" s="4" t="s">
        <v>15325</v>
      </c>
      <c r="B6676" s="4" t="s">
        <v>15326</v>
      </c>
      <c r="C6676" s="4" t="str">
        <f ca="1">IFERROR(__xludf.DUMMYFUNCTION("GOOGLETRANSLATE(D:D,""auto"",""en"")"),"Southern Medical Jian Shaan suspects were arrested")</f>
        <v>Southern Medical Jian Shaan suspects were arrested</v>
      </c>
      <c r="D6676" s="5" t="s">
        <v>15327</v>
      </c>
      <c r="E6676" s="4">
        <v>442169</v>
      </c>
    </row>
    <row r="6677" spans="1:6" ht="13.5" hidden="1" customHeight="1">
      <c r="A6677" s="4" t="s">
        <v>14826</v>
      </c>
      <c r="B6677" s="4" t="s">
        <v>14827</v>
      </c>
      <c r="C6677" s="4" t="str">
        <f ca="1">IFERROR(__xludf.DUMMYFUNCTION("GOOGLETRANSLATE(D:D,""auto"",""en"")"),"Li Jiaqi")</f>
        <v>Li Jiaqi</v>
      </c>
      <c r="D6677" s="5" t="s">
        <v>14828</v>
      </c>
      <c r="E6677" s="4">
        <v>439571</v>
      </c>
    </row>
    <row r="6678" spans="1:6" ht="13.5" hidden="1" customHeight="1">
      <c r="A6678" s="4" t="s">
        <v>15328</v>
      </c>
      <c r="B6678" s="4" t="s">
        <v>15329</v>
      </c>
      <c r="C6678" s="4" t="str">
        <f ca="1">IFERROR(__xludf.DUMMYFUNCTION("GOOGLETRANSLATE(D:D,""auto"",""en"")"),"Settle Ni Haitang")</f>
        <v>Settle Ni Haitang</v>
      </c>
      <c r="D6678" s="5" t="s">
        <v>15330</v>
      </c>
      <c r="E6678" s="4">
        <v>428079</v>
      </c>
    </row>
    <row r="6679" spans="1:6" ht="13.5" customHeight="1">
      <c r="A6679" s="4" t="s">
        <v>15331</v>
      </c>
      <c r="B6679" s="4" t="s">
        <v>15332</v>
      </c>
      <c r="C6679" s="4" t="str">
        <f ca="1">IFERROR(__xludf.DUMMYFUNCTION("GOOGLETRANSLATE(D:D,""auto"",""en"")"),"Central Steering Group to respond to Wuhan residents shouted fake fake")</f>
        <v>Central Steering Group to respond to Wuhan residents shouted fake fake</v>
      </c>
      <c r="D6679" s="5" t="s">
        <v>15333</v>
      </c>
      <c r="E6679" s="4">
        <v>393508</v>
      </c>
      <c r="F6679">
        <v>1</v>
      </c>
    </row>
    <row r="6680" spans="1:6" ht="13.5" hidden="1" customHeight="1">
      <c r="A6680" s="4" t="s">
        <v>13469</v>
      </c>
      <c r="B6680" s="4" t="s">
        <v>13470</v>
      </c>
      <c r="C6680" s="4" t="str">
        <f ca="1">IFERROR(__xludf.DUMMYFUNCTION("GOOGLETRANSLATE(D:D,""auto"",""en"")"),"US stocks fell")</f>
        <v>US stocks fell</v>
      </c>
      <c r="D6680" s="5" t="s">
        <v>13471</v>
      </c>
      <c r="E6680" s="4">
        <v>379098</v>
      </c>
    </row>
    <row r="6681" spans="1:6" ht="13.5" hidden="1" customHeight="1">
      <c r="A6681" s="4" t="s">
        <v>12063</v>
      </c>
      <c r="B6681" s="4" t="s">
        <v>12051</v>
      </c>
      <c r="C6681" s="4" t="str">
        <f ca="1">IFERROR(__xludf.DUMMYFUNCTION("GOOGLETRANSLATE(D:D,""auto"",""en"")"),"settle down")</f>
        <v>settle down</v>
      </c>
      <c r="D6681" s="5" t="s">
        <v>12064</v>
      </c>
      <c r="E6681" s="4">
        <v>378758</v>
      </c>
    </row>
    <row r="6682" spans="1:6" ht="13.5" hidden="1" customHeight="1">
      <c r="A6682" s="4" t="s">
        <v>15334</v>
      </c>
      <c r="B6682" s="4" t="s">
        <v>15161</v>
      </c>
      <c r="C6682" s="4" t="str">
        <f ca="1">IFERROR(__xludf.DUMMYFUNCTION("GOOGLETRANSLATE(D:D,""auto"",""en"")"),"Lin update with the humanities")</f>
        <v>Lin update with the humanities</v>
      </c>
      <c r="D6682" s="5" t="s">
        <v>15335</v>
      </c>
      <c r="E6682" s="4">
        <v>378669</v>
      </c>
    </row>
    <row r="6683" spans="1:6" ht="13.5" hidden="1" customHeight="1">
      <c r="A6683" s="4" t="s">
        <v>15336</v>
      </c>
      <c r="B6683" s="4" t="s">
        <v>15337</v>
      </c>
      <c r="C6683" s="4" t="str">
        <f ca="1">IFERROR(__xludf.DUMMYFUNCTION("GOOGLETRANSLATE(D:D,""auto"",""en"")"),"A dream had not blue")</f>
        <v>A dream had not blue</v>
      </c>
      <c r="D6683" s="5" t="s">
        <v>15338</v>
      </c>
      <c r="E6683" s="4">
        <v>375597</v>
      </c>
    </row>
    <row r="6684" spans="1:6" ht="13.5" hidden="1" customHeight="1">
      <c r="A6684" s="4" t="s">
        <v>15316</v>
      </c>
      <c r="B6684" s="4" t="s">
        <v>15339</v>
      </c>
      <c r="C6684" s="4" t="str">
        <f ca="1">IFERROR(__xludf.DUMMYFUNCTION("GOOGLETRANSLATE(D:D,""auto"",""en"")"),"Xiamen in the end how beautiful")</f>
        <v>Xiamen in the end how beautiful</v>
      </c>
      <c r="D6684" s="5" t="s">
        <v>15340</v>
      </c>
      <c r="E6684" s="4">
        <v>331008</v>
      </c>
    </row>
    <row r="6685" spans="1:6" ht="13.5" customHeight="1">
      <c r="A6685" s="4" t="s">
        <v>15341</v>
      </c>
      <c r="B6685" s="4" t="s">
        <v>15342</v>
      </c>
      <c r="C6685" s="4" t="str">
        <f ca="1">IFERROR(__xludf.DUMMYFUNCTION("GOOGLETRANSLATE(D:D,""auto"",""en"")"),"South Korea is a collective 71.7% of confirmed cases of infection")</f>
        <v>South Korea is a collective 71.7% of confirmed cases of infection</v>
      </c>
      <c r="D6685" s="5" t="s">
        <v>15343</v>
      </c>
      <c r="E6685" s="4">
        <v>324689</v>
      </c>
      <c r="F6685">
        <v>1</v>
      </c>
    </row>
    <row r="6686" spans="1:6" ht="13.5" hidden="1" customHeight="1">
      <c r="A6686" s="4" t="s">
        <v>15299</v>
      </c>
      <c r="B6686" s="4" t="s">
        <v>15326</v>
      </c>
      <c r="C6686" s="4" t="str">
        <f ca="1">IFERROR(__xludf.DUMMYFUNCTION("GOOGLETRANSLATE(D:D,""auto"",""en"")"),"Hand-built villa parasites")</f>
        <v>Hand-built villa parasites</v>
      </c>
      <c r="D6686" s="5" t="s">
        <v>15344</v>
      </c>
      <c r="E6686" s="4">
        <v>320911</v>
      </c>
    </row>
    <row r="6687" spans="1:6" ht="13.5" hidden="1" customHeight="1">
      <c r="A6687" s="4" t="s">
        <v>15334</v>
      </c>
      <c r="B6687" s="4" t="s">
        <v>15275</v>
      </c>
      <c r="C6687" s="4" t="str">
        <f ca="1">IFERROR(__xludf.DUMMYFUNCTION("GOOGLETRANSLATE(D:D,""auto"",""en"")"),"We Huachen Yu")</f>
        <v>We Huachen Yu</v>
      </c>
      <c r="D6687" s="5" t="s">
        <v>15345</v>
      </c>
      <c r="E6687" s="4">
        <v>309631</v>
      </c>
    </row>
    <row r="6688" spans="1:6" ht="13.5" hidden="1" customHeight="1">
      <c r="A6688" s="4" t="s">
        <v>10368</v>
      </c>
      <c r="B6688" s="4" t="s">
        <v>10369</v>
      </c>
      <c r="C6688" s="4" t="str">
        <f ca="1">IFERROR(__xludf.DUMMYFUNCTION("GOOGLETRANSLATE(D:D,""auto"",""en"")"),"singer")</f>
        <v>singer</v>
      </c>
      <c r="D6688" s="5" t="s">
        <v>10370</v>
      </c>
      <c r="E6688" s="4">
        <v>299507</v>
      </c>
    </row>
    <row r="6689" spans="1:6" ht="13.5" hidden="1" customHeight="1">
      <c r="A6689" s="4" t="s">
        <v>15346</v>
      </c>
      <c r="B6689" s="4" t="s">
        <v>15347</v>
      </c>
      <c r="C6689" s="4" t="str">
        <f ca="1">IFERROR(__xludf.DUMMYFUNCTION("GOOGLETRANSLATE(D:D,""auto"",""en"")"),"Joke lawyers declaration")</f>
        <v>Joke lawyers declaration</v>
      </c>
      <c r="D6689" s="5" t="s">
        <v>15348</v>
      </c>
      <c r="E6689" s="4">
        <v>285917</v>
      </c>
    </row>
    <row r="6690" spans="1:6" ht="13.5" customHeight="1">
      <c r="A6690" s="4" t="s">
        <v>15349</v>
      </c>
      <c r="B6690" s="4" t="s">
        <v>15350</v>
      </c>
      <c r="C6690" s="4" t="str">
        <f ca="1">IFERROR(__xludf.DUMMYFUNCTION("GOOGLETRANSLATE(D:D,""auto"",""en"")"),"9-year-old girl and I thank you for Wuhan")</f>
        <v>9-year-old girl and I thank you for Wuhan</v>
      </c>
      <c r="D6690" s="5" t="s">
        <v>15351</v>
      </c>
      <c r="E6690" s="4">
        <v>266152</v>
      </c>
      <c r="F6690">
        <v>1</v>
      </c>
    </row>
    <row r="6691" spans="1:6" ht="13.5" hidden="1" customHeight="1">
      <c r="A6691" s="4" t="s">
        <v>15352</v>
      </c>
      <c r="B6691" s="4" t="s">
        <v>15353</v>
      </c>
      <c r="C6691" s="4" t="str">
        <f ca="1">IFERROR(__xludf.DUMMYFUNCTION("GOOGLETRANSLATE(D:D,""auto"",""en"")"),"Pork sweater")</f>
        <v>Pork sweater</v>
      </c>
      <c r="D6691" s="5" t="s">
        <v>15354</v>
      </c>
      <c r="E6691" s="4">
        <v>254435</v>
      </c>
    </row>
    <row r="6692" spans="1:6" ht="13.5" hidden="1" customHeight="1">
      <c r="A6692" s="4" t="s">
        <v>15355</v>
      </c>
      <c r="B6692" s="4" t="s">
        <v>15309</v>
      </c>
      <c r="C6692" s="4" t="str">
        <f ca="1">IFERROR(__xludf.DUMMYFUNCTION("GOOGLETRANSLATE(D:D,""auto"",""en"")"),"Girls finished his mentality of the selfie")</f>
        <v>Girls finished his mentality of the selfie</v>
      </c>
      <c r="D6692" s="5" t="s">
        <v>15356</v>
      </c>
      <c r="E6692" s="4">
        <v>252630</v>
      </c>
    </row>
    <row r="6693" spans="1:6" ht="13.5" hidden="1" customHeight="1">
      <c r="A6693" s="4" t="s">
        <v>15357</v>
      </c>
      <c r="B6693" s="4" t="s">
        <v>15358</v>
      </c>
      <c r="C6693" s="4" t="str">
        <f ca="1">IFERROR(__xludf.DUMMYFUNCTION("GOOGLETRANSLATE(D:D,""auto"",""en"")"),"on Saturday")</f>
        <v>on Saturday</v>
      </c>
      <c r="D6693" s="5" t="s">
        <v>15359</v>
      </c>
      <c r="E6693" s="4">
        <v>250262</v>
      </c>
    </row>
    <row r="6694" spans="1:6" ht="13.5" hidden="1" customHeight="1">
      <c r="A6694" s="4" t="s">
        <v>15360</v>
      </c>
      <c r="B6694" s="4" t="s">
        <v>15361</v>
      </c>
      <c r="C6694" s="4" t="str">
        <f ca="1">IFERROR(__xludf.DUMMYFUNCTION("GOOGLETRANSLATE(D:D,""auto"",""en"")"),"OPPO")</f>
        <v>OPPO</v>
      </c>
      <c r="D6694" s="5" t="s">
        <v>15362</v>
      </c>
      <c r="E6694" s="4">
        <v>228026</v>
      </c>
    </row>
    <row r="6695" spans="1:6" ht="13.5" customHeight="1">
      <c r="A6695" s="4" t="s">
        <v>15363</v>
      </c>
      <c r="B6695" s="4" t="s">
        <v>15364</v>
      </c>
      <c r="C6695" s="4" t="str">
        <f ca="1">IFERROR(__xludf.DUMMYFUNCTION("GOOGLETRANSLATE(D:D,""auto"",""en"")"),"School if they are not opening")</f>
        <v>School if they are not opening</v>
      </c>
      <c r="D6695" s="5" t="s">
        <v>15365</v>
      </c>
      <c r="E6695" s="4">
        <v>222065</v>
      </c>
      <c r="F6695">
        <v>1</v>
      </c>
    </row>
    <row r="6696" spans="1:6" ht="13.5" customHeight="1">
      <c r="A6696" s="4" t="s">
        <v>15366</v>
      </c>
      <c r="B6696" s="4" t="s">
        <v>15367</v>
      </c>
      <c r="C6696" s="4" t="str">
        <f ca="1">IFERROR(__xludf.DUMMYFUNCTION("GOOGLETRANSLATE(D:D,""auto"",""en"")"),"Extreme Crown Princess began a new virus test")</f>
        <v>Extreme Crown Princess began a new virus test</v>
      </c>
      <c r="D6696" s="5" t="s">
        <v>15368</v>
      </c>
      <c r="E6696" s="4">
        <v>218662</v>
      </c>
      <c r="F6696">
        <v>1</v>
      </c>
    </row>
    <row r="6697" spans="1:6" ht="13.5" hidden="1" customHeight="1">
      <c r="A6697" s="4" t="s">
        <v>15369</v>
      </c>
      <c r="B6697" s="4" t="s">
        <v>15370</v>
      </c>
      <c r="C6697" s="4" t="str">
        <f ca="1">IFERROR(__xludf.DUMMYFUNCTION("GOOGLETRANSLATE(D:D,""auto"",""en"")"),"Los Angeles Marathon about 27,000 entries")</f>
        <v>Los Angeles Marathon about 27,000 entries</v>
      </c>
      <c r="D6697" s="5" t="s">
        <v>15371</v>
      </c>
      <c r="E6697" s="4">
        <v>216300</v>
      </c>
    </row>
    <row r="6698" spans="1:6" ht="13.5" hidden="1" customHeight="1">
      <c r="A6698" s="4" t="s">
        <v>15372</v>
      </c>
      <c r="B6698" s="4" t="s">
        <v>15370</v>
      </c>
      <c r="C6698" s="4" t="str">
        <f ca="1">IFERROR(__xludf.DUMMYFUNCTION("GOOGLETRANSLATE(D:D,""auto"",""en"")"),"Mulan song")</f>
        <v>Mulan song</v>
      </c>
      <c r="D6698" s="5" t="s">
        <v>15373</v>
      </c>
      <c r="E6698" s="4">
        <v>202300</v>
      </c>
    </row>
    <row r="6699" spans="1:6" ht="13.5" hidden="1" customHeight="1">
      <c r="A6699" s="4" t="s">
        <v>15352</v>
      </c>
      <c r="B6699" s="4" t="s">
        <v>15374</v>
      </c>
      <c r="C6699" s="4" t="str">
        <f ca="1">IFERROR(__xludf.DUMMYFUNCTION("GOOGLETRANSLATE(D:D,""auto"",""en"")"),"Liu Zhen died in hospital rumor")</f>
        <v>Liu Zhen died in hospital rumor</v>
      </c>
      <c r="D6699" s="5" t="s">
        <v>15375</v>
      </c>
      <c r="E6699" s="4">
        <v>193205</v>
      </c>
    </row>
    <row r="6700" spans="1:6" ht="13.5" hidden="1" customHeight="1">
      <c r="A6700" s="4" t="s">
        <v>15376</v>
      </c>
      <c r="B6700" s="4" t="s">
        <v>15377</v>
      </c>
      <c r="C6700" s="4" t="str">
        <f ca="1">IFERROR(__xludf.DUMMYFUNCTION("GOOGLETRANSLATE(D:D,""auto"",""en"")"),"Wu will enter a large cherry blossom period")</f>
        <v>Wu will enter a large cherry blossom period</v>
      </c>
      <c r="D6700" s="5" t="s">
        <v>15378</v>
      </c>
      <c r="E6700" s="4">
        <v>191799</v>
      </c>
    </row>
    <row r="6701" spans="1:6" ht="13.5" hidden="1" customHeight="1">
      <c r="A6701" s="4" t="s">
        <v>15379</v>
      </c>
      <c r="B6701" s="4" t="s">
        <v>15380</v>
      </c>
      <c r="C6701" s="4" t="str">
        <f ca="1">IFERROR(__xludf.DUMMYFUNCTION("GOOGLETRANSLATE(D:D,""auto"",""en"")"),"Tunisia and USA occurred near the embassy bombings")</f>
        <v>Tunisia and USA occurred near the embassy bombings</v>
      </c>
      <c r="D6701" s="5" t="s">
        <v>15381</v>
      </c>
      <c r="E6701" s="4">
        <v>188679</v>
      </c>
    </row>
    <row r="6702" spans="1:6" ht="13.5" hidden="1" customHeight="1">
      <c r="A6702" s="4" t="s">
        <v>15349</v>
      </c>
      <c r="B6702" s="4" t="s">
        <v>15382</v>
      </c>
      <c r="C6702" s="4" t="str">
        <f ca="1">IFERROR(__xludf.DUMMYFUNCTION("GOOGLETRANSLATE(D:D,""auto"",""en"")"),"How to answer relatives make you change avatar")</f>
        <v>How to answer relatives make you change avatar</v>
      </c>
      <c r="D6702" s="5" t="s">
        <v>15383</v>
      </c>
      <c r="E6702" s="4">
        <v>175573</v>
      </c>
    </row>
    <row r="6703" spans="1:6" ht="13.5" hidden="1" customHeight="1">
      <c r="A6703" s="4" t="s">
        <v>15384</v>
      </c>
      <c r="B6703" s="4" t="s">
        <v>15385</v>
      </c>
      <c r="C6703" s="4" t="str">
        <f ca="1">IFERROR(__xludf.DUMMYFUNCTION("GOOGLETRANSLATE(D:D,""auto"",""en"")"),"Not only can the current pension insurance can protect the long-term")</f>
        <v>Not only can the current pension insurance can protect the long-term</v>
      </c>
      <c r="D6703" s="5" t="s">
        <v>15386</v>
      </c>
      <c r="E6703" s="4">
        <v>171733</v>
      </c>
    </row>
    <row r="6704" spans="1:6" ht="13.5" customHeight="1">
      <c r="A6704" s="4" t="s">
        <v>15387</v>
      </c>
      <c r="B6704" s="4" t="s">
        <v>15388</v>
      </c>
      <c r="C6704" s="4" t="str">
        <f ca="1">IFERROR(__xludf.DUMMYFUNCTION("GOOGLETRANSLATE(D:D,""auto"",""en"")"),"Wuhan distance gradually lift restrictions epidemic prevention and control will not be too far away")</f>
        <v>Wuhan distance gradually lift restrictions epidemic prevention and control will not be too far away</v>
      </c>
      <c r="D6704" s="5" t="s">
        <v>15389</v>
      </c>
      <c r="E6704" s="4">
        <v>161829</v>
      </c>
      <c r="F6704">
        <v>1</v>
      </c>
    </row>
    <row r="6705" spans="1:6" ht="13.5" customHeight="1">
      <c r="A6705" s="4" t="s">
        <v>15390</v>
      </c>
      <c r="B6705" s="4" t="s">
        <v>15391</v>
      </c>
      <c r="C6705" s="4" t="str">
        <f ca="1">IFERROR(__xludf.DUMMYFUNCTION("GOOGLETRANSLATE(D:D,""auto"",""en"")"),"Ma Iran to raise one million masks")</f>
        <v>Ma Iran to raise one million masks</v>
      </c>
      <c r="D6705" s="5" t="s">
        <v>15392</v>
      </c>
      <c r="E6705" s="4">
        <v>157227</v>
      </c>
      <c r="F6705">
        <v>1</v>
      </c>
    </row>
    <row r="6706" spans="1:6" ht="13.5" hidden="1" customHeight="1">
      <c r="C6706" s="4" t="str">
        <f ca="1">IFERROR(__xludf.DUMMYFUNCTION("GOOGLETRANSLATE(D:D,""auto"",""en"")"),"#VALUE!")</f>
        <v>#VALUE!</v>
      </c>
    </row>
    <row r="6707" spans="1:6" ht="13.5" hidden="1" customHeight="1">
      <c r="A6707" s="4" t="s">
        <v>15393</v>
      </c>
      <c r="B6707" s="4" t="s">
        <v>15394</v>
      </c>
      <c r="C6707" s="4" t="str">
        <f ca="1">IFERROR(__xludf.DUMMYFUNCTION("GOOGLETRANSLATE(D:D,""auto"",""en"")"),"Procuratorial Daily Sun Yang Case Review")</f>
        <v>Procuratorial Daily Sun Yang Case Review</v>
      </c>
      <c r="D6707" s="4" t="s">
        <v>15395</v>
      </c>
      <c r="E6707" s="4">
        <v>3372607</v>
      </c>
    </row>
    <row r="6708" spans="1:6" ht="13.5" customHeight="1">
      <c r="A6708" s="4" t="s">
        <v>15396</v>
      </c>
      <c r="B6708" s="4" t="s">
        <v>15397</v>
      </c>
      <c r="C6708" s="4" t="str">
        <f ca="1">IFERROR(__xludf.DUMMYFUNCTION("GOOGLETRANSLATE(D:D,""auto"",""en"")"),"Zhong Nanshan grandfather to the children reply")</f>
        <v>Zhong Nanshan grandfather to the children reply</v>
      </c>
      <c r="D6708" s="5" t="s">
        <v>15398</v>
      </c>
      <c r="E6708" s="4">
        <v>1848406</v>
      </c>
      <c r="F6708">
        <v>1</v>
      </c>
    </row>
    <row r="6709" spans="1:6" ht="13.5" customHeight="1">
      <c r="A6709" s="4" t="s">
        <v>15399</v>
      </c>
      <c r="B6709" s="4" t="s">
        <v>15299</v>
      </c>
      <c r="C6709" s="4" t="str">
        <f ca="1">IFERROR(__xludf.DUMMYFUNCTION("GOOGLETRANSLATE(D:D,""auto"",""en"")"),"4:00 Wuhan is sawed")</f>
        <v>4:00 Wuhan is sawed</v>
      </c>
      <c r="D6709" s="5" t="s">
        <v>15400</v>
      </c>
      <c r="E6709" s="4">
        <v>983958</v>
      </c>
      <c r="F6709">
        <v>1</v>
      </c>
    </row>
    <row r="6710" spans="1:6" ht="13.5" hidden="1" customHeight="1">
      <c r="A6710" s="4" t="s">
        <v>15401</v>
      </c>
      <c r="B6710" s="4" t="s">
        <v>15288</v>
      </c>
      <c r="C6710" s="4" t="str">
        <f ca="1">IFERROR(__xludf.DUMMYFUNCTION("GOOGLETRANSLATE(D:D,""auto"",""en"")"),"JiangMengJie father and daughter talk Yoon being shot")</f>
        <v>JiangMengJie father and daughter talk Yoon being shot</v>
      </c>
      <c r="D6710" s="5" t="s">
        <v>15402</v>
      </c>
      <c r="E6710" s="4">
        <v>965536</v>
      </c>
    </row>
    <row r="6711" spans="1:6" ht="13.5" hidden="1" customHeight="1">
      <c r="A6711" s="4" t="s">
        <v>15403</v>
      </c>
      <c r="B6711" s="4" t="s">
        <v>15404</v>
      </c>
      <c r="C6711" s="4" t="str">
        <f ca="1">IFERROR(__xludf.DUMMYFUNCTION("GOOGLETRANSLATE(D:D,""auto"",""en"")"),"Wang asked continent whose real name is Lin Yun")</f>
        <v>Wang asked continent whose real name is Lin Yun</v>
      </c>
      <c r="D6711" s="5" t="s">
        <v>15405</v>
      </c>
      <c r="E6711" s="4">
        <v>960486</v>
      </c>
    </row>
    <row r="6712" spans="1:6" ht="13.5" customHeight="1">
      <c r="A6712" s="4" t="s">
        <v>15277</v>
      </c>
      <c r="B6712" s="4" t="s">
        <v>15406</v>
      </c>
      <c r="C6712" s="4" t="str">
        <f ca="1">IFERROR(__xludf.DUMMYFUNCTION("GOOGLETRANSLATE(D:D,""auto"",""en"")"),"Xia Sisi, four people were posthumously awarded the Hubei Province Women's Federation")</f>
        <v>Xia Sisi, four people were posthumously awarded the Hubei Province Women's Federation</v>
      </c>
      <c r="D6712" s="5" t="s">
        <v>15407</v>
      </c>
      <c r="E6712" s="4">
        <v>945593</v>
      </c>
      <c r="F6712">
        <v>1</v>
      </c>
    </row>
    <row r="6713" spans="1:6" ht="13.5" hidden="1" customHeight="1">
      <c r="A6713" s="4" t="s">
        <v>15408</v>
      </c>
      <c r="B6713" s="4" t="s">
        <v>15409</v>
      </c>
      <c r="C6713" s="4" t="str">
        <f ca="1">IFERROR(__xludf.DUMMYFUNCTION("GOOGLETRANSLATE(D:D,""auto"",""en"")"),"Shenjun Liang acknowledged family has arrived in Guangzhou")</f>
        <v>Shenjun Liang acknowledged family has arrived in Guangzhou</v>
      </c>
      <c r="D6713" s="5" t="s">
        <v>15410</v>
      </c>
      <c r="E6713" s="4">
        <v>813074</v>
      </c>
    </row>
    <row r="6714" spans="1:6" ht="13.5" customHeight="1">
      <c r="A6714" s="4" t="s">
        <v>15411</v>
      </c>
      <c r="B6714" s="4" t="s">
        <v>15355</v>
      </c>
      <c r="C6714" s="4" t="str">
        <f ca="1">IFERROR(__xludf.DUMMYFUNCTION("GOOGLETRANSLATE(D:D,""auto"",""en"")"),"No evidence that the new virus will disappear in the summer crown")</f>
        <v>No evidence that the new virus will disappear in the summer crown</v>
      </c>
      <c r="D6714" s="5" t="s">
        <v>15412</v>
      </c>
      <c r="E6714" s="4">
        <v>806708</v>
      </c>
      <c r="F6714">
        <v>1</v>
      </c>
    </row>
    <row r="6715" spans="1:6" ht="13.5" hidden="1" customHeight="1">
      <c r="A6715" s="4" t="s">
        <v>15413</v>
      </c>
      <c r="B6715" s="4" t="s">
        <v>15336</v>
      </c>
      <c r="C6715" s="4" t="str">
        <f ca="1">IFERROR(__xludf.DUMMYFUNCTION("GOOGLETRANSLATE(D:D,""auto"",""en"")"),"Strictly prohibited generally required school teachers live or recorded lesson")</f>
        <v>Strictly prohibited generally required school teachers live or recorded lesson</v>
      </c>
      <c r="D6715" s="5" t="s">
        <v>15414</v>
      </c>
      <c r="E6715" s="4">
        <v>796565</v>
      </c>
    </row>
    <row r="6716" spans="1:6" ht="13.5" hidden="1" customHeight="1">
      <c r="A6716" s="4" t="s">
        <v>15415</v>
      </c>
      <c r="B6716" s="4" t="s">
        <v>15390</v>
      </c>
      <c r="C6716" s="4" t="str">
        <f ca="1">IFERROR(__xludf.DUMMYFUNCTION("GOOGLETRANSLATE(D:D,""auto"",""en"")"),"Tianyu propan Ao cos")</f>
        <v>Tianyu propan Ao cos</v>
      </c>
      <c r="D6716" s="5" t="s">
        <v>15416</v>
      </c>
      <c r="E6716" s="4">
        <v>783162</v>
      </c>
    </row>
    <row r="6717" spans="1:6" ht="13.5" customHeight="1">
      <c r="A6717" s="4" t="s">
        <v>15417</v>
      </c>
      <c r="B6717" s="4" t="s">
        <v>15418</v>
      </c>
      <c r="C6717" s="4" t="str">
        <f ca="1">IFERROR(__xludf.DUMMYFUNCTION("GOOGLETRANSLATE(D:D,""auto"",""en"")"),"China supplies a list of foreign aid fight against SARS")</f>
        <v>China supplies a list of foreign aid fight against SARS</v>
      </c>
      <c r="D6717" s="5" t="s">
        <v>15419</v>
      </c>
      <c r="E6717" s="4">
        <v>776449</v>
      </c>
      <c r="F6717">
        <v>1</v>
      </c>
    </row>
    <row r="6718" spans="1:6" ht="13.5" customHeight="1">
      <c r="A6718" s="4" t="s">
        <v>15420</v>
      </c>
      <c r="B6718" s="4" t="s">
        <v>15421</v>
      </c>
      <c r="C6718" s="4" t="str">
        <f ca="1">IFERROR(__xludf.DUMMYFUNCTION("GOOGLETRANSLATE(D:D,""auto"",""en"")"),"Wuhan new cases of 74 patients")</f>
        <v>Wuhan new cases of 74 patients</v>
      </c>
      <c r="D6718" s="5" t="s">
        <v>15422</v>
      </c>
      <c r="E6718" s="4">
        <v>766211</v>
      </c>
      <c r="F6718">
        <v>1</v>
      </c>
    </row>
    <row r="6719" spans="1:6" ht="13.5" hidden="1" customHeight="1">
      <c r="A6719" s="4" t="s">
        <v>15277</v>
      </c>
      <c r="B6719" s="4" t="s">
        <v>15278</v>
      </c>
      <c r="C6719" s="4" t="str">
        <f ca="1">IFERROR(__xludf.DUMMYFUNCTION("GOOGLETRANSLATE(D:D,""auto"",""en"")"),"Zheng Shuang Yu Hao Ming hug")</f>
        <v>Zheng Shuang Yu Hao Ming hug</v>
      </c>
      <c r="D6719" s="5" t="s">
        <v>15279</v>
      </c>
      <c r="E6719" s="4">
        <v>748494</v>
      </c>
    </row>
    <row r="6720" spans="1:6" ht="13.5" hidden="1" customHeight="1">
      <c r="A6720" s="4" t="s">
        <v>15274</v>
      </c>
      <c r="B6720" s="4" t="s">
        <v>15275</v>
      </c>
      <c r="C6720" s="4" t="str">
        <f ca="1">IFERROR(__xludf.DUMMYFUNCTION("GOOGLETRANSLATE(D:D,""auto"",""en"")"),"Aunt May is 15 years trafficked children found")</f>
        <v>Aunt May is 15 years trafficked children found</v>
      </c>
      <c r="D6720" s="5" t="s">
        <v>15276</v>
      </c>
      <c r="E6720" s="4">
        <v>734233</v>
      </c>
    </row>
    <row r="6721" spans="1:6" ht="13.5" hidden="1" customHeight="1">
      <c r="A6721" s="4" t="s">
        <v>15423</v>
      </c>
      <c r="B6721" s="4" t="s">
        <v>15424</v>
      </c>
      <c r="C6721" s="4" t="str">
        <f ca="1">IFERROR(__xludf.DUMMYFUNCTION("GOOGLETRANSLATE(D:D,""auto"",""en"")"),"Girls Day")</f>
        <v>Girls Day</v>
      </c>
      <c r="D6721" s="5" t="s">
        <v>15425</v>
      </c>
      <c r="E6721" s="4">
        <v>723521</v>
      </c>
    </row>
    <row r="6722" spans="1:6" ht="13.5" customHeight="1">
      <c r="A6722" s="4" t="s">
        <v>15426</v>
      </c>
      <c r="B6722" s="4" t="s">
        <v>15427</v>
      </c>
      <c r="C6722" s="4" t="str">
        <f ca="1">IFERROR(__xludf.DUMMYFUNCTION("GOOGLETRANSLATE(D:D,""auto"",""en"")"),"CCTV reporter was pressed nurses live red eyes")</f>
        <v>CCTV reporter was pressed nurses live red eyes</v>
      </c>
      <c r="D6722" s="5" t="s">
        <v>15428</v>
      </c>
      <c r="E6722" s="4">
        <v>717461</v>
      </c>
      <c r="F6722">
        <v>1</v>
      </c>
    </row>
    <row r="6723" spans="1:6" ht="13.5" hidden="1" customHeight="1">
      <c r="A6723" s="4" t="s">
        <v>15429</v>
      </c>
      <c r="B6723" s="4" t="s">
        <v>15430</v>
      </c>
      <c r="C6723" s="4" t="str">
        <f ca="1">IFERROR(__xludf.DUMMYFUNCTION("GOOGLETRANSLATE(D:D,""auto"",""en"")"),"How good-looking girls single fold")</f>
        <v>How good-looking girls single fold</v>
      </c>
      <c r="D6723" s="5" t="s">
        <v>15431</v>
      </c>
      <c r="E6723" s="4">
        <v>708536</v>
      </c>
    </row>
    <row r="6724" spans="1:6" ht="13.5" hidden="1" customHeight="1">
      <c r="A6724" s="4" t="s">
        <v>15432</v>
      </c>
      <c r="B6724" s="4" t="s">
        <v>15433</v>
      </c>
      <c r="C6724" s="4" t="str">
        <f ca="1">IFERROR(__xludf.DUMMYFUNCTION("GOOGLETRANSLATE(D:D,""auto"",""en"")"),"Liu Yifei Ocean Drive Cover")</f>
        <v>Liu Yifei Ocean Drive Cover</v>
      </c>
      <c r="D6724" s="5" t="s">
        <v>15434</v>
      </c>
      <c r="E6724" s="4">
        <v>684978</v>
      </c>
    </row>
    <row r="6725" spans="1:6" ht="13.5" customHeight="1">
      <c r="A6725" s="4" t="s">
        <v>15435</v>
      </c>
      <c r="B6725" s="4" t="s">
        <v>15436</v>
      </c>
      <c r="C6725" s="4" t="str">
        <f ca="1">IFERROR(__xludf.DUMMYFUNCTION("GOOGLETRANSLATE(D:D,""auto"",""en"")"),"Wuhan Irazu Irazu string like a brother to firecrackers")</f>
        <v>Wuhan Irazu Irazu string like a brother to firecrackers</v>
      </c>
      <c r="D6725" s="5" t="s">
        <v>15437</v>
      </c>
      <c r="E6725" s="4">
        <v>650844</v>
      </c>
      <c r="F6725">
        <v>1</v>
      </c>
    </row>
    <row r="6726" spans="1:6" ht="13.5" customHeight="1">
      <c r="A6726" s="4" t="s">
        <v>15411</v>
      </c>
      <c r="B6726" s="4" t="s">
        <v>15328</v>
      </c>
      <c r="C6726" s="4" t="str">
        <f ca="1">IFERROR(__xludf.DUMMYFUNCTION("GOOGLETRANSLATE(D:D,""auto"",""en"")"),"Trump said the United States diagnosed with less thanks to him")</f>
        <v>Trump said the United States diagnosed with less thanks to him</v>
      </c>
      <c r="D6726" s="5" t="s">
        <v>15438</v>
      </c>
      <c r="E6726" s="4">
        <v>635817</v>
      </c>
      <c r="F6726">
        <v>1</v>
      </c>
    </row>
    <row r="6727" spans="1:6" ht="13.5" hidden="1" customHeight="1">
      <c r="A6727" s="4" t="s">
        <v>9133</v>
      </c>
      <c r="B6727" s="4" t="s">
        <v>8901</v>
      </c>
      <c r="C6727" s="4" t="str">
        <f ca="1">IFERROR(__xludf.DUMMYFUNCTION("GOOGLETRANSLATE(D:D,""auto"",""en"")"),"Itaewon CLASS")</f>
        <v>Itaewon CLASS</v>
      </c>
      <c r="D6727" s="5" t="s">
        <v>9134</v>
      </c>
      <c r="E6727" s="4">
        <v>580737</v>
      </c>
    </row>
    <row r="6728" spans="1:6" ht="13.5" hidden="1" customHeight="1">
      <c r="A6728" s="4" t="s">
        <v>15439</v>
      </c>
      <c r="B6728" s="4" t="s">
        <v>15430</v>
      </c>
      <c r="C6728" s="4" t="str">
        <f ca="1">IFERROR(__xludf.DUMMYFUNCTION("GOOGLETRANSLATE(D:D,""auto"",""en"")"),"To crush the micro-channel male Remarks")</f>
        <v>To crush the micro-channel male Remarks</v>
      </c>
      <c r="D6728" s="5" t="s">
        <v>15440</v>
      </c>
      <c r="E6728" s="4">
        <v>565987</v>
      </c>
    </row>
    <row r="6729" spans="1:6" ht="13.5" hidden="1" customHeight="1">
      <c r="A6729" s="4" t="s">
        <v>15441</v>
      </c>
      <c r="B6729" s="4" t="s">
        <v>15442</v>
      </c>
      <c r="C6729" s="4" t="str">
        <f ca="1">IFERROR(__xludf.DUMMYFUNCTION("GOOGLETRANSLATE(D:D,""auto"",""en"")"),"Chen Shan Shanghai Botanical Garden cherry blossoms")</f>
        <v>Chen Shan Shanghai Botanical Garden cherry blossoms</v>
      </c>
      <c r="D6729" s="5" t="s">
        <v>15443</v>
      </c>
      <c r="E6729" s="4">
        <v>523408</v>
      </c>
    </row>
    <row r="6730" spans="1:6" ht="13.5" hidden="1" customHeight="1">
      <c r="A6730" s="4" t="s">
        <v>15308</v>
      </c>
      <c r="B6730" s="4" t="s">
        <v>15309</v>
      </c>
      <c r="C6730" s="4" t="str">
        <f ca="1">IFERROR(__xludf.DUMMYFUNCTION("GOOGLETRANSLATE(D:D,""auto"",""en"")"),"Octogenarian grandmother cured kneel thanks")</f>
        <v>Octogenarian grandmother cured kneel thanks</v>
      </c>
      <c r="D6730" s="5" t="s">
        <v>15310</v>
      </c>
      <c r="E6730" s="4">
        <v>506883</v>
      </c>
    </row>
    <row r="6731" spans="1:6" ht="13.5" hidden="1" customHeight="1">
      <c r="A6731" s="4" t="s">
        <v>15444</v>
      </c>
      <c r="B6731" s="4" t="s">
        <v>15445</v>
      </c>
      <c r="C6731" s="4" t="str">
        <f ca="1">IFERROR(__xludf.DUMMYFUNCTION("GOOGLETRANSLATE(D:D,""auto"",""en"")"),"Bell starred in Thor villain 4")</f>
        <v>Bell starred in Thor villain 4</v>
      </c>
      <c r="D6731" s="5" t="s">
        <v>15446</v>
      </c>
      <c r="E6731" s="4">
        <v>486685</v>
      </c>
    </row>
    <row r="6732" spans="1:6" ht="13.5" customHeight="1">
      <c r="A6732" s="4" t="s">
        <v>15447</v>
      </c>
      <c r="B6732" s="4" t="s">
        <v>15448</v>
      </c>
      <c r="C6732" s="4" t="str">
        <f ca="1">IFERROR(__xludf.DUMMYFUNCTION("GOOGLETRANSLATE(D:D,""auto"",""en"")"),"Hubei Jingzhou District revoked the rural area transport bayonet")</f>
        <v>Hubei Jingzhou District revoked the rural area transport bayonet</v>
      </c>
      <c r="D6732" s="5" t="s">
        <v>15449</v>
      </c>
      <c r="E6732" s="4">
        <v>338702</v>
      </c>
      <c r="F6732">
        <v>1</v>
      </c>
    </row>
    <row r="6733" spans="1:6" ht="13.5" hidden="1" customHeight="1">
      <c r="A6733" s="4" t="s">
        <v>15444</v>
      </c>
      <c r="B6733" s="4" t="s">
        <v>15450</v>
      </c>
      <c r="C6733" s="4" t="str">
        <f ca="1">IFERROR(__xludf.DUMMYFUNCTION("GOOGLETRANSLATE(D:D,""auto"",""en"")"),"Zhao Yirui confession was rejected")</f>
        <v>Zhao Yirui confession was rejected</v>
      </c>
      <c r="D6733" s="5" t="s">
        <v>15451</v>
      </c>
      <c r="E6733" s="4">
        <v>328901</v>
      </c>
    </row>
    <row r="6734" spans="1:6" ht="13.5" hidden="1" customHeight="1">
      <c r="A6734" s="4" t="s">
        <v>15452</v>
      </c>
      <c r="B6734" s="4" t="s">
        <v>15448</v>
      </c>
      <c r="C6734" s="4" t="str">
        <f ca="1">IFERROR(__xludf.DUMMYFUNCTION("GOOGLETRANSLATE(D:D,""auto"",""en"")"),"Trump appointment of a new White House chief of staff")</f>
        <v>Trump appointment of a new White House chief of staff</v>
      </c>
      <c r="D6734" s="5" t="s">
        <v>15453</v>
      </c>
      <c r="E6734" s="4">
        <v>324420</v>
      </c>
    </row>
    <row r="6735" spans="1:6" ht="13.5" hidden="1" customHeight="1">
      <c r="A6735" s="4" t="s">
        <v>15454</v>
      </c>
      <c r="B6735" s="4" t="s">
        <v>15455</v>
      </c>
      <c r="C6735" s="4" t="str">
        <f ca="1">IFERROR(__xludf.DUMMYFUNCTION("GOOGLETRANSLATE(D:D,""auto"",""en"")"),"Tokyo Olympics New permanent venues completed")</f>
        <v>Tokyo Olympics New permanent venues completed</v>
      </c>
      <c r="D6735" s="5" t="s">
        <v>15456</v>
      </c>
      <c r="E6735" s="4">
        <v>322292</v>
      </c>
    </row>
    <row r="6736" spans="1:6" ht="13.5" customHeight="1">
      <c r="A6736" s="4" t="s">
        <v>15457</v>
      </c>
      <c r="B6736" s="4" t="s">
        <v>15458</v>
      </c>
      <c r="C6736" s="4" t="str">
        <f ca="1">IFERROR(__xludf.DUMMYFUNCTION("GOOGLETRANSLATE(D:D,""auto"",""en"")"),"Man closed cell drilling the fence head hair")</f>
        <v>Man closed cell drilling the fence head hair</v>
      </c>
      <c r="D6736" s="5" t="s">
        <v>15459</v>
      </c>
      <c r="E6736" s="4">
        <v>322232</v>
      </c>
      <c r="F6736">
        <v>1</v>
      </c>
    </row>
    <row r="6737" spans="1:6" ht="13.5" hidden="1" customHeight="1">
      <c r="A6737" s="4" t="s">
        <v>15460</v>
      </c>
      <c r="B6737" s="4" t="s">
        <v>15294</v>
      </c>
      <c r="C6737" s="4" t="str">
        <f ca="1">IFERROR(__xludf.DUMMYFUNCTION("GOOGLETRANSLATE(D:D,""auto"",""en"")"),"And how gentle people get along well")</f>
        <v>And how gentle people get along well</v>
      </c>
      <c r="D6737" s="5" t="s">
        <v>15461</v>
      </c>
      <c r="E6737" s="4">
        <v>304235</v>
      </c>
    </row>
    <row r="6738" spans="1:6" ht="13.5" customHeight="1">
      <c r="A6738" s="4" t="s">
        <v>15462</v>
      </c>
      <c r="B6738" s="4" t="s">
        <v>15463</v>
      </c>
      <c r="C6738" s="4" t="str">
        <f ca="1">IFERROR(__xludf.DUMMYFUNCTION("GOOGLETRANSLATE(D:D,""auto"",""en"")"),"Thousands of people diagnosed with French Catholics rally")</f>
        <v>Thousands of people diagnosed with French Catholics rally</v>
      </c>
      <c r="D6738" s="5" t="s">
        <v>15464</v>
      </c>
      <c r="E6738" s="4">
        <v>272622</v>
      </c>
      <c r="F6738">
        <v>1</v>
      </c>
    </row>
    <row r="6739" spans="1:6" ht="13.5" hidden="1" customHeight="1">
      <c r="A6739" s="4" t="s">
        <v>15465</v>
      </c>
      <c r="B6739" s="4" t="s">
        <v>15346</v>
      </c>
      <c r="C6739" s="4" t="str">
        <f ca="1">IFERROR(__xludf.DUMMYFUNCTION("GOOGLETRANSLATE(D:D,""auto"",""en"")"),"Even fake heaven")</f>
        <v>Even fake heaven</v>
      </c>
      <c r="D6739" s="5" t="s">
        <v>15466</v>
      </c>
      <c r="E6739" s="4">
        <v>234680</v>
      </c>
    </row>
    <row r="6740" spans="1:6" ht="13.5" customHeight="1">
      <c r="A6740" s="4" t="s">
        <v>15277</v>
      </c>
      <c r="B6740" s="4" t="s">
        <v>15297</v>
      </c>
      <c r="C6740" s="4" t="str">
        <f ca="1">IFERROR(__xludf.DUMMYFUNCTION("GOOGLETRANSLATE(D:D,""auto"",""en"")"),"Add 17 cases of pneumonia foreign Gansu enter a new crown")</f>
        <v>Add 17 cases of pneumonia foreign Gansu enter a new crown</v>
      </c>
      <c r="D6740" s="5" t="s">
        <v>15298</v>
      </c>
      <c r="E6740" s="4">
        <v>234147</v>
      </c>
      <c r="F6740">
        <v>1</v>
      </c>
    </row>
    <row r="6741" spans="1:6" ht="13.5" hidden="1" customHeight="1">
      <c r="A6741" s="4" t="s">
        <v>15467</v>
      </c>
      <c r="B6741" s="4" t="s">
        <v>15349</v>
      </c>
      <c r="C6741" s="4" t="str">
        <f ca="1">IFERROR(__xludf.DUMMYFUNCTION("GOOGLETRANSLATE(D:D,""auto"",""en"")"),"Secret Garden notice")</f>
        <v>Secret Garden notice</v>
      </c>
      <c r="D6741" s="5" t="s">
        <v>15468</v>
      </c>
      <c r="E6741" s="4">
        <v>233871</v>
      </c>
    </row>
    <row r="6742" spans="1:6" ht="13.5" hidden="1" customHeight="1">
      <c r="A6742" s="4" t="s">
        <v>15469</v>
      </c>
      <c r="B6742" s="4" t="s">
        <v>15470</v>
      </c>
      <c r="C6742" s="4" t="str">
        <f ca="1">IFERROR(__xludf.DUMMYFUNCTION("GOOGLETRANSLATE(D:D,""auto"",""en"")"),"Lin root angry")</f>
        <v>Lin root angry</v>
      </c>
      <c r="D6742" s="5" t="s">
        <v>15471</v>
      </c>
      <c r="E6742" s="4">
        <v>223897</v>
      </c>
    </row>
    <row r="6743" spans="1:6" ht="13.5" customHeight="1">
      <c r="A6743" s="4" t="s">
        <v>15280</v>
      </c>
      <c r="B6743" s="4" t="s">
        <v>15433</v>
      </c>
      <c r="C6743" s="4" t="str">
        <f ca="1">IFERROR(__xludf.DUMMYFUNCTION("GOOGLETRANSLATE(D:D,""auto"",""en"")"),"Wuhan special places such as prisons confirmed a total of 1795 people")</f>
        <v>Wuhan special places such as prisons confirmed a total of 1795 people</v>
      </c>
      <c r="D6743" s="5" t="s">
        <v>15472</v>
      </c>
      <c r="E6743" s="4">
        <v>223291</v>
      </c>
      <c r="F6743">
        <v>1</v>
      </c>
    </row>
    <row r="6744" spans="1:6" ht="13.5" customHeight="1">
      <c r="A6744" s="4" t="s">
        <v>15473</v>
      </c>
      <c r="B6744" s="4" t="s">
        <v>15474</v>
      </c>
      <c r="C6744" s="4" t="str">
        <f ca="1">IFERROR(__xludf.DUMMYFUNCTION("GOOGLETRANSLATE(D:D,""auto"",""en"")"),"Beijing new foreign input 3 cases")</f>
        <v>Beijing new foreign input 3 cases</v>
      </c>
      <c r="D6744" s="5" t="s">
        <v>15475</v>
      </c>
      <c r="E6744" s="4">
        <v>210733</v>
      </c>
      <c r="F6744">
        <v>1</v>
      </c>
    </row>
    <row r="6745" spans="1:6" ht="13.5" customHeight="1">
      <c r="A6745" s="4" t="s">
        <v>15476</v>
      </c>
      <c r="B6745" s="4" t="s">
        <v>15366</v>
      </c>
      <c r="C6745" s="4" t="str">
        <f ca="1">IFERROR(__xludf.DUMMYFUNCTION("GOOGLETRANSLATE(D:D,""auto"",""en"")"),"Wuhan publicity free of the disease into community")</f>
        <v>Wuhan publicity free of the disease into community</v>
      </c>
      <c r="D6745" s="5" t="s">
        <v>15477</v>
      </c>
      <c r="E6745" s="4">
        <v>206266</v>
      </c>
      <c r="F6745">
        <v>1</v>
      </c>
    </row>
    <row r="6746" spans="1:6" ht="13.5" hidden="1" customHeight="1">
      <c r="A6746" s="4" t="s">
        <v>15280</v>
      </c>
      <c r="B6746" s="4" t="s">
        <v>15281</v>
      </c>
      <c r="C6746" s="4" t="str">
        <f ca="1">IFERROR(__xludf.DUMMYFUNCTION("GOOGLETRANSLATE(D:D,""auto"",""en"")"),"Shen Teng faceless men so funny")</f>
        <v>Shen Teng faceless men so funny</v>
      </c>
      <c r="D6746" s="5" t="s">
        <v>15282</v>
      </c>
      <c r="E6746" s="4">
        <v>184667</v>
      </c>
    </row>
    <row r="6747" spans="1:6" ht="13.5" customHeight="1">
      <c r="A6747" s="4" t="s">
        <v>15478</v>
      </c>
      <c r="B6747" s="4" t="s">
        <v>15479</v>
      </c>
      <c r="C6747" s="4" t="str">
        <f ca="1">IFERROR(__xludf.DUMMYFUNCTION("GOOGLETRANSLATE(D:D,""auto"",""en"")"),"Korea added 483 cases of pneumonia new crown")</f>
        <v>Korea added 483 cases of pneumonia new crown</v>
      </c>
      <c r="D6747" s="5" t="s">
        <v>15480</v>
      </c>
      <c r="E6747" s="4">
        <v>182412</v>
      </c>
      <c r="F6747">
        <v>1</v>
      </c>
    </row>
    <row r="6748" spans="1:6" ht="13.5" hidden="1" customHeight="1">
      <c r="A6748" s="4" t="s">
        <v>15454</v>
      </c>
      <c r="B6748" s="4" t="s">
        <v>15481</v>
      </c>
      <c r="C6748" s="4" t="str">
        <f ca="1">IFERROR(__xludf.DUMMYFUNCTION("GOOGLETRANSLATE(D:D,""auto"",""en"")"),"Foreign friends with vodka homemade hand sanitizer")</f>
        <v>Foreign friends with vodka homemade hand sanitizer</v>
      </c>
      <c r="D6748" s="5" t="s">
        <v>15482</v>
      </c>
      <c r="E6748" s="4">
        <v>181990</v>
      </c>
    </row>
    <row r="6749" spans="1:6" ht="13.5" customHeight="1">
      <c r="A6749" s="4" t="s">
        <v>15432</v>
      </c>
      <c r="B6749" s="4" t="s">
        <v>15483</v>
      </c>
      <c r="C6749" s="4" t="str">
        <f ca="1">IFERROR(__xludf.DUMMYFUNCTION("GOOGLETRANSLATE(D:D,""auto"",""en"")"),"Daegu a apartment appeared 46 patients diagnosed")</f>
        <v>Daegu a apartment appeared 46 patients diagnosed</v>
      </c>
      <c r="D6749" s="5" t="s">
        <v>15484</v>
      </c>
      <c r="E6749" s="4">
        <v>181143</v>
      </c>
      <c r="F6749">
        <v>1</v>
      </c>
    </row>
    <row r="6750" spans="1:6" ht="13.5" customHeight="1">
      <c r="A6750" s="4" t="s">
        <v>15485</v>
      </c>
      <c r="B6750" s="4" t="s">
        <v>15483</v>
      </c>
      <c r="C6750" s="4" t="str">
        <f ca="1">IFERROR(__xludf.DUMMYFUNCTION("GOOGLETRANSLATE(D:D,""auto"",""en"")"),"Express March will be restored to the level before the outbreak")</f>
        <v>Express March will be restored to the level before the outbreak</v>
      </c>
      <c r="D6750" s="5" t="s">
        <v>15486</v>
      </c>
      <c r="E6750" s="4">
        <v>180090</v>
      </c>
      <c r="F6750">
        <v>1</v>
      </c>
    </row>
    <row r="6751" spans="1:6" ht="13.5" hidden="1" customHeight="1">
      <c r="A6751" s="4" t="s">
        <v>15487</v>
      </c>
      <c r="B6751" s="4" t="s">
        <v>15488</v>
      </c>
      <c r="C6751" s="4" t="str">
        <f ca="1">IFERROR(__xludf.DUMMYFUNCTION("GOOGLETRANSLATE(D:D,""auto"",""en"")"),"Meltblown companies talk about price spikes")</f>
        <v>Meltblown companies talk about price spikes</v>
      </c>
      <c r="D6751" s="5" t="s">
        <v>15489</v>
      </c>
      <c r="E6751" s="4">
        <v>177462</v>
      </c>
    </row>
    <row r="6752" spans="1:6" ht="13.5" hidden="1" customHeight="1">
      <c r="A6752" s="4" t="s">
        <v>15490</v>
      </c>
      <c r="B6752" s="4" t="s">
        <v>15491</v>
      </c>
      <c r="C6752" s="4" t="str">
        <f ca="1">IFERROR(__xludf.DUMMYFUNCTION("GOOGLETRANSLATE(D:D,""auto"",""en"")"),"Beijing 66 people were being investigated and gambling")</f>
        <v>Beijing 66 people were being investigated and gambling</v>
      </c>
      <c r="D6752" s="5" t="s">
        <v>15492</v>
      </c>
      <c r="E6752" s="4">
        <v>175689</v>
      </c>
    </row>
    <row r="6753" spans="1:6" ht="13.5" hidden="1" customHeight="1">
      <c r="A6753" s="4" t="s">
        <v>15444</v>
      </c>
      <c r="B6753" s="4" t="s">
        <v>15483</v>
      </c>
      <c r="C6753" s="4" t="str">
        <f ca="1">IFERROR(__xludf.DUMMYFUNCTION("GOOGLETRANSLATE(D:D,""auto"",""en"")"),"NBA reminded teams make empty field ready")</f>
        <v>NBA reminded teams make empty field ready</v>
      </c>
      <c r="D6753" s="5" t="s">
        <v>15493</v>
      </c>
      <c r="E6753" s="4">
        <v>174260</v>
      </c>
    </row>
    <row r="6754" spans="1:6" ht="13.5" hidden="1" customHeight="1">
      <c r="A6754" s="4" t="s">
        <v>15447</v>
      </c>
      <c r="B6754" s="4" t="s">
        <v>15494</v>
      </c>
      <c r="C6754" s="4" t="str">
        <f ca="1">IFERROR(__xludf.DUMMYFUNCTION("GOOGLETRANSLATE(D:D,""auto"",""en"")"),"Which is what Chinese book through Amway")</f>
        <v>Which is what Chinese book through Amway</v>
      </c>
      <c r="D6754" s="5" t="s">
        <v>15495</v>
      </c>
      <c r="E6754" s="4">
        <v>173203</v>
      </c>
    </row>
    <row r="6755" spans="1:6" ht="13.5" hidden="1" customHeight="1">
      <c r="A6755" s="4" t="s">
        <v>15496</v>
      </c>
      <c r="B6755" s="4" t="s">
        <v>15497</v>
      </c>
      <c r="C6755" s="4" t="str">
        <f ca="1">IFERROR(__xludf.DUMMYFUNCTION("GOOGLETRANSLATE(D:D,""auto"",""en"")"),"United Arab Emirates 8 from the closed country")</f>
        <v>United Arab Emirates 8 from the closed country</v>
      </c>
      <c r="D6755" s="5" t="s">
        <v>15498</v>
      </c>
      <c r="E6755" s="4">
        <v>169087</v>
      </c>
    </row>
    <row r="6756" spans="1:6" ht="13.5" hidden="1" customHeight="1">
      <c r="C6756" s="4" t="str">
        <f ca="1">IFERROR(__xludf.DUMMYFUNCTION("GOOGLETRANSLATE(D:D,""auto"",""en"")"),"#VALUE!")</f>
        <v>#VALUE!</v>
      </c>
    </row>
    <row r="6757" spans="1:6" ht="13.5" hidden="1" customHeight="1">
      <c r="A6757" s="4" t="s">
        <v>15499</v>
      </c>
      <c r="B6757" s="4" t="s">
        <v>15500</v>
      </c>
      <c r="C6757" s="4" t="str">
        <f ca="1">IFERROR(__xludf.DUMMYFUNCTION("GOOGLETRANSLATE(D:D,""auto"",""en"")"),"Quanzhou Xin Jia Hotel")</f>
        <v>Quanzhou Xin Jia Hotel</v>
      </c>
      <c r="D6757" s="4" t="s">
        <v>15501</v>
      </c>
      <c r="E6757" s="4">
        <v>3063935</v>
      </c>
    </row>
    <row r="6758" spans="1:6" ht="13.5" customHeight="1">
      <c r="A6758" s="4" t="s">
        <v>15502</v>
      </c>
      <c r="B6758" s="4" t="s">
        <v>15503</v>
      </c>
      <c r="C6758" s="4" t="str">
        <f ca="1">IFERROR(__xludf.DUMMYFUNCTION("GOOGLETRANSLATE(D:D,""auto"",""en"")"),"Quanzhou collapsed hotel isolated hotel close contacts")</f>
        <v>Quanzhou collapsed hotel isolated hotel close contacts</v>
      </c>
      <c r="D6758" s="5" t="s">
        <v>15504</v>
      </c>
      <c r="E6758" s="4">
        <v>1829330</v>
      </c>
      <c r="F6758">
        <v>1</v>
      </c>
    </row>
    <row r="6759" spans="1:6" ht="13.5" customHeight="1">
      <c r="A6759" s="4" t="s">
        <v>15505</v>
      </c>
      <c r="B6759" s="4" t="s">
        <v>15506</v>
      </c>
      <c r="C6759" s="4" t="str">
        <f ca="1">IFERROR(__xludf.DUMMYFUNCTION("GOOGLETRANSLATE(D:D,""auto"",""en"")"),"Hubei issued the first batch of green code")</f>
        <v>Hubei issued the first batch of green code</v>
      </c>
      <c r="D6759" s="5" t="s">
        <v>15507</v>
      </c>
      <c r="E6759" s="4">
        <v>1171885</v>
      </c>
      <c r="F6759">
        <v>1</v>
      </c>
    </row>
    <row r="6760" spans="1:6" ht="13.5" hidden="1" customHeight="1">
      <c r="A6760" s="4" t="s">
        <v>15508</v>
      </c>
      <c r="B6760" s="4" t="s">
        <v>15509</v>
      </c>
      <c r="C6760" s="4" t="str">
        <f ca="1">IFERROR(__xludf.DUMMYFUNCTION("GOOGLETRANSLATE(D:D,""auto"",""en"")"),"Wu Chun studio Statement")</f>
        <v>Wu Chun studio Statement</v>
      </c>
      <c r="D6760" s="5" t="s">
        <v>15510</v>
      </c>
      <c r="E6760" s="4">
        <v>1006437</v>
      </c>
    </row>
    <row r="6761" spans="1:6" ht="13.5" hidden="1" customHeight="1">
      <c r="A6761" s="4" t="s">
        <v>15511</v>
      </c>
      <c r="B6761" s="4" t="s">
        <v>15512</v>
      </c>
      <c r="C6761" s="4" t="str">
        <f ca="1">IFERROR(__xludf.DUMMYFUNCTION("GOOGLETRANSLATE(D:D,""auto"",""en"")"),"Wang Zijian have a girlfriend")</f>
        <v>Wang Zijian have a girlfriend</v>
      </c>
      <c r="D6761" s="5" t="s">
        <v>15513</v>
      </c>
      <c r="E6761" s="4">
        <v>971802</v>
      </c>
    </row>
    <row r="6762" spans="1:6" ht="13.5" customHeight="1">
      <c r="A6762" s="4" t="s">
        <v>15514</v>
      </c>
      <c r="B6762" s="4" t="s">
        <v>15515</v>
      </c>
      <c r="C6762" s="4" t="str">
        <f ca="1">IFERROR(__xludf.DUMMYFUNCTION("GOOGLETRANSLATE(D:D,""auto"",""en"")"),"Zhong Nanshan, Academician of 50 days itinerary")</f>
        <v>Zhong Nanshan, Academician of 50 days itinerary</v>
      </c>
      <c r="D6762" s="5" t="s">
        <v>15516</v>
      </c>
      <c r="E6762" s="4">
        <v>831862</v>
      </c>
      <c r="F6762">
        <v>1</v>
      </c>
    </row>
    <row r="6763" spans="1:6" ht="13.5" hidden="1" customHeight="1">
      <c r="A6763" s="4" t="s">
        <v>15517</v>
      </c>
      <c r="B6763" s="4" t="s">
        <v>15518</v>
      </c>
      <c r="C6763" s="4" t="str">
        <f ca="1">IFERROR(__xludf.DUMMYFUNCTION("GOOGLETRANSLATE(D:D,""auto"",""en"")"),"Xu aunt recover single jump")</f>
        <v>Xu aunt recover single jump</v>
      </c>
      <c r="D6763" s="5" t="s">
        <v>15519</v>
      </c>
      <c r="E6763" s="4">
        <v>774179</v>
      </c>
    </row>
    <row r="6764" spans="1:6" ht="13.5" customHeight="1">
      <c r="A6764" s="4" t="s">
        <v>15502</v>
      </c>
      <c r="B6764" s="4" t="s">
        <v>15520</v>
      </c>
      <c r="C6764" s="4" t="str">
        <f ca="1">IFERROR(__xludf.DUMMYFUNCTION("GOOGLETRANSLATE(D:D,""auto"",""en"")"),"Italy Democratic leaders infected with the new virus crown")</f>
        <v>Italy Democratic leaders infected with the new virus crown</v>
      </c>
      <c r="D6764" s="5" t="s">
        <v>15521</v>
      </c>
      <c r="E6764" s="4">
        <v>758432</v>
      </c>
      <c r="F6764">
        <v>1</v>
      </c>
    </row>
    <row r="6765" spans="1:6" ht="13.5" hidden="1" customHeight="1">
      <c r="A6765" s="4" t="s">
        <v>15522</v>
      </c>
      <c r="B6765" s="4" t="s">
        <v>15523</v>
      </c>
      <c r="C6765" s="4" t="str">
        <f ca="1">IFERROR(__xludf.DUMMYFUNCTION("GOOGLETRANSLATE(D:D,""auto"",""en"")"),"Sun Young Mother")</f>
        <v>Sun Young Mother</v>
      </c>
      <c r="D6765" s="5" t="s">
        <v>15524</v>
      </c>
      <c r="E6765" s="4">
        <v>754573</v>
      </c>
    </row>
    <row r="6766" spans="1:6" ht="13.5" hidden="1" customHeight="1">
      <c r="A6766" s="4" t="s">
        <v>15525</v>
      </c>
      <c r="B6766" s="4" t="s">
        <v>15526</v>
      </c>
      <c r="C6766" s="4" t="str">
        <f ca="1">IFERROR(__xludf.DUMMYFUNCTION("GOOGLETRANSLATE(D:D,""auto"",""en"")"),"Shenjun Liang and his son have been reunited")</f>
        <v>Shenjun Liang and his son have been reunited</v>
      </c>
      <c r="D6766" s="5" t="s">
        <v>15527</v>
      </c>
      <c r="E6766" s="4">
        <v>753809</v>
      </c>
    </row>
    <row r="6767" spans="1:6" ht="13.5" hidden="1" customHeight="1">
      <c r="A6767" s="4" t="s">
        <v>15528</v>
      </c>
      <c r="B6767" s="4" t="s">
        <v>15529</v>
      </c>
      <c r="C6767" s="4" t="str">
        <f ca="1">IFERROR(__xludf.DUMMYFUNCTION("GOOGLETRANSLATE(D:D,""auto"",""en"")"),"Xuan Wu Weiguang to high instrument mom arrangements autographs")</f>
        <v>Xuan Wu Weiguang to high instrument mom arrangements autographs</v>
      </c>
      <c r="D6767" s="5" t="s">
        <v>15530</v>
      </c>
      <c r="E6767" s="4">
        <v>731287</v>
      </c>
    </row>
    <row r="6768" spans="1:6" ht="13.5" hidden="1" customHeight="1">
      <c r="A6768" s="4" t="s">
        <v>1155</v>
      </c>
      <c r="B6768" s="4" t="s">
        <v>1156</v>
      </c>
      <c r="C6768" s="4" t="str">
        <f ca="1">IFERROR(__xludf.DUMMYFUNCTION("GOOGLETRANSLATE(D:D,""auto"",""en"")"),"Happy Camp")</f>
        <v>Happy Camp</v>
      </c>
      <c r="D6768" s="5" t="s">
        <v>1157</v>
      </c>
      <c r="E6768" s="4">
        <v>727242</v>
      </c>
    </row>
    <row r="6769" spans="1:6" ht="13.5" hidden="1" customHeight="1">
      <c r="A6769" s="4" t="s">
        <v>15531</v>
      </c>
      <c r="B6769" s="4" t="s">
        <v>15532</v>
      </c>
      <c r="C6769" s="4" t="str">
        <f ca="1">IFERROR(__xludf.DUMMYFUNCTION("GOOGLETRANSLATE(D:D,""auto"",""en"")"),"Lin Yanjun white down jacket")</f>
        <v>Lin Yanjun white down jacket</v>
      </c>
      <c r="D6769" s="5" t="s">
        <v>15533</v>
      </c>
      <c r="E6769" s="4">
        <v>723627</v>
      </c>
    </row>
    <row r="6770" spans="1:6" ht="13.5" hidden="1" customHeight="1">
      <c r="A6770" s="4" t="s">
        <v>15534</v>
      </c>
      <c r="B6770" s="4" t="s">
        <v>15535</v>
      </c>
      <c r="C6770" s="4" t="str">
        <f ca="1">IFERROR(__xludf.DUMMYFUNCTION("GOOGLETRANSLATE(D:D,""auto"",""en"")"),"There is no direct evidence that Aunt May")</f>
        <v>There is no direct evidence that Aunt May</v>
      </c>
      <c r="D6770" s="5" t="s">
        <v>15536</v>
      </c>
      <c r="E6770" s="4">
        <v>713716</v>
      </c>
    </row>
    <row r="6771" spans="1:6" ht="13.5" hidden="1" customHeight="1">
      <c r="A6771" s="4" t="s">
        <v>15537</v>
      </c>
      <c r="B6771" s="4" t="s">
        <v>15538</v>
      </c>
      <c r="C6771" s="4" t="str">
        <f ca="1">IFERROR(__xludf.DUMMYFUNCTION("GOOGLETRANSLATE(D:D,""auto"",""en"")"),"Shen Teng faceless male expression package")</f>
        <v>Shen Teng faceless male expression package</v>
      </c>
      <c r="D6771" s="5" t="s">
        <v>15539</v>
      </c>
      <c r="E6771" s="4">
        <v>709631</v>
      </c>
    </row>
    <row r="6772" spans="1:6" ht="13.5" hidden="1" customHeight="1">
      <c r="A6772" s="4" t="s">
        <v>15540</v>
      </c>
      <c r="B6772" s="4" t="s">
        <v>15541</v>
      </c>
      <c r="C6772" s="4" t="str">
        <f ca="1">IFERROR(__xludf.DUMMYFUNCTION("GOOGLETRANSLATE(D:D,""auto"",""en"")"),"Happy Camp next issue there Huang Jingyu")</f>
        <v>Happy Camp next issue there Huang Jingyu</v>
      </c>
      <c r="D6772" s="5" t="s">
        <v>15542</v>
      </c>
      <c r="E6772" s="4">
        <v>701077</v>
      </c>
    </row>
    <row r="6773" spans="1:6" ht="13.5" hidden="1" customHeight="1">
      <c r="A6773" s="4" t="s">
        <v>15543</v>
      </c>
      <c r="B6773" s="4" t="s">
        <v>15544</v>
      </c>
      <c r="C6773" s="4" t="str">
        <f ca="1">IFERROR(__xludf.DUMMYFUNCTION("GOOGLETRANSLATE(D:D,""auto"",""en"")"),"Chess hand nitrous oxide overdose death")</f>
        <v>Chess hand nitrous oxide overdose death</v>
      </c>
      <c r="D6773" s="5" t="s">
        <v>15545</v>
      </c>
      <c r="E6773" s="4">
        <v>694802</v>
      </c>
    </row>
    <row r="6774" spans="1:6" ht="13.5" hidden="1" customHeight="1">
      <c r="A6774" s="4" t="s">
        <v>15546</v>
      </c>
      <c r="B6774" s="4" t="s">
        <v>15547</v>
      </c>
      <c r="C6774" s="4" t="str">
        <f ca="1">IFERROR(__xludf.DUMMYFUNCTION("GOOGLETRANSLATE(D:D,""auto"",""en"")"),"Watch an episode fell in love with the heroine")</f>
        <v>Watch an episode fell in love with the heroine</v>
      </c>
      <c r="D6774" s="5" t="s">
        <v>15548</v>
      </c>
      <c r="E6774" s="4">
        <v>691614</v>
      </c>
    </row>
    <row r="6775" spans="1:6" ht="13.5" hidden="1" customHeight="1">
      <c r="A6775" s="4" t="s">
        <v>15549</v>
      </c>
      <c r="B6775" s="4" t="s">
        <v>15550</v>
      </c>
      <c r="C6775" s="4" t="str">
        <f ca="1">IFERROR(__xludf.DUMMYFUNCTION("GOOGLETRANSLATE(D:D,""auto"",""en"")"),"What most with drinks and hot pot")</f>
        <v>What most with drinks and hot pot</v>
      </c>
      <c r="D6775" s="5" t="s">
        <v>15551</v>
      </c>
      <c r="E6775" s="4">
        <v>679713</v>
      </c>
    </row>
    <row r="6776" spans="1:6" ht="13.5" hidden="1" customHeight="1">
      <c r="A6776" s="4" t="s">
        <v>15502</v>
      </c>
      <c r="B6776" s="4" t="s">
        <v>15552</v>
      </c>
      <c r="C6776" s="4" t="str">
        <f ca="1">IFERROR(__xludf.DUMMYFUNCTION("GOOGLETRANSLATE(D:D,""auto"",""en"")"),"Quanzhou hotel collapsed or repair-related foundation")</f>
        <v>Quanzhou hotel collapsed or repair-related foundation</v>
      </c>
      <c r="D6776" s="5" t="s">
        <v>15553</v>
      </c>
      <c r="E6776" s="4">
        <v>678585</v>
      </c>
    </row>
    <row r="6777" spans="1:6" ht="13.5" customHeight="1">
      <c r="A6777" s="4" t="s">
        <v>15554</v>
      </c>
      <c r="B6777" s="4" t="s">
        <v>15555</v>
      </c>
      <c r="C6777" s="4" t="str">
        <f ca="1">IFERROR(__xludf.DUMMYFUNCTION("GOOGLETRANSLATE(D:D,""auto"",""en"")"),"Xinjiang emergency response adjustment for the three")</f>
        <v>Xinjiang emergency response adjustment for the three</v>
      </c>
      <c r="D6777" s="5" t="s">
        <v>15556</v>
      </c>
      <c r="E6777" s="4">
        <v>664543</v>
      </c>
      <c r="F6777">
        <v>1</v>
      </c>
    </row>
    <row r="6778" spans="1:6" ht="13.5" hidden="1" customHeight="1">
      <c r="A6778" s="4" t="s">
        <v>14826</v>
      </c>
      <c r="B6778" s="4" t="s">
        <v>14827</v>
      </c>
      <c r="C6778" s="4" t="str">
        <f ca="1">IFERROR(__xludf.DUMMYFUNCTION("GOOGLETRANSLATE(D:D,""auto"",""en"")"),"Li Jiaqi")</f>
        <v>Li Jiaqi</v>
      </c>
      <c r="D6778" s="5" t="s">
        <v>14828</v>
      </c>
      <c r="E6778" s="4">
        <v>638707</v>
      </c>
    </row>
    <row r="6779" spans="1:6" ht="13.5" hidden="1" customHeight="1">
      <c r="A6779" s="4" t="s">
        <v>15557</v>
      </c>
      <c r="B6779" s="4" t="s">
        <v>15558</v>
      </c>
      <c r="C6779" s="4" t="str">
        <f ca="1">IFERROR(__xludf.DUMMYFUNCTION("GOOGLETRANSLATE(D:D,""auto"",""en"")"),"Suitable substituted into the novel's appearance")</f>
        <v>Suitable substituted into the novel's appearance</v>
      </c>
      <c r="D6779" s="5" t="s">
        <v>15559</v>
      </c>
      <c r="E6779" s="4">
        <v>563342</v>
      </c>
    </row>
    <row r="6780" spans="1:6" ht="13.5" hidden="1" customHeight="1">
      <c r="A6780" s="4" t="s">
        <v>15560</v>
      </c>
      <c r="B6780" s="4" t="s">
        <v>15561</v>
      </c>
      <c r="C6780" s="4" t="str">
        <f ca="1">IFERROR(__xludf.DUMMYFUNCTION("GOOGLETRANSLATE(D:D,""auto"",""en"")"),"Next to the Chengdu Shuangliu Airport pandas")</f>
        <v>Next to the Chengdu Shuangliu Airport pandas</v>
      </c>
      <c r="D6780" s="5" t="s">
        <v>15562</v>
      </c>
      <c r="E6780" s="4">
        <v>553418</v>
      </c>
    </row>
    <row r="6781" spans="1:6" ht="13.5" hidden="1" customHeight="1">
      <c r="A6781" s="4" t="s">
        <v>15563</v>
      </c>
      <c r="B6781" s="4" t="s">
        <v>15564</v>
      </c>
      <c r="C6781" s="4" t="str">
        <f ca="1">IFERROR(__xludf.DUMMYFUNCTION("GOOGLETRANSLATE(D:D,""auto"",""en"")"),"When the embarrassing experience of body measurements")</f>
        <v>When the embarrassing experience of body measurements</v>
      </c>
      <c r="D6781" s="5" t="s">
        <v>15565</v>
      </c>
      <c r="E6781" s="4">
        <v>525148</v>
      </c>
    </row>
    <row r="6782" spans="1:6" ht="13.5" hidden="1" customHeight="1">
      <c r="A6782" s="4" t="s">
        <v>15505</v>
      </c>
      <c r="B6782" s="4" t="s">
        <v>15566</v>
      </c>
      <c r="C6782" s="4" t="str">
        <f ca="1">IFERROR(__xludf.DUMMYFUNCTION("GOOGLETRANSLATE(D:D,""auto"",""en"")"),"Chen Dong You Are edge")</f>
        <v>Chen Dong You Are edge</v>
      </c>
      <c r="D6782" s="5" t="s">
        <v>15567</v>
      </c>
      <c r="E6782" s="4">
        <v>490678</v>
      </c>
    </row>
    <row r="6783" spans="1:6" ht="13.5" hidden="1" customHeight="1">
      <c r="A6783" s="4" t="s">
        <v>15568</v>
      </c>
      <c r="B6783" s="4" t="s">
        <v>15569</v>
      </c>
      <c r="C6783" s="4" t="str">
        <f ca="1">IFERROR(__xludf.DUMMYFUNCTION("GOOGLETRANSLATE(D:D,""auto"",""en"")"),"Iranian actress teach you fancy wash")</f>
        <v>Iranian actress teach you fancy wash</v>
      </c>
      <c r="D6783" s="5" t="s">
        <v>15570</v>
      </c>
      <c r="E6783" s="4">
        <v>465437</v>
      </c>
    </row>
    <row r="6784" spans="1:6" ht="13.5" hidden="1" customHeight="1">
      <c r="A6784" s="4" t="s">
        <v>15514</v>
      </c>
      <c r="B6784" s="4" t="s">
        <v>15571</v>
      </c>
      <c r="C6784" s="4" t="str">
        <f ca="1">IFERROR(__xludf.DUMMYFUNCTION("GOOGLETRANSLATE(D:D,""auto"",""en"")"),"Everything boiled Jieke")</f>
        <v>Everything boiled Jieke</v>
      </c>
      <c r="D6784" s="5" t="s">
        <v>15572</v>
      </c>
      <c r="E6784" s="4">
        <v>422256</v>
      </c>
    </row>
    <row r="6785" spans="1:6" ht="13.5" customHeight="1">
      <c r="A6785" s="4" t="s">
        <v>15573</v>
      </c>
      <c r="B6785" s="4" t="s">
        <v>15408</v>
      </c>
      <c r="C6785" s="4" t="str">
        <f ca="1">IFERROR(__xludf.DUMMYFUNCTION("GOOGLETRANSLATE(D:D,""auto"",""en"")"),"Iran's newly elected members suffering from pneumonia died new crown")</f>
        <v>Iran's newly elected members suffering from pneumonia died new crown</v>
      </c>
      <c r="D6785" s="5" t="s">
        <v>15574</v>
      </c>
      <c r="E6785" s="4">
        <v>398554</v>
      </c>
      <c r="F6785">
        <v>1</v>
      </c>
    </row>
    <row r="6786" spans="1:6" ht="13.5" hidden="1" customHeight="1">
      <c r="A6786" s="4" t="s">
        <v>15575</v>
      </c>
      <c r="B6786" s="4" t="s">
        <v>15558</v>
      </c>
      <c r="C6786" s="4" t="str">
        <f ca="1">IFERROR(__xludf.DUMMYFUNCTION("GOOGLETRANSLATE(D:D,""auto"",""en"")"),"Guojun Chen cute")</f>
        <v>Guojun Chen cute</v>
      </c>
      <c r="D6786" s="5" t="s">
        <v>15576</v>
      </c>
      <c r="E6786" s="4">
        <v>388814</v>
      </c>
    </row>
    <row r="6787" spans="1:6" ht="13.5" customHeight="1">
      <c r="A6787" s="4" t="s">
        <v>11803</v>
      </c>
      <c r="B6787" s="4" t="s">
        <v>11804</v>
      </c>
      <c r="C6787" s="4" t="str">
        <f ca="1">IFERROR(__xludf.DUMMYFUNCTION("GOOGLETRANSLATE(D:D,""auto"",""en"")"),"Good night SMS Hubei plan")</f>
        <v>Good night SMS Hubei plan</v>
      </c>
      <c r="D6787" s="5" t="s">
        <v>11805</v>
      </c>
      <c r="E6787" s="4">
        <v>367332</v>
      </c>
      <c r="F6787">
        <v>1</v>
      </c>
    </row>
    <row r="6788" spans="1:6" ht="13.5" customHeight="1">
      <c r="A6788" s="4" t="s">
        <v>15577</v>
      </c>
      <c r="B6788" s="4" t="s">
        <v>15578</v>
      </c>
      <c r="C6788" s="4" t="str">
        <f ca="1">IFERROR(__xludf.DUMMYFUNCTION("GOOGLETRANSLATE(D:D,""auto"",""en"")"),"ZHANG Wen-hong talk about the new vaccine crown")</f>
        <v>ZHANG Wen-hong talk about the new vaccine crown</v>
      </c>
      <c r="D6788" s="5" t="s">
        <v>15579</v>
      </c>
      <c r="E6788" s="4">
        <v>359217</v>
      </c>
      <c r="F6788">
        <v>1</v>
      </c>
    </row>
    <row r="6789" spans="1:6" ht="13.5" customHeight="1">
      <c r="A6789" s="4" t="s">
        <v>15568</v>
      </c>
      <c r="B6789" s="4" t="s">
        <v>15580</v>
      </c>
      <c r="C6789" s="4" t="str">
        <f ca="1">IFERROR(__xludf.DUMMYFUNCTION("GOOGLETRANSLATE(D:D,""auto"",""en"")"),"The doctor shouted offline patient you alive")</f>
        <v>The doctor shouted offline patient you alive</v>
      </c>
      <c r="D6789" s="5" t="s">
        <v>15581</v>
      </c>
      <c r="E6789" s="4">
        <v>322267</v>
      </c>
      <c r="F6789">
        <v>1</v>
      </c>
    </row>
    <row r="6790" spans="1:6" ht="13.5" hidden="1" customHeight="1">
      <c r="A6790" s="4" t="s">
        <v>15413</v>
      </c>
      <c r="B6790" s="4" t="s">
        <v>15336</v>
      </c>
      <c r="C6790" s="4" t="str">
        <f ca="1">IFERROR(__xludf.DUMMYFUNCTION("GOOGLETRANSLATE(D:D,""auto"",""en"")"),"Strictly prohibited generally required school teachers live or recorded lesson")</f>
        <v>Strictly prohibited generally required school teachers live or recorded lesson</v>
      </c>
      <c r="D6790" s="5" t="s">
        <v>15414</v>
      </c>
      <c r="E6790" s="4">
        <v>303231</v>
      </c>
    </row>
    <row r="6791" spans="1:6" ht="13.5" customHeight="1">
      <c r="A6791" s="4" t="s">
        <v>15528</v>
      </c>
      <c r="B6791" s="4" t="s">
        <v>15582</v>
      </c>
      <c r="C6791" s="4" t="str">
        <f ca="1">IFERROR(__xludf.DUMMYFUNCTION("GOOGLETRANSLATE(D:D,""auto"",""en"")"),"Red Cross sending experts to support Iraq epidemic prevention and control")</f>
        <v>Red Cross sending experts to support Iraq epidemic prevention and control</v>
      </c>
      <c r="D6791" s="5" t="s">
        <v>15583</v>
      </c>
      <c r="E6791" s="4">
        <v>296268</v>
      </c>
      <c r="F6791">
        <v>1</v>
      </c>
    </row>
    <row r="6792" spans="1:6" ht="13.5" customHeight="1">
      <c r="A6792" s="4" t="s">
        <v>15584</v>
      </c>
      <c r="B6792" s="4" t="s">
        <v>15585</v>
      </c>
      <c r="C6792" s="4" t="str">
        <f ca="1">IFERROR(__xludf.DUMMYFUNCTION("GOOGLETRANSLATE(D:D,""auto"",""en"")"),"Fujian confirmed all clear")</f>
        <v>Fujian confirmed all clear</v>
      </c>
      <c r="D6792" s="5" t="s">
        <v>15586</v>
      </c>
      <c r="E6792" s="4">
        <v>283849</v>
      </c>
      <c r="F6792">
        <v>1</v>
      </c>
    </row>
    <row r="6793" spans="1:6" ht="13.5" hidden="1" customHeight="1">
      <c r="A6793" s="4" t="s">
        <v>15587</v>
      </c>
      <c r="B6793" s="4" t="s">
        <v>15588</v>
      </c>
      <c r="C6793" s="4" t="str">
        <f ca="1">IFERROR(__xludf.DUMMYFUNCTION("GOOGLETRANSLATE(D:D,""auto"",""en"")"),"Quanzhou collapsed hotel staff of about 70 people trapped")</f>
        <v>Quanzhou collapsed hotel staff of about 70 people trapped</v>
      </c>
      <c r="D6793" s="5" t="s">
        <v>15589</v>
      </c>
      <c r="E6793" s="4">
        <v>264918</v>
      </c>
    </row>
    <row r="6794" spans="1:6" ht="13.5" hidden="1" customHeight="1">
      <c r="A6794" s="4" t="s">
        <v>15584</v>
      </c>
      <c r="B6794" s="4" t="s">
        <v>15590</v>
      </c>
      <c r="C6794" s="4" t="str">
        <f ca="1">IFERROR(__xludf.DUMMYFUNCTION("GOOGLETRANSLATE(D:D,""auto"",""en"")"),"Guangdong hundreds of kilograms of pressure pond frog unmarketable")</f>
        <v>Guangdong hundreds of kilograms of pressure pond frog unmarketable</v>
      </c>
      <c r="D6794" s="5" t="s">
        <v>15591</v>
      </c>
      <c r="E6794" s="4">
        <v>263690</v>
      </c>
    </row>
    <row r="6795" spans="1:6" ht="13.5" hidden="1" customHeight="1">
      <c r="A6795" s="4" t="s">
        <v>15592</v>
      </c>
      <c r="B6795" s="4" t="s">
        <v>15593</v>
      </c>
      <c r="C6795" s="4" t="str">
        <f ca="1">IFERROR(__xludf.DUMMYFUNCTION("GOOGLETRANSLATE(D:D,""auto"",""en"")"),"Rebirth")</f>
        <v>Rebirth</v>
      </c>
      <c r="D6795" s="5" t="s">
        <v>15594</v>
      </c>
      <c r="E6795" s="4">
        <v>258395</v>
      </c>
    </row>
    <row r="6796" spans="1:6" ht="13.5" hidden="1" customHeight="1">
      <c r="A6796" s="4" t="s">
        <v>15595</v>
      </c>
      <c r="B6796" s="4" t="s">
        <v>15578</v>
      </c>
      <c r="C6796" s="4" t="str">
        <f ca="1">IFERROR(__xludf.DUMMYFUNCTION("GOOGLETRANSLATE(D:D,""auto"",""en"")"),"Nets coach class")</f>
        <v>Nets coach class</v>
      </c>
      <c r="D6796" s="5" t="s">
        <v>15596</v>
      </c>
      <c r="E6796" s="4">
        <v>245395</v>
      </c>
    </row>
    <row r="6797" spans="1:6" ht="13.5" hidden="1" customHeight="1">
      <c r="A6797" s="4" t="s">
        <v>15597</v>
      </c>
      <c r="B6797" s="4" t="s">
        <v>15598</v>
      </c>
      <c r="C6797" s="4" t="str">
        <f ca="1">IFERROR(__xludf.DUMMYFUNCTION("GOOGLETRANSLATE(D:D,""auto"",""en"")"),"Breathtaking passport")</f>
        <v>Breathtaking passport</v>
      </c>
      <c r="D6797" s="5" t="s">
        <v>15599</v>
      </c>
      <c r="E6797" s="4">
        <v>240892</v>
      </c>
    </row>
    <row r="6798" spans="1:6" ht="13.5" hidden="1" customHeight="1">
      <c r="A6798" s="4" t="s">
        <v>15600</v>
      </c>
      <c r="B6798" s="4" t="s">
        <v>15601</v>
      </c>
      <c r="C6798" s="4" t="str">
        <f ca="1">IFERROR(__xludf.DUMMYFUNCTION("GOOGLETRANSLATE(D:D,""auto"",""en"")"),"Putin was to marry beauty spot")</f>
        <v>Putin was to marry beauty spot</v>
      </c>
      <c r="D6798" s="5" t="s">
        <v>15602</v>
      </c>
      <c r="E6798" s="4">
        <v>237651</v>
      </c>
    </row>
    <row r="6799" spans="1:6" ht="13.5" hidden="1" customHeight="1">
      <c r="A6799" s="4" t="s">
        <v>15603</v>
      </c>
      <c r="B6799" s="4" t="s">
        <v>15465</v>
      </c>
      <c r="C6799" s="4" t="str">
        <f ca="1">IFERROR(__xludf.DUMMYFUNCTION("GOOGLETRANSLATE(D:D,""auto"",""en"")"),"iPad Air 3 there will be a permanent black")</f>
        <v>iPad Air 3 there will be a permanent black</v>
      </c>
      <c r="D6799" s="5" t="s">
        <v>15604</v>
      </c>
      <c r="E6799" s="4">
        <v>227629</v>
      </c>
    </row>
    <row r="6800" spans="1:6" ht="13.5" customHeight="1">
      <c r="A6800" s="4" t="s">
        <v>15605</v>
      </c>
      <c r="B6800" s="4" t="s">
        <v>15544</v>
      </c>
      <c r="C6800" s="4" t="str">
        <f ca="1">IFERROR(__xludf.DUMMYFUNCTION("GOOGLETRANSLATE(D:D,""auto"",""en"")"),"Japan is expected next week Resale masks")</f>
        <v>Japan is expected next week Resale masks</v>
      </c>
      <c r="D6800" s="5" t="s">
        <v>15606</v>
      </c>
      <c r="E6800" s="4">
        <v>227361</v>
      </c>
      <c r="F6800">
        <v>1</v>
      </c>
    </row>
    <row r="6801" spans="1:6" ht="13.5" hidden="1" customHeight="1">
      <c r="A6801" s="4" t="s">
        <v>15607</v>
      </c>
      <c r="B6801" s="4" t="s">
        <v>15608</v>
      </c>
      <c r="C6801" s="4" t="str">
        <f ca="1">IFERROR(__xludf.DUMMYFUNCTION("GOOGLETRANSLATE(D:D,""auto"",""en"")"),"Strawberry chocolate popcorn")</f>
        <v>Strawberry chocolate popcorn</v>
      </c>
      <c r="D6801" s="5" t="s">
        <v>15609</v>
      </c>
      <c r="E6801" s="4">
        <v>209996</v>
      </c>
    </row>
    <row r="6802" spans="1:6" ht="13.5" hidden="1" customHeight="1">
      <c r="A6802" s="4" t="s">
        <v>15610</v>
      </c>
      <c r="B6802" s="4" t="s">
        <v>15611</v>
      </c>
      <c r="C6802" s="4" t="str">
        <f ca="1">IFERROR(__xludf.DUMMYFUNCTION("GOOGLETRANSLATE(D:D,""auto"",""en"")"),"Malone Xu Xin won the men's doubles")</f>
        <v>Malone Xu Xin won the men's doubles</v>
      </c>
      <c r="D6802" s="5" t="s">
        <v>15612</v>
      </c>
      <c r="E6802" s="4">
        <v>208142</v>
      </c>
    </row>
    <row r="6803" spans="1:6" ht="13.5" hidden="1" customHeight="1">
      <c r="A6803" s="4" t="s">
        <v>15613</v>
      </c>
      <c r="B6803" s="4" t="s">
        <v>15614</v>
      </c>
      <c r="C6803" s="4" t="str">
        <f ca="1">IFERROR(__xludf.DUMMYFUNCTION("GOOGLETRANSLATE(D:D,""auto"",""en"")"),"Which star is amazing to cos")</f>
        <v>Which star is amazing to cos</v>
      </c>
      <c r="D6803" s="5" t="s">
        <v>15615</v>
      </c>
      <c r="E6803" s="4">
        <v>186695</v>
      </c>
    </row>
    <row r="6804" spans="1:6" ht="13.5" hidden="1" customHeight="1">
      <c r="A6804" s="4" t="s">
        <v>15534</v>
      </c>
      <c r="B6804" s="4" t="s">
        <v>15616</v>
      </c>
      <c r="C6804" s="4" t="str">
        <f ca="1">IFERROR(__xludf.DUMMYFUNCTION("GOOGLETRANSLATE(D:D,""auto"",""en"")"),"Yang Kai Zhou Yuzhuo")</f>
        <v>Yang Kai Zhou Yuzhuo</v>
      </c>
      <c r="D6804" s="5" t="s">
        <v>15617</v>
      </c>
      <c r="E6804" s="4">
        <v>181942</v>
      </c>
    </row>
    <row r="6805" spans="1:6" ht="13.5" hidden="1" customHeight="1">
      <c r="A6805" s="4" t="s">
        <v>15584</v>
      </c>
      <c r="B6805" s="4" t="s">
        <v>15618</v>
      </c>
      <c r="C6805" s="4" t="str">
        <f ca="1">IFERROR(__xludf.DUMMYFUNCTION("GOOGLETRANSLATE(D:D,""auto"",""en"")"),"Drying out the best-looking hands")</f>
        <v>Drying out the best-looking hands</v>
      </c>
      <c r="D6805" s="5" t="s">
        <v>15619</v>
      </c>
      <c r="E6805" s="4">
        <v>154906</v>
      </c>
    </row>
    <row r="6806" spans="1:6" ht="13.5" hidden="1" customHeight="1">
      <c r="C6806" s="4" t="str">
        <f ca="1">IFERROR(__xludf.DUMMYFUNCTION("GOOGLETRANSLATE(D:D,""auto"",""en"")"),"#VALUE!")</f>
        <v>#VALUE!</v>
      </c>
    </row>
    <row r="6807" spans="1:6" ht="13.5" hidden="1" customHeight="1">
      <c r="A6807" s="4" t="s">
        <v>15620</v>
      </c>
      <c r="B6807" s="4" t="s">
        <v>15595</v>
      </c>
      <c r="C6807" s="4" t="str">
        <f ca="1">IFERROR(__xludf.DUMMYFUNCTION("GOOGLETRANSLATE(D:D,""auto"",""en"")"),"Curry suffering from influenza A")</f>
        <v>Curry suffering from influenza A</v>
      </c>
      <c r="D6807" s="4" t="s">
        <v>15621</v>
      </c>
      <c r="E6807" s="4">
        <v>2442521</v>
      </c>
    </row>
    <row r="6808" spans="1:6" ht="13.5" customHeight="1">
      <c r="A6808" s="4" t="s">
        <v>15622</v>
      </c>
      <c r="B6808" s="4" t="s">
        <v>15623</v>
      </c>
      <c r="C6808" s="4" t="str">
        <f ca="1">IFERROR(__xludf.DUMMYFUNCTION("GOOGLETRANSLATE(D:D,""auto"",""en"")"),"Firefighters rescued the boy blindfolding as masks")</f>
        <v>Firefighters rescued the boy blindfolding as masks</v>
      </c>
      <c r="D6808" s="5" t="s">
        <v>15624</v>
      </c>
      <c r="E6808" s="4">
        <v>2433925</v>
      </c>
      <c r="F6808">
        <v>1</v>
      </c>
    </row>
    <row r="6809" spans="1:6" ht="13.5" customHeight="1">
      <c r="A6809" s="4" t="s">
        <v>15625</v>
      </c>
      <c r="B6809" s="4" t="s">
        <v>15531</v>
      </c>
      <c r="C6809" s="4" t="str">
        <f ca="1">IFERROR(__xludf.DUMMYFUNCTION("GOOGLETRANSLATE(D:D,""auto"",""en"")"),"Wuhan new new crown pneumonia diagnosed 41 cases")</f>
        <v>Wuhan new new crown pneumonia diagnosed 41 cases</v>
      </c>
      <c r="D6809" s="5" t="s">
        <v>15626</v>
      </c>
      <c r="E6809" s="4">
        <v>2430587</v>
      </c>
      <c r="F6809">
        <v>1</v>
      </c>
    </row>
    <row r="6810" spans="1:6" ht="13.5" hidden="1" customHeight="1">
      <c r="A6810" s="4" t="s">
        <v>15627</v>
      </c>
      <c r="B6810" s="4" t="s">
        <v>15628</v>
      </c>
      <c r="C6810" s="4" t="str">
        <f ca="1">IFERROR(__xludf.DUMMYFUNCTION("GOOGLETRANSLATE(D:D,""auto"",""en"")"),"Hu Ge Wu Lei Li Jiaqi fight with change")</f>
        <v>Hu Ge Wu Lei Li Jiaqi fight with change</v>
      </c>
      <c r="D6810" s="5" t="s">
        <v>15629</v>
      </c>
      <c r="E6810" s="4">
        <v>2427912</v>
      </c>
    </row>
    <row r="6811" spans="1:6" ht="13.5" hidden="1" customHeight="1">
      <c r="A6811" s="4" t="s">
        <v>15630</v>
      </c>
      <c r="B6811" s="4" t="s">
        <v>15631</v>
      </c>
      <c r="C6811" s="4" t="str">
        <f ca="1">IFERROR(__xludf.DUMMYFUNCTION("GOOGLETRANSLATE(D:D,""auto"",""en"")"),"Trump Princess passengers do not disembark supreme hope")</f>
        <v>Trump Princess passengers do not disembark supreme hope</v>
      </c>
      <c r="D6811" s="5" t="s">
        <v>15632</v>
      </c>
      <c r="E6811" s="4">
        <v>1466604</v>
      </c>
    </row>
    <row r="6812" spans="1:6" ht="13.5" hidden="1" customHeight="1">
      <c r="A6812" s="4" t="s">
        <v>15633</v>
      </c>
      <c r="B6812" s="4" t="s">
        <v>15525</v>
      </c>
      <c r="C6812" s="4" t="str">
        <f ca="1">IFERROR(__xludf.DUMMYFUNCTION("GOOGLETRANSLATE(D:D,""auto"",""en"")"),"Dainippon red kitty cat t-death")</f>
        <v>Dainippon red kitty cat t-death</v>
      </c>
      <c r="D6812" s="5" t="s">
        <v>15634</v>
      </c>
      <c r="E6812" s="4">
        <v>1330413</v>
      </c>
    </row>
    <row r="6813" spans="1:6" ht="13.5" hidden="1" customHeight="1">
      <c r="A6813" s="4" t="s">
        <v>15635</v>
      </c>
      <c r="B6813" s="4" t="s">
        <v>15636</v>
      </c>
      <c r="C6813" s="4" t="str">
        <f ca="1">IFERROR(__xludf.DUMMYFUNCTION("GOOGLETRANSLATE(D:D,""auto"",""en"")"),"Yuhong men's team Fahrenheit")</f>
        <v>Yuhong men's team Fahrenheit</v>
      </c>
      <c r="D6813" s="5" t="s">
        <v>15637</v>
      </c>
      <c r="E6813" s="4">
        <v>1079734</v>
      </c>
    </row>
    <row r="6814" spans="1:6" ht="13.5" hidden="1" customHeight="1">
      <c r="A6814" s="4" t="s">
        <v>15638</v>
      </c>
      <c r="B6814" s="4" t="s">
        <v>15575</v>
      </c>
      <c r="C6814" s="4" t="str">
        <f ca="1">IFERROR(__xludf.DUMMYFUNCTION("GOOGLETRANSLATE(D:D,""auto"",""en"")"),"Meng Meiqi respond pocket Siye")</f>
        <v>Meng Meiqi respond pocket Siye</v>
      </c>
      <c r="D6814" s="5" t="s">
        <v>15639</v>
      </c>
      <c r="E6814" s="4">
        <v>844790</v>
      </c>
    </row>
    <row r="6815" spans="1:6" ht="13.5" hidden="1" customHeight="1">
      <c r="A6815" s="4" t="s">
        <v>15640</v>
      </c>
      <c r="B6815" s="4" t="s">
        <v>15554</v>
      </c>
      <c r="C6815" s="4" t="str">
        <f ca="1">IFERROR(__xludf.DUMMYFUNCTION("GOOGLETRANSLATE(D:D,""auto"",""en"")"),"Jia welcomed the Quanzhou hotel surveillance video instant collapse")</f>
        <v>Jia welcomed the Quanzhou hotel surveillance video instant collapse</v>
      </c>
      <c r="D6815" s="5" t="s">
        <v>15641</v>
      </c>
      <c r="E6815" s="4">
        <v>738686</v>
      </c>
    </row>
    <row r="6816" spans="1:6" ht="13.5" customHeight="1">
      <c r="A6816" s="4" t="s">
        <v>15642</v>
      </c>
      <c r="B6816" s="4" t="s">
        <v>15643</v>
      </c>
      <c r="C6816" s="4" t="str">
        <f ca="1">IFERROR(__xludf.DUMMYFUNCTION("GOOGLETRANSLATE(D:D,""auto"",""en"")"),"Italian encourage healthy people do not wear masks")</f>
        <v>Italian encourage healthy people do not wear masks</v>
      </c>
      <c r="D6816" s="5" t="s">
        <v>15644</v>
      </c>
      <c r="E6816" s="4">
        <v>577750</v>
      </c>
      <c r="F6816">
        <v>1</v>
      </c>
    </row>
    <row r="6817" spans="1:6" ht="13.5" hidden="1" customHeight="1">
      <c r="A6817" s="4" t="s">
        <v>15645</v>
      </c>
      <c r="B6817" s="4" t="s">
        <v>15646</v>
      </c>
      <c r="C6817" s="4" t="str">
        <f ca="1">IFERROR(__xludf.DUMMYFUNCTION("GOOGLETRANSLATE(D:D,""auto"",""en"")"),"Liu Yifei Mulan to sing the theme song")</f>
        <v>Liu Yifei Mulan to sing the theme song</v>
      </c>
      <c r="D6817" s="5" t="s">
        <v>15647</v>
      </c>
      <c r="E6817" s="4">
        <v>548355</v>
      </c>
    </row>
    <row r="6818" spans="1:6" ht="13.5" hidden="1" customHeight="1">
      <c r="A6818" s="4" t="s">
        <v>15648</v>
      </c>
      <c r="B6818" s="4" t="s">
        <v>15649</v>
      </c>
      <c r="C6818" s="4" t="str">
        <f ca="1">IFERROR(__xludf.DUMMYFUNCTION("GOOGLETRANSLATE(D:D,""auto"",""en"")"),"Women's Day")</f>
        <v>Women's Day</v>
      </c>
      <c r="D6818" s="5" t="s">
        <v>15650</v>
      </c>
      <c r="E6818" s="4">
        <v>484439</v>
      </c>
    </row>
    <row r="6819" spans="1:6" ht="13.5" hidden="1" customHeight="1">
      <c r="A6819" s="4" t="s">
        <v>15651</v>
      </c>
      <c r="B6819" s="4" t="s">
        <v>15652</v>
      </c>
      <c r="C6819" s="4" t="str">
        <f ca="1">IFERROR(__xludf.DUMMYFUNCTION("GOOGLETRANSLATE(D:D,""auto"",""en"")"),"Dinning was swept Mima Ito")</f>
        <v>Dinning was swept Mima Ito</v>
      </c>
      <c r="D6819" s="5" t="s">
        <v>15653</v>
      </c>
      <c r="E6819" s="4">
        <v>473636</v>
      </c>
    </row>
    <row r="6820" spans="1:6" ht="13.5" hidden="1" customHeight="1">
      <c r="A6820" s="4" t="s">
        <v>15654</v>
      </c>
      <c r="B6820" s="4" t="s">
        <v>15655</v>
      </c>
      <c r="C6820" s="4" t="str">
        <f ca="1">IFERROR(__xludf.DUMMYFUNCTION("GOOGLETRANSLATE(D:D,""auto"",""en"")"),"Zhang Weili's first UFC title defense")</f>
        <v>Zhang Weili's first UFC title defense</v>
      </c>
      <c r="D6820" s="5" t="s">
        <v>15656</v>
      </c>
      <c r="E6820" s="4">
        <v>471478</v>
      </c>
    </row>
    <row r="6821" spans="1:6" ht="13.5" hidden="1" customHeight="1">
      <c r="A6821" s="4" t="s">
        <v>15654</v>
      </c>
      <c r="B6821" s="4" t="s">
        <v>15657</v>
      </c>
      <c r="C6821" s="4" t="str">
        <f ca="1">IFERROR(__xludf.DUMMYFUNCTION("GOOGLETRANSLATE(D:D,""auto"",""en"")"),"Occurs when the Department of Housing retrofit work collapse")</f>
        <v>Occurs when the Department of Housing retrofit work collapse</v>
      </c>
      <c r="D6821" s="5" t="s">
        <v>15658</v>
      </c>
      <c r="E6821" s="4">
        <v>470517</v>
      </c>
    </row>
    <row r="6822" spans="1:6" ht="13.5" hidden="1" customHeight="1">
      <c r="A6822" s="4" t="s">
        <v>15659</v>
      </c>
      <c r="B6822" s="4" t="s">
        <v>15660</v>
      </c>
      <c r="C6822" s="4" t="str">
        <f ca="1">IFERROR(__xludf.DUMMYFUNCTION("GOOGLETRANSLATE(D:D,""auto"",""en"")"),"I like to call this the children")</f>
        <v>I like to call this the children</v>
      </c>
      <c r="D6822" s="5" t="s">
        <v>15661</v>
      </c>
      <c r="E6822" s="4">
        <v>468472</v>
      </c>
    </row>
    <row r="6823" spans="1:6" ht="13.5" hidden="1" customHeight="1">
      <c r="A6823" s="4" t="s">
        <v>15662</v>
      </c>
      <c r="B6823" s="4" t="s">
        <v>15663</v>
      </c>
      <c r="C6823" s="4" t="str">
        <f ca="1">IFERROR(__xludf.DUMMYFUNCTION("GOOGLETRANSLATE(D:D,""auto"",""en"")"),"Wu Lei trunk")</f>
        <v>Wu Lei trunk</v>
      </c>
      <c r="D6823" s="5" t="s">
        <v>15664</v>
      </c>
      <c r="E6823" s="4">
        <v>462975</v>
      </c>
    </row>
    <row r="6824" spans="1:6" ht="13.5" customHeight="1">
      <c r="A6824" s="4" t="s">
        <v>15642</v>
      </c>
      <c r="B6824" s="4" t="s">
        <v>15665</v>
      </c>
      <c r="C6824" s="4" t="str">
        <f ca="1">IFERROR(__xludf.DUMMYFUNCTION("GOOGLETRANSLATE(D:D,""auto"",""en"")"),"Wuhan healed patients to medical name filled jacket")</f>
        <v>Wuhan healed patients to medical name filled jacket</v>
      </c>
      <c r="D6824" s="5" t="s">
        <v>15666</v>
      </c>
      <c r="E6824" s="4">
        <v>460133</v>
      </c>
      <c r="F6824">
        <v>1</v>
      </c>
    </row>
    <row r="6825" spans="1:6" ht="13.5" customHeight="1">
      <c r="A6825" s="4" t="s">
        <v>15667</v>
      </c>
      <c r="B6825" s="4" t="s">
        <v>15668</v>
      </c>
      <c r="C6825" s="4" t="str">
        <f ca="1">IFERROR(__xludf.DUMMYFUNCTION("GOOGLETRANSLATE(D:D,""auto"",""en"")"),"Screenwriter sixty-six will go to Wuhan")</f>
        <v>Screenwriter sixty-six will go to Wuhan</v>
      </c>
      <c r="D6825" s="5" t="s">
        <v>15669</v>
      </c>
      <c r="E6825" s="4">
        <v>451034</v>
      </c>
      <c r="F6825">
        <v>1</v>
      </c>
    </row>
    <row r="6826" spans="1:6" ht="13.5" customHeight="1">
      <c r="A6826" s="4" t="s">
        <v>15670</v>
      </c>
      <c r="B6826" s="4" t="s">
        <v>15671</v>
      </c>
      <c r="C6826" s="4" t="str">
        <f ca="1">IFERROR(__xludf.DUMMYFUNCTION("GOOGLETRANSLATE(D:D,""auto"",""en"")"),"South Korea rose to a total of 7134 cases diagnosed")</f>
        <v>South Korea rose to a total of 7134 cases diagnosed</v>
      </c>
      <c r="D6826" s="5" t="s">
        <v>15672</v>
      </c>
      <c r="E6826" s="4">
        <v>449818</v>
      </c>
      <c r="F6826">
        <v>1</v>
      </c>
    </row>
    <row r="6827" spans="1:6" ht="13.5" hidden="1" customHeight="1">
      <c r="A6827" s="4" t="s">
        <v>15673</v>
      </c>
      <c r="B6827" s="4" t="s">
        <v>15674</v>
      </c>
      <c r="C6827" s="4" t="str">
        <f ca="1">IFERROR(__xludf.DUMMYFUNCTION("GOOGLETRANSLATE(D:D,""auto"",""en"")"),"South Korea South Korea's top ten beauty net assessment")</f>
        <v>South Korea South Korea's top ten beauty net assessment</v>
      </c>
      <c r="D6827" s="5" t="s">
        <v>15675</v>
      </c>
      <c r="E6827" s="4">
        <v>447557</v>
      </c>
    </row>
    <row r="6828" spans="1:6" ht="13.5" hidden="1" customHeight="1">
      <c r="A6828" s="4" t="s">
        <v>15676</v>
      </c>
      <c r="B6828" s="4" t="s">
        <v>15677</v>
      </c>
      <c r="C6828" s="4" t="str">
        <f ca="1">IFERROR(__xludf.DUMMYFUNCTION("GOOGLETRANSLATE(D:D,""auto"",""en"")"),"Malaysia Airlines MH370 lost contact with the sixth anniversary")</f>
        <v>Malaysia Airlines MH370 lost contact with the sixth anniversary</v>
      </c>
      <c r="D6828" s="5" t="s">
        <v>15678</v>
      </c>
      <c r="E6828" s="4">
        <v>429573</v>
      </c>
    </row>
    <row r="6829" spans="1:6" ht="13.5" hidden="1" customHeight="1">
      <c r="A6829" s="4" t="s">
        <v>10721</v>
      </c>
      <c r="B6829" s="4" t="s">
        <v>10722</v>
      </c>
      <c r="C6829" s="4" t="str">
        <f ca="1">IFERROR(__xludf.DUMMYFUNCTION("GOOGLETRANSLATE(D:D,""auto"",""en"")"),"Chalk mold test")</f>
        <v>Chalk mold test</v>
      </c>
      <c r="D6829" s="5" t="s">
        <v>10723</v>
      </c>
      <c r="E6829" s="4">
        <v>419540</v>
      </c>
    </row>
    <row r="6830" spans="1:6" ht="13.5" customHeight="1">
      <c r="A6830" s="4" t="s">
        <v>15679</v>
      </c>
      <c r="B6830" s="4" t="s">
        <v>15680</v>
      </c>
      <c r="C6830" s="4" t="str">
        <f ca="1">IFERROR(__xludf.DUMMYFUNCTION("GOOGLETRANSLATE(D:D,""auto"",""en"")"),"Internet camel find the signal lesson")</f>
        <v>Internet camel find the signal lesson</v>
      </c>
      <c r="D6830" s="5" t="s">
        <v>15681</v>
      </c>
      <c r="E6830" s="4">
        <v>418014</v>
      </c>
      <c r="F6830">
        <v>1</v>
      </c>
    </row>
    <row r="6831" spans="1:6" ht="13.5" hidden="1" customHeight="1">
      <c r="A6831" s="4" t="s">
        <v>15682</v>
      </c>
      <c r="B6831" s="4" t="s">
        <v>15584</v>
      </c>
      <c r="C6831" s="4" t="str">
        <f ca="1">IFERROR(__xludf.DUMMYFUNCTION("GOOGLETRANSLATE(D:D,""auto"",""en"")"),"You knock over the longest pair of CP")</f>
        <v>You knock over the longest pair of CP</v>
      </c>
      <c r="D6831" s="5" t="s">
        <v>15683</v>
      </c>
      <c r="E6831" s="4">
        <v>416984</v>
      </c>
    </row>
    <row r="6832" spans="1:6" ht="13.5" hidden="1" customHeight="1">
      <c r="A6832" s="4" t="s">
        <v>15684</v>
      </c>
      <c r="B6832" s="4" t="s">
        <v>15685</v>
      </c>
      <c r="C6832" s="4" t="str">
        <f ca="1">IFERROR(__xludf.DUMMYFUNCTION("GOOGLETRANSLATE(D:D,""auto"",""en"")"),"Wang Junkai performance department most afraid of performances")</f>
        <v>Wang Junkai performance department most afraid of performances</v>
      </c>
      <c r="D6832" s="5" t="s">
        <v>15686</v>
      </c>
      <c r="E6832" s="4">
        <v>415175</v>
      </c>
    </row>
    <row r="6833" spans="1:6" ht="13.5" customHeight="1">
      <c r="A6833" s="4" t="s">
        <v>15687</v>
      </c>
      <c r="B6833" s="4" t="s">
        <v>15688</v>
      </c>
      <c r="C6833" s="4" t="str">
        <f ca="1">IFERROR(__xludf.DUMMYFUNCTION("GOOGLETRANSLATE(D:D,""auto"",""en"")"),"SARFT organizations fighting the epidemic shooting drama")</f>
        <v>SARFT organizations fighting the epidemic shooting drama</v>
      </c>
      <c r="D6833" s="5" t="s">
        <v>15689</v>
      </c>
      <c r="E6833" s="4">
        <v>411134</v>
      </c>
      <c r="F6833">
        <v>1</v>
      </c>
    </row>
    <row r="6834" spans="1:6" ht="13.5" hidden="1" customHeight="1">
      <c r="A6834" s="4" t="s">
        <v>15690</v>
      </c>
      <c r="B6834" s="4" t="s">
        <v>15691</v>
      </c>
      <c r="C6834" s="4" t="str">
        <f ca="1">IFERROR(__xludf.DUMMYFUNCTION("GOOGLETRANSLATE(D:D,""auto"",""en"")"),"Quanzhou Xin Jia Hotel rescued 47 people")</f>
        <v>Quanzhou Xin Jia Hotel rescued 47 people</v>
      </c>
      <c r="D6834" s="5" t="s">
        <v>15692</v>
      </c>
      <c r="E6834" s="4">
        <v>383659</v>
      </c>
    </row>
    <row r="6835" spans="1:6" ht="13.5" hidden="1" customHeight="1">
      <c r="A6835" s="4" t="s">
        <v>15625</v>
      </c>
      <c r="B6835" s="4" t="s">
        <v>15693</v>
      </c>
      <c r="C6835" s="4" t="str">
        <f ca="1">IFERROR(__xludf.DUMMYFUNCTION("GOOGLETRANSLATE(D:D,""auto"",""en"")"),"UFC Live")</f>
        <v>UFC Live</v>
      </c>
      <c r="D6835" s="5" t="s">
        <v>15694</v>
      </c>
      <c r="E6835" s="4">
        <v>379969</v>
      </c>
    </row>
    <row r="6836" spans="1:6" ht="13.5" hidden="1" customHeight="1">
      <c r="A6836" s="4" t="s">
        <v>15508</v>
      </c>
      <c r="B6836" s="4" t="s">
        <v>15695</v>
      </c>
      <c r="C6836" s="4" t="str">
        <f ca="1">IFERROR(__xludf.DUMMYFUNCTION("GOOGLETRANSLATE(D:D,""auto"",""en"")"),"Quanzhou Xin Jia Hotel has killed 2 people")</f>
        <v>Quanzhou Xin Jia Hotel has killed 2 people</v>
      </c>
      <c r="D6836" s="5" t="s">
        <v>15696</v>
      </c>
      <c r="E6836" s="4">
        <v>379473</v>
      </c>
    </row>
    <row r="6837" spans="1:6" ht="13.5" hidden="1" customHeight="1">
      <c r="A6837" s="4" t="s">
        <v>15697</v>
      </c>
      <c r="B6837" s="4" t="s">
        <v>15698</v>
      </c>
      <c r="C6837" s="4" t="str">
        <f ca="1">IFERROR(__xludf.DUMMYFUNCTION("GOOGLETRANSLATE(D:D,""auto"",""en"")"),"Liupanshui now hundreds jaws crane")</f>
        <v>Liupanshui now hundreds jaws crane</v>
      </c>
      <c r="D6837" s="5" t="s">
        <v>15699</v>
      </c>
      <c r="E6837" s="4">
        <v>355433</v>
      </c>
    </row>
    <row r="6838" spans="1:6" ht="13.5" hidden="1" customHeight="1">
      <c r="A6838" s="4" t="s">
        <v>15700</v>
      </c>
      <c r="B6838" s="4" t="s">
        <v>15701</v>
      </c>
      <c r="C6838" s="4" t="str">
        <f ca="1">IFERROR(__xludf.DUMMYFUNCTION("GOOGLETRANSLATE(D:D,""auto"",""en"")"),"Extreme Princess internal screen")</f>
        <v>Extreme Princess internal screen</v>
      </c>
      <c r="D6838" s="5" t="s">
        <v>15702</v>
      </c>
      <c r="E6838" s="4">
        <v>346132</v>
      </c>
    </row>
    <row r="6839" spans="1:6" ht="13.5" hidden="1" customHeight="1">
      <c r="A6839" s="4" t="s">
        <v>15499</v>
      </c>
      <c r="B6839" s="4" t="s">
        <v>15500</v>
      </c>
      <c r="C6839" s="4" t="str">
        <f ca="1">IFERROR(__xludf.DUMMYFUNCTION("GOOGLETRANSLATE(D:D,""auto"",""en"")"),"Quanzhou Xin Jia Hotel")</f>
        <v>Quanzhou Xin Jia Hotel</v>
      </c>
      <c r="D6839" s="5" t="s">
        <v>15501</v>
      </c>
      <c r="E6839" s="4">
        <v>319495</v>
      </c>
    </row>
    <row r="6840" spans="1:6" ht="13.5" hidden="1" customHeight="1">
      <c r="A6840" s="4" t="s">
        <v>15622</v>
      </c>
      <c r="B6840" s="4" t="s">
        <v>15703</v>
      </c>
      <c r="C6840" s="4" t="str">
        <f ca="1">IFERROR(__xludf.DUMMYFUNCTION("GOOGLETRANSLATE(D:D,""auto"",""en"")"),"National Health health committee of 18 experts seconded support Quanzhou")</f>
        <v>National Health health committee of 18 experts seconded support Quanzhou</v>
      </c>
      <c r="D6840" s="5" t="s">
        <v>15704</v>
      </c>
      <c r="E6840" s="4">
        <v>311274</v>
      </c>
    </row>
    <row r="6841" spans="1:6" ht="13.5" hidden="1" customHeight="1">
      <c r="A6841" s="4" t="s">
        <v>15705</v>
      </c>
      <c r="B6841" s="4" t="s">
        <v>15706</v>
      </c>
      <c r="C6841" s="4" t="str">
        <f ca="1">IFERROR(__xludf.DUMMYFUNCTION("GOOGLETRANSLATE(D:D,""auto"",""en"")"),"Happy Goddess Festival")</f>
        <v>Happy Goddess Festival</v>
      </c>
      <c r="D6841" s="5" t="s">
        <v>15707</v>
      </c>
      <c r="E6841" s="4">
        <v>310338</v>
      </c>
    </row>
    <row r="6842" spans="1:6" ht="13.5" hidden="1" customHeight="1">
      <c r="A6842" s="4" t="s">
        <v>15708</v>
      </c>
      <c r="B6842" s="4" t="s">
        <v>15709</v>
      </c>
      <c r="C6842" s="4" t="str">
        <f ca="1">IFERROR(__xludf.DUMMYFUNCTION("GOOGLETRANSLATE(D:D,""auto"",""en"")"),"Quanzhou hotel collapse homeowners have been controlled")</f>
        <v>Quanzhou hotel collapse homeowners have been controlled</v>
      </c>
      <c r="D6842" s="5" t="s">
        <v>15710</v>
      </c>
      <c r="E6842" s="4">
        <v>299573</v>
      </c>
    </row>
    <row r="6843" spans="1:6" ht="13.5" customHeight="1">
      <c r="A6843" s="4" t="s">
        <v>15711</v>
      </c>
      <c r="B6843" s="4" t="s">
        <v>15665</v>
      </c>
      <c r="C6843" s="4" t="str">
        <f ca="1">IFERROR(__xludf.DUMMYFUNCTION("GOOGLETRANSLATE(D:D,""auto"",""en"")"),"Wuhan citizens through the window Happy medical team Shaanxi Goddess Festival")</f>
        <v>Wuhan citizens through the window Happy medical team Shaanxi Goddess Festival</v>
      </c>
      <c r="D6843" s="5" t="s">
        <v>15712</v>
      </c>
      <c r="E6843" s="4">
        <v>269084</v>
      </c>
      <c r="F6843">
        <v>1</v>
      </c>
    </row>
    <row r="6844" spans="1:6" ht="13.5" customHeight="1">
      <c r="A6844" s="4" t="s">
        <v>15713</v>
      </c>
      <c r="B6844" s="4" t="s">
        <v>15577</v>
      </c>
      <c r="C6844" s="4" t="str">
        <f ca="1">IFERROR(__xludf.DUMMYFUNCTION("GOOGLETRANSLATE(D:D,""auto"",""en"")"),"Stanford pause onsite")</f>
        <v>Stanford pause onsite</v>
      </c>
      <c r="D6844" s="5" t="s">
        <v>15714</v>
      </c>
      <c r="E6844" s="4">
        <v>257984</v>
      </c>
      <c r="F6844">
        <v>1</v>
      </c>
    </row>
    <row r="6845" spans="1:6" ht="13.5" hidden="1" customHeight="1">
      <c r="A6845" s="4" t="s">
        <v>15715</v>
      </c>
      <c r="B6845" s="4" t="s">
        <v>15716</v>
      </c>
      <c r="C6845" s="4" t="str">
        <f ca="1">IFERROR(__xludf.DUMMYFUNCTION("GOOGLETRANSLATE(D:D,""auto"",""en"")"),"The Chinese government donated US $ 20 million to WHO")</f>
        <v>The Chinese government donated US $ 20 million to WHO</v>
      </c>
      <c r="D6845" s="5" t="s">
        <v>15717</v>
      </c>
      <c r="E6845" s="4">
        <v>229559</v>
      </c>
    </row>
    <row r="6846" spans="1:6" ht="13.5" hidden="1" customHeight="1">
      <c r="A6846" s="4" t="s">
        <v>15718</v>
      </c>
      <c r="B6846" s="4" t="s">
        <v>15719</v>
      </c>
      <c r="C6846" s="4" t="str">
        <f ca="1">IFERROR(__xludf.DUMMYFUNCTION("GOOGLETRANSLATE(D:D,""auto"",""en"")"),"The reason the Titanic wreck")</f>
        <v>The reason the Titanic wreck</v>
      </c>
      <c r="D6846" s="5" t="s">
        <v>15720</v>
      </c>
      <c r="E6846" s="4">
        <v>228551</v>
      </c>
    </row>
    <row r="6847" spans="1:6" ht="13.5" hidden="1" customHeight="1">
      <c r="A6847" s="4" t="s">
        <v>15721</v>
      </c>
      <c r="B6847" s="4" t="s">
        <v>15722</v>
      </c>
      <c r="C6847" s="4" t="str">
        <f ca="1">IFERROR(__xludf.DUMMYFUNCTION("GOOGLETRANSLATE(D:D,""auto"",""en"")"),"Guo Kirin dubbing Sherlock")</f>
        <v>Guo Kirin dubbing Sherlock</v>
      </c>
      <c r="D6847" s="5" t="s">
        <v>15723</v>
      </c>
      <c r="E6847" s="4">
        <v>225649</v>
      </c>
    </row>
    <row r="6848" spans="1:6" ht="13.5" hidden="1" customHeight="1">
      <c r="A6848" s="4" t="s">
        <v>15670</v>
      </c>
      <c r="B6848" s="4" t="s">
        <v>15724</v>
      </c>
      <c r="C6848" s="4" t="str">
        <f ca="1">IFERROR(__xludf.DUMMYFUNCTION("GOOGLETRANSLATE(D:D,""auto"",""en"")"),"James sun playoffs commitment")</f>
        <v>James sun playoffs commitment</v>
      </c>
      <c r="D6848" s="5" t="s">
        <v>15725</v>
      </c>
      <c r="E6848" s="4">
        <v>216278</v>
      </c>
    </row>
    <row r="6849" spans="1:6" ht="13.5" hidden="1" customHeight="1">
      <c r="A6849" s="4" t="s">
        <v>15726</v>
      </c>
      <c r="B6849" s="4" t="s">
        <v>15727</v>
      </c>
      <c r="C6849" s="4" t="str">
        <f ca="1">IFERROR(__xludf.DUMMYFUNCTION("GOOGLETRANSLATE(D:D,""auto"",""en"")"),"Quanzhou hotel collapse caused 4 dead")</f>
        <v>Quanzhou hotel collapse caused 4 dead</v>
      </c>
      <c r="D6849" s="5" t="s">
        <v>15728</v>
      </c>
      <c r="E6849" s="4">
        <v>211232</v>
      </c>
    </row>
    <row r="6850" spans="1:6" ht="13.5" hidden="1" customHeight="1">
      <c r="A6850" s="4" t="s">
        <v>15729</v>
      </c>
      <c r="B6850" s="4" t="s">
        <v>15730</v>
      </c>
      <c r="C6850" s="4" t="str">
        <f ca="1">IFERROR(__xludf.DUMMYFUNCTION("GOOGLETRANSLATE(D:D,""auto"",""en"")"),"The first medical team to return to Fujian Jinyintan")</f>
        <v>The first medical team to return to Fujian Jinyintan</v>
      </c>
      <c r="D6850" s="5" t="s">
        <v>15731</v>
      </c>
      <c r="E6850" s="4">
        <v>208103</v>
      </c>
    </row>
    <row r="6851" spans="1:6" ht="13.5" customHeight="1">
      <c r="A6851" s="4" t="s">
        <v>15732</v>
      </c>
      <c r="B6851" s="4" t="s">
        <v>15733</v>
      </c>
      <c r="C6851" s="4" t="str">
        <f ca="1">IFERROR(__xludf.DUMMYFUNCTION("GOOGLETRANSLATE(D:D,""auto"",""en"")"),"The new crown the total number of cases rose to 34 cases of pneumonia in India")</f>
        <v>The new crown the total number of cases rose to 34 cases of pneumonia in India</v>
      </c>
      <c r="D6851" s="5" t="s">
        <v>15734</v>
      </c>
      <c r="E6851" s="4">
        <v>192480</v>
      </c>
      <c r="F6851">
        <v>1</v>
      </c>
    </row>
    <row r="6852" spans="1:6" ht="13.5" hidden="1" customHeight="1">
      <c r="A6852" s="4" t="s">
        <v>15508</v>
      </c>
      <c r="B6852" s="4" t="s">
        <v>15509</v>
      </c>
      <c r="C6852" s="4" t="str">
        <f ca="1">IFERROR(__xludf.DUMMYFUNCTION("GOOGLETRANSLATE(D:D,""auto"",""en"")"),"Wu Chun studio Statement")</f>
        <v>Wu Chun studio Statement</v>
      </c>
      <c r="D6852" s="5" t="s">
        <v>15510</v>
      </c>
      <c r="E6852" s="4">
        <v>186582</v>
      </c>
    </row>
    <row r="6853" spans="1:6" ht="13.5" customHeight="1">
      <c r="A6853" s="4" t="s">
        <v>15713</v>
      </c>
      <c r="B6853" s="4" t="s">
        <v>15730</v>
      </c>
      <c r="C6853" s="4" t="str">
        <f ca="1">IFERROR(__xludf.DUMMYFUNCTION("GOOGLETRANSLATE(D:D,""auto"",""en"")"),"Beijing new confirmed cases of two cases of foreign input")</f>
        <v>Beijing new confirmed cases of two cases of foreign input</v>
      </c>
      <c r="D6853" s="5" t="s">
        <v>15735</v>
      </c>
      <c r="E6853" s="4">
        <v>180711</v>
      </c>
      <c r="F6853">
        <v>1</v>
      </c>
    </row>
    <row r="6854" spans="1:6" ht="13.5" customHeight="1">
      <c r="A6854" s="4" t="s">
        <v>15736</v>
      </c>
      <c r="B6854" s="4" t="s">
        <v>15575</v>
      </c>
      <c r="C6854" s="4" t="str">
        <f ca="1">IFERROR(__xludf.DUMMYFUNCTION("GOOGLETRANSLATE(D:D,""auto"",""en"")"),"Li Zi Meng heart than to rush to the rescue teams Hubei")</f>
        <v>Li Zi Meng heart than to rush to the rescue teams Hubei</v>
      </c>
      <c r="D6854" s="5" t="s">
        <v>15737</v>
      </c>
      <c r="E6854" s="4">
        <v>172799</v>
      </c>
      <c r="F6854">
        <v>1</v>
      </c>
    </row>
    <row r="6855" spans="1:6" ht="13.5" hidden="1" customHeight="1">
      <c r="A6855" s="4" t="s">
        <v>15729</v>
      </c>
      <c r="B6855" s="4" t="s">
        <v>15607</v>
      </c>
      <c r="C6855" s="4" t="str">
        <f ca="1">IFERROR(__xludf.DUMMYFUNCTION("GOOGLETRANSLATE(D:D,""auto"",""en"")"),"Quanzhou collapse hotels wounded memories Cry moment")</f>
        <v>Quanzhou collapse hotels wounded memories Cry moment</v>
      </c>
      <c r="D6855" s="5" t="s">
        <v>15738</v>
      </c>
      <c r="E6855" s="4">
        <v>165453</v>
      </c>
    </row>
    <row r="6856" spans="1:6" ht="13.5" hidden="1" customHeight="1">
      <c r="C6856" s="4" t="str">
        <f ca="1">IFERROR(__xludf.DUMMYFUNCTION("GOOGLETRANSLATE(D:D,""auto"",""en"")"),"#VALUE!")</f>
        <v>#VALUE!</v>
      </c>
    </row>
    <row r="6857" spans="1:6" ht="13.5" hidden="1" customHeight="1">
      <c r="A6857" s="4" t="s">
        <v>15739</v>
      </c>
      <c r="B6857" s="4" t="s">
        <v>15740</v>
      </c>
      <c r="C6857" s="4" t="str">
        <f ca="1">IFERROR(__xludf.DUMMYFUNCTION("GOOGLETRANSLATE(D:D,""auto"",""en"")"),"Eat antipyretics to conceal the truth before boarding a maximum sentence of seven years")</f>
        <v>Eat antipyretics to conceal the truth before boarding a maximum sentence of seven years</v>
      </c>
      <c r="D6857" s="4" t="s">
        <v>15741</v>
      </c>
      <c r="E6857" s="4">
        <v>2812756</v>
      </c>
    </row>
    <row r="6858" spans="1:6" ht="13.5" hidden="1" customHeight="1">
      <c r="A6858" s="4" t="s">
        <v>15742</v>
      </c>
      <c r="B6858" s="4" t="s">
        <v>15743</v>
      </c>
      <c r="C6858" s="4" t="str">
        <f ca="1">IFERROR(__xludf.DUMMYFUNCTION("GOOGLETRANSLATE(D:D,""auto"",""en"")"),"New York iPhone11 inventory sold out soon")</f>
        <v>New York iPhone11 inventory sold out soon</v>
      </c>
      <c r="D6858" s="5" t="s">
        <v>15744</v>
      </c>
      <c r="E6858" s="4">
        <v>1916860</v>
      </c>
    </row>
    <row r="6859" spans="1:6" ht="13.5" hidden="1" customHeight="1">
      <c r="A6859" s="4" t="s">
        <v>15745</v>
      </c>
      <c r="B6859" s="4" t="s">
        <v>15746</v>
      </c>
      <c r="C6859" s="4" t="str">
        <f ca="1">IFERROR(__xludf.DUMMYFUNCTION("GOOGLETRANSLATE(D:D,""auto"",""en"")"),"Quiet denied the change of nationality")</f>
        <v>Quiet denied the change of nationality</v>
      </c>
      <c r="D6859" s="5" t="s">
        <v>15747</v>
      </c>
      <c r="E6859" s="4">
        <v>1352249</v>
      </c>
    </row>
    <row r="6860" spans="1:6" ht="13.5" hidden="1" customHeight="1">
      <c r="A6860" s="4" t="s">
        <v>15748</v>
      </c>
      <c r="B6860" s="4" t="s">
        <v>15749</v>
      </c>
      <c r="C6860" s="4" t="str">
        <f ca="1">IFERROR(__xludf.DUMMYFUNCTION("GOOGLETRANSLATE(D:D,""auto"",""en"")"),"Wei Jiang Dalin kissing")</f>
        <v>Wei Jiang Dalin kissing</v>
      </c>
      <c r="D6860" s="5" t="s">
        <v>15750</v>
      </c>
      <c r="E6860" s="4">
        <v>1351678</v>
      </c>
    </row>
    <row r="6861" spans="1:6" ht="13.5" customHeight="1">
      <c r="A6861" s="4" t="s">
        <v>15751</v>
      </c>
      <c r="B6861" s="4" t="s">
        <v>15752</v>
      </c>
      <c r="C6861" s="4" t="str">
        <f ca="1">IFERROR(__xludf.DUMMYFUNCTION("GOOGLETRANSLATE(D:D,""auto"",""en"")"),"Qualified masks can absorb large amounts of confetti")</f>
        <v>Qualified masks can absorb large amounts of confetti</v>
      </c>
      <c r="D6861" s="5" t="s">
        <v>15753</v>
      </c>
      <c r="E6861" s="4">
        <v>1345661</v>
      </c>
      <c r="F6861">
        <v>1</v>
      </c>
    </row>
    <row r="6862" spans="1:6" ht="13.5" customHeight="1">
      <c r="A6862" s="4" t="s">
        <v>15754</v>
      </c>
      <c r="B6862" s="4" t="s">
        <v>15755</v>
      </c>
      <c r="C6862" s="4" t="str">
        <f ca="1">IFERROR(__xludf.DUMMYFUNCTION("GOOGLETRANSLATE(D:D,""auto"",""en"")"),"Research released the latest achievements of academician Zhong Nanshan")</f>
        <v>Research released the latest achievements of academician Zhong Nanshan</v>
      </c>
      <c r="D6862" s="5" t="s">
        <v>15756</v>
      </c>
      <c r="E6862" s="4">
        <v>1337593</v>
      </c>
      <c r="F6862">
        <v>1</v>
      </c>
    </row>
    <row r="6863" spans="1:6" ht="13.5" hidden="1" customHeight="1">
      <c r="A6863" s="4" t="s">
        <v>1209</v>
      </c>
      <c r="B6863" s="4" t="s">
        <v>1210</v>
      </c>
      <c r="C6863" s="4" t="str">
        <f ca="1">IFERROR(__xludf.DUMMYFUNCTION("GOOGLETRANSLATE(D:D,""auto"",""en"")"),"Every day")</f>
        <v>Every day</v>
      </c>
      <c r="D6863" s="5" t="s">
        <v>1211</v>
      </c>
      <c r="E6863" s="4">
        <v>1335051</v>
      </c>
    </row>
    <row r="6864" spans="1:6" ht="13.5" customHeight="1">
      <c r="A6864" s="4" t="s">
        <v>15757</v>
      </c>
      <c r="B6864" s="4" t="s">
        <v>15758</v>
      </c>
      <c r="C6864" s="4" t="str">
        <f ca="1">IFERROR(__xludf.DUMMYFUNCTION("GOOGLETRANSLATE(D:D,""auto"",""en"")"),"ICU ward doctors 16 seconds for the patient put on artificial lung")</f>
        <v>ICU ward doctors 16 seconds for the patient put on artificial lung</v>
      </c>
      <c r="D6864" s="5" t="s">
        <v>15759</v>
      </c>
      <c r="E6864" s="4">
        <v>1326416</v>
      </c>
      <c r="F6864">
        <v>1</v>
      </c>
    </row>
    <row r="6865" spans="1:6" ht="13.5" customHeight="1">
      <c r="A6865" s="4" t="s">
        <v>15760</v>
      </c>
      <c r="B6865" s="4" t="s">
        <v>15761</v>
      </c>
      <c r="C6865" s="4" t="str">
        <f ca="1">IFERROR(__xludf.DUMMYFUNCTION("GOOGLETRANSLATE(D:D,""auto"",""en"")"),"President of the Italian crown another big area infected with the new virus")</f>
        <v>President of the Italian crown another big area infected with the new virus</v>
      </c>
      <c r="D6865" s="5" t="s">
        <v>15762</v>
      </c>
      <c r="E6865" s="4">
        <v>1324097</v>
      </c>
      <c r="F6865">
        <v>1</v>
      </c>
    </row>
    <row r="6866" spans="1:6" ht="13.5" hidden="1" customHeight="1">
      <c r="A6866" s="4" t="s">
        <v>15763</v>
      </c>
      <c r="B6866" s="4" t="s">
        <v>15758</v>
      </c>
      <c r="C6866" s="4" t="str">
        <f ca="1">IFERROR(__xludf.DUMMYFUNCTION("GOOGLETRANSLATE(D:D,""auto"",""en"")"),"Fan Zhendong")</f>
        <v>Fan Zhendong</v>
      </c>
      <c r="D6866" s="5" t="s">
        <v>15764</v>
      </c>
      <c r="E6866" s="4">
        <v>1317092</v>
      </c>
    </row>
    <row r="6867" spans="1:6" ht="13.5" hidden="1" customHeight="1">
      <c r="A6867" s="4" t="s">
        <v>15757</v>
      </c>
      <c r="B6867" s="4" t="s">
        <v>15765</v>
      </c>
      <c r="C6867" s="4" t="str">
        <f ca="1">IFERROR(__xludf.DUMMYFUNCTION("GOOGLETRANSLATE(D:D,""auto"",""en"")"),"Xu aunt like a bright room")</f>
        <v>Xu aunt like a bright room</v>
      </c>
      <c r="D6867" s="5" t="s">
        <v>15766</v>
      </c>
      <c r="E6867" s="4">
        <v>1312176</v>
      </c>
    </row>
    <row r="6868" spans="1:6" ht="13.5" hidden="1" customHeight="1">
      <c r="A6868" s="4" t="s">
        <v>15767</v>
      </c>
      <c r="B6868" s="4" t="s">
        <v>15768</v>
      </c>
      <c r="C6868" s="4" t="str">
        <f ca="1">IFERROR(__xludf.DUMMYFUNCTION("GOOGLETRANSLATE(D:D,""auto"",""en"")"),"To the girls")</f>
        <v>To the girls</v>
      </c>
      <c r="D6868" s="5" t="s">
        <v>15769</v>
      </c>
      <c r="E6868" s="4">
        <v>1310398</v>
      </c>
    </row>
    <row r="6869" spans="1:6" ht="13.5" hidden="1" customHeight="1">
      <c r="A6869" s="4" t="s">
        <v>15770</v>
      </c>
      <c r="B6869" s="4" t="s">
        <v>15771</v>
      </c>
      <c r="C6869" s="4" t="str">
        <f ca="1">IFERROR(__xludf.DUMMYFUNCTION("GOOGLETRANSLATE(D:D,""auto"",""en"")"),"White Deer Folk Village will be demolished")</f>
        <v>White Deer Folk Village will be demolished</v>
      </c>
      <c r="D6869" s="5" t="s">
        <v>15772</v>
      </c>
      <c r="E6869" s="4">
        <v>1309000</v>
      </c>
    </row>
    <row r="6870" spans="1:6" ht="13.5" customHeight="1">
      <c r="A6870" s="4" t="s">
        <v>15773</v>
      </c>
      <c r="B6870" s="4" t="s">
        <v>15659</v>
      </c>
      <c r="C6870" s="4" t="str">
        <f ca="1">IFERROR(__xludf.DUMMYFUNCTION("GOOGLETRANSLATE(D:D,""auto"",""en"")"),"Medical masks with Alzheimer brother filming fast stolen light")</f>
        <v>Medical masks with Alzheimer brother filming fast stolen light</v>
      </c>
      <c r="D6870" s="5" t="s">
        <v>15774</v>
      </c>
      <c r="E6870" s="4">
        <v>1300806</v>
      </c>
      <c r="F6870">
        <v>1</v>
      </c>
    </row>
    <row r="6871" spans="1:6" ht="13.5" hidden="1" customHeight="1">
      <c r="A6871" s="4" t="s">
        <v>15775</v>
      </c>
      <c r="B6871" s="4" t="s">
        <v>15776</v>
      </c>
      <c r="C6871" s="4" t="str">
        <f ca="1">IFERROR(__xludf.DUMMYFUNCTION("GOOGLETRANSLATE(D:D,""auto"",""en"")"),"Jay Park slapped")</f>
        <v>Jay Park slapped</v>
      </c>
      <c r="D6871" s="5" t="s">
        <v>15777</v>
      </c>
      <c r="E6871" s="4">
        <v>1295151</v>
      </c>
    </row>
    <row r="6872" spans="1:6" ht="13.5" customHeight="1">
      <c r="A6872" s="4" t="s">
        <v>15778</v>
      </c>
      <c r="B6872" s="4" t="s">
        <v>15779</v>
      </c>
      <c r="C6872" s="4" t="str">
        <f ca="1">IFERROR(__xludf.DUMMYFUNCTION("GOOGLETRANSLATE(D:D,""auto"",""en"")"),"American Nurses accused the United States Center for Disease Control")</f>
        <v>American Nurses accused the United States Center for Disease Control</v>
      </c>
      <c r="D6872" s="5" t="s">
        <v>15780</v>
      </c>
      <c r="E6872" s="4">
        <v>1294198</v>
      </c>
      <c r="F6872">
        <v>1</v>
      </c>
    </row>
    <row r="6873" spans="1:6" ht="13.5" hidden="1" customHeight="1">
      <c r="A6873" s="4" t="s">
        <v>15781</v>
      </c>
      <c r="B6873" s="4" t="s">
        <v>15743</v>
      </c>
      <c r="C6873" s="4" t="str">
        <f ca="1">IFERROR(__xludf.DUMMYFUNCTION("GOOGLETRANSLATE(D:D,""auto"",""en"")"),"Chao Gao Yuanyuan daughter")</f>
        <v>Chao Gao Yuanyuan daughter</v>
      </c>
      <c r="D6873" s="5" t="s">
        <v>15782</v>
      </c>
      <c r="E6873" s="4">
        <v>1287687</v>
      </c>
    </row>
    <row r="6874" spans="1:6" ht="13.5" hidden="1" customHeight="1">
      <c r="A6874" s="4" t="s">
        <v>15783</v>
      </c>
      <c r="B6874" s="4" t="s">
        <v>15784</v>
      </c>
      <c r="C6874" s="4" t="str">
        <f ca="1">IFERROR(__xludf.DUMMYFUNCTION("GOOGLETRANSLATE(D:D,""auto"",""en"")"),"Published romance after 05 way")</f>
        <v>Published romance after 05 way</v>
      </c>
      <c r="D6874" s="5" t="s">
        <v>15785</v>
      </c>
      <c r="E6874" s="4">
        <v>1279541</v>
      </c>
    </row>
    <row r="6875" spans="1:6" ht="13.5" hidden="1" customHeight="1">
      <c r="A6875" s="4" t="s">
        <v>15783</v>
      </c>
      <c r="B6875" s="4" t="s">
        <v>15740</v>
      </c>
      <c r="C6875" s="4" t="str">
        <f ca="1">IFERROR(__xludf.DUMMYFUNCTION("GOOGLETRANSLATE(D:D,""auto"",""en"")"),"Zhang Xu aunt wedding ride ride")</f>
        <v>Zhang Xu aunt wedding ride ride</v>
      </c>
      <c r="D6875" s="5" t="s">
        <v>15786</v>
      </c>
      <c r="E6875" s="4">
        <v>1278548</v>
      </c>
    </row>
    <row r="6876" spans="1:6" ht="13.5" hidden="1" customHeight="1">
      <c r="A6876" s="4" t="s">
        <v>15787</v>
      </c>
      <c r="B6876" s="4" t="s">
        <v>15788</v>
      </c>
      <c r="C6876" s="4" t="str">
        <f ca="1">IFERROR(__xludf.DUMMYFUNCTION("GOOGLETRANSLATE(D:D,""auto"",""en"")"),"Thailand Ouyang Nana godfather is actor TAE")</f>
        <v>Thailand Ouyang Nana godfather is actor TAE</v>
      </c>
      <c r="D6876" s="5" t="s">
        <v>15789</v>
      </c>
      <c r="E6876" s="4">
        <v>1271930</v>
      </c>
    </row>
    <row r="6877" spans="1:6" ht="13.5" hidden="1" customHeight="1">
      <c r="A6877" s="4" t="s">
        <v>15790</v>
      </c>
      <c r="B6877" s="4" t="s">
        <v>15791</v>
      </c>
      <c r="C6877" s="4" t="str">
        <f ca="1">IFERROR(__xludf.DUMMYFUNCTION("GOOGLETRANSLATE(D:D,""auto"",""en"")"),"Do not wash the linen quilt how terrible")</f>
        <v>Do not wash the linen quilt how terrible</v>
      </c>
      <c r="D6877" s="5" t="s">
        <v>15792</v>
      </c>
      <c r="E6877" s="4">
        <v>1225022</v>
      </c>
    </row>
    <row r="6878" spans="1:6" ht="13.5" hidden="1" customHeight="1">
      <c r="A6878" s="4" t="s">
        <v>15793</v>
      </c>
      <c r="B6878" s="4" t="s">
        <v>15743</v>
      </c>
      <c r="C6878" s="4" t="str">
        <f ca="1">IFERROR(__xludf.DUMMYFUNCTION("GOOGLETRANSLATE(D:D,""auto"",""en"")"),"Lynx supermarket denial kill cooked data")</f>
        <v>Lynx supermarket denial kill cooked data</v>
      </c>
      <c r="D6878" s="5" t="s">
        <v>15794</v>
      </c>
      <c r="E6878" s="4">
        <v>1078350</v>
      </c>
    </row>
    <row r="6879" spans="1:6" ht="13.5" customHeight="1">
      <c r="A6879" s="4" t="s">
        <v>15795</v>
      </c>
      <c r="B6879" s="4" t="s">
        <v>15796</v>
      </c>
      <c r="C6879" s="4" t="str">
        <f ca="1">IFERROR(__xludf.DUMMYFUNCTION("GOOGLETRANSLATE(D:D,""auto"",""en"")"),"Menstrual hygiene products included in the list of epidemic guarantee supplies")</f>
        <v>Menstrual hygiene products included in the list of epidemic guarantee supplies</v>
      </c>
      <c r="D6879" s="5" t="s">
        <v>15797</v>
      </c>
      <c r="E6879" s="4">
        <v>953571</v>
      </c>
      <c r="F6879">
        <v>1</v>
      </c>
    </row>
    <row r="6880" spans="1:6" ht="13.5" customHeight="1">
      <c r="A6880" s="4" t="s">
        <v>15798</v>
      </c>
      <c r="B6880" s="4" t="s">
        <v>15749</v>
      </c>
      <c r="C6880" s="4" t="str">
        <f ca="1">IFERROR(__xludf.DUMMYFUNCTION("GOOGLETRANSLATE(D:D,""auto"",""en"")"),"South Korea six patients diagnosed before donated blood")</f>
        <v>South Korea six patients diagnosed before donated blood</v>
      </c>
      <c r="D6880" s="5" t="s">
        <v>15799</v>
      </c>
      <c r="E6880" s="4">
        <v>884350</v>
      </c>
      <c r="F6880">
        <v>1</v>
      </c>
    </row>
    <row r="6881" spans="1:6" ht="13.5" customHeight="1">
      <c r="A6881" s="4" t="s">
        <v>15800</v>
      </c>
      <c r="B6881" s="4" t="s">
        <v>15801</v>
      </c>
      <c r="C6881" s="4" t="str">
        <f ca="1">IFERROR(__xludf.DUMMYFUNCTION("GOOGLETRANSLATE(D:D,""auto"",""en"")"),"Japanese monk naked poured cold water to pray epidemic")</f>
        <v>Japanese monk naked poured cold water to pray epidemic</v>
      </c>
      <c r="D6881" s="5" t="s">
        <v>15802</v>
      </c>
      <c r="E6881" s="4">
        <v>866556</v>
      </c>
      <c r="F6881">
        <v>1</v>
      </c>
    </row>
    <row r="6882" spans="1:6" ht="13.5" hidden="1" customHeight="1">
      <c r="A6882" s="4" t="s">
        <v>15793</v>
      </c>
      <c r="B6882" s="4" t="s">
        <v>15752</v>
      </c>
      <c r="C6882" s="4" t="str">
        <f ca="1">IFERROR(__xludf.DUMMYFUNCTION("GOOGLETRANSLATE(D:D,""auto"",""en"")"),"Milk tea")</f>
        <v>Milk tea</v>
      </c>
      <c r="D6882" s="5" t="s">
        <v>15803</v>
      </c>
      <c r="E6882" s="4">
        <v>755418</v>
      </c>
    </row>
    <row r="6883" spans="1:6" ht="13.5" hidden="1" customHeight="1">
      <c r="A6883" s="4" t="s">
        <v>15748</v>
      </c>
      <c r="B6883" s="4" t="s">
        <v>15804</v>
      </c>
      <c r="C6883" s="4" t="str">
        <f ca="1">IFERROR(__xludf.DUMMYFUNCTION("GOOGLETRANSLATE(D:D,""auto"",""en"")"),"The whole network the most violent cat")</f>
        <v>The whole network the most violent cat</v>
      </c>
      <c r="D6883" s="5" t="s">
        <v>15805</v>
      </c>
      <c r="E6883" s="4">
        <v>654039</v>
      </c>
    </row>
    <row r="6884" spans="1:6" ht="13.5" hidden="1" customHeight="1">
      <c r="A6884" s="4" t="s">
        <v>15806</v>
      </c>
      <c r="B6884" s="4" t="s">
        <v>15807</v>
      </c>
      <c r="C6884" s="4" t="str">
        <f ca="1">IFERROR(__xludf.DUMMYFUNCTION("GOOGLETRANSLATE(D:D,""auto"",""en"")"),"Baosteel")</f>
        <v>Baosteel</v>
      </c>
      <c r="D6884" s="5" t="s">
        <v>15808</v>
      </c>
      <c r="E6884" s="4">
        <v>593132</v>
      </c>
    </row>
    <row r="6885" spans="1:6" ht="13.5" hidden="1" customHeight="1">
      <c r="A6885" s="4" t="s">
        <v>15809</v>
      </c>
      <c r="B6885" s="4" t="s">
        <v>15810</v>
      </c>
      <c r="C6885" s="4" t="str">
        <f ca="1">IFERROR(__xludf.DUMMYFUNCTION("GOOGLETRANSLATE(D:D,""auto"",""en"")"),"New York Governor anger hate the federal government")</f>
        <v>New York Governor anger hate the federal government</v>
      </c>
      <c r="D6885" s="5" t="s">
        <v>15811</v>
      </c>
      <c r="E6885" s="4">
        <v>524509</v>
      </c>
    </row>
    <row r="6886" spans="1:6" ht="13.5" hidden="1" customHeight="1">
      <c r="A6886" s="4" t="s">
        <v>15812</v>
      </c>
      <c r="B6886" s="4" t="s">
        <v>15813</v>
      </c>
      <c r="C6886" s="4" t="str">
        <f ca="1">IFERROR(__xludf.DUMMYFUNCTION("GOOGLETRANSLATE(D:D,""auto"",""en"")"),"Jiang Dalin short hair")</f>
        <v>Jiang Dalin short hair</v>
      </c>
      <c r="D6886" s="5" t="s">
        <v>15814</v>
      </c>
      <c r="E6886" s="4">
        <v>496821</v>
      </c>
    </row>
    <row r="6887" spans="1:6" ht="13.5" hidden="1" customHeight="1">
      <c r="A6887" s="4" t="s">
        <v>15757</v>
      </c>
      <c r="B6887" s="4" t="s">
        <v>15815</v>
      </c>
      <c r="C6887" s="4" t="str">
        <f ca="1">IFERROR(__xludf.DUMMYFUNCTION("GOOGLETRANSLATE(D:D,""auto"",""en"")"),"Kara Hui Zhou Xun Natalie female color poster")</f>
        <v>Kara Hui Zhou Xun Natalie female color poster</v>
      </c>
      <c r="D6887" s="5" t="s">
        <v>15816</v>
      </c>
      <c r="E6887" s="4">
        <v>471480</v>
      </c>
    </row>
    <row r="6888" spans="1:6" ht="13.5" hidden="1" customHeight="1">
      <c r="A6888" s="4" t="s">
        <v>15817</v>
      </c>
      <c r="B6888" s="4" t="s">
        <v>15818</v>
      </c>
      <c r="C6888" s="4" t="str">
        <f ca="1">IFERROR(__xludf.DUMMYFUNCTION("GOOGLETRANSLATE(D:D,""auto"",""en"")"),"The most difficult to accept local snacks")</f>
        <v>The most difficult to accept local snacks</v>
      </c>
      <c r="D6888" s="5" t="s">
        <v>15819</v>
      </c>
      <c r="E6888" s="4">
        <v>447050</v>
      </c>
    </row>
    <row r="6889" spans="1:6" ht="13.5" hidden="1" customHeight="1">
      <c r="A6889" s="4" t="s">
        <v>15820</v>
      </c>
      <c r="B6889" s="4" t="s">
        <v>15821</v>
      </c>
      <c r="C6889" s="4" t="str">
        <f ca="1">IFERROR(__xludf.DUMMYFUNCTION("GOOGLETRANSLATE(D:D,""auto"",""en"")"),"use")</f>
        <v>use</v>
      </c>
      <c r="D6889" s="5" t="s">
        <v>15822</v>
      </c>
      <c r="E6889" s="4">
        <v>444322</v>
      </c>
    </row>
    <row r="6890" spans="1:6" ht="13.5" customHeight="1">
      <c r="A6890" s="4" t="s">
        <v>15823</v>
      </c>
      <c r="B6890" s="4" t="s">
        <v>15824</v>
      </c>
      <c r="C6890" s="4" t="str">
        <f ca="1">IFERROR(__xludf.DUMMYFUNCTION("GOOGLETRANSLATE(D:D,""auto"",""en"")"),"German imports of protective masks interception Switzerland")</f>
        <v>German imports of protective masks interception Switzerland</v>
      </c>
      <c r="D6890" s="5" t="s">
        <v>15825</v>
      </c>
      <c r="E6890" s="4">
        <v>421918</v>
      </c>
      <c r="F6890">
        <v>1</v>
      </c>
    </row>
    <row r="6891" spans="1:6" ht="13.5" hidden="1" customHeight="1">
      <c r="A6891" s="4" t="s">
        <v>15826</v>
      </c>
      <c r="B6891" s="4" t="s">
        <v>15827</v>
      </c>
      <c r="C6891" s="4" t="str">
        <f ca="1">IFERROR(__xludf.DUMMYFUNCTION("GOOGLETRANSLATE(D:D,""auto"",""en"")"),"Fake girlfriends Avatar")</f>
        <v>Fake girlfriends Avatar</v>
      </c>
      <c r="D6891" s="5" t="s">
        <v>15828</v>
      </c>
      <c r="E6891" s="4">
        <v>407637</v>
      </c>
    </row>
    <row r="6892" spans="1:6" ht="13.5" hidden="1" customHeight="1">
      <c r="A6892" s="4" t="s">
        <v>15739</v>
      </c>
      <c r="B6892" s="4" t="s">
        <v>15743</v>
      </c>
      <c r="C6892" s="4" t="str">
        <f ca="1">IFERROR(__xludf.DUMMYFUNCTION("GOOGLETRANSLATE(D:D,""auto"",""en"")"),"Menghe Tang Yiping interpretation of romance")</f>
        <v>Menghe Tang Yiping interpretation of romance</v>
      </c>
      <c r="D6892" s="5" t="s">
        <v>15829</v>
      </c>
      <c r="E6892" s="4">
        <v>375951</v>
      </c>
    </row>
    <row r="6893" spans="1:6" ht="13.5" customHeight="1">
      <c r="A6893" s="4" t="s">
        <v>15826</v>
      </c>
      <c r="B6893" s="4" t="s">
        <v>15810</v>
      </c>
      <c r="C6893" s="4" t="str">
        <f ca="1">IFERROR(__xludf.DUMMYFUNCTION("GOOGLETRANSLATE(D:D,""auto"",""en"")"),"Yuan Shanshan home mom home Square Dance")</f>
        <v>Yuan Shanshan home mom home Square Dance</v>
      </c>
      <c r="D6893" s="5" t="s">
        <v>15830</v>
      </c>
      <c r="E6893" s="4">
        <v>355386</v>
      </c>
      <c r="F6893">
        <v>1</v>
      </c>
    </row>
    <row r="6894" spans="1:6" ht="13.5" hidden="1" customHeight="1">
      <c r="A6894" s="4" t="s">
        <v>11378</v>
      </c>
      <c r="B6894" s="4" t="s">
        <v>11379</v>
      </c>
      <c r="C6894" s="4" t="str">
        <f ca="1">IFERROR(__xludf.DUMMYFUNCTION("GOOGLETRANSLATE(D:D,""auto"",""en"")"),"Perfect relationship")</f>
        <v>Perfect relationship</v>
      </c>
      <c r="D6894" s="5" t="s">
        <v>11380</v>
      </c>
      <c r="E6894" s="4">
        <v>334408</v>
      </c>
    </row>
    <row r="6895" spans="1:6" ht="13.5" hidden="1" customHeight="1">
      <c r="A6895" s="4" t="s">
        <v>15831</v>
      </c>
      <c r="B6895" s="4" t="s">
        <v>15752</v>
      </c>
      <c r="C6895" s="4" t="str">
        <f ca="1">IFERROR(__xludf.DUMMYFUNCTION("GOOGLETRANSLATE(D:D,""auto"",""en"")"),"Yogurt cake pan")</f>
        <v>Yogurt cake pan</v>
      </c>
      <c r="D6895" s="5" t="s">
        <v>15832</v>
      </c>
      <c r="E6895" s="4">
        <v>329897</v>
      </c>
    </row>
    <row r="6896" spans="1:6" ht="13.5" hidden="1" customHeight="1">
      <c r="A6896" s="4" t="s">
        <v>15826</v>
      </c>
      <c r="B6896" s="4" t="s">
        <v>15765</v>
      </c>
      <c r="C6896" s="4" t="str">
        <f ca="1">IFERROR(__xludf.DUMMYFUNCTION("GOOGLETRANSLATE(D:D,""auto"",""en"")"),"Ma to 200,000 female health care gifts")</f>
        <v>Ma to 200,000 female health care gifts</v>
      </c>
      <c r="D6896" s="5" t="s">
        <v>15833</v>
      </c>
      <c r="E6896" s="4">
        <v>316310</v>
      </c>
    </row>
    <row r="6897" spans="1:6" ht="13.5" hidden="1" customHeight="1">
      <c r="A6897" s="4" t="s">
        <v>15834</v>
      </c>
      <c r="B6897" s="4" t="s">
        <v>15791</v>
      </c>
      <c r="C6897" s="4" t="str">
        <f ca="1">IFERROR(__xludf.DUMMYFUNCTION("GOOGLETRANSLATE(D:D,""auto"",""en"")"),"Jia welcomed the collapse survivor hotel")</f>
        <v>Jia welcomed the collapse survivor hotel</v>
      </c>
      <c r="D6897" s="5" t="s">
        <v>15835</v>
      </c>
      <c r="E6897" s="4">
        <v>306016</v>
      </c>
    </row>
    <row r="6898" spans="1:6" ht="13.5" customHeight="1">
      <c r="A6898" s="4" t="s">
        <v>15836</v>
      </c>
      <c r="B6898" s="4" t="s">
        <v>15837</v>
      </c>
      <c r="C6898" s="4" t="str">
        <f ca="1">IFERROR(__xludf.DUMMYFUNCTION("GOOGLETRANSLATE(D:D,""auto"",""en"")"),"JJ connection Hubei frontline nurses fans")</f>
        <v>JJ connection Hubei frontline nurses fans</v>
      </c>
      <c r="D6898" s="5" t="s">
        <v>15838</v>
      </c>
      <c r="E6898" s="4">
        <v>298856</v>
      </c>
      <c r="F6898">
        <v>1</v>
      </c>
    </row>
    <row r="6899" spans="1:6" ht="13.5" hidden="1" customHeight="1">
      <c r="A6899" s="4" t="s">
        <v>15773</v>
      </c>
      <c r="B6899" s="4" t="s">
        <v>15804</v>
      </c>
      <c r="C6899" s="4" t="str">
        <f ca="1">IFERROR(__xludf.DUMMYFUNCTION("GOOGLETRANSLATE(D:D,""auto"",""en"")"),"Housing bright save grandfather")</f>
        <v>Housing bright save grandfather</v>
      </c>
      <c r="D6899" s="5" t="s">
        <v>15839</v>
      </c>
      <c r="E6899" s="4">
        <v>287357</v>
      </c>
    </row>
    <row r="6900" spans="1:6" ht="13.5" hidden="1" customHeight="1">
      <c r="A6900" s="4" t="s">
        <v>15840</v>
      </c>
      <c r="B6900" s="4" t="s">
        <v>15841</v>
      </c>
      <c r="C6900" s="4" t="str">
        <f ca="1">IFERROR(__xludf.DUMMYFUNCTION("GOOGLETRANSLATE(D:D,""auto"",""en"")"),"GNR")</f>
        <v>GNR</v>
      </c>
      <c r="D6900" s="5" t="s">
        <v>15842</v>
      </c>
      <c r="E6900" s="4">
        <v>278931</v>
      </c>
    </row>
    <row r="6901" spans="1:6" ht="13.5" customHeight="1">
      <c r="A6901" s="4" t="s">
        <v>15843</v>
      </c>
      <c r="B6901" s="4" t="s">
        <v>15844</v>
      </c>
      <c r="C6901" s="4" t="str">
        <f ca="1">IFERROR(__xludf.DUMMYFUNCTION("GOOGLETRANSLATE(D:D,""auto"",""en"")"),"Wuhan bus drivers and other health care to 4:30")</f>
        <v>Wuhan bus drivers and other health care to 4:30</v>
      </c>
      <c r="D6901" s="5" t="s">
        <v>15845</v>
      </c>
      <c r="E6901" s="4">
        <v>275904</v>
      </c>
      <c r="F6901">
        <v>1</v>
      </c>
    </row>
    <row r="6902" spans="1:6" ht="13.5" customHeight="1">
      <c r="A6902" s="4" t="s">
        <v>15826</v>
      </c>
      <c r="B6902" s="4" t="s">
        <v>15846</v>
      </c>
      <c r="C6902" s="4" t="str">
        <f ca="1">IFERROR(__xludf.DUMMYFUNCTION("GOOGLETRANSLATE(D:D,""auto"",""en"")"),"Scientists have tested the first pro crown needles new vaccine")</f>
        <v>Scientists have tested the first pro crown needles new vaccine</v>
      </c>
      <c r="D6902" s="5" t="s">
        <v>15847</v>
      </c>
      <c r="E6902" s="4">
        <v>271325</v>
      </c>
      <c r="F6902">
        <v>1</v>
      </c>
    </row>
    <row r="6903" spans="1:6" ht="13.5" hidden="1" customHeight="1">
      <c r="A6903" s="4" t="s">
        <v>15848</v>
      </c>
      <c r="B6903" s="4" t="s">
        <v>15849</v>
      </c>
      <c r="C6903" s="4" t="str">
        <f ca="1">IFERROR(__xludf.DUMMYFUNCTION("GOOGLETRANSLATE(D:D,""auto"",""en"")"),"Wu Chun issued")</f>
        <v>Wu Chun issued</v>
      </c>
      <c r="D6903" s="5" t="s">
        <v>15850</v>
      </c>
      <c r="E6903" s="4">
        <v>262581</v>
      </c>
    </row>
    <row r="6904" spans="1:6" ht="13.5" hidden="1" customHeight="1">
      <c r="A6904" s="4" t="s">
        <v>15851</v>
      </c>
      <c r="B6904" s="4" t="s">
        <v>15852</v>
      </c>
      <c r="C6904" s="4" t="str">
        <f ca="1">IFERROR(__xludf.DUMMYFUNCTION("GOOGLETRANSLATE(D:D,""auto"",""en"")"),"95-year-old granny lipstick is a must")</f>
        <v>95-year-old granny lipstick is a must</v>
      </c>
      <c r="D6904" s="5" t="s">
        <v>15853</v>
      </c>
      <c r="E6904" s="4">
        <v>252243</v>
      </c>
    </row>
    <row r="6905" spans="1:6" ht="13.5" hidden="1" customHeight="1">
      <c r="A6905" s="4" t="s">
        <v>15854</v>
      </c>
      <c r="B6905" s="4" t="s">
        <v>15855</v>
      </c>
      <c r="C6905" s="4" t="str">
        <f ca="1">IFERROR(__xludf.DUMMYFUNCTION("GOOGLETRANSLATE(D:D,""auto"",""en"")"),"Dragons")</f>
        <v>Dragons</v>
      </c>
      <c r="D6905" s="5" t="s">
        <v>15856</v>
      </c>
      <c r="E6905" s="4">
        <v>218717</v>
      </c>
    </row>
    <row r="6906" spans="1:6" ht="13.5" hidden="1" customHeight="1">
      <c r="A6906" s="4" t="s">
        <v>15836</v>
      </c>
      <c r="B6906" s="4" t="s">
        <v>15857</v>
      </c>
      <c r="C6906" s="4" t="str">
        <f ca="1">IFERROR(__xludf.DUMMYFUNCTION("GOOGLETRANSLATE(D:D,""auto"",""en"")"),"Quanzhou")</f>
        <v>Quanzhou</v>
      </c>
      <c r="D6906" s="5" t="s">
        <v>15858</v>
      </c>
      <c r="E6906" s="4">
        <v>168717</v>
      </c>
    </row>
    <row r="6907" spans="1:6" ht="13.5" hidden="1" customHeight="1">
      <c r="C6907" s="4" t="str">
        <f ca="1">IFERROR(__xludf.DUMMYFUNCTION("GOOGLETRANSLATE(D:D,""auto"",""en"")"),"#VALUE!")</f>
        <v>#VALUE!</v>
      </c>
    </row>
    <row r="6908" spans="1:6" ht="13.5" hidden="1" customHeight="1">
      <c r="A6908" s="4" t="s">
        <v>15859</v>
      </c>
      <c r="B6908" s="4" t="s">
        <v>15860</v>
      </c>
      <c r="C6908" s="4" t="str">
        <f ca="1">IFERROR(__xludf.DUMMYFUNCTION("GOOGLETRANSLATE(D:D,""auto"",""en"")"),"Deng Chao Sun Li gave him soup that Ganoderma lucidum")</f>
        <v>Deng Chao Sun Li gave him soup that Ganoderma lucidum</v>
      </c>
      <c r="D6908" s="4" t="s">
        <v>15861</v>
      </c>
      <c r="E6908" s="4">
        <v>3827198</v>
      </c>
    </row>
    <row r="6909" spans="1:6" ht="13.5" customHeight="1">
      <c r="A6909" s="4" t="s">
        <v>15862</v>
      </c>
      <c r="B6909" s="4" t="s">
        <v>15798</v>
      </c>
      <c r="C6909" s="4" t="str">
        <f ca="1">IFERROR(__xludf.DUMMYFUNCTION("GOOGLETRANSLATE(D:D,""auto"",""en"")"),"In addition to Wuhan, Hubei new suspected new cases of clear double")</f>
        <v>In addition to Wuhan, Hubei new suspected new cases of clear double</v>
      </c>
      <c r="D6909" s="5" t="s">
        <v>15863</v>
      </c>
      <c r="E6909" s="4">
        <v>2265310</v>
      </c>
      <c r="F6909">
        <v>1</v>
      </c>
    </row>
    <row r="6910" spans="1:6" ht="13.5" hidden="1" customHeight="1">
      <c r="A6910" s="4" t="s">
        <v>15809</v>
      </c>
      <c r="B6910" s="4" t="s">
        <v>15864</v>
      </c>
      <c r="C6910" s="4" t="str">
        <f ca="1">IFERROR(__xludf.DUMMYFUNCTION("GOOGLETRANSLATE(D:D,""auto"",""en"")"),"Bryants Macross same box")</f>
        <v>Bryants Macross same box</v>
      </c>
      <c r="D6910" s="5" t="s">
        <v>15865</v>
      </c>
      <c r="E6910" s="4">
        <v>1701434</v>
      </c>
    </row>
    <row r="6911" spans="1:6" ht="13.5" hidden="1" customHeight="1">
      <c r="A6911" s="4" t="s">
        <v>15866</v>
      </c>
      <c r="B6911" s="4" t="s">
        <v>15867</v>
      </c>
      <c r="C6911" s="4" t="str">
        <f ca="1">IFERROR(__xludf.DUMMYFUNCTION("GOOGLETRANSLATE(D:D,""auto"",""en"")"),"With a Hara brother sued his mother")</f>
        <v>With a Hara brother sued his mother</v>
      </c>
      <c r="D6911" s="5" t="s">
        <v>15868</v>
      </c>
      <c r="E6911" s="4">
        <v>1664630</v>
      </c>
    </row>
    <row r="6912" spans="1:6" ht="13.5" hidden="1" customHeight="1">
      <c r="A6912" s="4" t="s">
        <v>15869</v>
      </c>
      <c r="B6912" s="4" t="s">
        <v>15834</v>
      </c>
      <c r="C6912" s="4" t="str">
        <f ca="1">IFERROR(__xludf.DUMMYFUNCTION("GOOGLETRANSLATE(D:D,""auto"",""en"")"),"Liu Yifei birth chart")</f>
        <v>Liu Yifei birth chart</v>
      </c>
      <c r="D6912" s="5" t="s">
        <v>15870</v>
      </c>
      <c r="E6912" s="4">
        <v>1588580</v>
      </c>
    </row>
    <row r="6913" spans="1:6" ht="13.5" hidden="1" customHeight="1">
      <c r="A6913" s="4" t="s">
        <v>15871</v>
      </c>
      <c r="B6913" s="4" t="s">
        <v>15872</v>
      </c>
      <c r="C6913" s="4" t="str">
        <f ca="1">IFERROR(__xludf.DUMMYFUNCTION("GOOGLETRANSLATE(D:D,""auto"",""en"")"),"Shanghai Disney town and other parts to resume operations")</f>
        <v>Shanghai Disney town and other parts to resume operations</v>
      </c>
      <c r="D6913" s="5" t="s">
        <v>15873</v>
      </c>
      <c r="E6913" s="4">
        <v>1323419</v>
      </c>
    </row>
    <row r="6914" spans="1:6" ht="13.5" hidden="1" customHeight="1">
      <c r="A6914" s="4" t="s">
        <v>15874</v>
      </c>
      <c r="B6914" s="4" t="s">
        <v>15875</v>
      </c>
      <c r="C6914" s="4" t="str">
        <f ca="1">IFERROR(__xludf.DUMMYFUNCTION("GOOGLETRANSLATE(D:D,""auto"",""en"")"),"Stock market crash")</f>
        <v>Stock market crash</v>
      </c>
      <c r="D6914" s="5" t="s">
        <v>15876</v>
      </c>
      <c r="E6914" s="4">
        <v>1077202</v>
      </c>
    </row>
    <row r="6915" spans="1:6" ht="13.5" customHeight="1">
      <c r="A6915" s="4" t="s">
        <v>15877</v>
      </c>
      <c r="B6915" s="4" t="s">
        <v>15878</v>
      </c>
      <c r="C6915" s="4" t="str">
        <f ca="1">IFERROR(__xludf.DUMMYFUNCTION("GOOGLETRANSLATE(D:D,""auto"",""en"")"),"Italy confirmed cases rose to the highest global mortality")</f>
        <v>Italy confirmed cases rose to the highest global mortality</v>
      </c>
      <c r="D6915" s="5" t="s">
        <v>15879</v>
      </c>
      <c r="E6915" s="4">
        <v>970887</v>
      </c>
      <c r="F6915">
        <v>1</v>
      </c>
    </row>
    <row r="6916" spans="1:6" ht="13.5" hidden="1" customHeight="1">
      <c r="A6916" s="4" t="s">
        <v>15880</v>
      </c>
      <c r="B6916" s="4" t="s">
        <v>15881</v>
      </c>
      <c r="C6916" s="4" t="str">
        <f ca="1">IFERROR(__xludf.DUMMYFUNCTION("GOOGLETRANSLATE(D:D,""auto"",""en"")"),"CCTV 315 show will be broadcast delayed")</f>
        <v>CCTV 315 show will be broadcast delayed</v>
      </c>
      <c r="D6916" s="5" t="s">
        <v>15882</v>
      </c>
      <c r="E6916" s="4">
        <v>939486</v>
      </c>
    </row>
    <row r="6917" spans="1:6" ht="13.5" hidden="1" customHeight="1">
      <c r="A6917" s="4" t="s">
        <v>15883</v>
      </c>
      <c r="B6917" s="4" t="s">
        <v>15884</v>
      </c>
      <c r="C6917" s="4" t="str">
        <f ca="1">IFERROR(__xludf.DUMMYFUNCTION("GOOGLETRANSLATE(D:D,""auto"",""en"")"),"Chinese navy rescue ship by pirates in Nigeria")</f>
        <v>Chinese navy rescue ship by pirates in Nigeria</v>
      </c>
      <c r="D6917" s="5" t="s">
        <v>15885</v>
      </c>
      <c r="E6917" s="4">
        <v>710118</v>
      </c>
    </row>
    <row r="6918" spans="1:6" ht="13.5" hidden="1" customHeight="1">
      <c r="A6918" s="4" t="s">
        <v>15886</v>
      </c>
      <c r="B6918" s="4" t="s">
        <v>15884</v>
      </c>
      <c r="C6918" s="4" t="str">
        <f ca="1">IFERROR(__xludf.DUMMYFUNCTION("GOOGLETRANSLATE(D:D,""auto"",""en"")"),"The first open broadcast during the Park one day reprieve")</f>
        <v>The first open broadcast during the Park one day reprieve</v>
      </c>
      <c r="D6918" s="5" t="s">
        <v>15887</v>
      </c>
      <c r="E6918" s="4">
        <v>704612</v>
      </c>
    </row>
    <row r="6919" spans="1:6" ht="13.5" customHeight="1">
      <c r="A6919" s="4" t="s">
        <v>15888</v>
      </c>
      <c r="B6919" s="4" t="s">
        <v>15889</v>
      </c>
      <c r="C6919" s="4" t="str">
        <f ca="1">IFERROR(__xludf.DUMMYFUNCTION("GOOGLETRANSLATE(D:D,""auto"",""en"")"),"Ministry of Civil Affairs to respond to incidents of fraud Wuhan district")</f>
        <v>Ministry of Civil Affairs to respond to incidents of fraud Wuhan district</v>
      </c>
      <c r="D6919" s="5" t="s">
        <v>15890</v>
      </c>
      <c r="E6919" s="4">
        <v>687529</v>
      </c>
      <c r="F6919">
        <v>1</v>
      </c>
    </row>
    <row r="6920" spans="1:6" ht="13.5" customHeight="1">
      <c r="A6920" s="4" t="s">
        <v>15891</v>
      </c>
      <c r="B6920" s="4" t="s">
        <v>15892</v>
      </c>
      <c r="C6920" s="4" t="str">
        <f ca="1">IFERROR(__xludf.DUMMYFUNCTION("GOOGLETRANSLATE(D:D,""auto"",""en"")"),"101 countries and regions outside China affected by the new crown pneumonia")</f>
        <v>101 countries and regions outside China affected by the new crown pneumonia</v>
      </c>
      <c r="D6920" s="5" t="s">
        <v>15893</v>
      </c>
      <c r="E6920" s="4">
        <v>661975</v>
      </c>
      <c r="F6920">
        <v>1</v>
      </c>
    </row>
    <row r="6921" spans="1:6" ht="13.5" customHeight="1">
      <c r="A6921" s="4" t="s">
        <v>15894</v>
      </c>
      <c r="B6921" s="4" t="s">
        <v>15895</v>
      </c>
      <c r="C6921" s="4" t="str">
        <f ca="1">IFERROR(__xludf.DUMMYFUNCTION("GOOGLETRANSLATE(D:D,""auto"",""en"")"),"President of the Portuguese crown by the new epidemic will take the initiative to accept isolation")</f>
        <v>President of the Portuguese crown by the new epidemic will take the initiative to accept isolation</v>
      </c>
      <c r="D6921" s="5" t="s">
        <v>15896</v>
      </c>
      <c r="E6921" s="4">
        <v>614330</v>
      </c>
      <c r="F6921">
        <v>1</v>
      </c>
    </row>
    <row r="6922" spans="1:6" ht="13.5" hidden="1" customHeight="1">
      <c r="A6922" s="4" t="s">
        <v>15897</v>
      </c>
      <c r="B6922" s="4" t="s">
        <v>15739</v>
      </c>
      <c r="C6922" s="4" t="str">
        <f ca="1">IFERROR(__xludf.DUMMYFUNCTION("GOOGLETRANSLATE(D:D,""auto"",""en"")"),"Italy closed city affect a large area of ​​over ten million people")</f>
        <v>Italy closed city affect a large area of ​​over ten million people</v>
      </c>
      <c r="D6922" s="5" t="s">
        <v>15898</v>
      </c>
      <c r="E6922" s="4">
        <v>502143</v>
      </c>
    </row>
    <row r="6923" spans="1:6" ht="13.5" hidden="1" customHeight="1">
      <c r="A6923" s="4" t="s">
        <v>15899</v>
      </c>
      <c r="B6923" s="4" t="s">
        <v>15900</v>
      </c>
      <c r="C6923" s="4" t="str">
        <f ca="1">IFERROR(__xludf.DUMMYFUNCTION("GOOGLETRANSLATE(D:D,""auto"",""en"")"),"Inform students college graduation directly back to school in June")</f>
        <v>Inform students college graduation directly back to school in June</v>
      </c>
      <c r="D6923" s="5" t="s">
        <v>15901</v>
      </c>
      <c r="E6923" s="4">
        <v>501495</v>
      </c>
    </row>
    <row r="6924" spans="1:6" ht="13.5" hidden="1" customHeight="1">
      <c r="A6924" s="4" t="s">
        <v>15874</v>
      </c>
      <c r="B6924" s="4" t="s">
        <v>15902</v>
      </c>
      <c r="C6924" s="4" t="str">
        <f ca="1">IFERROR(__xludf.DUMMYFUNCTION("GOOGLETRANSLATE(D:D,""auto"",""en"")"),"Japan rejected a nursery to suspend classes")</f>
        <v>Japan rejected a nursery to suspend classes</v>
      </c>
      <c r="D6924" s="5" t="s">
        <v>15903</v>
      </c>
      <c r="E6924" s="4">
        <v>494736</v>
      </c>
    </row>
    <row r="6925" spans="1:6" ht="13.5" hidden="1" customHeight="1">
      <c r="A6925" s="4" t="s">
        <v>15904</v>
      </c>
      <c r="B6925" s="4" t="s">
        <v>15790</v>
      </c>
      <c r="C6925" s="4" t="str">
        <f ca="1">IFERROR(__xludf.DUMMYFUNCTION("GOOGLETRANSLATE(D:D,""auto"",""en"")"),"Downey see Zhang Weili game")</f>
        <v>Downey see Zhang Weili game</v>
      </c>
      <c r="D6925" s="5" t="s">
        <v>15905</v>
      </c>
      <c r="E6925" s="4">
        <v>492275</v>
      </c>
    </row>
    <row r="6926" spans="1:6" ht="13.5" customHeight="1">
      <c r="A6926" s="4" t="s">
        <v>15906</v>
      </c>
      <c r="B6926" s="4" t="s">
        <v>15907</v>
      </c>
      <c r="C6926" s="4" t="str">
        <f ca="1">IFERROR(__xludf.DUMMYFUNCTION("GOOGLETRANSLATE(D:D,""auto"",""en"")"),"Internet classes draw the consequences of the water")</f>
        <v>Internet classes draw the consequences of the water</v>
      </c>
      <c r="D6926" s="5" t="s">
        <v>15908</v>
      </c>
      <c r="E6926" s="4">
        <v>490345</v>
      </c>
      <c r="F6926">
        <v>1</v>
      </c>
    </row>
    <row r="6927" spans="1:6" ht="13.5" hidden="1" customHeight="1">
      <c r="A6927" s="4" t="s">
        <v>15909</v>
      </c>
      <c r="B6927" s="4" t="s">
        <v>15773</v>
      </c>
      <c r="C6927" s="4" t="str">
        <f ca="1">IFERROR(__xludf.DUMMYFUNCTION("GOOGLETRANSLATE(D:D,""auto"",""en"")"),"Han Meijuan exposure threatened")</f>
        <v>Han Meijuan exposure threatened</v>
      </c>
      <c r="D6927" s="5" t="s">
        <v>15910</v>
      </c>
      <c r="E6927" s="4">
        <v>486187</v>
      </c>
    </row>
    <row r="6928" spans="1:6" ht="13.5" hidden="1" customHeight="1">
      <c r="A6928" s="4" t="s">
        <v>15911</v>
      </c>
      <c r="B6928" s="4" t="s">
        <v>15889</v>
      </c>
      <c r="C6928" s="4" t="str">
        <f ca="1">IFERROR(__xludf.DUMMYFUNCTION("GOOGLETRANSLATE(D:D,""auto"",""en"")"),"Watch an episode to forget the actor")</f>
        <v>Watch an episode to forget the actor</v>
      </c>
      <c r="D6928" s="5" t="s">
        <v>15912</v>
      </c>
      <c r="E6928" s="4">
        <v>482426</v>
      </c>
    </row>
    <row r="6929" spans="1:6" ht="13.5" customHeight="1">
      <c r="A6929" s="4" t="s">
        <v>13486</v>
      </c>
      <c r="B6929" s="4" t="s">
        <v>13393</v>
      </c>
      <c r="C6929" s="4" t="str">
        <f ca="1">IFERROR(__xludf.DUMMYFUNCTION("GOOGLETRANSLATE(D:D,""auto"",""en"")"),"School")</f>
        <v>School</v>
      </c>
      <c r="D6929" s="5" t="s">
        <v>13487</v>
      </c>
      <c r="E6929" s="4">
        <v>479367</v>
      </c>
      <c r="F6929">
        <v>1</v>
      </c>
    </row>
    <row r="6930" spans="1:6" ht="13.5" hidden="1" customHeight="1">
      <c r="A6930" s="4" t="s">
        <v>15913</v>
      </c>
      <c r="B6930" s="4" t="s">
        <v>15914</v>
      </c>
      <c r="C6930" s="4" t="str">
        <f ca="1">IFERROR(__xludf.DUMMYFUNCTION("GOOGLETRANSLATE(D:D,""auto"",""en"")"),"Kim Sung-joo army")</f>
        <v>Kim Sung-joo army</v>
      </c>
      <c r="D6930" s="5" t="s">
        <v>15915</v>
      </c>
      <c r="E6930" s="4">
        <v>472361</v>
      </c>
    </row>
    <row r="6931" spans="1:6" ht="13.5" hidden="1" customHeight="1">
      <c r="A6931" s="4" t="s">
        <v>15916</v>
      </c>
      <c r="B6931" s="4" t="s">
        <v>15795</v>
      </c>
      <c r="C6931" s="4" t="str">
        <f ca="1">IFERROR(__xludf.DUMMYFUNCTION("GOOGLETRANSLATE(D:D,""auto"",""en"")"),"North Korea fired unidentified flying object")</f>
        <v>North Korea fired unidentified flying object</v>
      </c>
      <c r="D6931" s="5" t="s">
        <v>15917</v>
      </c>
      <c r="E6931" s="4">
        <v>472121</v>
      </c>
    </row>
    <row r="6932" spans="1:6" ht="13.5" hidden="1" customHeight="1">
      <c r="A6932" s="4" t="s">
        <v>15918</v>
      </c>
      <c r="B6932" s="4" t="s">
        <v>15817</v>
      </c>
      <c r="C6932" s="4" t="str">
        <f ca="1">IFERROR(__xludf.DUMMYFUNCTION("GOOGLETRANSLATE(D:D,""auto"",""en"")"),"It felt so good to be friends mind")</f>
        <v>It felt so good to be friends mind</v>
      </c>
      <c r="D6932" s="5" t="s">
        <v>15919</v>
      </c>
      <c r="E6932" s="4">
        <v>443572</v>
      </c>
    </row>
    <row r="6933" spans="1:6" ht="13.5" hidden="1" customHeight="1">
      <c r="A6933" s="4" t="s">
        <v>15920</v>
      </c>
      <c r="B6933" s="4" t="s">
        <v>15921</v>
      </c>
      <c r="C6933" s="4" t="str">
        <f ca="1">IFERROR(__xludf.DUMMYFUNCTION("GOOGLETRANSLATE(D:D,""auto"",""en"")"),"Wang Yibo to my mother grapefruit chicken")</f>
        <v>Wang Yibo to my mother grapefruit chicken</v>
      </c>
      <c r="D6933" s="5" t="s">
        <v>15922</v>
      </c>
      <c r="E6933" s="4">
        <v>441828</v>
      </c>
    </row>
    <row r="6934" spans="1:6" ht="13.5" customHeight="1">
      <c r="A6934" s="4" t="s">
        <v>15823</v>
      </c>
      <c r="B6934" s="4" t="s">
        <v>15824</v>
      </c>
      <c r="C6934" s="4" t="str">
        <f ca="1">IFERROR(__xludf.DUMMYFUNCTION("GOOGLETRANSLATE(D:D,""auto"",""en"")"),"German imports of protective masks interception Switzerland")</f>
        <v>German imports of protective masks interception Switzerland</v>
      </c>
      <c r="D6934" s="5" t="s">
        <v>15825</v>
      </c>
      <c r="E6934" s="4">
        <v>437610</v>
      </c>
      <c r="F6934">
        <v>1</v>
      </c>
    </row>
    <row r="6935" spans="1:6" ht="13.5" hidden="1" customHeight="1">
      <c r="A6935" s="4" t="s">
        <v>15809</v>
      </c>
      <c r="B6935" s="4" t="s">
        <v>15810</v>
      </c>
      <c r="C6935" s="4" t="str">
        <f ca="1">IFERROR(__xludf.DUMMYFUNCTION("GOOGLETRANSLATE(D:D,""auto"",""en"")"),"New York Governor anger hate the federal government")</f>
        <v>New York Governor anger hate the federal government</v>
      </c>
      <c r="D6935" s="5" t="s">
        <v>15811</v>
      </c>
      <c r="E6935" s="4">
        <v>435881</v>
      </c>
    </row>
    <row r="6936" spans="1:6" ht="13.5" hidden="1" customHeight="1">
      <c r="A6936" s="4" t="s">
        <v>15862</v>
      </c>
      <c r="B6936" s="4" t="s">
        <v>15923</v>
      </c>
      <c r="C6936" s="4" t="str">
        <f ca="1">IFERROR(__xludf.DUMMYFUNCTION("GOOGLETRANSLATE(D:D,""auto"",""en"")"),"Jiang gary son's memory")</f>
        <v>Jiang gary son's memory</v>
      </c>
      <c r="D6936" s="5" t="s">
        <v>15924</v>
      </c>
      <c r="E6936" s="4">
        <v>430291</v>
      </c>
    </row>
    <row r="6937" spans="1:6" ht="13.5" hidden="1" customHeight="1">
      <c r="A6937" s="4" t="s">
        <v>15925</v>
      </c>
      <c r="B6937" s="4" t="s">
        <v>15926</v>
      </c>
      <c r="C6937" s="4" t="str">
        <f ca="1">IFERROR(__xludf.DUMMYFUNCTION("GOOGLETRANSLATE(D:D,""auto"",""en"")"),"Henan Baoquan crowded scenic spots")</f>
        <v>Henan Baoquan crowded scenic spots</v>
      </c>
      <c r="D6937" s="5" t="s">
        <v>15927</v>
      </c>
      <c r="E6937" s="4">
        <v>429059</v>
      </c>
    </row>
    <row r="6938" spans="1:6" ht="13.5" hidden="1" customHeight="1">
      <c r="A6938" s="4" t="s">
        <v>2339</v>
      </c>
      <c r="B6938" s="4" t="s">
        <v>2340</v>
      </c>
      <c r="C6938" s="4" t="str">
        <f ca="1">IFERROR(__xludf.DUMMYFUNCTION("GOOGLETRANSLATE(D:D,""auto"",""en"")"),"Shanghai Metro")</f>
        <v>Shanghai Metro</v>
      </c>
      <c r="D6938" s="5" t="s">
        <v>2341</v>
      </c>
      <c r="E6938" s="4">
        <v>411391</v>
      </c>
    </row>
    <row r="6939" spans="1:6" ht="13.5" customHeight="1">
      <c r="A6939" s="4" t="s">
        <v>15783</v>
      </c>
      <c r="B6939" s="4" t="s">
        <v>15928</v>
      </c>
      <c r="C6939" s="4" t="str">
        <f ca="1">IFERROR(__xludf.DUMMYFUNCTION("GOOGLETRANSLATE(D:D,""auto"",""en"")"),"Switzerland is no longer for patients with mild new virus detection crown")</f>
        <v>Switzerland is no longer for patients with mild new virus detection crown</v>
      </c>
      <c r="D6939" s="5" t="s">
        <v>15929</v>
      </c>
      <c r="E6939" s="4">
        <v>382659</v>
      </c>
      <c r="F6939">
        <v>1</v>
      </c>
    </row>
    <row r="6940" spans="1:6" ht="13.5" hidden="1" customHeight="1">
      <c r="A6940" s="4" t="s">
        <v>15930</v>
      </c>
      <c r="B6940" s="4" t="s">
        <v>15872</v>
      </c>
      <c r="C6940" s="4" t="str">
        <f ca="1">IFERROR(__xludf.DUMMYFUNCTION("GOOGLETRANSLATE(D:D,""auto"",""en"")"),"Mermaid princess dress")</f>
        <v>Mermaid princess dress</v>
      </c>
      <c r="D6940" s="5" t="s">
        <v>15931</v>
      </c>
      <c r="E6940" s="4">
        <v>365102</v>
      </c>
    </row>
    <row r="6941" spans="1:6" ht="13.5" customHeight="1">
      <c r="A6941" s="4" t="s">
        <v>15760</v>
      </c>
      <c r="B6941" s="4" t="s">
        <v>15761</v>
      </c>
      <c r="C6941" s="4" t="str">
        <f ca="1">IFERROR(__xludf.DUMMYFUNCTION("GOOGLETRANSLATE(D:D,""auto"",""en"")"),"President of the Italian crown another big area infected with the new virus")</f>
        <v>President of the Italian crown another big area infected with the new virus</v>
      </c>
      <c r="D6941" s="5" t="s">
        <v>15762</v>
      </c>
      <c r="E6941" s="4">
        <v>352981</v>
      </c>
      <c r="F6941">
        <v>1</v>
      </c>
    </row>
    <row r="6942" spans="1:6" ht="13.5" hidden="1" customHeight="1">
      <c r="A6942" s="4" t="s">
        <v>15781</v>
      </c>
      <c r="B6942" s="4" t="s">
        <v>15743</v>
      </c>
      <c r="C6942" s="4" t="str">
        <f ca="1">IFERROR(__xludf.DUMMYFUNCTION("GOOGLETRANSLATE(D:D,""auto"",""en"")"),"Chao Gao Yuanyuan daughter")</f>
        <v>Chao Gao Yuanyuan daughter</v>
      </c>
      <c r="D6942" s="5" t="s">
        <v>15782</v>
      </c>
      <c r="E6942" s="4">
        <v>351674</v>
      </c>
    </row>
    <row r="6943" spans="1:6" ht="13.5" hidden="1" customHeight="1">
      <c r="A6943" s="4" t="s">
        <v>15932</v>
      </c>
      <c r="B6943" s="4" t="s">
        <v>15933</v>
      </c>
      <c r="C6943" s="4" t="str">
        <f ca="1">IFERROR(__xludf.DUMMYFUNCTION("GOOGLETRANSLATE(D:D,""auto"",""en"")"),"Different degrees invasion")</f>
        <v>Different degrees invasion</v>
      </c>
      <c r="D6943" s="5" t="s">
        <v>15934</v>
      </c>
      <c r="E6943" s="4">
        <v>333556</v>
      </c>
    </row>
    <row r="6944" spans="1:6" ht="13.5" customHeight="1">
      <c r="A6944" s="4" t="s">
        <v>15935</v>
      </c>
      <c r="B6944" s="4" t="s">
        <v>15936</v>
      </c>
      <c r="C6944" s="4" t="str">
        <f ca="1">IFERROR(__xludf.DUMMYFUNCTION("GOOGLETRANSLATE(D:D,""auto"",""en"")"),"Jeff Chang for her nurses receive video recorded")</f>
        <v>Jeff Chang for her nurses receive video recorded</v>
      </c>
      <c r="D6944" s="5" t="s">
        <v>15937</v>
      </c>
      <c r="E6944" s="4">
        <v>298909</v>
      </c>
      <c r="F6944">
        <v>1</v>
      </c>
    </row>
    <row r="6945" spans="1:6" ht="13.5" hidden="1" customHeight="1">
      <c r="A6945" s="4" t="s">
        <v>15938</v>
      </c>
      <c r="B6945" s="4" t="s">
        <v>15939</v>
      </c>
      <c r="C6945" s="4" t="str">
        <f ca="1">IFERROR(__xludf.DUMMYFUNCTION("GOOGLETRANSLATE(D:D,""auto"",""en"")"),"Chongqing Guang Yang Island 1280 acres of canola flower open")</f>
        <v>Chongqing Guang Yang Island 1280 acres of canola flower open</v>
      </c>
      <c r="D6945" s="5" t="s">
        <v>15940</v>
      </c>
      <c r="E6945" s="4">
        <v>298553</v>
      </c>
    </row>
    <row r="6946" spans="1:6" ht="13.5" hidden="1" customHeight="1">
      <c r="A6946" s="4" t="s">
        <v>15783</v>
      </c>
      <c r="B6946" s="4" t="s">
        <v>15941</v>
      </c>
      <c r="C6946" s="4" t="str">
        <f ca="1">IFERROR(__xludf.DUMMYFUNCTION("GOOGLETRANSLATE(D:D,""auto"",""en"")"),"James knees scrambling")</f>
        <v>James knees scrambling</v>
      </c>
      <c r="D6946" s="5" t="s">
        <v>15942</v>
      </c>
      <c r="E6946" s="4">
        <v>262167</v>
      </c>
    </row>
    <row r="6947" spans="1:6" ht="13.5" hidden="1" customHeight="1">
      <c r="A6947" s="4" t="s">
        <v>15783</v>
      </c>
      <c r="B6947" s="4" t="s">
        <v>15784</v>
      </c>
      <c r="C6947" s="4" t="str">
        <f ca="1">IFERROR(__xludf.DUMMYFUNCTION("GOOGLETRANSLATE(D:D,""auto"",""en"")"),"Published romance after 05 way")</f>
        <v>Published romance after 05 way</v>
      </c>
      <c r="D6947" s="5" t="s">
        <v>15785</v>
      </c>
      <c r="E6947" s="4">
        <v>243856</v>
      </c>
    </row>
    <row r="6948" spans="1:6" ht="13.5" hidden="1" customHeight="1">
      <c r="A6948" s="4" t="s">
        <v>15783</v>
      </c>
      <c r="B6948" s="4" t="s">
        <v>15740</v>
      </c>
      <c r="C6948" s="4" t="str">
        <f ca="1">IFERROR(__xludf.DUMMYFUNCTION("GOOGLETRANSLATE(D:D,""auto"",""en"")"),"Zhang Xu aunt wedding ride ride")</f>
        <v>Zhang Xu aunt wedding ride ride</v>
      </c>
      <c r="D6948" s="5" t="s">
        <v>15786</v>
      </c>
      <c r="E6948" s="4">
        <v>236312</v>
      </c>
    </row>
    <row r="6949" spans="1:6" ht="13.5" hidden="1" customHeight="1">
      <c r="A6949" s="4" t="s">
        <v>15894</v>
      </c>
      <c r="B6949" s="4" t="s">
        <v>15943</v>
      </c>
      <c r="C6949" s="4" t="str">
        <f ca="1">IFERROR(__xludf.DUMMYFUNCTION("GOOGLETRANSLATE(D:D,""auto"",""en"")"),"Juoto lks")</f>
        <v>Juoto lks</v>
      </c>
      <c r="D6949" s="5" t="s">
        <v>15944</v>
      </c>
      <c r="E6949" s="4">
        <v>193455</v>
      </c>
    </row>
    <row r="6950" spans="1:6" ht="13.5" hidden="1" customHeight="1">
      <c r="A6950" s="4" t="s">
        <v>15945</v>
      </c>
      <c r="B6950" s="4" t="s">
        <v>15946</v>
      </c>
      <c r="C6950" s="4" t="str">
        <f ca="1">IFERROR(__xludf.DUMMYFUNCTION("GOOGLETRANSLATE(D:D,""auto"",""en"")"),"Resolutely put an end to the long repeated the task to form primary school")</f>
        <v>Resolutely put an end to the long repeated the task to form primary school</v>
      </c>
      <c r="D6950" s="5" t="s">
        <v>15947</v>
      </c>
      <c r="E6950" s="4">
        <v>178843</v>
      </c>
    </row>
    <row r="6951" spans="1:6" ht="13.5" hidden="1" customHeight="1">
      <c r="A6951" s="4" t="s">
        <v>15948</v>
      </c>
      <c r="B6951" s="4" t="s">
        <v>15949</v>
      </c>
      <c r="C6951" s="4" t="str">
        <f ca="1">IFERROR(__xludf.DUMMYFUNCTION("GOOGLETRANSLATE(D:D,""auto"",""en"")"),"When I quarrel with others")</f>
        <v>When I quarrel with others</v>
      </c>
      <c r="D6951" s="5" t="s">
        <v>15950</v>
      </c>
      <c r="E6951" s="4">
        <v>178193</v>
      </c>
    </row>
    <row r="6952" spans="1:6" ht="13.5" customHeight="1">
      <c r="A6952" s="4" t="s">
        <v>15951</v>
      </c>
      <c r="B6952" s="4" t="s">
        <v>15952</v>
      </c>
      <c r="C6952" s="4" t="str">
        <f ca="1">IFERROR(__xludf.DUMMYFUNCTION("GOOGLETRANSLATE(D:D,""auto"",""en"")"),"Shelter hospital tour dragon heroes")</f>
        <v>Shelter hospital tour dragon heroes</v>
      </c>
      <c r="D6952" s="5" t="s">
        <v>15953</v>
      </c>
      <c r="E6952" s="4">
        <v>176718</v>
      </c>
      <c r="F6952">
        <v>1</v>
      </c>
    </row>
    <row r="6953" spans="1:6" ht="13.5" hidden="1" customHeight="1">
      <c r="A6953" s="4" t="s">
        <v>15954</v>
      </c>
      <c r="B6953" s="4" t="s">
        <v>15955</v>
      </c>
      <c r="C6953" s="4" t="str">
        <f ca="1">IFERROR(__xludf.DUMMYFUNCTION("GOOGLETRANSLATE(D:D,""auto"",""en"")"),"C Lo fans to shake hands and pretend")</f>
        <v>C Lo fans to shake hands and pretend</v>
      </c>
      <c r="D6953" s="5" t="s">
        <v>15956</v>
      </c>
      <c r="E6953" s="4">
        <v>175251</v>
      </c>
    </row>
    <row r="6954" spans="1:6" ht="13.5" hidden="1" customHeight="1">
      <c r="A6954" s="4" t="s">
        <v>15916</v>
      </c>
      <c r="B6954" s="4" t="s">
        <v>15902</v>
      </c>
      <c r="C6954" s="4" t="str">
        <f ca="1">IFERROR(__xludf.DUMMYFUNCTION("GOOGLETRANSLATE(D:D,""auto"",""en"")"),"Hoogewerf richest self-made Global Young Turks")</f>
        <v>Hoogewerf richest self-made Global Young Turks</v>
      </c>
      <c r="D6954" s="5" t="s">
        <v>15957</v>
      </c>
      <c r="E6954" s="4">
        <v>174582</v>
      </c>
    </row>
    <row r="6955" spans="1:6" ht="13.5" hidden="1" customHeight="1">
      <c r="A6955" s="4" t="s">
        <v>15958</v>
      </c>
      <c r="B6955" s="4" t="s">
        <v>15959</v>
      </c>
      <c r="C6955" s="4" t="str">
        <f ca="1">IFERROR(__xludf.DUMMYFUNCTION("GOOGLETRANSLATE(D:D,""auto"",""en"")"),"Kunming, the public farewell Black-headed Gull")</f>
        <v>Kunming, the public farewell Black-headed Gull</v>
      </c>
      <c r="D6955" s="5" t="s">
        <v>15960</v>
      </c>
      <c r="E6955" s="4">
        <v>172476</v>
      </c>
    </row>
    <row r="6956" spans="1:6" ht="13.5" hidden="1" customHeight="1">
      <c r="A6956" s="4" t="s">
        <v>15945</v>
      </c>
      <c r="B6956" s="4" t="s">
        <v>15961</v>
      </c>
      <c r="C6956" s="4" t="str">
        <f ca="1">IFERROR(__xludf.DUMMYFUNCTION("GOOGLETRANSLATE(D:D,""auto"",""en"")"),"After his son for the first time to recognize Shenjun Liang sound")</f>
        <v>After his son for the first time to recognize Shenjun Liang sound</v>
      </c>
      <c r="D6956" s="5" t="s">
        <v>15962</v>
      </c>
      <c r="E6956" s="4">
        <v>172069</v>
      </c>
    </row>
    <row r="6957" spans="1:6" ht="13.5" hidden="1" customHeight="1">
      <c r="A6957" s="4" t="s">
        <v>15948</v>
      </c>
      <c r="B6957" s="4" t="s">
        <v>15872</v>
      </c>
      <c r="C6957" s="4" t="str">
        <f ca="1">IFERROR(__xludf.DUMMYFUNCTION("GOOGLETRANSLATE(D:D,""auto"",""en"")"),"Like most of you just like to sing doctrine")</f>
        <v>Like most of you just like to sing doctrine</v>
      </c>
      <c r="D6957" s="5" t="s">
        <v>15963</v>
      </c>
      <c r="E6957" s="4">
        <v>163912</v>
      </c>
    </row>
    <row r="6958" spans="1:6" ht="13.5" hidden="1" customHeight="1">
      <c r="C6958" s="4" t="str">
        <f ca="1">IFERROR(__xludf.DUMMYFUNCTION("GOOGLETRANSLATE(D:D,""auto"",""en"")"),"#VALUE!")</f>
        <v>#VALUE!</v>
      </c>
    </row>
    <row r="6959" spans="1:6" ht="13.5" hidden="1" customHeight="1">
      <c r="A6959" s="4" t="s">
        <v>15964</v>
      </c>
      <c r="B6959" s="4" t="s">
        <v>15965</v>
      </c>
      <c r="C6959" s="4" t="str">
        <f ca="1">IFERROR(__xludf.DUMMYFUNCTION("GOOGLETRANSLATE(D:D,""auto"",""en"")"),"Kan wife asked for a divorce")</f>
        <v>Kan wife asked for a divorce</v>
      </c>
      <c r="D6959" s="4" t="s">
        <v>15966</v>
      </c>
      <c r="E6959" s="4">
        <v>2580214</v>
      </c>
    </row>
    <row r="6960" spans="1:6" ht="13.5" customHeight="1">
      <c r="A6960" s="4" t="s">
        <v>15967</v>
      </c>
      <c r="B6960" s="4" t="s">
        <v>15968</v>
      </c>
      <c r="C6960" s="4" t="str">
        <f ca="1">IFERROR(__xludf.DUMMYFUNCTION("GOOGLETRANSLATE(D:D,""auto"",""en"")"),"Satisfy the three conditions school")</f>
        <v>Satisfy the three conditions school</v>
      </c>
      <c r="D6960" s="5" t="s">
        <v>15969</v>
      </c>
      <c r="E6960" s="4">
        <v>1831842</v>
      </c>
      <c r="F6960">
        <v>1</v>
      </c>
    </row>
    <row r="6961" spans="1:6" ht="13.5" hidden="1" customHeight="1">
      <c r="A6961" s="4" t="s">
        <v>15970</v>
      </c>
      <c r="B6961" s="4" t="s">
        <v>15971</v>
      </c>
      <c r="C6961" s="4" t="str">
        <f ca="1">IFERROR(__xludf.DUMMYFUNCTION("GOOGLETRANSLATE(D:D,""auto"",""en"")"),"Super Moon")</f>
        <v>Super Moon</v>
      </c>
      <c r="D6961" s="5" t="s">
        <v>15972</v>
      </c>
      <c r="E6961" s="4">
        <v>1745940</v>
      </c>
    </row>
    <row r="6962" spans="1:6" ht="13.5" hidden="1" customHeight="1">
      <c r="A6962" s="4" t="s">
        <v>15973</v>
      </c>
      <c r="B6962" s="4" t="s">
        <v>15974</v>
      </c>
      <c r="C6962" s="4" t="str">
        <f ca="1">IFERROR(__xludf.DUMMYFUNCTION("GOOGLETRANSLATE(D:D,""auto"",""en"")"),"US stocks fuse")</f>
        <v>US stocks fuse</v>
      </c>
      <c r="D6962" s="5" t="s">
        <v>15975</v>
      </c>
      <c r="E6962" s="4">
        <v>1451023</v>
      </c>
    </row>
    <row r="6963" spans="1:6" ht="13.5" hidden="1" customHeight="1">
      <c r="A6963" s="4" t="s">
        <v>15976</v>
      </c>
      <c r="B6963" s="4" t="s">
        <v>15977</v>
      </c>
      <c r="C6963" s="4" t="str">
        <f ca="1">IFERROR(__xludf.DUMMYFUNCTION("GOOGLETRANSLATE(D:D,""auto"",""en"")"),"Micro-channel support iOS version will be dark mode")</f>
        <v>Micro-channel support iOS version will be dark mode</v>
      </c>
      <c r="D6963" s="5" t="s">
        <v>15978</v>
      </c>
      <c r="E6963" s="4">
        <v>1380268</v>
      </c>
    </row>
    <row r="6964" spans="1:6" ht="13.5" customHeight="1">
      <c r="A6964" s="4" t="s">
        <v>15979</v>
      </c>
      <c r="B6964" s="4" t="s">
        <v>15980</v>
      </c>
      <c r="C6964" s="4" t="str">
        <f ca="1">IFERROR(__xludf.DUMMYFUNCTION("GOOGLETRANSLATE(D:D,""auto"",""en"")"),"New York Stock Exchange announced the suspension of trading due to slump 15 minutes")</f>
        <v>New York Stock Exchange announced the suspension of trading due to slump 15 minutes</v>
      </c>
      <c r="D6964" s="5" t="s">
        <v>15981</v>
      </c>
      <c r="E6964" s="4">
        <v>1102611</v>
      </c>
      <c r="F6964">
        <v>1</v>
      </c>
    </row>
    <row r="6965" spans="1:6" ht="13.5" hidden="1" customHeight="1">
      <c r="A6965" s="4" t="s">
        <v>15982</v>
      </c>
      <c r="B6965" s="4" t="s">
        <v>15965</v>
      </c>
      <c r="C6965" s="4" t="str">
        <f ca="1">IFERROR(__xludf.DUMMYFUNCTION("GOOGLETRANSLATE(D:D,""auto"",""en"")"),"Ebisuka acting")</f>
        <v>Ebisuka acting</v>
      </c>
      <c r="D6965" s="5" t="s">
        <v>15983</v>
      </c>
      <c r="E6965" s="4">
        <v>985098</v>
      </c>
    </row>
    <row r="6966" spans="1:6" ht="13.5" customHeight="1">
      <c r="A6966" s="4" t="s">
        <v>15984</v>
      </c>
      <c r="B6966" s="4" t="s">
        <v>15985</v>
      </c>
      <c r="C6966" s="4" t="str">
        <f ca="1">IFERROR(__xludf.DUMMYFUNCTION("GOOGLETRANSLATE(D:D,""auto"",""en"")"),"Spain's new crown pneumonia confirmed cases has reached 999 cases")</f>
        <v>Spain's new crown pneumonia confirmed cases has reached 999 cases</v>
      </c>
      <c r="D6966" s="5" t="s">
        <v>15986</v>
      </c>
      <c r="E6966" s="4">
        <v>798824</v>
      </c>
      <c r="F6966">
        <v>1</v>
      </c>
    </row>
    <row r="6967" spans="1:6" ht="13.5" customHeight="1">
      <c r="A6967" s="4" t="s">
        <v>15987</v>
      </c>
      <c r="B6967" s="4" t="s">
        <v>15988</v>
      </c>
      <c r="C6967" s="4" t="str">
        <f ca="1">IFERROR(__xludf.DUMMYFUNCTION("GOOGLETRANSLATE(D:D,""auto"",""en"")"),"China first aid supplies arrived in Karachi, Pakistan locust prevention and control")</f>
        <v>China first aid supplies arrived in Karachi, Pakistan locust prevention and control</v>
      </c>
      <c r="D6967" s="5" t="s">
        <v>15989</v>
      </c>
      <c r="E6967" s="4">
        <v>778460</v>
      </c>
      <c r="F6967">
        <v>1</v>
      </c>
    </row>
    <row r="6968" spans="1:6" ht="13.5" hidden="1" customHeight="1">
      <c r="A6968" s="4" t="s">
        <v>15990</v>
      </c>
      <c r="B6968" s="4" t="s">
        <v>15991</v>
      </c>
      <c r="C6968" s="4" t="str">
        <f ca="1">IFERROR(__xludf.DUMMYFUNCTION("GOOGLETRANSLATE(D:D,""auto"",""en"")"),"Wang Zijian too humble a")</f>
        <v>Wang Zijian too humble a</v>
      </c>
      <c r="D6968" s="5" t="s">
        <v>15992</v>
      </c>
      <c r="E6968" s="4">
        <v>778408</v>
      </c>
    </row>
    <row r="6969" spans="1:6" ht="13.5" hidden="1" customHeight="1">
      <c r="A6969" s="4" t="s">
        <v>15993</v>
      </c>
      <c r="B6969" s="4" t="s">
        <v>15994</v>
      </c>
      <c r="C6969" s="4" t="str">
        <f ca="1">IFERROR(__xludf.DUMMYFUNCTION("GOOGLETRANSLATE(D:D,""auto"",""en"")"),"Apple micro letter")</f>
        <v>Apple micro letter</v>
      </c>
      <c r="D6969" s="5" t="s">
        <v>15995</v>
      </c>
      <c r="E6969" s="4">
        <v>774265</v>
      </c>
    </row>
    <row r="6970" spans="1:6" ht="13.5" hidden="1" customHeight="1">
      <c r="A6970" s="4" t="s">
        <v>15996</v>
      </c>
      <c r="B6970" s="4" t="s">
        <v>15991</v>
      </c>
      <c r="C6970" s="4" t="str">
        <f ca="1">IFERROR(__xludf.DUMMYFUNCTION("GOOGLETRANSLATE(D:D,""auto"",""en"")"),"It represents only the personal position is weak weak say")</f>
        <v>It represents only the personal position is weak weak say</v>
      </c>
      <c r="D6970" s="5" t="s">
        <v>15997</v>
      </c>
      <c r="E6970" s="4">
        <v>758960</v>
      </c>
    </row>
    <row r="6971" spans="1:6" ht="13.5" hidden="1" customHeight="1">
      <c r="A6971" s="4" t="s">
        <v>15998</v>
      </c>
      <c r="B6971" s="4" t="s">
        <v>15968</v>
      </c>
      <c r="C6971" s="4" t="str">
        <f ca="1">IFERROR(__xludf.DUMMYFUNCTION("GOOGLETRANSLATE(D:D,""auto"",""en"")"),"Liuyao Wen illegitimate Tracker")</f>
        <v>Liuyao Wen illegitimate Tracker</v>
      </c>
      <c r="D6971" s="5" t="s">
        <v>15999</v>
      </c>
      <c r="E6971" s="4">
        <v>757906</v>
      </c>
    </row>
    <row r="6972" spans="1:6" ht="13.5" hidden="1" customHeight="1">
      <c r="A6972" s="4" t="s">
        <v>16000</v>
      </c>
      <c r="B6972" s="4" t="s">
        <v>16001</v>
      </c>
      <c r="C6972" s="4" t="str">
        <f ca="1">IFERROR(__xludf.DUMMYFUNCTION("GOOGLETRANSLATE(D:D,""auto"",""en"")"),"Zhejiang 2020 debut personal safety protection orders")</f>
        <v>Zhejiang 2020 debut personal safety protection orders</v>
      </c>
      <c r="D6972" s="5" t="s">
        <v>16002</v>
      </c>
      <c r="E6972" s="4">
        <v>757457</v>
      </c>
    </row>
    <row r="6973" spans="1:6" ht="13.5" customHeight="1">
      <c r="A6973" s="4" t="s">
        <v>16003</v>
      </c>
      <c r="B6973" s="4" t="s">
        <v>16004</v>
      </c>
      <c r="C6973" s="4" t="str">
        <f ca="1">IFERROR(__xludf.DUMMYFUNCTION("GOOGLETRANSLATE(D:D,""auto"",""en"")"),"Trump shook hands who come into contact with confirmed cases")</f>
        <v>Trump shook hands who come into contact with confirmed cases</v>
      </c>
      <c r="D6973" s="5" t="s">
        <v>16005</v>
      </c>
      <c r="E6973" s="4">
        <v>756165</v>
      </c>
      <c r="F6973">
        <v>1</v>
      </c>
    </row>
    <row r="6974" spans="1:6" ht="13.5" hidden="1" customHeight="1">
      <c r="A6974" s="4" t="s">
        <v>16006</v>
      </c>
      <c r="B6974" s="4" t="s">
        <v>16007</v>
      </c>
      <c r="C6974" s="4" t="str">
        <f ca="1">IFERROR(__xludf.DUMMYFUNCTION("GOOGLETRANSLATE(D:D,""auto"",""en"")"),"Pee correct pronunciation")</f>
        <v>Pee correct pronunciation</v>
      </c>
      <c r="D6974" s="5" t="s">
        <v>16008</v>
      </c>
      <c r="E6974" s="4">
        <v>754637</v>
      </c>
    </row>
    <row r="6975" spans="1:6" ht="13.5" hidden="1" customHeight="1">
      <c r="A6975" s="4" t="s">
        <v>16009</v>
      </c>
      <c r="B6975" s="4" t="s">
        <v>16010</v>
      </c>
      <c r="C6975" s="4" t="str">
        <f ca="1">IFERROR(__xludf.DUMMYFUNCTION("GOOGLETRANSLATE(D:D,""auto"",""en"")"),"Trump")</f>
        <v>Trump</v>
      </c>
      <c r="D6975" s="5" t="s">
        <v>16011</v>
      </c>
      <c r="E6975" s="4">
        <v>753836</v>
      </c>
    </row>
    <row r="6976" spans="1:6" ht="13.5" hidden="1" customHeight="1">
      <c r="A6976" s="4" t="s">
        <v>16012</v>
      </c>
      <c r="B6976" s="4" t="s">
        <v>16013</v>
      </c>
      <c r="C6976" s="4" t="str">
        <f ca="1">IFERROR(__xludf.DUMMYFUNCTION("GOOGLETRANSLATE(D:D,""auto"",""en"")"),"Malaysia Airlines MH17 crash court case in the Netherlands")</f>
        <v>Malaysia Airlines MH17 crash court case in the Netherlands</v>
      </c>
      <c r="D6976" s="5" t="s">
        <v>16014</v>
      </c>
      <c r="E6976" s="4">
        <v>751851</v>
      </c>
    </row>
    <row r="6977" spans="1:6" ht="13.5" hidden="1" customHeight="1">
      <c r="A6977" s="4" t="s">
        <v>16015</v>
      </c>
      <c r="B6977" s="4" t="s">
        <v>16016</v>
      </c>
      <c r="C6977" s="4" t="str">
        <f ca="1">IFERROR(__xludf.DUMMYFUNCTION("GOOGLETRANSLATE(D:D,""auto"",""en"")"),"Firefighters let the woman stepped out of the collapsed building their own body")</f>
        <v>Firefighters let the woman stepped out of the collapsed building their own body</v>
      </c>
      <c r="D6977" s="5" t="s">
        <v>16017</v>
      </c>
      <c r="E6977" s="4">
        <v>750879</v>
      </c>
    </row>
    <row r="6978" spans="1:6" ht="13.5" hidden="1" customHeight="1">
      <c r="A6978" s="4" t="s">
        <v>16018</v>
      </c>
      <c r="B6978" s="4" t="s">
        <v>16019</v>
      </c>
      <c r="C6978" s="4" t="str">
        <f ca="1">IFERROR(__xludf.DUMMYFUNCTION("GOOGLETRANSLATE(D:D,""auto"",""en"")"),"Wei Jiang Dalin blackout kiss")</f>
        <v>Wei Jiang Dalin blackout kiss</v>
      </c>
      <c r="D6978" s="5" t="s">
        <v>16020</v>
      </c>
      <c r="E6978" s="4">
        <v>750610</v>
      </c>
    </row>
    <row r="6979" spans="1:6" ht="13.5" hidden="1" customHeight="1">
      <c r="A6979" s="4" t="s">
        <v>13097</v>
      </c>
      <c r="B6979" s="4" t="s">
        <v>13050</v>
      </c>
      <c r="C6979" s="4" t="str">
        <f ca="1">IFERROR(__xludf.DUMMYFUNCTION("GOOGLETRANSLATE(D:D,""auto"",""en"")"),"Palm things")</f>
        <v>Palm things</v>
      </c>
      <c r="D6979" s="5" t="s">
        <v>13098</v>
      </c>
      <c r="E6979" s="4">
        <v>578145</v>
      </c>
    </row>
    <row r="6980" spans="1:6" ht="13.5" hidden="1" customHeight="1">
      <c r="A6980" s="4" t="s">
        <v>16015</v>
      </c>
      <c r="B6980" s="4" t="s">
        <v>16021</v>
      </c>
      <c r="C6980" s="4" t="str">
        <f ca="1">IFERROR(__xludf.DUMMYFUNCTION("GOOGLETRANSLATE(D:D,""auto"",""en"")"),"Original family influence mate selection criteria it")</f>
        <v>Original family influence mate selection criteria it</v>
      </c>
      <c r="D6980" s="5" t="s">
        <v>16022</v>
      </c>
      <c r="E6980" s="4">
        <v>540274</v>
      </c>
    </row>
    <row r="6981" spans="1:6" ht="13.5" hidden="1" customHeight="1">
      <c r="A6981" s="4" t="s">
        <v>16023</v>
      </c>
      <c r="B6981" s="4" t="s">
        <v>16024</v>
      </c>
      <c r="C6981" s="4" t="str">
        <f ca="1">IFERROR(__xludf.DUMMYFUNCTION("GOOGLETRANSLATE(D:D,""auto"",""en"")"),"NPC microblogging")</f>
        <v>NPC microblogging</v>
      </c>
      <c r="D6981" s="5" t="s">
        <v>16025</v>
      </c>
      <c r="E6981" s="4">
        <v>522580</v>
      </c>
    </row>
    <row r="6982" spans="1:6" ht="13.5" hidden="1" customHeight="1">
      <c r="A6982" s="4" t="s">
        <v>16026</v>
      </c>
      <c r="B6982" s="4" t="s">
        <v>16027</v>
      </c>
      <c r="C6982" s="4" t="str">
        <f ca="1">IFERROR(__xludf.DUMMYFUNCTION("GOOGLETRANSLATE(D:D,""auto"",""en"")"),"Hu Biliang")</f>
        <v>Hu Biliang</v>
      </c>
      <c r="D6982" s="5" t="s">
        <v>16028</v>
      </c>
      <c r="E6982" s="4">
        <v>482157</v>
      </c>
    </row>
    <row r="6983" spans="1:6" ht="13.5" hidden="1" customHeight="1">
      <c r="A6983" s="4" t="s">
        <v>16029</v>
      </c>
      <c r="B6983" s="4" t="s">
        <v>16030</v>
      </c>
      <c r="C6983" s="4" t="str">
        <f ca="1">IFERROR(__xludf.DUMMYFUNCTION("GOOGLETRANSLATE(D:D,""auto"",""en"")"),"African players died after a collision course")</f>
        <v>African players died after a collision course</v>
      </c>
      <c r="D6983" s="5" t="s">
        <v>16031</v>
      </c>
      <c r="E6983" s="4">
        <v>480967</v>
      </c>
    </row>
    <row r="6984" spans="1:6" ht="13.5" hidden="1" customHeight="1">
      <c r="A6984" s="4" t="s">
        <v>16032</v>
      </c>
      <c r="B6984" s="4" t="s">
        <v>16033</v>
      </c>
      <c r="C6984" s="4" t="str">
        <f ca="1">IFERROR(__xludf.DUMMYFUNCTION("GOOGLETRANSLATE(D:D,""auto"",""en"")"),"Forensic Heroes")</f>
        <v>Forensic Heroes</v>
      </c>
      <c r="D6984" s="5" t="s">
        <v>16034</v>
      </c>
      <c r="E6984" s="4">
        <v>449024</v>
      </c>
    </row>
    <row r="6985" spans="1:6" ht="13.5" hidden="1" customHeight="1">
      <c r="A6985" s="4" t="s">
        <v>15982</v>
      </c>
      <c r="B6985" s="4" t="s">
        <v>16035</v>
      </c>
      <c r="C6985" s="4" t="str">
        <f ca="1">IFERROR(__xludf.DUMMYFUNCTION("GOOGLETRANSLATE(D:D,""auto"",""en"")"),"Sashimi Mask")</f>
        <v>Sashimi Mask</v>
      </c>
      <c r="D6985" s="5" t="s">
        <v>16036</v>
      </c>
      <c r="E6985" s="4">
        <v>437705</v>
      </c>
    </row>
    <row r="6986" spans="1:6" ht="13.5" hidden="1" customHeight="1">
      <c r="A6986" s="4" t="s">
        <v>16037</v>
      </c>
      <c r="B6986" s="4" t="s">
        <v>16038</v>
      </c>
      <c r="C6986" s="4" t="str">
        <f ca="1">IFERROR(__xludf.DUMMYFUNCTION("GOOGLETRANSLATE(D:D,""auto"",""en"")"),"Quanzhou collapsed hotel scene found the mother and child trapped")</f>
        <v>Quanzhou collapsed hotel scene found the mother and child trapped</v>
      </c>
      <c r="D6986" s="5" t="s">
        <v>16039</v>
      </c>
      <c r="E6986" s="4">
        <v>427498</v>
      </c>
    </row>
    <row r="6987" spans="1:6" ht="13.5" customHeight="1">
      <c r="A6987" s="4" t="s">
        <v>16040</v>
      </c>
      <c r="B6987" s="4" t="s">
        <v>16041</v>
      </c>
      <c r="C6987" s="4" t="str">
        <f ca="1">IFERROR(__xludf.DUMMYFUNCTION("GOOGLETRANSLATE(D:D,""auto"",""en"")"),"Foreign Ministry condemned Pompeo Wuhan coronavirus expressed")</f>
        <v>Foreign Ministry condemned Pompeo Wuhan coronavirus expressed</v>
      </c>
      <c r="D6987" s="5" t="s">
        <v>16042</v>
      </c>
      <c r="E6987" s="4">
        <v>425633</v>
      </c>
      <c r="F6987">
        <v>1</v>
      </c>
    </row>
    <row r="6988" spans="1:6" ht="13.5" hidden="1" customHeight="1">
      <c r="A6988" s="4" t="s">
        <v>12063</v>
      </c>
      <c r="B6988" s="4" t="s">
        <v>12051</v>
      </c>
      <c r="C6988" s="4" t="str">
        <f ca="1">IFERROR(__xludf.DUMMYFUNCTION("GOOGLETRANSLATE(D:D,""auto"",""en"")"),"settle down")</f>
        <v>settle down</v>
      </c>
      <c r="D6988" s="5" t="s">
        <v>12064</v>
      </c>
      <c r="E6988" s="4">
        <v>424014</v>
      </c>
    </row>
    <row r="6989" spans="1:6" ht="13.5" hidden="1" customHeight="1">
      <c r="A6989" s="4" t="s">
        <v>16043</v>
      </c>
      <c r="B6989" s="4" t="s">
        <v>15974</v>
      </c>
      <c r="C6989" s="4" t="str">
        <f ca="1">IFERROR(__xludf.DUMMYFUNCTION("GOOGLETRANSLATE(D:D,""auto"",""en"")"),"Jump Square Dance music is turned off cat")</f>
        <v>Jump Square Dance music is turned off cat</v>
      </c>
      <c r="D6989" s="5" t="s">
        <v>16044</v>
      </c>
      <c r="E6989" s="4">
        <v>415373</v>
      </c>
    </row>
    <row r="6990" spans="1:6" ht="13.5" hidden="1" customHeight="1">
      <c r="A6990" s="4" t="s">
        <v>16045</v>
      </c>
      <c r="B6990" s="4" t="s">
        <v>15985</v>
      </c>
      <c r="C6990" s="4" t="str">
        <f ca="1">IFERROR(__xludf.DUMMYFUNCTION("GOOGLETRANSLATE(D:D,""auto"",""en"")"),"Shu Ching rejected Chen Yingjie")</f>
        <v>Shu Ching rejected Chen Yingjie</v>
      </c>
      <c r="D6990" s="5" t="s">
        <v>16046</v>
      </c>
      <c r="E6990" s="4">
        <v>392744</v>
      </c>
    </row>
    <row r="6991" spans="1:6" ht="13.5" customHeight="1">
      <c r="A6991" s="4" t="s">
        <v>16047</v>
      </c>
      <c r="B6991" s="4" t="s">
        <v>15965</v>
      </c>
      <c r="C6991" s="4" t="str">
        <f ca="1">IFERROR(__xludf.DUMMYFUNCTION("GOOGLETRANSLATE(D:D,""auto"",""en"")"),"13 people were killed and a US nursing home 70 people suspected")</f>
        <v>13 people were killed and a US nursing home 70 people suspected</v>
      </c>
      <c r="D6991" s="5" t="s">
        <v>16048</v>
      </c>
      <c r="E6991" s="4">
        <v>380878</v>
      </c>
      <c r="F6991">
        <v>1</v>
      </c>
    </row>
    <row r="6992" spans="1:6" ht="13.5" hidden="1" customHeight="1">
      <c r="A6992" s="4" t="s">
        <v>16049</v>
      </c>
      <c r="B6992" s="4" t="s">
        <v>16050</v>
      </c>
      <c r="C6992" s="4" t="str">
        <f ca="1">IFERROR(__xludf.DUMMYFUNCTION("GOOGLETRANSLATE(D:D,""auto"",""en"")"),"China successfully launched its first 54 Beidou navigation satellites")</f>
        <v>China successfully launched its first 54 Beidou navigation satellites</v>
      </c>
      <c r="D6992" s="5" t="s">
        <v>16051</v>
      </c>
      <c r="E6992" s="4">
        <v>375390</v>
      </c>
    </row>
    <row r="6993" spans="1:6" ht="13.5" hidden="1" customHeight="1">
      <c r="A6993" s="4" t="s">
        <v>14434</v>
      </c>
      <c r="B6993" s="4" t="s">
        <v>14435</v>
      </c>
      <c r="C6993" s="4" t="str">
        <f ca="1">IFERROR(__xludf.DUMMYFUNCTION("GOOGLETRANSLATE(D:D,""auto"",""en"")"),"US stocks")</f>
        <v>US stocks</v>
      </c>
      <c r="D6993" s="5" t="s">
        <v>14436</v>
      </c>
      <c r="E6993" s="4">
        <v>370368</v>
      </c>
    </row>
    <row r="6994" spans="1:6" ht="13.5" hidden="1" customHeight="1">
      <c r="A6994" s="4" t="s">
        <v>16052</v>
      </c>
      <c r="B6994" s="4" t="s">
        <v>16053</v>
      </c>
      <c r="C6994" s="4" t="str">
        <f ca="1">IFERROR(__xludf.DUMMYFUNCTION("GOOGLETRANSLATE(D:D,""auto"",""en"")"),"Saudi oil")</f>
        <v>Saudi oil</v>
      </c>
      <c r="D6994" s="5" t="s">
        <v>16054</v>
      </c>
      <c r="E6994" s="4">
        <v>348664</v>
      </c>
    </row>
    <row r="6995" spans="1:6" ht="13.5" hidden="1" customHeight="1">
      <c r="A6995" s="4" t="s">
        <v>16055</v>
      </c>
      <c r="B6995" s="4" t="s">
        <v>16056</v>
      </c>
      <c r="C6995" s="4" t="str">
        <f ca="1">IFERROR(__xludf.DUMMYFUNCTION("GOOGLETRANSLATE(D:D,""auto"",""en"")"),"Cai Xu Kun said Yu Shuxin play melodrama")</f>
        <v>Cai Xu Kun said Yu Shuxin play melodrama</v>
      </c>
      <c r="D6995" s="5" t="s">
        <v>16057</v>
      </c>
      <c r="E6995" s="4">
        <v>322160</v>
      </c>
    </row>
    <row r="6996" spans="1:6" ht="13.5" hidden="1" customHeight="1">
      <c r="A6996" s="4" t="s">
        <v>16058</v>
      </c>
      <c r="B6996" s="4" t="s">
        <v>16059</v>
      </c>
      <c r="C6996" s="4" t="str">
        <f ca="1">IFERROR(__xludf.DUMMYFUNCTION("GOOGLETRANSLATE(D:D,""auto"",""en"")"),"Yellowstone announcement that a cell to kill stray dogs")</f>
        <v>Yellowstone announcement that a cell to kill stray dogs</v>
      </c>
      <c r="D6996" s="5" t="s">
        <v>16060</v>
      </c>
      <c r="E6996" s="4">
        <v>321166</v>
      </c>
    </row>
    <row r="6997" spans="1:6" ht="13.5" hidden="1" customHeight="1">
      <c r="A6997" s="4" t="s">
        <v>16061</v>
      </c>
      <c r="B6997" s="4" t="s">
        <v>15991</v>
      </c>
      <c r="C6997" s="4" t="str">
        <f ca="1">IFERROR(__xludf.DUMMYFUNCTION("GOOGLETRANSLATE(D:D,""auto"",""en"")"),"Zhu shining on Carmen")</f>
        <v>Zhu shining on Carmen</v>
      </c>
      <c r="D6997" s="5" t="s">
        <v>16062</v>
      </c>
      <c r="E6997" s="4">
        <v>308330</v>
      </c>
    </row>
    <row r="6998" spans="1:6" ht="13.5" customHeight="1">
      <c r="A6998" s="4" t="s">
        <v>16063</v>
      </c>
      <c r="B6998" s="4" t="s">
        <v>16064</v>
      </c>
      <c r="C6998" s="4" t="str">
        <f ca="1">IFERROR(__xludf.DUMMYFUNCTION("GOOGLETRANSLATE(D:D,""auto"",""en"")"),"Switzerland asked the German speed also detained masks")</f>
        <v>Switzerland asked the German speed also detained masks</v>
      </c>
      <c r="D6998" s="5" t="s">
        <v>16065</v>
      </c>
      <c r="E6998" s="4">
        <v>284097</v>
      </c>
      <c r="F6998">
        <v>1</v>
      </c>
    </row>
    <row r="6999" spans="1:6" ht="13.5" hidden="1" customHeight="1">
      <c r="A6999" s="4" t="s">
        <v>16066</v>
      </c>
      <c r="B6999" s="4" t="s">
        <v>16067</v>
      </c>
      <c r="C6999" s="4" t="str">
        <f ca="1">IFERROR(__xludf.DUMMYFUNCTION("GOOGLETRANSLATE(D:D,""auto"",""en"")"),"Wang Yuan appears on the ideological and political course")</f>
        <v>Wang Yuan appears on the ideological and political course</v>
      </c>
      <c r="D6999" s="5" t="s">
        <v>16068</v>
      </c>
      <c r="E6999" s="4">
        <v>271913</v>
      </c>
    </row>
    <row r="7000" spans="1:6" ht="13.5" hidden="1" customHeight="1">
      <c r="A7000" s="4" t="s">
        <v>15990</v>
      </c>
      <c r="B7000" s="4" t="s">
        <v>16069</v>
      </c>
      <c r="C7000" s="4" t="str">
        <f ca="1">IFERROR(__xludf.DUMMYFUNCTION("GOOGLETRANSLATE(D:D,""auto"",""en"")"),"Zhang Weili grateful Marbury")</f>
        <v>Zhang Weili grateful Marbury</v>
      </c>
      <c r="D7000" s="5" t="s">
        <v>16070</v>
      </c>
      <c r="E7000" s="4">
        <v>255000</v>
      </c>
    </row>
    <row r="7001" spans="1:6" ht="13.5" hidden="1" customHeight="1">
      <c r="A7001" s="4" t="s">
        <v>16071</v>
      </c>
      <c r="B7001" s="4" t="s">
        <v>16072</v>
      </c>
      <c r="C7001" s="4" t="str">
        <f ca="1">IFERROR(__xludf.DUMMYFUNCTION("GOOGLETRANSLATE(D:D,""auto"",""en"")"),"I always favored accident")</f>
        <v>I always favored accident</v>
      </c>
      <c r="D7001" s="5" t="s">
        <v>16073</v>
      </c>
      <c r="E7001" s="4">
        <v>252063</v>
      </c>
    </row>
    <row r="7002" spans="1:6" ht="13.5" customHeight="1">
      <c r="A7002" s="4" t="s">
        <v>15987</v>
      </c>
      <c r="B7002" s="4" t="s">
        <v>16074</v>
      </c>
      <c r="C7002" s="4" t="str">
        <f ca="1">IFERROR(__xludf.DUMMYFUNCTION("GOOGLETRANSLATE(D:D,""auto"",""en"")"),"Riksbank Deputy Governor virus tested positive for the new crown")</f>
        <v>Riksbank Deputy Governor virus tested positive for the new crown</v>
      </c>
      <c r="D7002" s="5" t="s">
        <v>16075</v>
      </c>
      <c r="E7002" s="4">
        <v>234260</v>
      </c>
      <c r="F7002">
        <v>1</v>
      </c>
    </row>
    <row r="7003" spans="1:6" ht="13.5" hidden="1" customHeight="1">
      <c r="A7003" s="4" t="s">
        <v>16003</v>
      </c>
      <c r="B7003" s="4" t="s">
        <v>16053</v>
      </c>
      <c r="C7003" s="4" t="str">
        <f ca="1">IFERROR(__xludf.DUMMYFUNCTION("GOOGLETRANSLATE(D:D,""auto"",""en"")"),"Hugh cabin after the most touching moment")</f>
        <v>Hugh cabin after the most touching moment</v>
      </c>
      <c r="D7003" s="5" t="s">
        <v>16076</v>
      </c>
      <c r="E7003" s="4">
        <v>227291</v>
      </c>
    </row>
    <row r="7004" spans="1:6" ht="13.5" customHeight="1">
      <c r="A7004" s="4" t="s">
        <v>15984</v>
      </c>
      <c r="B7004" s="4" t="s">
        <v>16077</v>
      </c>
      <c r="C7004" s="4" t="str">
        <f ca="1">IFERROR(__xludf.DUMMYFUNCTION("GOOGLETRANSLATE(D:D,""auto"",""en"")"),"Jet lag online courses for foreign students")</f>
        <v>Jet lag online courses for foreign students</v>
      </c>
      <c r="D7004" s="5" t="s">
        <v>16078</v>
      </c>
      <c r="E7004" s="4">
        <v>217353</v>
      </c>
      <c r="F7004">
        <v>1</v>
      </c>
    </row>
    <row r="7005" spans="1:6" ht="13.5" hidden="1" customHeight="1">
      <c r="A7005" s="4" t="s">
        <v>11986</v>
      </c>
      <c r="B7005" s="4" t="s">
        <v>11987</v>
      </c>
      <c r="C7005" s="4" t="str">
        <f ca="1">IFERROR(__xludf.DUMMYFUNCTION("GOOGLETRANSLATE(D:D,""auto"",""en"")"),"Ugly")</f>
        <v>Ugly</v>
      </c>
      <c r="D7005" s="5" t="s">
        <v>11988</v>
      </c>
      <c r="E7005" s="4">
        <v>214023</v>
      </c>
    </row>
    <row r="7006" spans="1:6" ht="13.5" customHeight="1">
      <c r="A7006" s="4" t="s">
        <v>16040</v>
      </c>
      <c r="B7006" s="4" t="s">
        <v>16079</v>
      </c>
      <c r="C7006" s="4" t="str">
        <f ca="1">IFERROR(__xludf.DUMMYFUNCTION("GOOGLETRANSLATE(D:D,""auto"",""en"")"),"Zhong Nanshan estimated global epidemic continue through at least June")</f>
        <v>Zhong Nanshan estimated global epidemic continue through at least June</v>
      </c>
      <c r="D7006" s="5" t="s">
        <v>16080</v>
      </c>
      <c r="E7006" s="4">
        <v>210791</v>
      </c>
      <c r="F7006">
        <v>1</v>
      </c>
    </row>
    <row r="7007" spans="1:6" ht="13.5" hidden="1" customHeight="1">
      <c r="A7007" s="4" t="s">
        <v>16081</v>
      </c>
      <c r="B7007" s="4" t="s">
        <v>16082</v>
      </c>
      <c r="C7007" s="4" t="str">
        <f ca="1">IFERROR(__xludf.DUMMYFUNCTION("GOOGLETRANSLATE(D:D,""auto"",""en"")"),"Black Widow Ultimate notice")</f>
        <v>Black Widow Ultimate notice</v>
      </c>
      <c r="D7007" s="5" t="s">
        <v>16083</v>
      </c>
      <c r="E7007" s="4">
        <v>200656</v>
      </c>
    </row>
    <row r="7008" spans="1:6" ht="13.5" customHeight="1">
      <c r="A7008" s="4" t="s">
        <v>16061</v>
      </c>
      <c r="B7008" s="4" t="s">
        <v>15985</v>
      </c>
      <c r="C7008" s="4" t="str">
        <f ca="1">IFERROR(__xludf.DUMMYFUNCTION("GOOGLETRANSLATE(D:D,""auto"",""en"")"),"Argentine Football Association promised gift aid Hubei care Shimei Xi jersey")</f>
        <v>Argentine Football Association promised gift aid Hubei care Shimei Xi jersey</v>
      </c>
      <c r="D7008" s="5" t="s">
        <v>16084</v>
      </c>
      <c r="E7008" s="4">
        <v>139346</v>
      </c>
      <c r="F7008">
        <v>1</v>
      </c>
    </row>
    <row r="7009" spans="1:6" ht="13.5" hidden="1" customHeight="1">
      <c r="C7009" s="4" t="str">
        <f ca="1">IFERROR(__xludf.DUMMYFUNCTION("GOOGLETRANSLATE(D:D,""auto"",""en"")"),"#VALUE!")</f>
        <v>#VALUE!</v>
      </c>
    </row>
    <row r="7010" spans="1:6" ht="13.5" hidden="1" customHeight="1">
      <c r="A7010" s="4" t="s">
        <v>16085</v>
      </c>
      <c r="B7010" s="4" t="s">
        <v>16086</v>
      </c>
      <c r="C7010" s="4" t="str">
        <f ca="1">IFERROR(__xludf.DUMMYFUNCTION("GOOGLETRANSLATE(D:D,""auto"",""en"")"),"Miao Miao Zheng Kai")</f>
        <v>Miao Miao Zheng Kai</v>
      </c>
      <c r="D7010" s="4" t="s">
        <v>16087</v>
      </c>
      <c r="E7010" s="4">
        <v>6095396</v>
      </c>
    </row>
    <row r="7011" spans="1:6" ht="13.5" hidden="1" customHeight="1">
      <c r="A7011" s="4" t="s">
        <v>16088</v>
      </c>
      <c r="B7011" s="4" t="s">
        <v>16089</v>
      </c>
      <c r="C7011" s="4" t="str">
        <f ca="1">IFERROR(__xludf.DUMMYFUNCTION("GOOGLETRANSLATE(D:D,""auto"",""en"")"),"Italy 20 people have escape prison riot")</f>
        <v>Italy 20 people have escape prison riot</v>
      </c>
      <c r="D7011" s="5" t="s">
        <v>16090</v>
      </c>
      <c r="E7011" s="4">
        <v>4444228</v>
      </c>
    </row>
    <row r="7012" spans="1:6" ht="13.5" hidden="1" customHeight="1">
      <c r="A7012" s="4" t="s">
        <v>16091</v>
      </c>
      <c r="B7012" s="4" t="s">
        <v>16092</v>
      </c>
      <c r="C7012" s="4" t="str">
        <f ca="1">IFERROR(__xludf.DUMMYFUNCTION("GOOGLETRANSLATE(D:D,""auto"",""en"")"),"Liu Yifei Phoenix skirt")</f>
        <v>Liu Yifei Phoenix skirt</v>
      </c>
      <c r="D7012" s="5" t="s">
        <v>16093</v>
      </c>
      <c r="E7012" s="4">
        <v>3928897</v>
      </c>
    </row>
    <row r="7013" spans="1:6" ht="13.5" hidden="1" customHeight="1">
      <c r="A7013" s="4" t="s">
        <v>16094</v>
      </c>
      <c r="B7013" s="4" t="s">
        <v>16095</v>
      </c>
      <c r="C7013" s="4" t="str">
        <f ca="1">IFERROR(__xludf.DUMMYFUNCTION("GOOGLETRANSLATE(D:D,""auto"",""en"")"),"Luo agent responded breakup rumors")</f>
        <v>Luo agent responded breakup rumors</v>
      </c>
      <c r="D7013" s="5" t="s">
        <v>16096</v>
      </c>
      <c r="E7013" s="4">
        <v>3847946</v>
      </c>
    </row>
    <row r="7014" spans="1:6" ht="13.5" customHeight="1">
      <c r="A7014" s="4" t="s">
        <v>16097</v>
      </c>
      <c r="B7014" s="4" t="s">
        <v>16098</v>
      </c>
      <c r="C7014" s="4" t="str">
        <f ca="1">IFERROR(__xludf.DUMMYFUNCTION("GOOGLETRANSLATE(D:D,""auto"",""en"")"),"Nail collapse")</f>
        <v>Nail collapse</v>
      </c>
      <c r="D7014" s="5" t="s">
        <v>16099</v>
      </c>
      <c r="E7014" s="4">
        <v>2473739</v>
      </c>
      <c r="F7014">
        <v>1</v>
      </c>
    </row>
    <row r="7015" spans="1:6" ht="13.5" customHeight="1">
      <c r="A7015" s="4" t="s">
        <v>16100</v>
      </c>
      <c r="B7015" s="4" t="s">
        <v>16071</v>
      </c>
      <c r="C7015" s="4" t="str">
        <f ca="1">IFERROR(__xludf.DUMMYFUNCTION("GOOGLETRANSLATE(D:D,""auto"",""en"")"),"Italy closed the country")</f>
        <v>Italy closed the country</v>
      </c>
      <c r="D7015" s="5" t="s">
        <v>16101</v>
      </c>
      <c r="E7015" s="4">
        <v>1615488</v>
      </c>
      <c r="F7015">
        <v>1</v>
      </c>
    </row>
    <row r="7016" spans="1:6" ht="13.5" customHeight="1">
      <c r="A7016" s="4" t="s">
        <v>16102</v>
      </c>
      <c r="B7016" s="4" t="s">
        <v>16103</v>
      </c>
      <c r="C7016" s="4" t="str">
        <f ca="1">IFERROR(__xludf.DUMMYFUNCTION("GOOGLETRANSLATE(D:D,""auto"",""en"")"),"The new crown pneumonia could become pandemic")</f>
        <v>The new crown pneumonia could become pandemic</v>
      </c>
      <c r="D7016" s="5" t="s">
        <v>16104</v>
      </c>
      <c r="E7016" s="4">
        <v>1499064</v>
      </c>
      <c r="F7016">
        <v>1</v>
      </c>
    </row>
    <row r="7017" spans="1:6" ht="13.5" customHeight="1">
      <c r="A7017" s="4" t="s">
        <v>16105</v>
      </c>
      <c r="B7017" s="4" t="s">
        <v>16012</v>
      </c>
      <c r="C7017" s="4" t="str">
        <f ca="1">IFERROR(__xludf.DUMMYFUNCTION("GOOGLETRANSLATE(D:D,""auto"",""en"")"),"South China cleanup Frozen seafood night market")</f>
        <v>South China cleanup Frozen seafood night market</v>
      </c>
      <c r="D7017" s="5" t="s">
        <v>16106</v>
      </c>
      <c r="E7017" s="4">
        <v>1230222</v>
      </c>
      <c r="F7017">
        <v>1</v>
      </c>
    </row>
    <row r="7018" spans="1:6" ht="13.5" customHeight="1">
      <c r="A7018" s="4" t="s">
        <v>16107</v>
      </c>
      <c r="B7018" s="4" t="s">
        <v>16108</v>
      </c>
      <c r="C7018" s="4" t="str">
        <f ca="1">IFERROR(__xludf.DUMMYFUNCTION("GOOGLETRANSLATE(D:D,""auto"",""en"")"),"Doctors have not found work-related injuries at home sudden death decision is revoked")</f>
        <v>Doctors have not found work-related injuries at home sudden death decision is revoked</v>
      </c>
      <c r="D7018" s="5" t="s">
        <v>16109</v>
      </c>
      <c r="E7018" s="4">
        <v>1104792</v>
      </c>
      <c r="F7018">
        <v>1</v>
      </c>
    </row>
    <row r="7019" spans="1:6" ht="13.5" hidden="1" customHeight="1">
      <c r="A7019" s="4" t="s">
        <v>16110</v>
      </c>
      <c r="B7019" s="4" t="s">
        <v>16092</v>
      </c>
      <c r="C7019" s="4" t="str">
        <f ca="1">IFERROR(__xludf.DUMMYFUNCTION("GOOGLETRANSLATE(D:D,""auto"",""en"")"),"Starring wants to see you back shooting")</f>
        <v>Starring wants to see you back shooting</v>
      </c>
      <c r="D7019" s="5" t="s">
        <v>16111</v>
      </c>
      <c r="E7019" s="4">
        <v>987107</v>
      </c>
    </row>
    <row r="7020" spans="1:6" ht="13.5" hidden="1" customHeight="1">
      <c r="A7020" s="4" t="s">
        <v>12904</v>
      </c>
      <c r="B7020" s="4" t="s">
        <v>12905</v>
      </c>
      <c r="C7020" s="4" t="str">
        <f ca="1">IFERROR(__xludf.DUMMYFUNCTION("GOOGLETRANSLATE(D:D,""auto"",""en"")"),"A crotch")</f>
        <v>A crotch</v>
      </c>
      <c r="D7020" s="5" t="s">
        <v>12906</v>
      </c>
      <c r="E7020" s="4">
        <v>943949</v>
      </c>
    </row>
    <row r="7021" spans="1:6" ht="13.5" hidden="1" customHeight="1">
      <c r="A7021" s="4" t="s">
        <v>16112</v>
      </c>
      <c r="B7021" s="4" t="s">
        <v>15998</v>
      </c>
      <c r="C7021" s="4" t="str">
        <f ca="1">IFERROR(__xludf.DUMMYFUNCTION("GOOGLETRANSLATE(D:D,""auto"",""en"")"),"Italian media leak closed city so")</f>
        <v>Italian media leak closed city so</v>
      </c>
      <c r="D7021" s="5" t="s">
        <v>16113</v>
      </c>
      <c r="E7021" s="4">
        <v>791195</v>
      </c>
    </row>
    <row r="7022" spans="1:6" ht="13.5" customHeight="1">
      <c r="A7022" s="4" t="s">
        <v>16114</v>
      </c>
      <c r="B7022" s="4" t="s">
        <v>16115</v>
      </c>
      <c r="C7022" s="4" t="str">
        <f ca="1">IFERROR(__xludf.DUMMYFUNCTION("GOOGLETRANSLATE(D:D,""auto"",""en"")"),"Trump said the White House has not yet accepted the new virus detection crown")</f>
        <v>Trump said the White House has not yet accepted the new virus detection crown</v>
      </c>
      <c r="D7022" s="5" t="s">
        <v>16116</v>
      </c>
      <c r="E7022" s="4">
        <v>790340</v>
      </c>
      <c r="F7022">
        <v>1</v>
      </c>
    </row>
    <row r="7023" spans="1:6" ht="13.5" customHeight="1">
      <c r="A7023" s="4" t="s">
        <v>16117</v>
      </c>
      <c r="B7023" s="4" t="s">
        <v>16063</v>
      </c>
      <c r="C7023" s="4" t="str">
        <f ca="1">IFERROR(__xludf.DUMMYFUNCTION("GOOGLETRANSLATE(D:D,""auto"",""en"")"),"NBA announced that locker room is no longer open to the media")</f>
        <v>NBA announced that locker room is no longer open to the media</v>
      </c>
      <c r="D7023" s="5" t="s">
        <v>16118</v>
      </c>
      <c r="E7023" s="4">
        <v>787118</v>
      </c>
      <c r="F7023">
        <v>1</v>
      </c>
    </row>
    <row r="7024" spans="1:6" ht="13.5" hidden="1" customHeight="1">
      <c r="A7024" s="4" t="s">
        <v>16119</v>
      </c>
      <c r="B7024" s="4" t="s">
        <v>16120</v>
      </c>
      <c r="C7024" s="4" t="str">
        <f ca="1">IFERROR(__xludf.DUMMYFUNCTION("GOOGLETRANSLATE(D:D,""auto"",""en"")"),"IPhone sales in China in February only 490,000")</f>
        <v>IPhone sales in China in February only 490,000</v>
      </c>
      <c r="D7024" s="5" t="s">
        <v>16121</v>
      </c>
      <c r="E7024" s="4">
        <v>785501</v>
      </c>
    </row>
    <row r="7025" spans="1:6" ht="13.5" hidden="1" customHeight="1">
      <c r="A7025" s="4" t="s">
        <v>16122</v>
      </c>
      <c r="B7025" s="4" t="s">
        <v>16123</v>
      </c>
      <c r="C7025" s="4" t="str">
        <f ca="1">IFERROR(__xludf.DUMMYFUNCTION("GOOGLETRANSLATE(D:D,""auto"",""en"")"),"Taobao collapse")</f>
        <v>Taobao collapse</v>
      </c>
      <c r="D7025" s="5" t="s">
        <v>16124</v>
      </c>
      <c r="E7025" s="4">
        <v>783635</v>
      </c>
    </row>
    <row r="7026" spans="1:6" ht="13.5" hidden="1" customHeight="1">
      <c r="A7026" s="4" t="s">
        <v>16125</v>
      </c>
      <c r="B7026" s="4" t="s">
        <v>16126</v>
      </c>
      <c r="C7026" s="4" t="str">
        <f ca="1">IFERROR(__xludf.DUMMYFUNCTION("GOOGLETRANSLATE(D:D,""auto"",""en"")"),"You talk about the young author of the original financial Terrier")</f>
        <v>You talk about the young author of the original financial Terrier</v>
      </c>
      <c r="D7026" s="5" t="s">
        <v>16127</v>
      </c>
      <c r="E7026" s="4">
        <v>780851</v>
      </c>
    </row>
    <row r="7027" spans="1:6" ht="13.5" hidden="1" customHeight="1">
      <c r="A7027" s="4" t="s">
        <v>16128</v>
      </c>
      <c r="B7027" s="4" t="s">
        <v>16023</v>
      </c>
      <c r="C7027" s="4" t="str">
        <f ca="1">IFERROR(__xludf.DUMMYFUNCTION("GOOGLETRANSLATE(D:D,""auto"",""en"")"),"Chat seconds back who is the light of life")</f>
        <v>Chat seconds back who is the light of life</v>
      </c>
      <c r="D7027" s="5" t="s">
        <v>16129</v>
      </c>
      <c r="E7027" s="4">
        <v>780412</v>
      </c>
    </row>
    <row r="7028" spans="1:6" ht="13.5" customHeight="1">
      <c r="A7028" s="4" t="s">
        <v>16130</v>
      </c>
      <c r="B7028" s="4" t="s">
        <v>16131</v>
      </c>
      <c r="C7028" s="4" t="str">
        <f ca="1">IFERROR(__xludf.DUMMYFUNCTION("GOOGLETRANSLATE(D:D,""auto"",""en"")"),"Sichuan epidemic low-risk areas to restore catering")</f>
        <v>Sichuan epidemic low-risk areas to restore catering</v>
      </c>
      <c r="D7028" s="5" t="s">
        <v>16132</v>
      </c>
      <c r="E7028" s="4">
        <v>727154</v>
      </c>
      <c r="F7028">
        <v>1</v>
      </c>
    </row>
    <row r="7029" spans="1:6" ht="13.5" hidden="1" customHeight="1">
      <c r="A7029" s="4" t="s">
        <v>16133</v>
      </c>
      <c r="B7029" s="4" t="s">
        <v>16134</v>
      </c>
      <c r="C7029" s="4" t="str">
        <f ca="1">IFERROR(__xludf.DUMMYFUNCTION("GOOGLETRANSLATE(D:D,""auto"",""en"")"),"Crispy Bananas")</f>
        <v>Crispy Bananas</v>
      </c>
      <c r="D7029" s="5" t="s">
        <v>16135</v>
      </c>
      <c r="E7029" s="4">
        <v>715517</v>
      </c>
    </row>
    <row r="7030" spans="1:6" ht="13.5" hidden="1" customHeight="1">
      <c r="A7030" s="4" t="s">
        <v>16136</v>
      </c>
      <c r="B7030" s="4" t="s">
        <v>16137</v>
      </c>
      <c r="C7030" s="4" t="str">
        <f ca="1">IFERROR(__xludf.DUMMYFUNCTION("GOOGLETRANSLATE(D:D,""auto"",""en"")"),"Mulan world premiere")</f>
        <v>Mulan world premiere</v>
      </c>
      <c r="D7030" s="5" t="s">
        <v>16138</v>
      </c>
      <c r="E7030" s="4">
        <v>664032</v>
      </c>
    </row>
    <row r="7031" spans="1:6" ht="13.5" hidden="1" customHeight="1">
      <c r="A7031" s="4" t="s">
        <v>16139</v>
      </c>
      <c r="B7031" s="4" t="s">
        <v>16092</v>
      </c>
      <c r="C7031" s="4" t="str">
        <f ca="1">IFERROR(__xludf.DUMMYFUNCTION("GOOGLETRANSLATE(D:D,""auto"",""en"")"),"Zhou deep snow fall")</f>
        <v>Zhou deep snow fall</v>
      </c>
      <c r="D7031" s="5" t="s">
        <v>16140</v>
      </c>
      <c r="E7031" s="4">
        <v>657004</v>
      </c>
    </row>
    <row r="7032" spans="1:6" ht="13.5" customHeight="1">
      <c r="A7032" s="4" t="s">
        <v>16105</v>
      </c>
      <c r="B7032" s="4" t="s">
        <v>16141</v>
      </c>
      <c r="C7032" s="4" t="str">
        <f ca="1">IFERROR(__xludf.DUMMYFUNCTION("GOOGLETRANSLATE(D:D,""auto"",""en"")"),"Chinese free distribution of masks in Naples 6000")</f>
        <v>Chinese free distribution of masks in Naples 6000</v>
      </c>
      <c r="D7032" s="5" t="s">
        <v>16142</v>
      </c>
      <c r="E7032" s="4">
        <v>629274</v>
      </c>
      <c r="F7032">
        <v>1</v>
      </c>
    </row>
    <row r="7033" spans="1:6" ht="13.5" customHeight="1">
      <c r="A7033" s="4" t="s">
        <v>16143</v>
      </c>
      <c r="B7033" s="4" t="s">
        <v>16144</v>
      </c>
      <c r="C7033" s="4" t="str">
        <f ca="1">IFERROR(__xludf.DUMMYFUNCTION("GOOGLETRANSLATE(D:D,""auto"",""en"")"),"Net forgetting to turn off the wheat class, what will happen")</f>
        <v>Net forgetting to turn off the wheat class, what will happen</v>
      </c>
      <c r="D7033" s="5" t="s">
        <v>16145</v>
      </c>
      <c r="E7033" s="4">
        <v>523958</v>
      </c>
      <c r="F7033">
        <v>1</v>
      </c>
    </row>
    <row r="7034" spans="1:6" ht="13.5" customHeight="1">
      <c r="A7034" s="4" t="s">
        <v>16146</v>
      </c>
      <c r="B7034" s="4" t="s">
        <v>16086</v>
      </c>
      <c r="C7034" s="4" t="str">
        <f ca="1">IFERROR(__xludf.DUMMYFUNCTION("GOOGLETRANSLATE(D:D,""auto"",""en"")"),"Italian doctor called for grocery shopping once sent a man")</f>
        <v>Italian doctor called for grocery shopping once sent a man</v>
      </c>
      <c r="D7034" s="5" t="s">
        <v>16147</v>
      </c>
      <c r="E7034" s="4">
        <v>489040</v>
      </c>
      <c r="F7034">
        <v>1</v>
      </c>
    </row>
    <row r="7035" spans="1:6" ht="13.5" hidden="1" customHeight="1">
      <c r="A7035" s="4" t="s">
        <v>16148</v>
      </c>
      <c r="B7035" s="4" t="s">
        <v>16123</v>
      </c>
      <c r="C7035" s="4" t="str">
        <f ca="1">IFERROR(__xludf.DUMMYFUNCTION("GOOGLETRANSLATE(D:D,""auto"",""en"")"),"Huawei will suffer negative growth for the first time")</f>
        <v>Huawei will suffer negative growth for the first time</v>
      </c>
      <c r="D7035" s="5" t="s">
        <v>16149</v>
      </c>
      <c r="E7035" s="4">
        <v>483652</v>
      </c>
    </row>
    <row r="7036" spans="1:6" ht="13.5" hidden="1" customHeight="1">
      <c r="A7036" s="4" t="s">
        <v>16150</v>
      </c>
      <c r="B7036" s="4" t="s">
        <v>16123</v>
      </c>
      <c r="C7036" s="4" t="str">
        <f ca="1">IFERROR(__xludf.DUMMYFUNCTION("GOOGLETRANSLATE(D:D,""auto"",""en"")"),"Hair gills")</f>
        <v>Hair gills</v>
      </c>
      <c r="D7036" s="5" t="s">
        <v>16151</v>
      </c>
      <c r="E7036" s="4">
        <v>474865</v>
      </c>
    </row>
    <row r="7037" spans="1:6" ht="13.5" hidden="1" customHeight="1">
      <c r="A7037" s="4" t="s">
        <v>16152</v>
      </c>
      <c r="B7037" s="4" t="s">
        <v>16153</v>
      </c>
      <c r="C7037" s="4" t="str">
        <f ca="1">IFERROR(__xludf.DUMMYFUNCTION("GOOGLETRANSLATE(D:D,""auto"",""en"")"),"South Korea from March 11 onwards strengthen the stock short-selling regulations")</f>
        <v>South Korea from March 11 onwards strengthen the stock short-selling regulations</v>
      </c>
      <c r="D7037" s="5" t="s">
        <v>16154</v>
      </c>
      <c r="E7037" s="4">
        <v>441708</v>
      </c>
    </row>
    <row r="7038" spans="1:6" ht="13.5" customHeight="1">
      <c r="A7038" s="4" t="s">
        <v>16155</v>
      </c>
      <c r="B7038" s="4" t="s">
        <v>16095</v>
      </c>
      <c r="C7038" s="4" t="str">
        <f ca="1">IFERROR(__xludf.DUMMYFUNCTION("GOOGLETRANSLATE(D:D,""auto"",""en"")"),"Indonesians because new crown pneumonia buy up as much ginger")</f>
        <v>Indonesians because new crown pneumonia buy up as much ginger</v>
      </c>
      <c r="D7038" s="5" t="s">
        <v>16156</v>
      </c>
      <c r="E7038" s="4">
        <v>434021</v>
      </c>
      <c r="F7038">
        <v>1</v>
      </c>
    </row>
    <row r="7039" spans="1:6" ht="13.5" hidden="1" customHeight="1">
      <c r="A7039" s="4" t="s">
        <v>16157</v>
      </c>
      <c r="B7039" s="4" t="s">
        <v>15973</v>
      </c>
      <c r="C7039" s="4" t="str">
        <f ca="1">IFERROR(__xludf.DUMMYFUNCTION("GOOGLETRANSLATE(D:D,""auto"",""en"")"),"A line to prove that you've seen drama")</f>
        <v>A line to prove that you've seen drama</v>
      </c>
      <c r="D7039" s="5" t="s">
        <v>16158</v>
      </c>
      <c r="E7039" s="4">
        <v>429446</v>
      </c>
    </row>
    <row r="7040" spans="1:6" ht="13.5" customHeight="1">
      <c r="A7040" s="4" t="s">
        <v>16159</v>
      </c>
      <c r="B7040" s="4" t="s">
        <v>15973</v>
      </c>
      <c r="C7040" s="4" t="str">
        <f ca="1">IFERROR(__xludf.DUMMYFUNCTION("GOOGLETRANSLATE(D:D,""auto"",""en"")"),"An inescapable network of lesson")</f>
        <v>An inescapable network of lesson</v>
      </c>
      <c r="D7040" s="5" t="s">
        <v>16160</v>
      </c>
      <c r="E7040" s="4">
        <v>398732</v>
      </c>
      <c r="F7040">
        <v>1</v>
      </c>
    </row>
    <row r="7041" spans="1:6" ht="13.5" customHeight="1">
      <c r="A7041" s="4" t="s">
        <v>16161</v>
      </c>
      <c r="B7041" s="4" t="s">
        <v>16162</v>
      </c>
      <c r="C7041" s="4" t="str">
        <f ca="1">IFERROR(__xludf.DUMMYFUNCTION("GOOGLETRANSLATE(D:D,""auto"",""en"")"),"Japanese lawmakers after the auction masks profit apology")</f>
        <v>Japanese lawmakers after the auction masks profit apology</v>
      </c>
      <c r="D7041" s="5" t="s">
        <v>16163</v>
      </c>
      <c r="E7041" s="4">
        <v>395444</v>
      </c>
      <c r="F7041">
        <v>1</v>
      </c>
    </row>
    <row r="7042" spans="1:6" ht="13.5" customHeight="1">
      <c r="A7042" s="4" t="s">
        <v>16152</v>
      </c>
      <c r="B7042" s="4" t="s">
        <v>16164</v>
      </c>
      <c r="C7042" s="4" t="str">
        <f ca="1">IFERROR(__xludf.DUMMYFUNCTION("GOOGLETRANSLATE(D:D,""auto"",""en"")"),"The first case of a new crown territory of Mongolia pneumonia")</f>
        <v>The first case of a new crown territory of Mongolia pneumonia</v>
      </c>
      <c r="D7042" s="5" t="s">
        <v>16165</v>
      </c>
      <c r="E7042" s="4">
        <v>376317</v>
      </c>
      <c r="F7042">
        <v>1</v>
      </c>
    </row>
    <row r="7043" spans="1:6" ht="13.5" hidden="1" customHeight="1">
      <c r="A7043" s="4" t="s">
        <v>16166</v>
      </c>
      <c r="B7043" s="4" t="s">
        <v>16015</v>
      </c>
      <c r="C7043" s="4" t="str">
        <f ca="1">IFERROR(__xludf.DUMMYFUNCTION("GOOGLETRANSLATE(D:D,""auto"",""en"")"),"Guangdong imported cases outside the trajectory of the three cases announced")</f>
        <v>Guangdong imported cases outside the trajectory of the three cases announced</v>
      </c>
      <c r="D7043" s="5" t="s">
        <v>16167</v>
      </c>
      <c r="E7043" s="4">
        <v>348180</v>
      </c>
    </row>
    <row r="7044" spans="1:6" ht="13.5" hidden="1" customHeight="1">
      <c r="A7044" s="4" t="s">
        <v>16161</v>
      </c>
      <c r="B7044" s="4" t="s">
        <v>16144</v>
      </c>
      <c r="C7044" s="4" t="str">
        <f ca="1">IFERROR(__xludf.DUMMYFUNCTION("GOOGLETRANSLATE(D:D,""auto"",""en"")"),"Game easiest scapegoat position")</f>
        <v>Game easiest scapegoat position</v>
      </c>
      <c r="D7044" s="5" t="s">
        <v>16168</v>
      </c>
      <c r="E7044" s="4">
        <v>330788</v>
      </c>
    </row>
    <row r="7045" spans="1:6" ht="13.5" hidden="1" customHeight="1">
      <c r="A7045" s="4" t="s">
        <v>16169</v>
      </c>
      <c r="B7045" s="4" t="s">
        <v>16029</v>
      </c>
      <c r="C7045" s="4" t="str">
        <f ca="1">IFERROR(__xludf.DUMMYFUNCTION("GOOGLETRANSLATE(D:D,""auto"",""en"")"),"Has a rare surname is what kind of experience")</f>
        <v>Has a rare surname is what kind of experience</v>
      </c>
      <c r="D7045" s="5" t="s">
        <v>16170</v>
      </c>
      <c r="E7045" s="4">
        <v>328227</v>
      </c>
    </row>
    <row r="7046" spans="1:6" ht="13.5" customHeight="1">
      <c r="A7046" s="4" t="s">
        <v>16119</v>
      </c>
      <c r="B7046" s="4" t="s">
        <v>16144</v>
      </c>
      <c r="C7046" s="4" t="str">
        <f ca="1">IFERROR(__xludf.DUMMYFUNCTION("GOOGLETRANSLATE(D:D,""auto"",""en"")"),"Grand Princess passengers disembark")</f>
        <v>Grand Princess passengers disembark</v>
      </c>
      <c r="D7046" s="5" t="s">
        <v>16171</v>
      </c>
      <c r="E7046" s="4">
        <v>302828</v>
      </c>
      <c r="F7046">
        <v>1</v>
      </c>
    </row>
    <row r="7047" spans="1:6" ht="13.5" hidden="1" customHeight="1">
      <c r="A7047" s="4" t="s">
        <v>16172</v>
      </c>
      <c r="B7047" s="4" t="s">
        <v>16173</v>
      </c>
      <c r="C7047" s="4" t="str">
        <f ca="1">IFERROR(__xludf.DUMMYFUNCTION("GOOGLETRANSLATE(D:D,""auto"",""en"")"),"Calls for expatriates in Beijing minimize unnecessary travel")</f>
        <v>Calls for expatriates in Beijing minimize unnecessary travel</v>
      </c>
      <c r="D7047" s="5" t="s">
        <v>16174</v>
      </c>
      <c r="E7047" s="4">
        <v>299656</v>
      </c>
    </row>
    <row r="7048" spans="1:6" ht="13.5" hidden="1" customHeight="1">
      <c r="A7048" s="4" t="s">
        <v>16175</v>
      </c>
      <c r="B7048" s="4" t="s">
        <v>16173</v>
      </c>
      <c r="C7048" s="4" t="str">
        <f ca="1">IFERROR(__xludf.DUMMYFUNCTION("GOOGLETRANSLATE(D:D,""auto"",""en"")"),"At least 10 US states declared a state of emergency")</f>
        <v>At least 10 US states declared a state of emergency</v>
      </c>
      <c r="D7048" s="5" t="s">
        <v>16176</v>
      </c>
      <c r="E7048" s="4">
        <v>284173</v>
      </c>
    </row>
    <row r="7049" spans="1:6" ht="13.5" customHeight="1">
      <c r="A7049" s="4" t="s">
        <v>16177</v>
      </c>
      <c r="B7049" s="4" t="s">
        <v>16123</v>
      </c>
      <c r="C7049" s="4" t="str">
        <f ca="1">IFERROR(__xludf.DUMMYFUNCTION("GOOGLETRANSLATE(D:D,""auto"",""en"")"),"Icelandic Prime Minister's Office employees infected with a new crown pneumonia")</f>
        <v>Icelandic Prime Minister's Office employees infected with a new crown pneumonia</v>
      </c>
      <c r="D7049" s="5" t="s">
        <v>16178</v>
      </c>
      <c r="E7049" s="4">
        <v>282819</v>
      </c>
      <c r="F7049">
        <v>1</v>
      </c>
    </row>
    <row r="7050" spans="1:6" ht="13.5" hidden="1" customHeight="1">
      <c r="A7050" s="4" t="s">
        <v>16179</v>
      </c>
      <c r="B7050" s="4" t="s">
        <v>16180</v>
      </c>
      <c r="C7050" s="4" t="str">
        <f ca="1">IFERROR(__xludf.DUMMYFUNCTION("GOOGLETRANSLATE(D:D,""auto"",""en"")"),"Quanzhou collapsed repeated violations hotel renovation")</f>
        <v>Quanzhou collapsed repeated violations hotel renovation</v>
      </c>
      <c r="D7050" s="5" t="s">
        <v>16181</v>
      </c>
      <c r="E7050" s="4">
        <v>282414</v>
      </c>
    </row>
    <row r="7051" spans="1:6" ht="13.5" hidden="1" customHeight="1">
      <c r="A7051" s="4" t="s">
        <v>16182</v>
      </c>
      <c r="B7051" s="4" t="s">
        <v>16183</v>
      </c>
      <c r="C7051" s="4" t="str">
        <f ca="1">IFERROR(__xludf.DUMMYFUNCTION("GOOGLETRANSLATE(D:D,""auto"",""en"")"),"James was elected three times the Week")</f>
        <v>James was elected three times the Week</v>
      </c>
      <c r="D7051" s="5" t="s">
        <v>16184</v>
      </c>
      <c r="E7051" s="4">
        <v>280245</v>
      </c>
    </row>
    <row r="7052" spans="1:6" ht="13.5" hidden="1" customHeight="1">
      <c r="A7052" s="4" t="s">
        <v>16185</v>
      </c>
      <c r="B7052" s="4" t="s">
        <v>16186</v>
      </c>
      <c r="C7052" s="4" t="str">
        <f ca="1">IFERROR(__xludf.DUMMYFUNCTION("GOOGLETRANSLATE(D:D,""auto"",""en"")"),"Bitcoin")</f>
        <v>Bitcoin</v>
      </c>
      <c r="D7052" s="5" t="s">
        <v>16187</v>
      </c>
      <c r="E7052" s="4">
        <v>278491</v>
      </c>
    </row>
    <row r="7053" spans="1:6" ht="13.5" hidden="1" customHeight="1">
      <c r="A7053" s="4" t="s">
        <v>16188</v>
      </c>
      <c r="B7053" s="4" t="s">
        <v>16189</v>
      </c>
      <c r="C7053" s="4" t="str">
        <f ca="1">IFERROR(__xludf.DUMMYFUNCTION("GOOGLETRANSLATE(D:D,""auto"",""en"")"),"Huaguoshan clouds")</f>
        <v>Huaguoshan clouds</v>
      </c>
      <c r="D7053" s="5" t="s">
        <v>16190</v>
      </c>
      <c r="E7053" s="4">
        <v>276919</v>
      </c>
    </row>
    <row r="7054" spans="1:6" ht="13.5" hidden="1" customHeight="1">
      <c r="A7054" s="4" t="s">
        <v>16191</v>
      </c>
      <c r="B7054" s="4" t="s">
        <v>16192</v>
      </c>
      <c r="C7054" s="4" t="str">
        <f ca="1">IFERROR(__xludf.DUMMYFUNCTION("GOOGLETRANSLATE(D:D,""auto"",""en"")"),"44 people 45 crowd is a liar")</f>
        <v>44 people 45 crowd is a liar</v>
      </c>
      <c r="D7054" s="5" t="s">
        <v>16193</v>
      </c>
      <c r="E7054" s="4">
        <v>276626</v>
      </c>
    </row>
    <row r="7055" spans="1:6" ht="13.5" customHeight="1">
      <c r="A7055" s="4" t="s">
        <v>16194</v>
      </c>
      <c r="B7055" s="4" t="s">
        <v>16189</v>
      </c>
      <c r="C7055" s="4" t="str">
        <f ca="1">IFERROR(__xludf.DUMMYFUNCTION("GOOGLETRANSLATE(D:D,""auto"",""en"")"),"Bing Gege version epidemic of home fitness guide")</f>
        <v>Bing Gege version epidemic of home fitness guide</v>
      </c>
      <c r="D7055" s="5" t="s">
        <v>16195</v>
      </c>
      <c r="E7055" s="4">
        <v>274268</v>
      </c>
      <c r="F7055">
        <v>1</v>
      </c>
    </row>
    <row r="7056" spans="1:6" ht="13.5" customHeight="1">
      <c r="A7056" s="4" t="s">
        <v>16196</v>
      </c>
      <c r="B7056" s="4" t="s">
        <v>16197</v>
      </c>
      <c r="C7056" s="4" t="str">
        <f ca="1">IFERROR(__xludf.DUMMYFUNCTION("GOOGLETRANSLATE(D:D,""auto"",""en"")"),"Traffic around the Mongolian capital leading to containment measures taken")</f>
        <v>Traffic around the Mongolian capital leading to containment measures taken</v>
      </c>
      <c r="D7056" s="5" t="s">
        <v>16198</v>
      </c>
      <c r="E7056" s="4">
        <v>273906</v>
      </c>
      <c r="F7056">
        <v>1</v>
      </c>
    </row>
    <row r="7057" spans="1:6" ht="13.5" hidden="1" customHeight="1">
      <c r="A7057" s="4" t="s">
        <v>16199</v>
      </c>
      <c r="B7057" s="4" t="s">
        <v>16144</v>
      </c>
      <c r="C7057" s="4" t="str">
        <f ca="1">IFERROR(__xludf.DUMMYFUNCTION("GOOGLETRANSLATE(D:D,""auto"",""en"")"),"Quanzhou collapse production safety accidents")</f>
        <v>Quanzhou collapse production safety accidents</v>
      </c>
      <c r="D7057" s="5" t="s">
        <v>16200</v>
      </c>
      <c r="E7057" s="4">
        <v>271827</v>
      </c>
    </row>
    <row r="7058" spans="1:6" ht="13.5" hidden="1" customHeight="1">
      <c r="A7058" s="4" t="s">
        <v>16152</v>
      </c>
      <c r="B7058" s="4" t="s">
        <v>16023</v>
      </c>
      <c r="C7058" s="4" t="str">
        <f ca="1">IFERROR(__xludf.DUMMYFUNCTION("GOOGLETRANSLATE(D:D,""auto"",""en"")"),"What is called Aunt experience")</f>
        <v>What is called Aunt experience</v>
      </c>
      <c r="D7058" s="5" t="s">
        <v>16201</v>
      </c>
      <c r="E7058" s="4">
        <v>259212</v>
      </c>
    </row>
    <row r="7059" spans="1:6" ht="13.5" hidden="1" customHeight="1">
      <c r="C7059" s="4" t="str">
        <f ca="1">IFERROR(__xludf.DUMMYFUNCTION("GOOGLETRANSLATE(D:D,""auto"",""en"")"),"#VALUE!")</f>
        <v>#VALUE!</v>
      </c>
    </row>
    <row r="7060" spans="1:6" ht="13.5" hidden="1" customHeight="1">
      <c r="A7060" s="4" t="s">
        <v>16202</v>
      </c>
      <c r="B7060" s="4" t="s">
        <v>16203</v>
      </c>
      <c r="C7060" s="4" t="str">
        <f ca="1">IFERROR(__xludf.DUMMYFUNCTION("GOOGLETRANSLATE(D:D,""auto"",""en"")"),"The reason Wu Zun wife to show his face")</f>
        <v>The reason Wu Zun wife to show his face</v>
      </c>
      <c r="D7060" s="4" t="s">
        <v>16204</v>
      </c>
      <c r="E7060" s="4">
        <v>2063733</v>
      </c>
    </row>
    <row r="7061" spans="1:6" ht="13.5" customHeight="1">
      <c r="A7061" s="4" t="s">
        <v>16205</v>
      </c>
      <c r="B7061" s="4" t="s">
        <v>16206</v>
      </c>
      <c r="C7061" s="4" t="str">
        <f ca="1">IFERROR(__xludf.DUMMYFUNCTION("GOOGLETRANSLATE(D:D,""auto"",""en"")"),"6 people have been diagnosed with concealed entry is filed")</f>
        <v>6 people have been diagnosed with concealed entry is filed</v>
      </c>
      <c r="D7061" s="5" t="s">
        <v>16207</v>
      </c>
      <c r="E7061" s="4">
        <v>1455674</v>
      </c>
      <c r="F7061">
        <v>1</v>
      </c>
    </row>
    <row r="7062" spans="1:6" ht="13.5" hidden="1" customHeight="1">
      <c r="A7062" s="4" t="s">
        <v>16208</v>
      </c>
      <c r="B7062" s="4" t="s">
        <v>16209</v>
      </c>
      <c r="C7062" s="4" t="str">
        <f ca="1">IFERROR(__xludf.DUMMYFUNCTION("GOOGLETRANSLATE(D:D,""auto"",""en"")"),"Cecilia")</f>
        <v>Cecilia</v>
      </c>
      <c r="D7062" s="5" t="s">
        <v>16210</v>
      </c>
      <c r="E7062" s="4">
        <v>1440825</v>
      </c>
    </row>
    <row r="7063" spans="1:6" ht="13.5" hidden="1" customHeight="1">
      <c r="A7063" s="4" t="s">
        <v>16211</v>
      </c>
      <c r="B7063" s="4" t="s">
        <v>16212</v>
      </c>
      <c r="C7063" s="4" t="str">
        <f ca="1">IFERROR(__xludf.DUMMYFUNCTION("GOOGLETRANSLATE(D:D,""auto"",""en"")"),"With a Hara personal letter before his death")</f>
        <v>With a Hara personal letter before his death</v>
      </c>
      <c r="D7063" s="5" t="s">
        <v>16213</v>
      </c>
      <c r="E7063" s="4">
        <v>1425345</v>
      </c>
    </row>
    <row r="7064" spans="1:6" ht="13.5" hidden="1" customHeight="1">
      <c r="A7064" s="4" t="s">
        <v>16214</v>
      </c>
      <c r="B7064" s="4" t="s">
        <v>16212</v>
      </c>
      <c r="C7064" s="4" t="str">
        <f ca="1">IFERROR(__xludf.DUMMYFUNCTION("GOOGLETRANSLATE(D:D,""auto"",""en"")"),"Stella eat crayfish")</f>
        <v>Stella eat crayfish</v>
      </c>
      <c r="D7064" s="5" t="s">
        <v>16215</v>
      </c>
      <c r="E7064" s="4">
        <v>1390836</v>
      </c>
    </row>
    <row r="7065" spans="1:6" ht="13.5" hidden="1" customHeight="1">
      <c r="A7065" s="4" t="s">
        <v>16216</v>
      </c>
      <c r="B7065" s="4" t="s">
        <v>16217</v>
      </c>
      <c r="C7065" s="4" t="str">
        <f ca="1">IFERROR(__xludf.DUMMYFUNCTION("GOOGLETRANSLATE(D:D,""auto"",""en"")"),"Quanzhou collapsed hotel found large amounts of cash")</f>
        <v>Quanzhou collapsed hotel found large amounts of cash</v>
      </c>
      <c r="D7065" s="5" t="s">
        <v>16218</v>
      </c>
      <c r="E7065" s="4">
        <v>1173010</v>
      </c>
    </row>
    <row r="7066" spans="1:6" ht="13.5" hidden="1" customHeight="1">
      <c r="A7066" s="4" t="s">
        <v>16219</v>
      </c>
      <c r="B7066" s="4" t="s">
        <v>16220</v>
      </c>
      <c r="C7066" s="4" t="str">
        <f ca="1">IFERROR(__xludf.DUMMYFUNCTION("GOOGLETRANSLATE(D:D,""auto"",""en"")"),"New term of online dating")</f>
        <v>New term of online dating</v>
      </c>
      <c r="D7066" s="5" t="s">
        <v>16221</v>
      </c>
      <c r="E7066" s="4">
        <v>1158688</v>
      </c>
    </row>
    <row r="7067" spans="1:6" ht="13.5" hidden="1" customHeight="1">
      <c r="A7067" s="4" t="s">
        <v>16222</v>
      </c>
      <c r="B7067" s="4" t="s">
        <v>16223</v>
      </c>
      <c r="C7067" s="4" t="str">
        <f ca="1">IFERROR(__xludf.DUMMYFUNCTION("GOOGLETRANSLATE(D:D,""auto"",""en"")"),"Bezos lost $ 7 billion in one day")</f>
        <v>Bezos lost $ 7 billion in one day</v>
      </c>
      <c r="D7067" s="5" t="s">
        <v>16224</v>
      </c>
      <c r="E7067" s="4">
        <v>1050592</v>
      </c>
    </row>
    <row r="7068" spans="1:6" ht="13.5" hidden="1" customHeight="1">
      <c r="A7068" s="4" t="s">
        <v>16225</v>
      </c>
      <c r="B7068" s="4" t="s">
        <v>16226</v>
      </c>
      <c r="C7068" s="4" t="str">
        <f ca="1">IFERROR(__xludf.DUMMYFUNCTION("GOOGLETRANSLATE(D:D,""auto"",""en"")"),"Germany receives Greek-Turkish border refugee children")</f>
        <v>Germany receives Greek-Turkish border refugee children</v>
      </c>
      <c r="D7068" s="5" t="s">
        <v>16227</v>
      </c>
      <c r="E7068" s="4">
        <v>1006054</v>
      </c>
    </row>
    <row r="7069" spans="1:6" ht="13.5" hidden="1" customHeight="1">
      <c r="A7069" s="4" t="s">
        <v>16228</v>
      </c>
      <c r="B7069" s="4" t="s">
        <v>16229</v>
      </c>
      <c r="C7069" s="4" t="str">
        <f ca="1">IFERROR(__xludf.DUMMYFUNCTION("GOOGLETRANSLATE(D:D,""auto"",""en"")"),"Guage nine hundred eighty-five")</f>
        <v>Guage nine hundred eighty-five</v>
      </c>
      <c r="D7069" s="5" t="s">
        <v>16230</v>
      </c>
      <c r="E7069" s="4">
        <v>991116</v>
      </c>
    </row>
    <row r="7070" spans="1:6" ht="13.5" hidden="1" customHeight="1">
      <c r="A7070" s="4" t="s">
        <v>16231</v>
      </c>
      <c r="B7070" s="4" t="s">
        <v>16232</v>
      </c>
      <c r="C7070" s="4" t="str">
        <f ca="1">IFERROR(__xludf.DUMMYFUNCTION("GOOGLETRANSLATE(D:D,""auto"",""en"")"),"Bonnie mother")</f>
        <v>Bonnie mother</v>
      </c>
      <c r="D7070" s="5" t="s">
        <v>16233</v>
      </c>
      <c r="E7070" s="4">
        <v>780892</v>
      </c>
    </row>
    <row r="7071" spans="1:6" ht="13.5" customHeight="1">
      <c r="A7071" s="4" t="s">
        <v>16234</v>
      </c>
      <c r="B7071" s="4" t="s">
        <v>16235</v>
      </c>
      <c r="C7071" s="4" t="str">
        <f ca="1">IFERROR(__xludf.DUMMYFUNCTION("GOOGLETRANSLATE(D:D,""auto"",""en"")"),"Chongqing Emergency Response adjusted for the two")</f>
        <v>Chongqing Emergency Response adjusted for the two</v>
      </c>
      <c r="D7071" s="5" t="s">
        <v>16236</v>
      </c>
      <c r="E7071" s="4">
        <v>705926</v>
      </c>
      <c r="F7071">
        <v>1</v>
      </c>
    </row>
    <row r="7072" spans="1:6" ht="13.5" hidden="1" customHeight="1">
      <c r="A7072" s="4" t="s">
        <v>16237</v>
      </c>
      <c r="B7072" s="4" t="s">
        <v>16238</v>
      </c>
      <c r="C7072" s="4" t="str">
        <f ca="1">IFERROR(__xludf.DUMMYFUNCTION("GOOGLETRANSLATE(D:D,""auto"",""en"")"),"Xu aunt exquisite song")</f>
        <v>Xu aunt exquisite song</v>
      </c>
      <c r="D7072" s="5" t="s">
        <v>16239</v>
      </c>
      <c r="E7072" s="4">
        <v>683337</v>
      </c>
    </row>
    <row r="7073" spans="1:6" ht="13.5" hidden="1" customHeight="1">
      <c r="A7073" s="4" t="s">
        <v>16240</v>
      </c>
      <c r="B7073" s="4" t="s">
        <v>16241</v>
      </c>
      <c r="C7073" s="4" t="str">
        <f ca="1">IFERROR(__xludf.DUMMYFUNCTION("GOOGLETRANSLATE(D:D,""auto"",""en"")"),"Jay wearing dirty braided wig")</f>
        <v>Jay wearing dirty braided wig</v>
      </c>
      <c r="D7073" s="5" t="s">
        <v>16242</v>
      </c>
      <c r="E7073" s="4">
        <v>602469</v>
      </c>
    </row>
    <row r="7074" spans="1:6" ht="13.5" hidden="1" customHeight="1">
      <c r="A7074" s="4" t="s">
        <v>12555</v>
      </c>
      <c r="B7074" s="4" t="s">
        <v>12556</v>
      </c>
      <c r="C7074" s="4" t="str">
        <f ca="1">IFERROR(__xludf.DUMMYFUNCTION("GOOGLETRANSLATE(D:D,""auto"",""en"")"),"News Feeds")</f>
        <v>News Feeds</v>
      </c>
      <c r="D7074" s="5" t="s">
        <v>12557</v>
      </c>
      <c r="E7074" s="4">
        <v>592413</v>
      </c>
    </row>
    <row r="7075" spans="1:6" ht="13.5" hidden="1" customHeight="1">
      <c r="A7075" s="4" t="s">
        <v>16243</v>
      </c>
      <c r="B7075" s="4" t="s">
        <v>16244</v>
      </c>
      <c r="C7075" s="4" t="str">
        <f ca="1">IFERROR(__xludf.DUMMYFUNCTION("GOOGLETRANSLATE(D:D,""auto"",""en"")"),"Now how cute young teacher")</f>
        <v>Now how cute young teacher</v>
      </c>
      <c r="D7075" s="5" t="s">
        <v>16245</v>
      </c>
      <c r="E7075" s="4">
        <v>588719</v>
      </c>
    </row>
    <row r="7076" spans="1:6" ht="13.5" hidden="1" customHeight="1">
      <c r="A7076" s="4" t="s">
        <v>16246</v>
      </c>
      <c r="B7076" s="4" t="s">
        <v>16247</v>
      </c>
      <c r="C7076" s="4" t="str">
        <f ca="1">IFERROR(__xludf.DUMMYFUNCTION("GOOGLETRANSLATE(D:D,""auto"",""en"")"),"Actress difference between eating and I eat")</f>
        <v>Actress difference between eating and I eat</v>
      </c>
      <c r="D7076" s="5" t="s">
        <v>16248</v>
      </c>
      <c r="E7076" s="4">
        <v>573841</v>
      </c>
    </row>
    <row r="7077" spans="1:6" ht="13.5" hidden="1" customHeight="1">
      <c r="A7077" s="4" t="s">
        <v>16249</v>
      </c>
      <c r="B7077" s="4" t="s">
        <v>16250</v>
      </c>
      <c r="C7077" s="4" t="str">
        <f ca="1">IFERROR(__xludf.DUMMYFUNCTION("GOOGLETRANSLATE(D:D,""auto"",""en"")"),"Guangzhou shoot the history of the highest price Lot")</f>
        <v>Guangzhou shoot the history of the highest price Lot</v>
      </c>
      <c r="D7077" s="5" t="s">
        <v>16251</v>
      </c>
      <c r="E7077" s="4">
        <v>555203</v>
      </c>
    </row>
    <row r="7078" spans="1:6" ht="13.5" hidden="1" customHeight="1">
      <c r="A7078" s="4" t="s">
        <v>16252</v>
      </c>
      <c r="B7078" s="4" t="s">
        <v>16244</v>
      </c>
      <c r="C7078" s="4" t="str">
        <f ca="1">IFERROR(__xludf.DUMMYFUNCTION("GOOGLETRANSLATE(D:D,""auto"",""en"")"),"Lippi")</f>
        <v>Lippi</v>
      </c>
      <c r="D7078" s="5" t="s">
        <v>16253</v>
      </c>
      <c r="E7078" s="4">
        <v>537551</v>
      </c>
    </row>
    <row r="7079" spans="1:6" ht="13.5" customHeight="1">
      <c r="A7079" s="4" t="s">
        <v>16254</v>
      </c>
      <c r="B7079" s="4" t="s">
        <v>16255</v>
      </c>
      <c r="C7079" s="4" t="str">
        <f ca="1">IFERROR(__xludf.DUMMYFUNCTION("GOOGLETRANSLATE(D:D,""auto"",""en"")"),"Quanzhou Hotel Babe rescue dogs infected limbs")</f>
        <v>Quanzhou Hotel Babe rescue dogs infected limbs</v>
      </c>
      <c r="D7079" s="5" t="s">
        <v>16256</v>
      </c>
      <c r="E7079" s="4">
        <v>535714</v>
      </c>
      <c r="F7079">
        <v>1</v>
      </c>
    </row>
    <row r="7080" spans="1:6" ht="13.5" hidden="1" customHeight="1">
      <c r="A7080" s="4" t="s">
        <v>16257</v>
      </c>
      <c r="B7080" s="4" t="s">
        <v>16229</v>
      </c>
      <c r="C7080" s="4" t="str">
        <f ca="1">IFERROR(__xludf.DUMMYFUNCTION("GOOGLETRANSLATE(D:D,""auto"",""en"")"),"Kind of acting called a face-lift")</f>
        <v>Kind of acting called a face-lift</v>
      </c>
      <c r="D7080" s="5" t="s">
        <v>16258</v>
      </c>
      <c r="E7080" s="4">
        <v>495533</v>
      </c>
    </row>
    <row r="7081" spans="1:6" ht="13.5" hidden="1" customHeight="1">
      <c r="A7081" s="4" t="s">
        <v>16259</v>
      </c>
      <c r="B7081" s="4" t="s">
        <v>16260</v>
      </c>
      <c r="C7081" s="4" t="str">
        <f ca="1">IFERROR(__xludf.DUMMYFUNCTION("GOOGLETRANSLATE(D:D,""auto"",""en"")"),"Most take tea and dessert")</f>
        <v>Most take tea and dessert</v>
      </c>
      <c r="D7081" s="5" t="s">
        <v>16261</v>
      </c>
      <c r="E7081" s="4">
        <v>473925</v>
      </c>
    </row>
    <row r="7082" spans="1:6" ht="13.5" customHeight="1">
      <c r="A7082" s="4" t="s">
        <v>16262</v>
      </c>
      <c r="B7082" s="4" t="s">
        <v>16263</v>
      </c>
      <c r="C7082" s="4" t="str">
        <f ca="1">IFERROR(__xludf.DUMMYFUNCTION("GOOGLETRANSLATE(D:D,""auto"",""en"")"),"Japan from March 15 prohibits reselling masks")</f>
        <v>Japan from March 15 prohibits reselling masks</v>
      </c>
      <c r="D7082" s="5" t="s">
        <v>16264</v>
      </c>
      <c r="E7082" s="4">
        <v>456735</v>
      </c>
      <c r="F7082">
        <v>1</v>
      </c>
    </row>
    <row r="7083" spans="1:6" ht="13.5" hidden="1" customHeight="1">
      <c r="A7083" s="4" t="s">
        <v>16228</v>
      </c>
      <c r="B7083" s="4" t="s">
        <v>16265</v>
      </c>
      <c r="C7083" s="4" t="str">
        <f ca="1">IFERROR(__xludf.DUMMYFUNCTION("GOOGLETRANSLATE(D:D,""auto"",""en"")"),"Shanxi Jin excavating a tomb of the late high-grade large")</f>
        <v>Shanxi Jin excavating a tomb of the late high-grade large</v>
      </c>
      <c r="D7083" s="5" t="s">
        <v>16266</v>
      </c>
      <c r="E7083" s="4">
        <v>442281</v>
      </c>
    </row>
    <row r="7084" spans="1:6" ht="13.5" hidden="1" customHeight="1">
      <c r="A7084" s="4" t="s">
        <v>15970</v>
      </c>
      <c r="B7084" s="4" t="s">
        <v>15971</v>
      </c>
      <c r="C7084" s="4" t="str">
        <f ca="1">IFERROR(__xludf.DUMMYFUNCTION("GOOGLETRANSLATE(D:D,""auto"",""en"")"),"Super Moon")</f>
        <v>Super Moon</v>
      </c>
      <c r="D7084" s="5" t="s">
        <v>15972</v>
      </c>
      <c r="E7084" s="4">
        <v>434078</v>
      </c>
    </row>
    <row r="7085" spans="1:6" ht="13.5" hidden="1" customHeight="1">
      <c r="A7085" s="4" t="s">
        <v>16234</v>
      </c>
      <c r="B7085" s="4" t="s">
        <v>16267</v>
      </c>
      <c r="C7085" s="4" t="str">
        <f ca="1">IFERROR(__xludf.DUMMYFUNCTION("GOOGLETRANSLATE(D:D,""auto"",""en"")"),"When parents familiar with expression package")</f>
        <v>When parents familiar with expression package</v>
      </c>
      <c r="D7085" s="5" t="s">
        <v>16268</v>
      </c>
      <c r="E7085" s="4">
        <v>405289</v>
      </c>
    </row>
    <row r="7086" spans="1:6" ht="13.5" hidden="1" customHeight="1">
      <c r="A7086" s="4" t="s">
        <v>16269</v>
      </c>
      <c r="B7086" s="4" t="s">
        <v>16270</v>
      </c>
      <c r="C7086" s="4" t="str">
        <f ca="1">IFERROR(__xludf.DUMMYFUNCTION("GOOGLETRANSLATE(D:D,""auto"",""en"")"),"Film and television roles childhood left a shadow")</f>
        <v>Film and television roles childhood left a shadow</v>
      </c>
      <c r="D7086" s="5" t="s">
        <v>16271</v>
      </c>
      <c r="E7086" s="4">
        <v>385451</v>
      </c>
    </row>
    <row r="7087" spans="1:6" ht="13.5" hidden="1" customHeight="1">
      <c r="A7087" s="4" t="s">
        <v>16240</v>
      </c>
      <c r="B7087" s="4" t="s">
        <v>16272</v>
      </c>
      <c r="C7087" s="4" t="str">
        <f ca="1">IFERROR(__xludf.DUMMYFUNCTION("GOOGLETRANSLATE(D:D,""auto"",""en"")"),"Ye t settle down")</f>
        <v>Ye t settle down</v>
      </c>
      <c r="D7087" s="5" t="s">
        <v>16273</v>
      </c>
      <c r="E7087" s="4">
        <v>380809</v>
      </c>
    </row>
    <row r="7088" spans="1:6" ht="13.5" customHeight="1">
      <c r="A7088" s="4" t="s">
        <v>16114</v>
      </c>
      <c r="B7088" s="4" t="s">
        <v>16115</v>
      </c>
      <c r="C7088" s="4" t="str">
        <f ca="1">IFERROR(__xludf.DUMMYFUNCTION("GOOGLETRANSLATE(D:D,""auto"",""en"")"),"Trump said the White House has not yet accepted the new virus detection crown")</f>
        <v>Trump said the White House has not yet accepted the new virus detection crown</v>
      </c>
      <c r="D7088" s="5" t="s">
        <v>16116</v>
      </c>
      <c r="E7088" s="4">
        <v>373734</v>
      </c>
      <c r="F7088">
        <v>1</v>
      </c>
    </row>
    <row r="7089" spans="1:6" ht="13.5" hidden="1" customHeight="1">
      <c r="A7089" s="4" t="s">
        <v>14434</v>
      </c>
      <c r="B7089" s="4" t="s">
        <v>14435</v>
      </c>
      <c r="C7089" s="4" t="str">
        <f ca="1">IFERROR(__xludf.DUMMYFUNCTION("GOOGLETRANSLATE(D:D,""auto"",""en"")"),"US stocks")</f>
        <v>US stocks</v>
      </c>
      <c r="D7089" s="5" t="s">
        <v>14436</v>
      </c>
      <c r="E7089" s="4">
        <v>369575</v>
      </c>
    </row>
    <row r="7090" spans="1:6" ht="13.5" hidden="1" customHeight="1">
      <c r="A7090" s="4" t="s">
        <v>14634</v>
      </c>
      <c r="B7090" s="4" t="s">
        <v>14629</v>
      </c>
      <c r="C7090" s="4" t="str">
        <f ca="1">IFERROR(__xludf.DUMMYFUNCTION("GOOGLETRANSLATE(D:D,""auto"",""en"")"),"Love will be in the end")</f>
        <v>Love will be in the end</v>
      </c>
      <c r="D7090" s="5" t="s">
        <v>14635</v>
      </c>
      <c r="E7090" s="4">
        <v>300655</v>
      </c>
    </row>
    <row r="7091" spans="1:6" ht="13.5" hidden="1" customHeight="1">
      <c r="A7091" s="4" t="s">
        <v>16274</v>
      </c>
      <c r="B7091" s="4" t="s">
        <v>16275</v>
      </c>
      <c r="C7091" s="4" t="str">
        <f ca="1">IFERROR(__xludf.DUMMYFUNCTION("GOOGLETRANSLATE(D:D,""auto"",""en"")"),"Had refused food so delicious now")</f>
        <v>Had refused food so delicious now</v>
      </c>
      <c r="D7091" s="5" t="s">
        <v>16276</v>
      </c>
      <c r="E7091" s="4">
        <v>291005</v>
      </c>
    </row>
    <row r="7092" spans="1:6" ht="13.5" hidden="1" customHeight="1">
      <c r="A7092" s="4" t="s">
        <v>16277</v>
      </c>
      <c r="B7092" s="4" t="s">
        <v>16250</v>
      </c>
      <c r="C7092" s="4" t="str">
        <f ca="1">IFERROR(__xludf.DUMMYFUNCTION("GOOGLETRANSLATE(D:D,""auto"",""en"")"),"Fake alcohol poisoning occurred in southwestern Iran")</f>
        <v>Fake alcohol poisoning occurred in southwestern Iran</v>
      </c>
      <c r="D7092" s="5" t="s">
        <v>16278</v>
      </c>
      <c r="E7092" s="4">
        <v>259732</v>
      </c>
    </row>
    <row r="7093" spans="1:6" ht="13.5" hidden="1" customHeight="1">
      <c r="A7093" s="4" t="s">
        <v>16088</v>
      </c>
      <c r="B7093" s="4" t="s">
        <v>16089</v>
      </c>
      <c r="C7093" s="4" t="str">
        <f ca="1">IFERROR(__xludf.DUMMYFUNCTION("GOOGLETRANSLATE(D:D,""auto"",""en"")"),"Italy 20 people have escape prison riot")</f>
        <v>Italy 20 people have escape prison riot</v>
      </c>
      <c r="D7093" s="5" t="s">
        <v>16090</v>
      </c>
      <c r="E7093" s="4">
        <v>249857</v>
      </c>
    </row>
    <row r="7094" spans="1:6" ht="13.5" customHeight="1">
      <c r="A7094" s="4" t="s">
        <v>16279</v>
      </c>
      <c r="B7094" s="4" t="s">
        <v>16280</v>
      </c>
      <c r="C7094" s="4" t="str">
        <f ca="1">IFERROR(__xludf.DUMMYFUNCTION("GOOGLETRANSLATE(D:D,""auto"",""en"")"),"Support Hubei nurse son named Li Yuan Hubei")</f>
        <v>Support Hubei nurse son named Li Yuan Hubei</v>
      </c>
      <c r="D7094" s="5" t="s">
        <v>16281</v>
      </c>
      <c r="E7094" s="4">
        <v>246681</v>
      </c>
      <c r="F7094">
        <v>1</v>
      </c>
    </row>
    <row r="7095" spans="1:6" ht="13.5" hidden="1" customHeight="1">
      <c r="A7095" s="4" t="s">
        <v>16274</v>
      </c>
      <c r="B7095" s="4" t="s">
        <v>16282</v>
      </c>
      <c r="C7095" s="4" t="str">
        <f ca="1">IFERROR(__xludf.DUMMYFUNCTION("GOOGLETRANSLATE(D:D,""auto"",""en"")"),"He overtook me sad")</f>
        <v>He overtook me sad</v>
      </c>
      <c r="D7095" s="5" t="s">
        <v>16283</v>
      </c>
      <c r="E7095" s="4">
        <v>242501</v>
      </c>
    </row>
    <row r="7096" spans="1:6" ht="13.5" hidden="1" customHeight="1">
      <c r="A7096" s="4" t="s">
        <v>16284</v>
      </c>
      <c r="B7096" s="4" t="s">
        <v>16285</v>
      </c>
      <c r="C7096" s="4" t="str">
        <f ca="1">IFERROR(__xludf.DUMMYFUNCTION("GOOGLETRANSLATE(D:D,""auto"",""en"")"),"Shanghai and other six provinces and cities experienced the warmest winter")</f>
        <v>Shanghai and other six provinces and cities experienced the warmest winter</v>
      </c>
      <c r="D7096" s="5" t="s">
        <v>16286</v>
      </c>
      <c r="E7096" s="4">
        <v>228849</v>
      </c>
    </row>
    <row r="7097" spans="1:6" ht="13.5" customHeight="1">
      <c r="A7097" s="4" t="s">
        <v>16287</v>
      </c>
      <c r="B7097" s="4" t="s">
        <v>16288</v>
      </c>
      <c r="C7097" s="4" t="str">
        <f ca="1">IFERROR(__xludf.DUMMYFUNCTION("GOOGLETRANSLATE(D:D,""auto"",""en"")"),"Italian epidemic began broadcasting a small speaker")</f>
        <v>Italian epidemic began broadcasting a small speaker</v>
      </c>
      <c r="D7097" s="5" t="s">
        <v>16289</v>
      </c>
      <c r="E7097" s="4">
        <v>228474</v>
      </c>
      <c r="F7097">
        <v>1</v>
      </c>
    </row>
    <row r="7098" spans="1:6" ht="13.5" hidden="1" customHeight="1">
      <c r="A7098" s="4" t="s">
        <v>16290</v>
      </c>
      <c r="B7098" s="4" t="s">
        <v>16291</v>
      </c>
      <c r="C7098" s="4" t="str">
        <f ca="1">IFERROR(__xludf.DUMMYFUNCTION("GOOGLETRANSLATE(D:D,""auto"",""en"")"),"The difference between me and the other girls")</f>
        <v>The difference between me and the other girls</v>
      </c>
      <c r="D7098" s="5" t="s">
        <v>16292</v>
      </c>
      <c r="E7098" s="4">
        <v>223971</v>
      </c>
    </row>
    <row r="7099" spans="1:6" ht="13.5" hidden="1" customHeight="1">
      <c r="A7099" s="4" t="s">
        <v>16293</v>
      </c>
      <c r="B7099" s="4" t="s">
        <v>16294</v>
      </c>
      <c r="C7099" s="4" t="str">
        <f ca="1">IFERROR(__xludf.DUMMYFUNCTION("GOOGLETRANSLATE(D:D,""auto"",""en"")"),"King of glory Andrews iOS exchange")</f>
        <v>King of glory Andrews iOS exchange</v>
      </c>
      <c r="D7099" s="5" t="s">
        <v>16295</v>
      </c>
      <c r="E7099" s="4">
        <v>218498</v>
      </c>
    </row>
    <row r="7100" spans="1:6" ht="13.5" hidden="1" customHeight="1">
      <c r="A7100" s="4" t="s">
        <v>12063</v>
      </c>
      <c r="B7100" s="4" t="s">
        <v>12051</v>
      </c>
      <c r="C7100" s="4" t="str">
        <f ca="1">IFERROR(__xludf.DUMMYFUNCTION("GOOGLETRANSLATE(D:D,""auto"",""en"")"),"settle down")</f>
        <v>settle down</v>
      </c>
      <c r="D7100" s="5" t="s">
        <v>12064</v>
      </c>
      <c r="E7100" s="4">
        <v>215135</v>
      </c>
    </row>
    <row r="7101" spans="1:6" ht="13.5" hidden="1" customHeight="1">
      <c r="A7101" s="4" t="s">
        <v>16296</v>
      </c>
      <c r="B7101" s="4" t="s">
        <v>16297</v>
      </c>
      <c r="C7101" s="4" t="str">
        <f ca="1">IFERROR(__xludf.DUMMYFUNCTION("GOOGLETRANSLATE(D:D,""auto"",""en"")"),"Boxer refused to apologize for the beating Jay Park")</f>
        <v>Boxer refused to apologize for the beating Jay Park</v>
      </c>
      <c r="D7101" s="5" t="s">
        <v>16298</v>
      </c>
      <c r="E7101" s="4">
        <v>207403</v>
      </c>
    </row>
    <row r="7102" spans="1:6" ht="13.5" hidden="1" customHeight="1">
      <c r="A7102" s="4" t="s">
        <v>16299</v>
      </c>
      <c r="B7102" s="4" t="s">
        <v>16300</v>
      </c>
      <c r="C7102" s="4" t="str">
        <f ca="1">IFERROR(__xludf.DUMMYFUNCTION("GOOGLETRANSLATE(D:D,""auto"",""en"")"),"Peak load shifting up")</f>
        <v>Peak load shifting up</v>
      </c>
      <c r="D7102" s="5" t="s">
        <v>16301</v>
      </c>
      <c r="E7102" s="4">
        <v>179937</v>
      </c>
    </row>
    <row r="7103" spans="1:6" ht="13.5" hidden="1" customHeight="1">
      <c r="A7103" s="4" t="s">
        <v>16302</v>
      </c>
      <c r="B7103" s="4" t="s">
        <v>16303</v>
      </c>
      <c r="C7103" s="4" t="str">
        <f ca="1">IFERROR(__xludf.DUMMYFUNCTION("GOOGLETRANSLATE(D:D,""auto"",""en"")"),"Aaron Fahrenheit in private will not be contacted")</f>
        <v>Aaron Fahrenheit in private will not be contacted</v>
      </c>
      <c r="D7103" s="5" t="s">
        <v>16304</v>
      </c>
      <c r="E7103" s="4">
        <v>169396</v>
      </c>
    </row>
    <row r="7104" spans="1:6" ht="13.5" hidden="1" customHeight="1">
      <c r="A7104" s="4" t="s">
        <v>16274</v>
      </c>
      <c r="B7104" s="4" t="s">
        <v>16305</v>
      </c>
      <c r="C7104" s="4" t="str">
        <f ca="1">IFERROR(__xludf.DUMMYFUNCTION("GOOGLETRANSLATE(D:D,""auto"",""en"")"),"Year commitment package housework Jiang Haojun")</f>
        <v>Year commitment package housework Jiang Haojun</v>
      </c>
      <c r="D7104" s="5" t="s">
        <v>16306</v>
      </c>
      <c r="E7104" s="4">
        <v>152169</v>
      </c>
    </row>
    <row r="7105" spans="1:6" ht="13.5" customHeight="1">
      <c r="A7105" s="4" t="s">
        <v>16307</v>
      </c>
      <c r="B7105" s="4" t="s">
        <v>16308</v>
      </c>
      <c r="C7105" s="4" t="str">
        <f ca="1">IFERROR(__xludf.DUMMYFUNCTION("GOOGLETRANSLATE(D:D,""auto"",""en"")"),"Nail responded collapse")</f>
        <v>Nail responded collapse</v>
      </c>
      <c r="D7105" s="5" t="s">
        <v>16309</v>
      </c>
      <c r="E7105" s="4">
        <v>133489</v>
      </c>
      <c r="F7105">
        <v>1</v>
      </c>
    </row>
    <row r="7106" spans="1:6" ht="13.5" hidden="1" customHeight="1">
      <c r="A7106" s="4" t="s">
        <v>16310</v>
      </c>
      <c r="B7106" s="4" t="s">
        <v>16311</v>
      </c>
      <c r="C7106" s="4" t="str">
        <f ca="1">IFERROR(__xludf.DUMMYFUNCTION("GOOGLETRANSLATE(D:D,""auto"",""en"")"),"Quanzhou collapsed hotel list of victims")</f>
        <v>Quanzhou collapsed hotel list of victims</v>
      </c>
      <c r="D7106" s="5" t="s">
        <v>16312</v>
      </c>
      <c r="E7106" s="4">
        <v>130016</v>
      </c>
    </row>
    <row r="7107" spans="1:6" ht="13.5" hidden="1" customHeight="1">
      <c r="A7107" s="4" t="s">
        <v>16313</v>
      </c>
      <c r="B7107" s="4" t="s">
        <v>16314</v>
      </c>
      <c r="C7107" s="4" t="str">
        <f ca="1">IFERROR(__xludf.DUMMYFUNCTION("GOOGLETRANSLATE(D:D,""auto"",""en"")"),"Homemade cloud Duoshufulei")</f>
        <v>Homemade cloud Duoshufulei</v>
      </c>
      <c r="D7107" s="5" t="s">
        <v>16315</v>
      </c>
      <c r="E7107" s="4">
        <v>127052</v>
      </c>
    </row>
    <row r="7108" spans="1:6" ht="13.5" hidden="1" customHeight="1">
      <c r="A7108" s="4" t="s">
        <v>16316</v>
      </c>
      <c r="B7108" s="4" t="s">
        <v>16317</v>
      </c>
      <c r="C7108" s="4" t="str">
        <f ca="1">IFERROR(__xludf.DUMMYFUNCTION("GOOGLETRANSLATE(D:D,""auto"",""en"")"),"Bing Gege fireworks show")</f>
        <v>Bing Gege fireworks show</v>
      </c>
      <c r="D7108" s="5" t="s">
        <v>16318</v>
      </c>
      <c r="E7108" s="4">
        <v>107218</v>
      </c>
    </row>
    <row r="7109" spans="1:6" ht="13.5" customHeight="1">
      <c r="A7109" s="4" t="s">
        <v>16319</v>
      </c>
      <c r="B7109" s="4" t="s">
        <v>16320</v>
      </c>
      <c r="C7109" s="4" t="str">
        <f ca="1">IFERROR(__xludf.DUMMYFUNCTION("GOOGLETRANSLATE(D:D,""auto"",""en"")"),"Epidemic did not cause a lot of returning to poverty due to the cause of the epidemic")</f>
        <v>Epidemic did not cause a lot of returning to poverty due to the cause of the epidemic</v>
      </c>
      <c r="D7109" s="5" t="s">
        <v>16321</v>
      </c>
      <c r="E7109" s="4">
        <v>97897</v>
      </c>
      <c r="F7109">
        <v>1</v>
      </c>
    </row>
    <row r="7110" spans="1:6" ht="13.5" hidden="1" customHeight="1">
      <c r="C7110" s="4" t="str">
        <f ca="1">IFERROR(__xludf.DUMMYFUNCTION("GOOGLETRANSLATE(D:D,""auto"",""en"")"),"#VALUE!")</f>
        <v>#VALUE!</v>
      </c>
    </row>
    <row r="7111" spans="1:6" ht="13.5" hidden="1" customHeight="1">
      <c r="A7111" s="4" t="s">
        <v>16322</v>
      </c>
      <c r="B7111" s="4" t="s">
        <v>16323</v>
      </c>
      <c r="C7111" s="4" t="str">
        <f ca="1">IFERROR(__xludf.DUMMYFUNCTION("GOOGLETRANSLATE(D:D,""auto"",""en"")"),"Muya said Lan recommended products won the Nobel Prize makeup")</f>
        <v>Muya said Lan recommended products won the Nobel Prize makeup</v>
      </c>
      <c r="D7111" s="4" t="s">
        <v>16324</v>
      </c>
      <c r="E7111" s="4">
        <v>3851257</v>
      </c>
    </row>
    <row r="7112" spans="1:6" ht="13.5" hidden="1" customHeight="1">
      <c r="A7112" s="4" t="s">
        <v>16325</v>
      </c>
      <c r="B7112" s="4" t="s">
        <v>16326</v>
      </c>
      <c r="C7112" s="4" t="str">
        <f ca="1">IFERROR(__xludf.DUMMYFUNCTION("GOOGLETRANSLATE(D:D,""auto"",""en"")"),"Iran called for a reduction host kneel out")</f>
        <v>Iran called for a reduction host kneel out</v>
      </c>
      <c r="D7112" s="5" t="s">
        <v>16327</v>
      </c>
      <c r="E7112" s="4">
        <v>2744747</v>
      </c>
    </row>
    <row r="7113" spans="1:6" ht="13.5" customHeight="1">
      <c r="A7113" s="4" t="s">
        <v>16328</v>
      </c>
      <c r="B7113" s="4" t="s">
        <v>16219</v>
      </c>
      <c r="C7113" s="4" t="str">
        <f ca="1">IFERROR(__xludf.DUMMYFUNCTION("GOOGLETRANSLATE(D:D,""auto"",""en"")"),"Hubei Qianjiang Cancellation Notice No. 26")</f>
        <v>Hubei Qianjiang Cancellation Notice No. 26</v>
      </c>
      <c r="D7113" s="5" t="s">
        <v>16329</v>
      </c>
      <c r="E7113" s="4">
        <v>2629184</v>
      </c>
      <c r="F7113">
        <v>1</v>
      </c>
    </row>
    <row r="7114" spans="1:6" ht="13.5" hidden="1" customHeight="1">
      <c r="A7114" s="4" t="s">
        <v>16330</v>
      </c>
      <c r="B7114" s="4" t="s">
        <v>16331</v>
      </c>
      <c r="C7114" s="4" t="str">
        <f ca="1">IFERROR(__xludf.DUMMYFUNCTION("GOOGLETRANSLATE(D:D,""auto"",""en"")"),"Gong Yoo Tang Wei cooperation")</f>
        <v>Gong Yoo Tang Wei cooperation</v>
      </c>
      <c r="D7114" s="5" t="s">
        <v>16332</v>
      </c>
      <c r="E7114" s="4">
        <v>2625661</v>
      </c>
    </row>
    <row r="7115" spans="1:6" ht="13.5" hidden="1" customHeight="1">
      <c r="A7115" s="4" t="s">
        <v>16333</v>
      </c>
      <c r="B7115" s="4" t="s">
        <v>16334</v>
      </c>
      <c r="C7115" s="4" t="str">
        <f ca="1">IFERROR(__xludf.DUMMYFUNCTION("GOOGLETRANSLATE(D:D,""auto"",""en"")"),"Mom and Dad hit his car alarm daughter a car")</f>
        <v>Mom and Dad hit his car alarm daughter a car</v>
      </c>
      <c r="D7115" s="5" t="s">
        <v>16335</v>
      </c>
      <c r="E7115" s="4">
        <v>2443023</v>
      </c>
    </row>
    <row r="7116" spans="1:6" ht="13.5" hidden="1" customHeight="1">
      <c r="A7116" s="4" t="s">
        <v>16336</v>
      </c>
      <c r="B7116" s="4" t="s">
        <v>16337</v>
      </c>
      <c r="C7116" s="4" t="str">
        <f ca="1">IFERROR(__xludf.DUMMYFUNCTION("GOOGLETRANSLATE(D:D,""auto"",""en"")"),"Camp officials declared the creation of 2020")</f>
        <v>Camp officials declared the creation of 2020</v>
      </c>
      <c r="D7116" s="5" t="s">
        <v>16338</v>
      </c>
      <c r="E7116" s="4">
        <v>1950447</v>
      </c>
    </row>
    <row r="7117" spans="1:6" ht="13.5" hidden="1" customHeight="1">
      <c r="A7117" s="4" t="s">
        <v>16339</v>
      </c>
      <c r="B7117" s="4" t="s">
        <v>16340</v>
      </c>
      <c r="C7117" s="4" t="str">
        <f ca="1">IFERROR(__xludf.DUMMYFUNCTION("GOOGLETRANSLATE(D:D,""auto"",""en"")"),"Italy Emergency China")</f>
        <v>Italy Emergency China</v>
      </c>
      <c r="D7117" s="5" t="s">
        <v>16341</v>
      </c>
      <c r="E7117" s="4">
        <v>1418587</v>
      </c>
    </row>
    <row r="7118" spans="1:6" ht="13.5" hidden="1" customHeight="1">
      <c r="A7118" s="4" t="s">
        <v>16342</v>
      </c>
      <c r="B7118" s="4" t="s">
        <v>16343</v>
      </c>
      <c r="C7118" s="4" t="str">
        <f ca="1">IFERROR(__xludf.DUMMYFUNCTION("GOOGLETRANSLATE(D:D,""auto"",""en"")"),"Japan reiterated that the Olympic Games scheduled to be held")</f>
        <v>Japan reiterated that the Olympic Games scheduled to be held</v>
      </c>
      <c r="D7118" s="5" t="s">
        <v>16344</v>
      </c>
      <c r="E7118" s="4">
        <v>1110128</v>
      </c>
    </row>
    <row r="7119" spans="1:6" ht="13.5" customHeight="1">
      <c r="A7119" s="4" t="s">
        <v>16345</v>
      </c>
      <c r="B7119" s="4" t="s">
        <v>16243</v>
      </c>
      <c r="C7119" s="4" t="str">
        <f ca="1">IFERROR(__xludf.DUMMYFUNCTION("GOOGLETRANSLATE(D:D,""auto"",""en"")"),"China's recent downward trend in the number of confirmed cases significantly")</f>
        <v>China's recent downward trend in the number of confirmed cases significantly</v>
      </c>
      <c r="D7119" s="5" t="s">
        <v>16346</v>
      </c>
      <c r="E7119" s="4">
        <v>840276</v>
      </c>
      <c r="F7119">
        <v>1</v>
      </c>
    </row>
    <row r="7120" spans="1:6" ht="13.5" hidden="1" customHeight="1">
      <c r="A7120" s="4" t="s">
        <v>16347</v>
      </c>
      <c r="B7120" s="4" t="s">
        <v>16348</v>
      </c>
      <c r="C7120" s="4" t="str">
        <f ca="1">IFERROR(__xludf.DUMMYFUNCTION("GOOGLETRANSLATE(D:D,""auto"",""en"")"),"Liu Zhen husband and then issued")</f>
        <v>Liu Zhen husband and then issued</v>
      </c>
      <c r="D7120" s="5" t="s">
        <v>16349</v>
      </c>
      <c r="E7120" s="4">
        <v>808689</v>
      </c>
    </row>
    <row r="7121" spans="1:6" ht="13.5" customHeight="1">
      <c r="A7121" s="4" t="s">
        <v>16350</v>
      </c>
      <c r="B7121" s="4" t="s">
        <v>16269</v>
      </c>
      <c r="C7121" s="4" t="str">
        <f ca="1">IFERROR(__xludf.DUMMYFUNCTION("GOOGLETRANSLATE(D:D,""auto"",""en"")"),"91% of French people under the epidemic continued kissing row")</f>
        <v>91% of French people under the epidemic continued kissing row</v>
      </c>
      <c r="D7121" s="5" t="s">
        <v>16351</v>
      </c>
      <c r="E7121" s="4">
        <v>725344</v>
      </c>
      <c r="F7121">
        <v>1</v>
      </c>
    </row>
    <row r="7122" spans="1:6" ht="13.5" hidden="1" customHeight="1">
      <c r="A7122" s="4" t="s">
        <v>16352</v>
      </c>
      <c r="B7122" s="4" t="s">
        <v>16353</v>
      </c>
      <c r="C7122" s="4" t="str">
        <f ca="1">IFERROR(__xludf.DUMMYFUNCTION("GOOGLETRANSLATE(D:D,""auto"",""en"")"),"Korean officials suggested to send 1 million won per person")</f>
        <v>Korean officials suggested to send 1 million won per person</v>
      </c>
      <c r="D7122" s="5" t="s">
        <v>16354</v>
      </c>
      <c r="E7122" s="4">
        <v>636183</v>
      </c>
    </row>
    <row r="7123" spans="1:6" ht="13.5" customHeight="1">
      <c r="A7123" s="4" t="s">
        <v>16355</v>
      </c>
      <c r="B7123" s="4" t="s">
        <v>16356</v>
      </c>
      <c r="C7123" s="4" t="str">
        <f ca="1">IFERROR(__xludf.DUMMYFUNCTION("GOOGLETRANSLATE(D:D,""auto"",""en"")"),"Wuhan new cases of pneumonia, 13 cases of the new crown")</f>
        <v>Wuhan new cases of pneumonia, 13 cases of the new crown</v>
      </c>
      <c r="D7123" s="5" t="s">
        <v>16357</v>
      </c>
      <c r="E7123" s="4">
        <v>631188</v>
      </c>
      <c r="F7123">
        <v>1</v>
      </c>
    </row>
    <row r="7124" spans="1:6" ht="13.5" customHeight="1">
      <c r="A7124" s="4" t="s">
        <v>16358</v>
      </c>
      <c r="B7124" s="4" t="s">
        <v>16359</v>
      </c>
      <c r="C7124" s="4" t="str">
        <f ca="1">IFERROR(__xludf.DUMMYFUNCTION("GOOGLETRANSLATE(D:D,""auto"",""en"")"),"College graduates in Shanxi school ready by early April")</f>
        <v>College graduates in Shanxi school ready by early April</v>
      </c>
      <c r="D7124" s="5" t="s">
        <v>16360</v>
      </c>
      <c r="E7124" s="4">
        <v>572293</v>
      </c>
      <c r="F7124">
        <v>1</v>
      </c>
    </row>
    <row r="7125" spans="1:6" ht="13.5" customHeight="1">
      <c r="A7125" s="4" t="s">
        <v>16361</v>
      </c>
      <c r="B7125" s="4" t="s">
        <v>16362</v>
      </c>
      <c r="C7125" s="4" t="str">
        <f ca="1">IFERROR(__xludf.DUMMYFUNCTION("GOOGLETRANSLATE(D:D,""auto"",""en"")"),"Jiangsu Power intends to require that television advertising must be closed")</f>
        <v>Jiangsu Power intends to require that television advertising must be closed</v>
      </c>
      <c r="D7125" s="5" t="s">
        <v>16363</v>
      </c>
      <c r="E7125" s="4">
        <v>571849</v>
      </c>
      <c r="F7125">
        <v>1</v>
      </c>
    </row>
    <row r="7126" spans="1:6" ht="13.5" hidden="1" customHeight="1">
      <c r="A7126" s="4" t="s">
        <v>16364</v>
      </c>
      <c r="B7126" s="4" t="s">
        <v>16365</v>
      </c>
      <c r="C7126" s="4" t="str">
        <f ca="1">IFERROR(__xludf.DUMMYFUNCTION("GOOGLETRANSLATE(D:D,""auto"",""en"")"),"Calvin Jiro Wu Chun Interactive")</f>
        <v>Calvin Jiro Wu Chun Interactive</v>
      </c>
      <c r="D7126" s="5" t="s">
        <v>16366</v>
      </c>
      <c r="E7126" s="4">
        <v>571748</v>
      </c>
    </row>
    <row r="7127" spans="1:6" ht="13.5" hidden="1" customHeight="1">
      <c r="A7127" s="4" t="s">
        <v>16367</v>
      </c>
      <c r="B7127" s="4" t="s">
        <v>16368</v>
      </c>
      <c r="C7127" s="4" t="str">
        <f ca="1">IFERROR(__xludf.DUMMYFUNCTION("GOOGLETRANSLATE(D:D,""auto"",""en"")"),"Elva might as well be able to celebrate together")</f>
        <v>Elva might as well be able to celebrate together</v>
      </c>
      <c r="D7127" s="5" t="s">
        <v>16369</v>
      </c>
      <c r="E7127" s="4">
        <v>571297</v>
      </c>
    </row>
    <row r="7128" spans="1:6" ht="13.5" hidden="1" customHeight="1">
      <c r="A7128" s="4" t="s">
        <v>16370</v>
      </c>
      <c r="B7128" s="4" t="s">
        <v>16371</v>
      </c>
      <c r="C7128" s="4" t="str">
        <f ca="1">IFERROR(__xludf.DUMMYFUNCTION("GOOGLETRANSLATE(D:D,""auto"",""en"")"),"Chinese owners want to sue collectively Tesla")</f>
        <v>Chinese owners want to sue collectively Tesla</v>
      </c>
      <c r="D7128" s="5" t="s">
        <v>16372</v>
      </c>
      <c r="E7128" s="4">
        <v>570558</v>
      </c>
    </row>
    <row r="7129" spans="1:6" ht="13.5" hidden="1" customHeight="1">
      <c r="A7129" s="4" t="s">
        <v>16333</v>
      </c>
      <c r="B7129" s="4" t="s">
        <v>16373</v>
      </c>
      <c r="C7129" s="4" t="str">
        <f ca="1">IFERROR(__xludf.DUMMYFUNCTION("GOOGLETRANSLATE(D:D,""auto"",""en"")"),"Genesis 3 students report")</f>
        <v>Genesis 3 students report</v>
      </c>
      <c r="D7129" s="5" t="s">
        <v>16374</v>
      </c>
      <c r="E7129" s="4">
        <v>570295</v>
      </c>
    </row>
    <row r="7130" spans="1:6" ht="13.5" hidden="1" customHeight="1">
      <c r="A7130" s="4" t="s">
        <v>16342</v>
      </c>
      <c r="B7130" s="4" t="s">
        <v>16375</v>
      </c>
      <c r="C7130" s="4" t="str">
        <f ca="1">IFERROR(__xludf.DUMMYFUNCTION("GOOGLETRANSLATE(D:D,""auto"",""en"")"),"BIGBANG contract with YG")</f>
        <v>BIGBANG contract with YG</v>
      </c>
      <c r="D7130" s="5" t="s">
        <v>16376</v>
      </c>
      <c r="E7130" s="4">
        <v>569556</v>
      </c>
    </row>
    <row r="7131" spans="1:6" ht="13.5" hidden="1" customHeight="1">
      <c r="A7131" s="4" t="s">
        <v>16377</v>
      </c>
      <c r="B7131" s="4" t="s">
        <v>16249</v>
      </c>
      <c r="C7131" s="4" t="str">
        <f ca="1">IFERROR(__xludf.DUMMYFUNCTION("GOOGLETRANSLATE(D:D,""auto"",""en"")"),"Black Widow Scarlett makeup")</f>
        <v>Black Widow Scarlett makeup</v>
      </c>
      <c r="D7131" s="5" t="s">
        <v>16378</v>
      </c>
      <c r="E7131" s="4">
        <v>569139</v>
      </c>
    </row>
    <row r="7132" spans="1:6" ht="13.5" hidden="1" customHeight="1">
      <c r="A7132" s="4" t="s">
        <v>16350</v>
      </c>
      <c r="B7132" s="4" t="s">
        <v>16379</v>
      </c>
      <c r="C7132" s="4" t="str">
        <f ca="1">IFERROR(__xludf.DUMMYFUNCTION("GOOGLETRANSLATE(D:D,""auto"",""en"")"),"Cry I put on my cat mask notice")</f>
        <v>Cry I put on my cat mask notice</v>
      </c>
      <c r="D7132" s="5" t="s">
        <v>16380</v>
      </c>
      <c r="E7132" s="4">
        <v>569000</v>
      </c>
    </row>
    <row r="7133" spans="1:6" ht="13.5" hidden="1" customHeight="1">
      <c r="A7133" s="4" t="s">
        <v>14601</v>
      </c>
      <c r="B7133" s="4" t="s">
        <v>14634</v>
      </c>
      <c r="C7133" s="4" t="str">
        <f ca="1">IFERROR(__xludf.DUMMYFUNCTION("GOOGLETRANSLATE(D:D,""auto"",""en"")"),"Italy ICU internal screen")</f>
        <v>Italy ICU internal screen</v>
      </c>
      <c r="D7133" s="5" t="s">
        <v>16381</v>
      </c>
      <c r="E7133" s="4">
        <v>543473</v>
      </c>
    </row>
    <row r="7134" spans="1:6" ht="13.5" customHeight="1">
      <c r="A7134" s="4" t="s">
        <v>16382</v>
      </c>
      <c r="B7134" s="4" t="s">
        <v>16274</v>
      </c>
      <c r="C7134" s="4" t="str">
        <f ca="1">IFERROR(__xludf.DUMMYFUNCTION("GOOGLETRANSLATE(D:D,""auto"",""en"")"),"Indian street new burn crown virus monster statue")</f>
        <v>Indian street new burn crown virus monster statue</v>
      </c>
      <c r="D7134" s="5" t="s">
        <v>16383</v>
      </c>
      <c r="E7134" s="4">
        <v>526131</v>
      </c>
      <c r="F7134">
        <v>1</v>
      </c>
    </row>
    <row r="7135" spans="1:6" ht="13.5" customHeight="1">
      <c r="A7135" s="4" t="s">
        <v>16358</v>
      </c>
      <c r="B7135" s="4" t="s">
        <v>16384</v>
      </c>
      <c r="C7135" s="4" t="str">
        <f ca="1">IFERROR(__xludf.DUMMYFUNCTION("GOOGLETRANSLATE(D:D,""auto"",""en"")"),"Mba Peixin Guan pneumonia test is negative")</f>
        <v>Mba Peixin Guan pneumonia test is negative</v>
      </c>
      <c r="D7135" s="5" t="s">
        <v>16385</v>
      </c>
      <c r="E7135" s="4">
        <v>510415</v>
      </c>
      <c r="F7135">
        <v>1</v>
      </c>
    </row>
    <row r="7136" spans="1:6" ht="13.5" hidden="1" customHeight="1">
      <c r="A7136" s="4" t="s">
        <v>16386</v>
      </c>
      <c r="B7136" s="4" t="s">
        <v>16365</v>
      </c>
      <c r="C7136" s="4" t="str">
        <f ca="1">IFERROR(__xludf.DUMMYFUNCTION("GOOGLETRANSLATE(D:D,""auto"",""en"")"),"Xu Guanghan a large seaside")</f>
        <v>Xu Guanghan a large seaside</v>
      </c>
      <c r="D7136" s="5" t="s">
        <v>16387</v>
      </c>
      <c r="E7136" s="4">
        <v>509046</v>
      </c>
    </row>
    <row r="7137" spans="1:6" ht="13.5" customHeight="1">
      <c r="A7137" s="4" t="s">
        <v>14601</v>
      </c>
      <c r="B7137" s="4" t="s">
        <v>16388</v>
      </c>
      <c r="C7137" s="4" t="str">
        <f ca="1">IFERROR(__xludf.DUMMYFUNCTION("GOOGLETRANSLATE(D:D,""auto"",""en"")"),"Brigitte handwritten letters tribute fight against SARS hero")</f>
        <v>Brigitte handwritten letters tribute fight against SARS hero</v>
      </c>
      <c r="D7137" s="5" t="s">
        <v>16389</v>
      </c>
      <c r="E7137" s="4">
        <v>494150</v>
      </c>
      <c r="F7137">
        <v>1</v>
      </c>
    </row>
    <row r="7138" spans="1:6" ht="13.5" hidden="1" customHeight="1">
      <c r="A7138" s="4" t="s">
        <v>14601</v>
      </c>
      <c r="B7138" s="4" t="s">
        <v>14597</v>
      </c>
      <c r="C7138" s="4" t="str">
        <f ca="1">IFERROR(__xludf.DUMMYFUNCTION("GOOGLETRANSLATE(D:D,""auto"",""en"")"),"Master mood")</f>
        <v>Master mood</v>
      </c>
      <c r="D7138" s="5" t="s">
        <v>14602</v>
      </c>
      <c r="E7138" s="4">
        <v>472103</v>
      </c>
    </row>
    <row r="7139" spans="1:6" ht="13.5" hidden="1" customHeight="1">
      <c r="A7139" s="4" t="s">
        <v>16382</v>
      </c>
      <c r="B7139" s="4" t="s">
        <v>16390</v>
      </c>
      <c r="C7139" s="4" t="str">
        <f ca="1">IFERROR(__xludf.DUMMYFUNCTION("GOOGLETRANSLATE(D:D,""auto"",""en"")"),"90-year-old mother to accompany the 4 days and 4 nights sons death")</f>
        <v>90-year-old mother to accompany the 4 days and 4 nights sons death</v>
      </c>
      <c r="D7139" s="5" t="s">
        <v>16391</v>
      </c>
      <c r="E7139" s="4">
        <v>441163</v>
      </c>
    </row>
    <row r="7140" spans="1:6" ht="13.5" hidden="1" customHeight="1">
      <c r="A7140" s="4" t="s">
        <v>16392</v>
      </c>
      <c r="B7140" s="4" t="s">
        <v>16393</v>
      </c>
      <c r="C7140" s="4" t="str">
        <f ca="1">IFERROR(__xludf.DUMMYFUNCTION("GOOGLETRANSLATE(D:D,""auto"",""en"")"),"Kenya white giraffe mother and son are killed")</f>
        <v>Kenya white giraffe mother and son are killed</v>
      </c>
      <c r="D7140" s="5" t="s">
        <v>16394</v>
      </c>
      <c r="E7140" s="4">
        <v>430727</v>
      </c>
    </row>
    <row r="7141" spans="1:6" ht="13.5" hidden="1" customHeight="1">
      <c r="A7141" s="4" t="s">
        <v>14601</v>
      </c>
      <c r="B7141" s="4" t="s">
        <v>16393</v>
      </c>
      <c r="C7141" s="4" t="str">
        <f ca="1">IFERROR(__xludf.DUMMYFUNCTION("GOOGLETRANSLATE(D:D,""auto"",""en"")"),"VOGUE")</f>
        <v>VOGUE</v>
      </c>
      <c r="D7141" s="5" t="s">
        <v>16395</v>
      </c>
      <c r="E7141" s="4">
        <v>427088</v>
      </c>
    </row>
    <row r="7142" spans="1:6" ht="13.5" customHeight="1">
      <c r="A7142" s="4" t="s">
        <v>16396</v>
      </c>
      <c r="B7142" s="4" t="s">
        <v>16397</v>
      </c>
      <c r="C7142" s="4" t="str">
        <f ca="1">IFERROR(__xludf.DUMMYFUNCTION("GOOGLETRANSLATE(D:D,""auto"",""en"")"),"Enter the United States for the first time confirmed cases")</f>
        <v>Enter the United States for the first time confirmed cases</v>
      </c>
      <c r="D7142" s="5" t="s">
        <v>16398</v>
      </c>
      <c r="E7142" s="4">
        <v>419255</v>
      </c>
      <c r="F7142">
        <v>1</v>
      </c>
    </row>
    <row r="7143" spans="1:6" ht="13.5" customHeight="1">
      <c r="A7143" s="4" t="s">
        <v>16399</v>
      </c>
      <c r="B7143" s="4" t="s">
        <v>16228</v>
      </c>
      <c r="C7143" s="4" t="str">
        <f ca="1">IFERROR(__xludf.DUMMYFUNCTION("GOOGLETRANSLATE(D:D,""auto"",""en"")"),"4 new provinces and cities outside the 10 cases of imported cases")</f>
        <v>4 new provinces and cities outside the 10 cases of imported cases</v>
      </c>
      <c r="D7143" s="5" t="s">
        <v>16400</v>
      </c>
      <c r="E7143" s="4">
        <v>396063</v>
      </c>
      <c r="F7143">
        <v>1</v>
      </c>
    </row>
    <row r="7144" spans="1:6" ht="13.5" customHeight="1">
      <c r="A7144" s="4" t="s">
        <v>16401</v>
      </c>
      <c r="B7144" s="4" t="s">
        <v>16088</v>
      </c>
      <c r="C7144" s="4" t="str">
        <f ca="1">IFERROR(__xludf.DUMMYFUNCTION("GOOGLETRANSLATE(D:D,""auto"",""en"")"),"The number of cases diagnosed outside of China break 30000")</f>
        <v>The number of cases diagnosed outside of China break 30000</v>
      </c>
      <c r="D7144" s="5" t="s">
        <v>16402</v>
      </c>
      <c r="E7144" s="4">
        <v>390020</v>
      </c>
      <c r="F7144">
        <v>1</v>
      </c>
    </row>
    <row r="7145" spans="1:6" ht="13.5" hidden="1" customHeight="1">
      <c r="A7145" s="4" t="s">
        <v>16355</v>
      </c>
      <c r="B7145" s="4" t="s">
        <v>16337</v>
      </c>
      <c r="C7145" s="4" t="str">
        <f ca="1">IFERROR(__xludf.DUMMYFUNCTION("GOOGLETRANSLATE(D:D,""auto"",""en"")"),"Hugh cabin that day finally see your face")</f>
        <v>Hugh cabin that day finally see your face</v>
      </c>
      <c r="D7145" s="5" t="s">
        <v>16403</v>
      </c>
      <c r="E7145" s="4">
        <v>388869</v>
      </c>
    </row>
    <row r="7146" spans="1:6" ht="13.5" customHeight="1">
      <c r="A7146" s="4" t="s">
        <v>16404</v>
      </c>
      <c r="B7146" s="4" t="s">
        <v>16405</v>
      </c>
      <c r="C7146" s="4" t="str">
        <f ca="1">IFERROR(__xludf.DUMMYFUNCTION("GOOGLETRANSLATE(D:D,""auto"",""en"")"),"Korea R &amp; D two hours virus detection kit")</f>
        <v>Korea R &amp; D two hours virus detection kit</v>
      </c>
      <c r="D7146" s="5" t="s">
        <v>16406</v>
      </c>
      <c r="E7146" s="4">
        <v>382920</v>
      </c>
      <c r="F7146">
        <v>1</v>
      </c>
    </row>
    <row r="7147" spans="1:6" ht="13.5" hidden="1" customHeight="1">
      <c r="A7147" s="4" t="s">
        <v>16407</v>
      </c>
      <c r="B7147" s="4" t="s">
        <v>16405</v>
      </c>
      <c r="C7147" s="4" t="str">
        <f ca="1">IFERROR(__xludf.DUMMYFUNCTION("GOOGLETRANSLATE(D:D,""auto"",""en"")"),"Shandong's first cases appeared outside input")</f>
        <v>Shandong's first cases appeared outside input</v>
      </c>
      <c r="D7147" s="5" t="s">
        <v>16408</v>
      </c>
      <c r="E7147" s="4">
        <v>359697</v>
      </c>
    </row>
    <row r="7148" spans="1:6" ht="13.5" hidden="1" customHeight="1">
      <c r="A7148" s="4" t="s">
        <v>16409</v>
      </c>
      <c r="B7148" s="4" t="s">
        <v>16410</v>
      </c>
      <c r="C7148" s="4" t="str">
        <f ca="1">IFERROR(__xludf.DUMMYFUNCTION("GOOGLETRANSLATE(D:D,""auto"",""en"")"),"US hospital patients batch of Chinese unprofessional")</f>
        <v>US hospital patients batch of Chinese unprofessional</v>
      </c>
      <c r="D7148" s="5" t="s">
        <v>16411</v>
      </c>
      <c r="E7148" s="4">
        <v>345143</v>
      </c>
    </row>
    <row r="7149" spans="1:6" ht="13.5" customHeight="1">
      <c r="A7149" s="4" t="s">
        <v>16412</v>
      </c>
      <c r="B7149" s="4" t="s">
        <v>16413</v>
      </c>
      <c r="C7149" s="4" t="str">
        <f ca="1">IFERROR(__xludf.DUMMYFUNCTION("GOOGLETRANSLATE(D:D,""auto"",""en"")"),"Polish Armed Forces confirmed the new crown pneumonia")</f>
        <v>Polish Armed Forces confirmed the new crown pneumonia</v>
      </c>
      <c r="D7149" s="5" t="s">
        <v>16414</v>
      </c>
      <c r="E7149" s="4">
        <v>345078</v>
      </c>
      <c r="F7149">
        <v>1</v>
      </c>
    </row>
    <row r="7150" spans="1:6" ht="13.5" customHeight="1">
      <c r="A7150" s="4" t="s">
        <v>16415</v>
      </c>
      <c r="B7150" s="4" t="s">
        <v>16416</v>
      </c>
      <c r="C7150" s="4" t="str">
        <f ca="1">IFERROR(__xludf.DUMMYFUNCTION("GOOGLETRANSLATE(D:D,""auto"",""en"")"),"Fuxing Hospital has been for 21 consecutive days without new cases")</f>
        <v>Fuxing Hospital has been for 21 consecutive days without new cases</v>
      </c>
      <c r="D7150" s="5" t="s">
        <v>16417</v>
      </c>
      <c r="E7150" s="4">
        <v>342003</v>
      </c>
      <c r="F7150">
        <v>1</v>
      </c>
    </row>
    <row r="7151" spans="1:6" ht="13.5" hidden="1" customHeight="1">
      <c r="A7151" s="4" t="s">
        <v>16328</v>
      </c>
      <c r="B7151" s="4" t="s">
        <v>16418</v>
      </c>
      <c r="C7151" s="4" t="str">
        <f ca="1">IFERROR(__xludf.DUMMYFUNCTION("GOOGLETRANSLATE(D:D,""auto"",""en"")"),"Five sources of pleasure girls")</f>
        <v>Five sources of pleasure girls</v>
      </c>
      <c r="D7151" s="5" t="s">
        <v>16419</v>
      </c>
      <c r="E7151" s="4">
        <v>340379</v>
      </c>
    </row>
    <row r="7152" spans="1:6" ht="13.5" hidden="1" customHeight="1">
      <c r="A7152" s="4" t="s">
        <v>16420</v>
      </c>
      <c r="B7152" s="4" t="s">
        <v>16418</v>
      </c>
      <c r="C7152" s="4" t="str">
        <f ca="1">IFERROR(__xludf.DUMMYFUNCTION("GOOGLETRANSLATE(D:D,""auto"",""en"")"),"I am really afraid of people do not browse the thumbs up")</f>
        <v>I am really afraid of people do not browse the thumbs up</v>
      </c>
      <c r="D7152" s="5" t="s">
        <v>16421</v>
      </c>
      <c r="E7152" s="4">
        <v>339490</v>
      </c>
    </row>
    <row r="7153" spans="1:6" ht="13.5" hidden="1" customHeight="1">
      <c r="A7153" s="4" t="s">
        <v>16422</v>
      </c>
      <c r="B7153" s="4" t="s">
        <v>16423</v>
      </c>
      <c r="C7153" s="4" t="str">
        <f ca="1">IFERROR(__xludf.DUMMYFUNCTION("GOOGLETRANSLATE(D:D,""auto"",""en"")"),"Travel encountered wonderful building")</f>
        <v>Travel encountered wonderful building</v>
      </c>
      <c r="D7153" s="5" t="s">
        <v>16424</v>
      </c>
      <c r="E7153" s="4">
        <v>336046</v>
      </c>
    </row>
    <row r="7154" spans="1:6" ht="13.5" customHeight="1">
      <c r="A7154" s="4" t="s">
        <v>16425</v>
      </c>
      <c r="B7154" s="4" t="s">
        <v>16426</v>
      </c>
      <c r="C7154" s="4" t="str">
        <f ca="1">IFERROR(__xludf.DUMMYFUNCTION("GOOGLETRANSLATE(D:D,""auto"",""en"")"),"Health officials in Italy thanks or stretching of role models")</f>
        <v>Health officials in Italy thanks or stretching of role models</v>
      </c>
      <c r="D7154" s="5" t="s">
        <v>16427</v>
      </c>
      <c r="E7154" s="4">
        <v>334409</v>
      </c>
      <c r="F7154">
        <v>1</v>
      </c>
    </row>
    <row r="7155" spans="1:6" ht="13.5" hidden="1" customHeight="1">
      <c r="A7155" s="4" t="s">
        <v>16428</v>
      </c>
      <c r="B7155" s="4" t="s">
        <v>16429</v>
      </c>
      <c r="C7155" s="4" t="str">
        <f ca="1">IFERROR(__xludf.DUMMYFUNCTION("GOOGLETRANSLATE(D:D,""auto"",""en"")"),"The new entry-exit health declaration form to enable")</f>
        <v>The new entry-exit health declaration form to enable</v>
      </c>
      <c r="D7155" s="5" t="s">
        <v>16430</v>
      </c>
      <c r="E7155" s="4">
        <v>334153</v>
      </c>
    </row>
    <row r="7156" spans="1:6" ht="13.5" customHeight="1">
      <c r="A7156" s="4" t="s">
        <v>16404</v>
      </c>
      <c r="B7156" s="4" t="s">
        <v>16426</v>
      </c>
      <c r="C7156" s="4" t="str">
        <f ca="1">IFERROR(__xludf.DUMMYFUNCTION("GOOGLETRANSLATE(D:D,""auto"",""en"")"),"Iran's Islamic Revolutionary Guard Corps to build the shelter hospital")</f>
        <v>Iran's Islamic Revolutionary Guard Corps to build the shelter hospital</v>
      </c>
      <c r="D7156" s="5" t="s">
        <v>16431</v>
      </c>
      <c r="E7156" s="4">
        <v>330542</v>
      </c>
      <c r="F7156">
        <v>1</v>
      </c>
    </row>
    <row r="7157" spans="1:6" ht="13.5" hidden="1" customHeight="1">
      <c r="A7157" s="4" t="s">
        <v>16355</v>
      </c>
      <c r="B7157" s="4" t="s">
        <v>16296</v>
      </c>
      <c r="C7157" s="4" t="str">
        <f ca="1">IFERROR(__xludf.DUMMYFUNCTION("GOOGLETRANSLATE(D:D,""auto"",""en"")"),"Yen value change ten years ago and ten years later")</f>
        <v>Yen value change ten years ago and ten years later</v>
      </c>
      <c r="D7157" s="5" t="s">
        <v>16432</v>
      </c>
      <c r="E7157" s="4">
        <v>330538</v>
      </c>
    </row>
    <row r="7158" spans="1:6" ht="13.5" customHeight="1">
      <c r="A7158" s="4" t="s">
        <v>16409</v>
      </c>
      <c r="B7158" s="4" t="s">
        <v>16433</v>
      </c>
      <c r="C7158" s="4" t="str">
        <f ca="1">IFERROR(__xludf.DUMMYFUNCTION("GOOGLETRANSLATE(D:D,""auto"",""en"")"),"Daegu, South Korea after the death of former speaker confirmed")</f>
        <v>Daegu, South Korea after the death of former speaker confirmed</v>
      </c>
      <c r="D7158" s="5" t="s">
        <v>16434</v>
      </c>
      <c r="E7158" s="4">
        <v>299679</v>
      </c>
      <c r="F7158">
        <v>1</v>
      </c>
    </row>
    <row r="7159" spans="1:6" ht="13.5" hidden="1" customHeight="1">
      <c r="A7159" s="4" t="s">
        <v>16415</v>
      </c>
      <c r="B7159" s="4" t="s">
        <v>16252</v>
      </c>
      <c r="C7159" s="4" t="str">
        <f ca="1">IFERROR(__xludf.DUMMYFUNCTION("GOOGLETRANSLATE(D:D,""auto"",""en"")"),"Mountaineer encounter three adult snow leopard")</f>
        <v>Mountaineer encounter three adult snow leopard</v>
      </c>
      <c r="D7159" s="5" t="s">
        <v>16435</v>
      </c>
      <c r="E7159" s="4">
        <v>270154</v>
      </c>
    </row>
    <row r="7160" spans="1:6" ht="13.5" hidden="1" customHeight="1">
      <c r="C7160" s="4" t="str">
        <f ca="1">IFERROR(__xludf.DUMMYFUNCTION("GOOGLETRANSLATE(D:D,""auto"",""en"")"),"#VALUE!")</f>
        <v>#VALUE!</v>
      </c>
    </row>
    <row r="7161" spans="1:6" ht="13.5" hidden="1" customHeight="1">
      <c r="A7161" s="4" t="s">
        <v>16436</v>
      </c>
      <c r="B7161" s="4" t="s">
        <v>16437</v>
      </c>
      <c r="C7161" s="4" t="str">
        <f ca="1">IFERROR(__xludf.DUMMYFUNCTION("GOOGLETRANSLATE(D:D,""auto"",""en"")"),"Zhang Weili was suspended for two months compulsory medical")</f>
        <v>Zhang Weili was suspended for two months compulsory medical</v>
      </c>
      <c r="D7161" s="4" t="s">
        <v>16438</v>
      </c>
      <c r="E7161" s="4">
        <v>3769490</v>
      </c>
    </row>
    <row r="7162" spans="1:6" ht="13.5" hidden="1" customHeight="1">
      <c r="A7162" s="4" t="s">
        <v>16439</v>
      </c>
      <c r="B7162" s="4" t="s">
        <v>16440</v>
      </c>
      <c r="C7162" s="4" t="str">
        <f ca="1">IFERROR(__xludf.DUMMYFUNCTION("GOOGLETRANSLATE(D:D,""auto"",""en"")"),"The New York Times slammed on China after 20 minutes praised Italy")</f>
        <v>The New York Times slammed on China after 20 minutes praised Italy</v>
      </c>
      <c r="D7162" s="5" t="s">
        <v>16441</v>
      </c>
      <c r="E7162" s="4">
        <v>1848079</v>
      </c>
    </row>
    <row r="7163" spans="1:6" ht="13.5" customHeight="1">
      <c r="A7163" s="4" t="s">
        <v>16442</v>
      </c>
      <c r="B7163" s="4" t="s">
        <v>16443</v>
      </c>
      <c r="C7163" s="4" t="str">
        <f ca="1">IFERROR(__xludf.DUMMYFUNCTION("GOOGLETRANSLATE(D:D,""auto"",""en"")"),"Two groups of Japanese outbreak infected 81 people diagnosed")</f>
        <v>Two groups of Japanese outbreak infected 81 people diagnosed</v>
      </c>
      <c r="D7163" s="5" t="s">
        <v>16444</v>
      </c>
      <c r="E7163" s="4">
        <v>1178728</v>
      </c>
      <c r="F7163">
        <v>1</v>
      </c>
    </row>
    <row r="7164" spans="1:6" ht="13.5" hidden="1" customHeight="1">
      <c r="A7164" s="4" t="s">
        <v>16445</v>
      </c>
      <c r="B7164" s="4" t="s">
        <v>16446</v>
      </c>
      <c r="C7164" s="4" t="str">
        <f ca="1">IFERROR(__xludf.DUMMYFUNCTION("GOOGLETRANSLATE(D:D,""auto"",""en"")"),"Italian Foreign Minister thanked China for its assistance")</f>
        <v>Italian Foreign Minister thanked China for its assistance</v>
      </c>
      <c r="D7164" s="5" t="s">
        <v>16447</v>
      </c>
      <c r="E7164" s="4">
        <v>1073339</v>
      </c>
    </row>
    <row r="7165" spans="1:6" ht="13.5" hidden="1" customHeight="1">
      <c r="A7165" s="4" t="s">
        <v>16448</v>
      </c>
      <c r="B7165" s="4" t="s">
        <v>16449</v>
      </c>
      <c r="C7165" s="4" t="str">
        <f ca="1">IFERROR(__xludf.DUMMYFUNCTION("GOOGLETRANSLATE(D:D,""auto"",""en"")"),"70 hours trapped man he did not dare cry afraid strenuous")</f>
        <v>70 hours trapped man he did not dare cry afraid strenuous</v>
      </c>
      <c r="D7165" s="5" t="s">
        <v>16450</v>
      </c>
      <c r="E7165" s="4">
        <v>978776</v>
      </c>
    </row>
    <row r="7166" spans="1:6" ht="13.5" hidden="1" customHeight="1">
      <c r="A7166" s="4" t="s">
        <v>12063</v>
      </c>
      <c r="B7166" s="4" t="s">
        <v>12051</v>
      </c>
      <c r="C7166" s="4" t="str">
        <f ca="1">IFERROR(__xludf.DUMMYFUNCTION("GOOGLETRANSLATE(D:D,""auto"",""en"")"),"settle down")</f>
        <v>settle down</v>
      </c>
      <c r="D7166" s="5" t="s">
        <v>12064</v>
      </c>
      <c r="E7166" s="4">
        <v>962608</v>
      </c>
    </row>
    <row r="7167" spans="1:6" ht="13.5" hidden="1" customHeight="1">
      <c r="A7167" s="4" t="s">
        <v>16451</v>
      </c>
      <c r="B7167" s="4" t="s">
        <v>16452</v>
      </c>
      <c r="C7167" s="4" t="str">
        <f ca="1">IFERROR(__xludf.DUMMYFUNCTION("GOOGLETRANSLATE(D:D,""auto"",""en"")"),"TheShy skateboard shoes")</f>
        <v>TheShy skateboard shoes</v>
      </c>
      <c r="D7167" s="5" t="s">
        <v>16453</v>
      </c>
      <c r="E7167" s="4">
        <v>877425</v>
      </c>
    </row>
    <row r="7168" spans="1:6" ht="13.5" customHeight="1">
      <c r="A7168" s="4" t="s">
        <v>16454</v>
      </c>
      <c r="B7168" s="4" t="s">
        <v>16455</v>
      </c>
      <c r="C7168" s="4" t="str">
        <f ca="1">IFERROR(__xludf.DUMMYFUNCTION("GOOGLETRANSLATE(D:D,""auto"",""en"")"),"Zhong Nanshan full English to share China's experience")</f>
        <v>Zhong Nanshan full English to share China's experience</v>
      </c>
      <c r="D7168" s="5" t="s">
        <v>16456</v>
      </c>
      <c r="E7168" s="4">
        <v>874415</v>
      </c>
      <c r="F7168">
        <v>1</v>
      </c>
    </row>
    <row r="7169" spans="1:6" ht="13.5" hidden="1" customHeight="1">
      <c r="A7169" s="4" t="s">
        <v>16457</v>
      </c>
      <c r="B7169" s="4" t="s">
        <v>16458</v>
      </c>
      <c r="C7169" s="4" t="str">
        <f ca="1">IFERROR(__xludf.DUMMYFUNCTION("GOOGLETRANSLATE(D:D,""auto"",""en"")"),"16 companies were included in the list of poor telecommunications business")</f>
        <v>16 companies were included in the list of poor telecommunications business</v>
      </c>
      <c r="D7169" s="5" t="s">
        <v>16459</v>
      </c>
      <c r="E7169" s="4">
        <v>644312</v>
      </c>
    </row>
    <row r="7170" spans="1:6" ht="13.5" hidden="1" customHeight="1">
      <c r="A7170" s="4" t="s">
        <v>16460</v>
      </c>
      <c r="B7170" s="4" t="s">
        <v>16461</v>
      </c>
      <c r="C7170" s="4" t="str">
        <f ca="1">IFERROR(__xludf.DUMMYFUNCTION("GOOGLETRANSLATE(D:D,""auto"",""en"")"),"I can eat cookies Bear it")</f>
        <v>I can eat cookies Bear it</v>
      </c>
      <c r="D7170" s="5" t="s">
        <v>16462</v>
      </c>
      <c r="E7170" s="4">
        <v>643216</v>
      </c>
    </row>
    <row r="7171" spans="1:6" ht="13.5" hidden="1" customHeight="1">
      <c r="A7171" s="4" t="s">
        <v>16463</v>
      </c>
      <c r="B7171" s="4" t="s">
        <v>16464</v>
      </c>
      <c r="C7171" s="4" t="str">
        <f ca="1">IFERROR(__xludf.DUMMYFUNCTION("GOOGLETRANSLATE(D:D,""auto"",""en"")"),"Quanzhou, a five confirmed dead")</f>
        <v>Quanzhou, a five confirmed dead</v>
      </c>
      <c r="D7171" s="5" t="s">
        <v>16465</v>
      </c>
      <c r="E7171" s="4">
        <v>642044</v>
      </c>
    </row>
    <row r="7172" spans="1:6" ht="13.5" customHeight="1">
      <c r="A7172" s="4" t="s">
        <v>16466</v>
      </c>
      <c r="B7172" s="4" t="s">
        <v>16467</v>
      </c>
      <c r="C7172" s="4" t="str">
        <f ca="1">IFERROR(__xludf.DUMMYFUNCTION("GOOGLETRANSLATE(D:D,""auto"",""en"")"),"National new cases and cure trend comparison chart")</f>
        <v>National new cases and cure trend comparison chart</v>
      </c>
      <c r="D7172" s="5" t="s">
        <v>16468</v>
      </c>
      <c r="E7172" s="4">
        <v>640025</v>
      </c>
      <c r="F7172">
        <v>1</v>
      </c>
    </row>
    <row r="7173" spans="1:6" ht="13.5" customHeight="1">
      <c r="A7173" s="4" t="s">
        <v>16454</v>
      </c>
      <c r="B7173" s="4" t="s">
        <v>16469</v>
      </c>
      <c r="C7173" s="4" t="str">
        <f ca="1">IFERROR(__xludf.DUMMYFUNCTION("GOOGLETRANSLATE(D:D,""auto"",""en"")"),"Canada 55 million N95 masks hoard expired")</f>
        <v>Canada 55 million N95 masks hoard expired</v>
      </c>
      <c r="D7173" s="5" t="s">
        <v>16470</v>
      </c>
      <c r="E7173" s="4">
        <v>638928</v>
      </c>
      <c r="F7173">
        <v>1</v>
      </c>
    </row>
    <row r="7174" spans="1:6" ht="13.5" hidden="1" customHeight="1">
      <c r="A7174" s="4" t="s">
        <v>16471</v>
      </c>
      <c r="B7174" s="4" t="s">
        <v>16325</v>
      </c>
      <c r="C7174" s="4" t="str">
        <f ca="1">IFERROR(__xludf.DUMMYFUNCTION("GOOGLETRANSLATE(D:D,""auto"",""en"")"),"Zhengzhou Guo Weipeng")</f>
        <v>Zhengzhou Guo Weipeng</v>
      </c>
      <c r="D7174" s="5" t="s">
        <v>16472</v>
      </c>
      <c r="E7174" s="4">
        <v>638132</v>
      </c>
    </row>
    <row r="7175" spans="1:6" ht="13.5" hidden="1" customHeight="1">
      <c r="A7175" s="4" t="s">
        <v>16454</v>
      </c>
      <c r="B7175" s="4" t="s">
        <v>16473</v>
      </c>
      <c r="C7175" s="4" t="str">
        <f ca="1">IFERROR(__xludf.DUMMYFUNCTION("GOOGLETRANSLATE(D:D,""auto"",""en"")"),"First archaeological discoveries persimmon Northern Song Dynasty porcelain color")</f>
        <v>First archaeological discoveries persimmon Northern Song Dynasty porcelain color</v>
      </c>
      <c r="D7175" s="5" t="s">
        <v>16474</v>
      </c>
      <c r="E7175" s="4">
        <v>635729</v>
      </c>
    </row>
    <row r="7176" spans="1:6" ht="13.5" hidden="1" customHeight="1">
      <c r="A7176" s="4" t="s">
        <v>16475</v>
      </c>
      <c r="B7176" s="4" t="s">
        <v>16476</v>
      </c>
      <c r="C7176" s="4" t="str">
        <f ca="1">IFERROR(__xludf.DUMMYFUNCTION("GOOGLETRANSLATE(D:D,""auto"",""en"")"),"Pengguan Ying Zhang Yun")</f>
        <v>Pengguan Ying Zhang Yun</v>
      </c>
      <c r="D7176" s="5" t="s">
        <v>16477</v>
      </c>
      <c r="E7176" s="4">
        <v>634792</v>
      </c>
    </row>
    <row r="7177" spans="1:6" ht="13.5" hidden="1" customHeight="1">
      <c r="A7177" s="4" t="s">
        <v>16478</v>
      </c>
      <c r="B7177" s="4" t="s">
        <v>16479</v>
      </c>
      <c r="C7177" s="4" t="str">
        <f ca="1">IFERROR(__xludf.DUMMYFUNCTION("GOOGLETRANSLATE(D:D,""auto"",""en"")"),"Actress was photographed dressed extortion")</f>
        <v>Actress was photographed dressed extortion</v>
      </c>
      <c r="D7177" s="5" t="s">
        <v>16480</v>
      </c>
      <c r="E7177" s="4">
        <v>632694</v>
      </c>
    </row>
    <row r="7178" spans="1:6" ht="13.5" customHeight="1">
      <c r="A7178" s="4" t="s">
        <v>16481</v>
      </c>
      <c r="B7178" s="4" t="s">
        <v>16482</v>
      </c>
      <c r="C7178" s="4" t="str">
        <f ca="1">IFERROR(__xludf.DUMMYFUNCTION("GOOGLETRANSLATE(D:D,""auto"",""en"")"),"Barbecue grills return to work the whole point of this menu")</f>
        <v>Barbecue grills return to work the whole point of this menu</v>
      </c>
      <c r="D7178" s="5" t="s">
        <v>16483</v>
      </c>
      <c r="E7178" s="4">
        <v>631735</v>
      </c>
      <c r="F7178">
        <v>1</v>
      </c>
    </row>
    <row r="7179" spans="1:6" ht="13.5" customHeight="1">
      <c r="A7179" s="4" t="s">
        <v>16484</v>
      </c>
      <c r="B7179" s="4" t="s">
        <v>16479</v>
      </c>
      <c r="C7179" s="4" t="str">
        <f ca="1">IFERROR(__xludf.DUMMYFUNCTION("GOOGLETRANSLATE(D:D,""auto"",""en"")"),"Ma donated Europe 1.8 million masks")</f>
        <v>Ma donated Europe 1.8 million masks</v>
      </c>
      <c r="D7179" s="5" t="s">
        <v>16485</v>
      </c>
      <c r="E7179" s="4">
        <v>630546</v>
      </c>
      <c r="F7179">
        <v>1</v>
      </c>
    </row>
    <row r="7180" spans="1:6" ht="13.5" hidden="1" customHeight="1">
      <c r="A7180" s="4" t="s">
        <v>16486</v>
      </c>
      <c r="B7180" s="4" t="s">
        <v>16469</v>
      </c>
      <c r="C7180" s="4" t="str">
        <f ca="1">IFERROR(__xludf.DUMMYFUNCTION("GOOGLETRANSLATE(D:D,""auto"",""en"")"),"The highest degree of reduction fiction actor")</f>
        <v>The highest degree of reduction fiction actor</v>
      </c>
      <c r="D7180" s="5" t="s">
        <v>16487</v>
      </c>
      <c r="E7180" s="4">
        <v>629032</v>
      </c>
    </row>
    <row r="7181" spans="1:6" ht="13.5" hidden="1" customHeight="1">
      <c r="A7181" s="4" t="s">
        <v>16445</v>
      </c>
      <c r="B7181" s="4" t="s">
        <v>16488</v>
      </c>
      <c r="C7181" s="4" t="str">
        <f ca="1">IFERROR(__xludf.DUMMYFUNCTION("GOOGLETRANSLATE(D:D,""auto"",""en"")"),"Song Jiang distressed grandfather grandmother")</f>
        <v>Song Jiang distressed grandfather grandmother</v>
      </c>
      <c r="D7181" s="5" t="s">
        <v>16489</v>
      </c>
      <c r="E7181" s="4">
        <v>628290</v>
      </c>
    </row>
    <row r="7182" spans="1:6" ht="13.5" customHeight="1">
      <c r="A7182" s="4" t="s">
        <v>16490</v>
      </c>
      <c r="B7182" s="4" t="s">
        <v>16476</v>
      </c>
      <c r="C7182" s="4" t="str">
        <f ca="1">IFERROR(__xludf.DUMMYFUNCTION("GOOGLETRANSLATE(D:D,""auto"",""en"")"),"Wuhan, a community transport parity meat sanitation trucks")</f>
        <v>Wuhan, a community transport parity meat sanitation trucks</v>
      </c>
      <c r="D7182" s="5" t="s">
        <v>16491</v>
      </c>
      <c r="E7182" s="4">
        <v>591433</v>
      </c>
      <c r="F7182">
        <v>1</v>
      </c>
    </row>
    <row r="7183" spans="1:6" ht="13.5" hidden="1" customHeight="1">
      <c r="A7183" s="4" t="s">
        <v>16492</v>
      </c>
      <c r="B7183" s="4" t="s">
        <v>16458</v>
      </c>
      <c r="C7183" s="4" t="str">
        <f ca="1">IFERROR(__xludf.DUMMYFUNCTION("GOOGLETRANSLATE(D:D,""auto"",""en"")"),"Cigarette burned 2119 hectares of grassland jailed for 3 years")</f>
        <v>Cigarette burned 2119 hectares of grassland jailed for 3 years</v>
      </c>
      <c r="D7183" s="5" t="s">
        <v>16493</v>
      </c>
      <c r="E7183" s="4">
        <v>582021</v>
      </c>
    </row>
    <row r="7184" spans="1:6" ht="13.5" hidden="1" customHeight="1">
      <c r="A7184" s="4" t="s">
        <v>16494</v>
      </c>
      <c r="B7184" s="4" t="s">
        <v>16495</v>
      </c>
      <c r="C7184" s="4" t="str">
        <f ca="1">IFERROR(__xludf.DUMMYFUNCTION("GOOGLETRANSLATE(D:D,""auto"",""en"")"),"Live in the variety in Cuozao")</f>
        <v>Live in the variety in Cuozao</v>
      </c>
      <c r="D7184" s="5" t="s">
        <v>16496</v>
      </c>
      <c r="E7184" s="4">
        <v>561776</v>
      </c>
    </row>
    <row r="7185" spans="1:6" ht="13.5" hidden="1" customHeight="1">
      <c r="A7185" s="4" t="s">
        <v>16497</v>
      </c>
      <c r="B7185" s="4" t="s">
        <v>16498</v>
      </c>
      <c r="C7185" s="4" t="str">
        <f ca="1">IFERROR(__xludf.DUMMYFUNCTION("GOOGLETRANSLATE(D:D,""auto"",""en"")"),"Li Yuchun fans contributions scraper")</f>
        <v>Li Yuchun fans contributions scraper</v>
      </c>
      <c r="D7185" s="5" t="s">
        <v>16499</v>
      </c>
      <c r="E7185" s="4">
        <v>529095</v>
      </c>
    </row>
    <row r="7186" spans="1:6" ht="13.5" customHeight="1">
      <c r="A7186" s="4" t="s">
        <v>16500</v>
      </c>
      <c r="B7186" s="4" t="s">
        <v>16501</v>
      </c>
      <c r="C7186" s="4" t="str">
        <f ca="1">IFERROR(__xludf.DUMMYFUNCTION("GOOGLETRANSLATE(D:D,""auto"",""en"")"),"Net transfer rumors Beijing April school system")</f>
        <v>Net transfer rumors Beijing April school system</v>
      </c>
      <c r="D7186" s="5" t="s">
        <v>16502</v>
      </c>
      <c r="E7186" s="4">
        <v>506383</v>
      </c>
      <c r="F7186">
        <v>1</v>
      </c>
    </row>
    <row r="7187" spans="1:6" ht="13.5" hidden="1" customHeight="1">
      <c r="A7187" s="4" t="s">
        <v>16503</v>
      </c>
      <c r="B7187" s="4" t="s">
        <v>16455</v>
      </c>
      <c r="C7187" s="4" t="str">
        <f ca="1">IFERROR(__xludf.DUMMYFUNCTION("GOOGLETRANSLATE(D:D,""auto"",""en"")"),"As long as Bobo of Bobo taro milk tea")</f>
        <v>As long as Bobo of Bobo taro milk tea</v>
      </c>
      <c r="D7187" s="5" t="s">
        <v>16504</v>
      </c>
      <c r="E7187" s="4">
        <v>486776</v>
      </c>
    </row>
    <row r="7188" spans="1:6" ht="13.5" hidden="1" customHeight="1">
      <c r="A7188" s="4" t="s">
        <v>16505</v>
      </c>
      <c r="B7188" s="4" t="s">
        <v>16506</v>
      </c>
      <c r="C7188" s="4" t="str">
        <f ca="1">IFERROR(__xludf.DUMMYFUNCTION("GOOGLETRANSLATE(D:D,""auto"",""en"")"),"Eat a few mouthfuls of food will be tired")</f>
        <v>Eat a few mouthfuls of food will be tired</v>
      </c>
      <c r="D7188" s="5" t="s">
        <v>16507</v>
      </c>
      <c r="E7188" s="4">
        <v>459785</v>
      </c>
    </row>
    <row r="7189" spans="1:6" ht="13.5" hidden="1" customHeight="1">
      <c r="A7189" s="4" t="s">
        <v>16508</v>
      </c>
      <c r="B7189" s="4" t="s">
        <v>16345</v>
      </c>
      <c r="C7189" s="4" t="str">
        <f ca="1">IFERROR(__xludf.DUMMYFUNCTION("GOOGLETRANSLATE(D:D,""auto"",""en"")"),"2020 graduate of the latest employment policy")</f>
        <v>2020 graduate of the latest employment policy</v>
      </c>
      <c r="D7189" s="5" t="s">
        <v>16509</v>
      </c>
      <c r="E7189" s="4">
        <v>435241</v>
      </c>
    </row>
    <row r="7190" spans="1:6" ht="13.5" customHeight="1">
      <c r="A7190" s="4" t="s">
        <v>16510</v>
      </c>
      <c r="B7190" s="4" t="s">
        <v>16511</v>
      </c>
      <c r="C7190" s="4" t="str">
        <f ca="1">IFERROR(__xludf.DUMMYFUNCTION("GOOGLETRANSLATE(D:D,""auto"",""en"")"),"Overseas Zhengzhou diagnosed patients return home the mother to apologize")</f>
        <v>Overseas Zhengzhou diagnosed patients return home the mother to apologize</v>
      </c>
      <c r="D7190" s="5" t="s">
        <v>16512</v>
      </c>
      <c r="E7190" s="4">
        <v>421685</v>
      </c>
      <c r="F7190">
        <v>1</v>
      </c>
    </row>
    <row r="7191" spans="1:6" ht="13.5" customHeight="1">
      <c r="A7191" s="4" t="s">
        <v>16513</v>
      </c>
      <c r="B7191" s="4" t="s">
        <v>16514</v>
      </c>
      <c r="C7191" s="4" t="str">
        <f ca="1">IFERROR(__xludf.DUMMYFUNCTION("GOOGLETRANSLATE(D:D,""auto"",""en"")"),"Xinjiang Middle School junior school March 16")</f>
        <v>Xinjiang Middle School junior school March 16</v>
      </c>
      <c r="D7191" s="5" t="s">
        <v>16515</v>
      </c>
      <c r="E7191" s="4">
        <v>379103</v>
      </c>
      <c r="F7191">
        <v>1</v>
      </c>
    </row>
    <row r="7192" spans="1:6" ht="13.5" hidden="1" customHeight="1">
      <c r="A7192" s="4" t="s">
        <v>16457</v>
      </c>
      <c r="B7192" s="4" t="s">
        <v>16364</v>
      </c>
      <c r="C7192" s="4" t="str">
        <f ca="1">IFERROR(__xludf.DUMMYFUNCTION("GOOGLETRANSLATE(D:D,""auto"",""en"")"),"Han Chinese students about the current situation in")</f>
        <v>Han Chinese students about the current situation in</v>
      </c>
      <c r="D7192" s="5" t="s">
        <v>16516</v>
      </c>
      <c r="E7192" s="4">
        <v>361083</v>
      </c>
    </row>
    <row r="7193" spans="1:6" ht="13.5" hidden="1" customHeight="1">
      <c r="A7193" s="4" t="s">
        <v>16500</v>
      </c>
      <c r="B7193" s="4" t="s">
        <v>16517</v>
      </c>
      <c r="C7193" s="4" t="str">
        <f ca="1">IFERROR(__xludf.DUMMYFUNCTION("GOOGLETRANSLATE(D:D,""auto"",""en"")"),"I was a security guard")</f>
        <v>I was a security guard</v>
      </c>
      <c r="D7193" s="5" t="s">
        <v>16518</v>
      </c>
      <c r="E7193" s="4">
        <v>323608</v>
      </c>
    </row>
    <row r="7194" spans="1:6" ht="13.5" customHeight="1">
      <c r="A7194" s="4" t="s">
        <v>16519</v>
      </c>
      <c r="B7194" s="4" t="s">
        <v>16520</v>
      </c>
      <c r="C7194" s="4" t="str">
        <f ca="1">IFERROR(__xludf.DUMMYFUNCTION("GOOGLETRANSLATE(D:D,""auto"",""en"")"),"Spain broke two thousand confirmed cases")</f>
        <v>Spain broke two thousand confirmed cases</v>
      </c>
      <c r="D7194" s="5" t="s">
        <v>16521</v>
      </c>
      <c r="E7194" s="4">
        <v>312844</v>
      </c>
      <c r="F7194">
        <v>1</v>
      </c>
    </row>
    <row r="7195" spans="1:6" ht="13.5" hidden="1" customHeight="1">
      <c r="A7195" s="4" t="s">
        <v>16522</v>
      </c>
      <c r="B7195" s="4" t="s">
        <v>16523</v>
      </c>
      <c r="C7195" s="4" t="str">
        <f ca="1">IFERROR(__xludf.DUMMYFUNCTION("GOOGLETRANSLATE(D:D,""auto"",""en"")"),"Zhongwen Ze")</f>
        <v>Zhongwen Ze</v>
      </c>
      <c r="D7195" s="5" t="s">
        <v>16524</v>
      </c>
      <c r="E7195" s="4">
        <v>306998</v>
      </c>
    </row>
    <row r="7196" spans="1:6" ht="13.5" customHeight="1">
      <c r="A7196" s="4" t="s">
        <v>16460</v>
      </c>
      <c r="B7196" s="4" t="s">
        <v>16525</v>
      </c>
      <c r="C7196" s="4" t="str">
        <f ca="1">IFERROR(__xludf.DUMMYFUNCTION("GOOGLETRANSLATE(D:D,""auto"",""en"")"),"South Korean man to put 390,000 yuan banknotes microwave disinfection")</f>
        <v>South Korean man to put 390,000 yuan banknotes microwave disinfection</v>
      </c>
      <c r="D7196" s="5" t="s">
        <v>16526</v>
      </c>
      <c r="E7196" s="4">
        <v>302121</v>
      </c>
      <c r="F7196">
        <v>1</v>
      </c>
    </row>
    <row r="7197" spans="1:6" ht="13.5" hidden="1" customHeight="1">
      <c r="A7197" s="4" t="s">
        <v>16527</v>
      </c>
      <c r="B7197" s="4" t="s">
        <v>16528</v>
      </c>
      <c r="C7197" s="4" t="str">
        <f ca="1">IFERROR(__xludf.DUMMYFUNCTION("GOOGLETRANSLATE(D:D,""auto"",""en"")"),"China Unicom's president resigned")</f>
        <v>China Unicom's president resigned</v>
      </c>
      <c r="D7197" s="5" t="s">
        <v>16529</v>
      </c>
      <c r="E7197" s="4">
        <v>297447</v>
      </c>
    </row>
    <row r="7198" spans="1:6" ht="13.5" hidden="1" customHeight="1">
      <c r="A7198" s="4" t="s">
        <v>16460</v>
      </c>
      <c r="B7198" s="4" t="s">
        <v>16530</v>
      </c>
      <c r="C7198" s="4" t="str">
        <f ca="1">IFERROR(__xludf.DUMMYFUNCTION("GOOGLETRANSLATE(D:D,""auto"",""en"")"),"Add a word to ruin a game")</f>
        <v>Add a word to ruin a game</v>
      </c>
      <c r="D7198" s="5" t="s">
        <v>16531</v>
      </c>
      <c r="E7198" s="4">
        <v>280200</v>
      </c>
    </row>
    <row r="7199" spans="1:6" ht="13.5" hidden="1" customHeight="1">
      <c r="A7199" s="4" t="s">
        <v>16532</v>
      </c>
      <c r="B7199" s="4" t="s">
        <v>16533</v>
      </c>
      <c r="C7199" s="4" t="str">
        <f ca="1">IFERROR(__xludf.DUMMYFUNCTION("GOOGLETRANSLATE(D:D,""auto"",""en"")"),"iG win")</f>
        <v>iG win</v>
      </c>
      <c r="D7199" s="5" t="s">
        <v>16534</v>
      </c>
      <c r="E7199" s="4">
        <v>279470</v>
      </c>
    </row>
    <row r="7200" spans="1:6" ht="13.5" hidden="1" customHeight="1">
      <c r="A7200" s="4" t="s">
        <v>16481</v>
      </c>
      <c r="B7200" s="4" t="s">
        <v>16535</v>
      </c>
      <c r="C7200" s="4" t="str">
        <f ca="1">IFERROR(__xludf.DUMMYFUNCTION("GOOGLETRANSLATE(D:D,""auto"",""en"")"),"1.8 billion pixel panoramic photo of Mars")</f>
        <v>1.8 billion pixel panoramic photo of Mars</v>
      </c>
      <c r="D7200" s="5" t="s">
        <v>16536</v>
      </c>
      <c r="E7200" s="4">
        <v>275609</v>
      </c>
    </row>
    <row r="7201" spans="1:6" ht="13.5" hidden="1" customHeight="1">
      <c r="A7201" s="4" t="s">
        <v>16537</v>
      </c>
      <c r="B7201" s="4" t="s">
        <v>16538</v>
      </c>
      <c r="C7201" s="4" t="str">
        <f ca="1">IFERROR(__xludf.DUMMYFUNCTION("GOOGLETRANSLATE(D:D,""auto"",""en"")"),"Lin Dan won the All England saved the match point first win of the season")</f>
        <v>Lin Dan won the All England saved the match point first win of the season</v>
      </c>
      <c r="D7201" s="5" t="s">
        <v>16539</v>
      </c>
      <c r="E7201" s="4">
        <v>273373</v>
      </c>
    </row>
    <row r="7202" spans="1:6" ht="13.5" hidden="1" customHeight="1">
      <c r="A7202" s="4" t="s">
        <v>16540</v>
      </c>
      <c r="B7202" s="4" t="s">
        <v>16541</v>
      </c>
      <c r="C7202" s="4" t="str">
        <f ca="1">IFERROR(__xludf.DUMMYFUNCTION("GOOGLETRANSLATE(D:D,""auto"",""en"")"),"Mulan Trailer")</f>
        <v>Mulan Trailer</v>
      </c>
      <c r="D7202" s="5" t="s">
        <v>16542</v>
      </c>
      <c r="E7202" s="4">
        <v>268960</v>
      </c>
    </row>
    <row r="7203" spans="1:6" ht="13.5" hidden="1" customHeight="1">
      <c r="A7203" s="4" t="s">
        <v>16543</v>
      </c>
      <c r="B7203" s="4" t="s">
        <v>16544</v>
      </c>
      <c r="C7203" s="4" t="str">
        <f ca="1">IFERROR(__xludf.DUMMYFUNCTION("GOOGLETRANSLATE(D:D,""auto"",""en"")"),"Xiamen police informed the parents of students chopped")</f>
        <v>Xiamen police informed the parents of students chopped</v>
      </c>
      <c r="D7203" s="5" t="s">
        <v>16545</v>
      </c>
      <c r="E7203" s="4">
        <v>261154</v>
      </c>
    </row>
    <row r="7204" spans="1:6" ht="13.5" hidden="1" customHeight="1">
      <c r="A7204" s="4" t="s">
        <v>16454</v>
      </c>
      <c r="B7204" s="4" t="s">
        <v>16546</v>
      </c>
      <c r="C7204" s="4" t="str">
        <f ca="1">IFERROR(__xludf.DUMMYFUNCTION("GOOGLETRANSLATE(D:D,""auto"",""en"")"),"The real reason for the Monkey King Havoc in Heaven")</f>
        <v>The real reason for the Monkey King Havoc in Heaven</v>
      </c>
      <c r="D7204" s="5" t="s">
        <v>16547</v>
      </c>
      <c r="E7204" s="4">
        <v>258270</v>
      </c>
    </row>
    <row r="7205" spans="1:6" ht="13.5" hidden="1" customHeight="1">
      <c r="A7205" s="4" t="s">
        <v>13501</v>
      </c>
      <c r="B7205" s="4" t="s">
        <v>13502</v>
      </c>
      <c r="C7205" s="4" t="str">
        <f ca="1">IFERROR(__xludf.DUMMYFUNCTION("GOOGLETRANSLATE(D:D,""auto"",""en"")"),"Settle down notice")</f>
        <v>Settle down notice</v>
      </c>
      <c r="D7205" s="5" t="s">
        <v>13503</v>
      </c>
      <c r="E7205" s="4">
        <v>248958</v>
      </c>
    </row>
    <row r="7206" spans="1:6" ht="13.5" hidden="1" customHeight="1">
      <c r="A7206" s="4" t="s">
        <v>16460</v>
      </c>
      <c r="B7206" s="4" t="s">
        <v>16548</v>
      </c>
      <c r="C7206" s="4" t="str">
        <f ca="1">IFERROR(__xludf.DUMMYFUNCTION("GOOGLETRANSLATE(D:D,""auto"",""en"")"),"Hungary declared a state of emergency")</f>
        <v>Hungary declared a state of emergency</v>
      </c>
      <c r="D7206" s="5" t="s">
        <v>16549</v>
      </c>
      <c r="E7206" s="4">
        <v>233777</v>
      </c>
    </row>
    <row r="7207" spans="1:6" ht="13.5" hidden="1" customHeight="1">
      <c r="A7207" s="4" t="s">
        <v>16550</v>
      </c>
      <c r="B7207" s="4" t="s">
        <v>16551</v>
      </c>
      <c r="C7207" s="4" t="str">
        <f ca="1">IFERROR(__xludf.DUMMYFUNCTION("GOOGLETRANSLATE(D:D,""auto"",""en"")"),"45% of Chinese students studying in Korea did not return to school")</f>
        <v>45% of Chinese students studying in Korea did not return to school</v>
      </c>
      <c r="D7207" s="5" t="s">
        <v>16552</v>
      </c>
      <c r="E7207" s="4">
        <v>218197</v>
      </c>
    </row>
    <row r="7208" spans="1:6" ht="13.5" customHeight="1">
      <c r="A7208" s="4" t="s">
        <v>16553</v>
      </c>
      <c r="B7208" s="4" t="s">
        <v>16495</v>
      </c>
      <c r="C7208" s="4" t="str">
        <f ca="1">IFERROR(__xludf.DUMMYFUNCTION("GOOGLETRANSLATE(D:D,""auto"",""en"")"),"Italian hospital sheets made masks")</f>
        <v>Italian hospital sheets made masks</v>
      </c>
      <c r="D7208" s="5" t="s">
        <v>16554</v>
      </c>
      <c r="E7208" s="4">
        <v>217900</v>
      </c>
      <c r="F7208">
        <v>1</v>
      </c>
    </row>
    <row r="7209" spans="1:6" ht="13.5" hidden="1" customHeight="1">
      <c r="A7209" s="4" t="s">
        <v>16463</v>
      </c>
      <c r="B7209" s="4" t="s">
        <v>16458</v>
      </c>
      <c r="C7209" s="4" t="str">
        <f ca="1">IFERROR(__xludf.DUMMYFUNCTION("GOOGLETRANSLATE(D:D,""auto"",""en"")"),"Turkish President to visit to avoid shaking hands full")</f>
        <v>Turkish President to visit to avoid shaking hands full</v>
      </c>
      <c r="D7209" s="5" t="s">
        <v>16555</v>
      </c>
      <c r="E7209" s="4">
        <v>199433</v>
      </c>
    </row>
    <row r="7210" spans="1:6" ht="13.5" customHeight="1">
      <c r="A7210" s="4" t="s">
        <v>16556</v>
      </c>
      <c r="B7210" s="4" t="s">
        <v>16464</v>
      </c>
      <c r="C7210" s="4" t="str">
        <f ca="1">IFERROR(__xludf.DUMMYFUNCTION("GOOGLETRANSLATE(D:D,""auto"",""en"")"),"Li Lanjuan hope that by the end of 3 new cases cleared")</f>
        <v>Li Lanjuan hope that by the end of 3 new cases cleared</v>
      </c>
      <c r="D7210" s="5" t="s">
        <v>16557</v>
      </c>
      <c r="E7210" s="4">
        <v>140030</v>
      </c>
      <c r="F7210">
        <v>1</v>
      </c>
    </row>
    <row r="7211" spans="1:6" ht="13.5" hidden="1" customHeight="1">
      <c r="C7211" s="4" t="str">
        <f ca="1">IFERROR(__xludf.DUMMYFUNCTION("GOOGLETRANSLATE(D:D,""auto"",""en"")"),"#VALUE!")</f>
        <v>#VALUE!</v>
      </c>
    </row>
    <row r="7212" spans="1:6" ht="13.5" hidden="1" customHeight="1">
      <c r="A7212" s="4" t="s">
        <v>16558</v>
      </c>
      <c r="B7212" s="4" t="s">
        <v>16559</v>
      </c>
      <c r="C7212" s="4" t="str">
        <f ca="1">IFERROR(__xludf.DUMMYFUNCTION("GOOGLETRANSLATE(D:D,""auto"",""en"")"),"Zhang Yun denies affair with Pengguan Ying")</f>
        <v>Zhang Yun denies affair with Pengguan Ying</v>
      </c>
      <c r="D7212" s="4" t="s">
        <v>16560</v>
      </c>
      <c r="E7212" s="4">
        <v>5707196</v>
      </c>
    </row>
    <row r="7213" spans="1:6" ht="13.5" hidden="1" customHeight="1">
      <c r="A7213" s="4" t="s">
        <v>16561</v>
      </c>
      <c r="B7213" s="4" t="s">
        <v>16562</v>
      </c>
      <c r="C7213" s="4" t="str">
        <f ca="1">IFERROR(__xludf.DUMMYFUNCTION("GOOGLETRANSLATE(D:D,""auto"",""en"")"),"Italy's ambassador to the EU said only Chinese response to our")</f>
        <v>Italy's ambassador to the EU said only Chinese response to our</v>
      </c>
      <c r="D7213" s="5" t="s">
        <v>16563</v>
      </c>
      <c r="E7213" s="4">
        <v>2024476</v>
      </c>
    </row>
    <row r="7214" spans="1:6" ht="13.5" customHeight="1">
      <c r="A7214" s="4" t="s">
        <v>16564</v>
      </c>
      <c r="B7214" s="4" t="s">
        <v>16565</v>
      </c>
      <c r="C7214" s="4" t="str">
        <f ca="1">IFERROR(__xludf.DUMMYFUNCTION("GOOGLETRANSLATE(D:D,""auto"",""en"")"),"Tom Hanks and his wife infect new crown pneumonia")</f>
        <v>Tom Hanks and his wife infect new crown pneumonia</v>
      </c>
      <c r="D7214" s="5" t="s">
        <v>16566</v>
      </c>
      <c r="E7214" s="4">
        <v>1902599</v>
      </c>
      <c r="F7214">
        <v>1</v>
      </c>
    </row>
    <row r="7215" spans="1:6" ht="13.5" hidden="1" customHeight="1">
      <c r="A7215" s="4" t="s">
        <v>16567</v>
      </c>
      <c r="B7215" s="4" t="s">
        <v>16568</v>
      </c>
      <c r="C7215" s="4" t="str">
        <f ca="1">IFERROR(__xludf.DUMMYFUNCTION("GOOGLETRANSLATE(D:D,""auto"",""en"")"),"Quanzhou, a posture of five killed")</f>
        <v>Quanzhou, a posture of five killed</v>
      </c>
      <c r="D7215" s="5" t="s">
        <v>16569</v>
      </c>
      <c r="E7215" s="4">
        <v>1676904</v>
      </c>
    </row>
    <row r="7216" spans="1:6" ht="13.5" hidden="1" customHeight="1">
      <c r="A7216" s="4" t="s">
        <v>16570</v>
      </c>
      <c r="B7216" s="4" t="s">
        <v>16571</v>
      </c>
      <c r="C7216" s="4" t="str">
        <f ca="1">IFERROR(__xludf.DUMMYFUNCTION("GOOGLETRANSLATE(D:D,""auto"",""en"")"),"The country has more than 9300 million poor people out of poverty")</f>
        <v>The country has more than 9300 million poor people out of poverty</v>
      </c>
      <c r="D7216" s="5" t="s">
        <v>16572</v>
      </c>
      <c r="E7216" s="4">
        <v>1646446</v>
      </c>
    </row>
    <row r="7217" spans="1:6" ht="13.5" hidden="1" customHeight="1">
      <c r="A7217" s="4" t="s">
        <v>16573</v>
      </c>
      <c r="B7217" s="4" t="s">
        <v>16574</v>
      </c>
      <c r="C7217" s="4" t="str">
        <f ca="1">IFERROR(__xludf.DUMMYFUNCTION("GOOGLETRANSLATE(D:D,""auto"",""en"")"),"Italian man accused funeral reject sister remains")</f>
        <v>Italian man accused funeral reject sister remains</v>
      </c>
      <c r="D7217" s="5" t="s">
        <v>16575</v>
      </c>
      <c r="E7217" s="4">
        <v>1537463</v>
      </c>
    </row>
    <row r="7218" spans="1:6" ht="13.5" customHeight="1">
      <c r="A7218" s="4" t="s">
        <v>16576</v>
      </c>
      <c r="B7218" s="4" t="s">
        <v>16577</v>
      </c>
      <c r="C7218" s="4" t="str">
        <f ca="1">IFERROR(__xludf.DUMMYFUNCTION("GOOGLETRANSLATE(D:D,""auto"",""en"")"),"Goebbels new crown diagnosed with pneumonia")</f>
        <v>Goebbels new crown diagnosed with pneumonia</v>
      </c>
      <c r="D7218" s="5" t="s">
        <v>16578</v>
      </c>
      <c r="E7218" s="4">
        <v>1382351</v>
      </c>
      <c r="F7218">
        <v>1</v>
      </c>
    </row>
    <row r="7219" spans="1:6" ht="13.5" customHeight="1">
      <c r="A7219" s="4" t="s">
        <v>16579</v>
      </c>
      <c r="B7219" s="4" t="s">
        <v>16580</v>
      </c>
      <c r="C7219" s="4" t="str">
        <f ca="1">IFERROR(__xludf.DUMMYFUNCTION("GOOGLETRANSLATE(D:D,""auto"",""en"")"),"Hubei new cases down to single digits")</f>
        <v>Hubei new cases down to single digits</v>
      </c>
      <c r="D7219" s="5" t="s">
        <v>16581</v>
      </c>
      <c r="E7219" s="4">
        <v>1183398</v>
      </c>
      <c r="F7219">
        <v>1</v>
      </c>
    </row>
    <row r="7220" spans="1:6" ht="13.5" hidden="1" customHeight="1">
      <c r="A7220" s="4" t="s">
        <v>16582</v>
      </c>
      <c r="B7220" s="4" t="s">
        <v>16577</v>
      </c>
      <c r="C7220" s="4" t="str">
        <f ca="1">IFERROR(__xludf.DUMMYFUNCTION("GOOGLETRANSLATE(D:D,""auto"",""en"")"),"NBA suspended")</f>
        <v>NBA suspended</v>
      </c>
      <c r="D7220" s="5" t="s">
        <v>16583</v>
      </c>
      <c r="E7220" s="4">
        <v>1182434</v>
      </c>
    </row>
    <row r="7221" spans="1:6" ht="13.5" hidden="1" customHeight="1">
      <c r="A7221" s="4" t="s">
        <v>16584</v>
      </c>
      <c r="B7221" s="4" t="s">
        <v>16585</v>
      </c>
      <c r="C7221" s="4" t="str">
        <f ca="1">IFERROR(__xludf.DUMMYFUNCTION("GOOGLETRANSLATE(D:D,""auto"",""en"")"),"Quanzhou hotel collapsed last one trapped person found")</f>
        <v>Quanzhou hotel collapsed last one trapped person found</v>
      </c>
      <c r="D7221" s="5" t="s">
        <v>16586</v>
      </c>
      <c r="E7221" s="4">
        <v>1175709</v>
      </c>
    </row>
    <row r="7222" spans="1:6" ht="13.5" customHeight="1">
      <c r="A7222" s="4" t="s">
        <v>16587</v>
      </c>
      <c r="B7222" s="4" t="s">
        <v>16588</v>
      </c>
      <c r="C7222" s="4" t="str">
        <f ca="1">IFERROR(__xludf.DUMMYFUNCTION("GOOGLETRANSLATE(D:D,""auto"",""en"")"),"South Korea's new crown new confirmed cases 114 cases of pneumonia")</f>
        <v>South Korea's new crown new confirmed cases 114 cases of pneumonia</v>
      </c>
      <c r="D7222" s="5" t="s">
        <v>16589</v>
      </c>
      <c r="E7222" s="4">
        <v>1163338</v>
      </c>
      <c r="F7222">
        <v>1</v>
      </c>
    </row>
    <row r="7223" spans="1:6" ht="13.5" hidden="1" customHeight="1">
      <c r="A7223" s="4" t="s">
        <v>16590</v>
      </c>
      <c r="B7223" s="4" t="s">
        <v>16591</v>
      </c>
      <c r="C7223" s="4" t="str">
        <f ca="1">IFERROR(__xludf.DUMMYFUNCTION("GOOGLETRANSLATE(D:D,""auto"",""en"")"),"Beijing to carry out investigations on the existing imported cases")</f>
        <v>Beijing to carry out investigations on the existing imported cases</v>
      </c>
      <c r="D7223" s="5" t="s">
        <v>16592</v>
      </c>
      <c r="E7223" s="4">
        <v>1154114</v>
      </c>
    </row>
    <row r="7224" spans="1:6" ht="13.5" hidden="1" customHeight="1">
      <c r="A7224" s="4" t="s">
        <v>16593</v>
      </c>
      <c r="B7224" s="4" t="s">
        <v>16594</v>
      </c>
      <c r="C7224" s="4" t="str">
        <f ca="1">IFERROR(__xludf.DUMMYFUNCTION("GOOGLETRANSLATE(D:D,""auto"",""en"")"),"Europe, the United States announced a travel ban")</f>
        <v>Europe, the United States announced a travel ban</v>
      </c>
      <c r="D7224" s="5" t="s">
        <v>16595</v>
      </c>
      <c r="E7224" s="4">
        <v>1143087</v>
      </c>
    </row>
    <row r="7225" spans="1:6" ht="13.5" hidden="1" customHeight="1">
      <c r="A7225" s="4" t="s">
        <v>16596</v>
      </c>
      <c r="B7225" s="4" t="s">
        <v>16597</v>
      </c>
      <c r="C7225" s="4" t="str">
        <f ca="1">IFERROR(__xludf.DUMMYFUNCTION("GOOGLETRANSLATE(D:D,""auto"",""en"")"),"The existing 551 million poor people in poor counties 52")</f>
        <v>The existing 551 million poor people in poor counties 52</v>
      </c>
      <c r="D7225" s="5" t="s">
        <v>16598</v>
      </c>
      <c r="E7225" s="4">
        <v>1129467</v>
      </c>
    </row>
    <row r="7226" spans="1:6" ht="13.5" customHeight="1">
      <c r="A7226" s="4" t="s">
        <v>16587</v>
      </c>
      <c r="B7226" s="4" t="s">
        <v>16599</v>
      </c>
      <c r="C7226" s="4" t="str">
        <f ca="1">IFERROR(__xludf.DUMMYFUNCTION("GOOGLETRANSLATE(D:D,""auto"",""en"")"),"Chinese share new crown pneumonia treatment program")</f>
        <v>Chinese share new crown pneumonia treatment program</v>
      </c>
      <c r="D7226" s="5" t="s">
        <v>16600</v>
      </c>
      <c r="E7226" s="4">
        <v>1107946</v>
      </c>
      <c r="F7226">
        <v>1</v>
      </c>
    </row>
    <row r="7227" spans="1:6" ht="13.5" hidden="1" customHeight="1">
      <c r="A7227" s="4" t="s">
        <v>16601</v>
      </c>
      <c r="B7227" s="4" t="s">
        <v>16602</v>
      </c>
      <c r="C7227" s="4" t="str">
        <f ca="1">IFERROR(__xludf.DUMMYFUNCTION("GOOGLETRANSLATE(D:D,""auto"",""en"")"),"Huang Xuan ran the wrong room live")</f>
        <v>Huang Xuan ran the wrong room live</v>
      </c>
      <c r="D7227" s="5" t="s">
        <v>16603</v>
      </c>
      <c r="E7227" s="4">
        <v>1098970</v>
      </c>
    </row>
    <row r="7228" spans="1:6" ht="13.5" hidden="1" customHeight="1">
      <c r="A7228" s="4" t="s">
        <v>16604</v>
      </c>
      <c r="B7228" s="4" t="s">
        <v>16605</v>
      </c>
      <c r="C7228" s="4" t="str">
        <f ca="1">IFERROR(__xludf.DUMMYFUNCTION("GOOGLETRANSLATE(D:D,""auto"",""en"")"),"How cute children selfie")</f>
        <v>How cute children selfie</v>
      </c>
      <c r="D7228" s="5" t="s">
        <v>16606</v>
      </c>
      <c r="E7228" s="4">
        <v>1083434</v>
      </c>
    </row>
    <row r="7229" spans="1:6" ht="13.5" customHeight="1">
      <c r="A7229" s="4" t="s">
        <v>16607</v>
      </c>
      <c r="B7229" s="4" t="s">
        <v>16608</v>
      </c>
      <c r="C7229" s="4" t="str">
        <f ca="1">IFERROR(__xludf.DUMMYFUNCTION("GOOGLETRANSLATE(D:D,""auto"",""en"")"),"Mudi Ai diagnosed with pneumonia new crown")</f>
        <v>Mudi Ai diagnosed with pneumonia new crown</v>
      </c>
      <c r="D7229" s="5" t="s">
        <v>16609</v>
      </c>
      <c r="E7229" s="4">
        <v>1080701</v>
      </c>
      <c r="F7229">
        <v>1</v>
      </c>
    </row>
    <row r="7230" spans="1:6" ht="13.5" hidden="1" customHeight="1">
      <c r="A7230" s="4" t="s">
        <v>16610</v>
      </c>
      <c r="B7230" s="4" t="s">
        <v>16568</v>
      </c>
      <c r="C7230" s="4" t="str">
        <f ca="1">IFERROR(__xludf.DUMMYFUNCTION("GOOGLETRANSLATE(D:D,""auto"",""en"")"),"Beijing non-early high school seniors are not unified organizational learning online")</f>
        <v>Beijing non-early high school seniors are not unified organizational learning online</v>
      </c>
      <c r="D7230" s="5" t="s">
        <v>16611</v>
      </c>
      <c r="E7230" s="4">
        <v>1053772</v>
      </c>
    </row>
    <row r="7231" spans="1:6" ht="13.5" hidden="1" customHeight="1">
      <c r="A7231" s="4" t="s">
        <v>16612</v>
      </c>
      <c r="B7231" s="4" t="s">
        <v>16613</v>
      </c>
      <c r="C7231" s="4" t="str">
        <f ca="1">IFERROR(__xludf.DUMMYFUNCTION("GOOGLETRANSLATE(D:D,""auto"",""en"")"),"PDD live this call Lu Wei")</f>
        <v>PDD live this call Lu Wei</v>
      </c>
      <c r="D7231" s="5" t="s">
        <v>16614</v>
      </c>
      <c r="E7231" s="4">
        <v>889193</v>
      </c>
    </row>
    <row r="7232" spans="1:6" ht="13.5" customHeight="1">
      <c r="A7232" s="4" t="s">
        <v>16615</v>
      </c>
      <c r="B7232" s="4" t="s">
        <v>16616</v>
      </c>
      <c r="C7232" s="4" t="str">
        <f ca="1">IFERROR(__xludf.DUMMYFUNCTION("GOOGLETRANSLATE(D:D,""auto"",""en"")"),"Masayoshi Son Japan was provided to detect pneumonia bad reviews of users")</f>
        <v>Masayoshi Son Japan was provided to detect pneumonia bad reviews of users</v>
      </c>
      <c r="D7232" s="5" t="s">
        <v>16617</v>
      </c>
      <c r="E7232" s="4">
        <v>812871</v>
      </c>
      <c r="F7232">
        <v>1</v>
      </c>
    </row>
    <row r="7233" spans="1:6" ht="13.5" hidden="1" customHeight="1">
      <c r="A7233" s="4" t="s">
        <v>16618</v>
      </c>
      <c r="B7233" s="4" t="s">
        <v>16565</v>
      </c>
      <c r="C7233" s="4" t="str">
        <f ca="1">IFERROR(__xludf.DUMMYFUNCTION("GOOGLETRANSLATE(D:D,""auto"",""en"")"),"Trump address the nation")</f>
        <v>Trump address the nation</v>
      </c>
      <c r="D7233" s="5" t="s">
        <v>16619</v>
      </c>
      <c r="E7233" s="4">
        <v>700101</v>
      </c>
    </row>
    <row r="7234" spans="1:6" ht="13.5" customHeight="1">
      <c r="A7234" s="4" t="s">
        <v>16620</v>
      </c>
      <c r="B7234" s="4" t="s">
        <v>16585</v>
      </c>
      <c r="C7234" s="4" t="str">
        <f ca="1">IFERROR(__xludf.DUMMYFUNCTION("GOOGLETRANSLATE(D:D,""auto"",""en"")"),"Hong Kong part of the cultural facilities reopened")</f>
        <v>Hong Kong part of the cultural facilities reopened</v>
      </c>
      <c r="D7234" s="5" t="s">
        <v>16621</v>
      </c>
      <c r="E7234" s="4">
        <v>619523</v>
      </c>
      <c r="F7234">
        <v>1</v>
      </c>
    </row>
    <row r="7235" spans="1:6" ht="13.5" hidden="1" customHeight="1">
      <c r="A7235" s="4" t="s">
        <v>16622</v>
      </c>
      <c r="B7235" s="4" t="s">
        <v>16492</v>
      </c>
      <c r="C7235" s="4" t="str">
        <f ca="1">IFERROR(__xludf.DUMMYFUNCTION("GOOGLETRANSLATE(D:D,""auto"",""en"")"),"Jiang Grandma and Grandpa's Love Song")</f>
        <v>Jiang Grandma and Grandpa's Love Song</v>
      </c>
      <c r="D7235" s="5" t="s">
        <v>16623</v>
      </c>
      <c r="E7235" s="4">
        <v>599339</v>
      </c>
    </row>
    <row r="7236" spans="1:6" ht="13.5" hidden="1" customHeight="1">
      <c r="A7236" s="4" t="s">
        <v>16624</v>
      </c>
      <c r="B7236" s="4" t="s">
        <v>16562</v>
      </c>
      <c r="C7236" s="4" t="str">
        <f ca="1">IFERROR(__xludf.DUMMYFUNCTION("GOOGLETRANSLATE(D:D,""auto"",""en"")"),"Apple patent application for flip phones")</f>
        <v>Apple patent application for flip phones</v>
      </c>
      <c r="D7236" s="5" t="s">
        <v>16625</v>
      </c>
      <c r="E7236" s="4">
        <v>521017</v>
      </c>
    </row>
    <row r="7237" spans="1:6" ht="13.5" customHeight="1">
      <c r="A7237" s="4" t="s">
        <v>16624</v>
      </c>
      <c r="B7237" s="4" t="s">
        <v>16626</v>
      </c>
      <c r="C7237" s="4" t="str">
        <f ca="1">IFERROR(__xludf.DUMMYFUNCTION("GOOGLETRANSLATE(D:D,""auto"",""en"")"),"Canadian Conference of people diagnosed patients appear")</f>
        <v>Canadian Conference of people diagnosed patients appear</v>
      </c>
      <c r="D7237" s="5" t="s">
        <v>16627</v>
      </c>
      <c r="E7237" s="4">
        <v>474438</v>
      </c>
      <c r="F7237">
        <v>1</v>
      </c>
    </row>
    <row r="7238" spans="1:6" ht="13.5" customHeight="1">
      <c r="A7238" s="4" t="s">
        <v>16628</v>
      </c>
      <c r="B7238" s="4" t="s">
        <v>16492</v>
      </c>
      <c r="C7238" s="4" t="str">
        <f ca="1">IFERROR(__xludf.DUMMYFUNCTION("GOOGLETRANSLATE(D:D,""auto"",""en"")"),"British doctors need to share a mask when to see a doctor")</f>
        <v>British doctors need to share a mask when to see a doctor</v>
      </c>
      <c r="D7238" s="5" t="s">
        <v>16629</v>
      </c>
      <c r="E7238" s="4">
        <v>473015</v>
      </c>
      <c r="F7238">
        <v>1</v>
      </c>
    </row>
    <row r="7239" spans="1:6" ht="13.5" hidden="1" customHeight="1">
      <c r="A7239" s="4" t="s">
        <v>16478</v>
      </c>
      <c r="B7239" s="4" t="s">
        <v>16479</v>
      </c>
      <c r="C7239" s="4" t="str">
        <f ca="1">IFERROR(__xludf.DUMMYFUNCTION("GOOGLETRANSLATE(D:D,""auto"",""en"")"),"Actress was photographed dressed extortion")</f>
        <v>Actress was photographed dressed extortion</v>
      </c>
      <c r="D7239" s="5" t="s">
        <v>16480</v>
      </c>
      <c r="E7239" s="4">
        <v>415947</v>
      </c>
    </row>
    <row r="7240" spans="1:6" ht="13.5" customHeight="1">
      <c r="A7240" s="4" t="s">
        <v>16630</v>
      </c>
      <c r="B7240" s="4" t="s">
        <v>16631</v>
      </c>
      <c r="C7240" s="4" t="str">
        <f ca="1">IFERROR(__xludf.DUMMYFUNCTION("GOOGLETRANSLATE(D:D,""auto"",""en"")"),"Jiangxi province hospitalized confirmed cases cleared")</f>
        <v>Jiangxi province hospitalized confirmed cases cleared</v>
      </c>
      <c r="D7240" s="5" t="s">
        <v>16632</v>
      </c>
      <c r="E7240" s="4">
        <v>401302</v>
      </c>
      <c r="F7240">
        <v>1</v>
      </c>
    </row>
    <row r="7241" spans="1:6" ht="13.5" hidden="1" customHeight="1">
      <c r="A7241" s="4" t="s">
        <v>14434</v>
      </c>
      <c r="B7241" s="4" t="s">
        <v>14435</v>
      </c>
      <c r="C7241" s="4" t="str">
        <f ca="1">IFERROR(__xludf.DUMMYFUNCTION("GOOGLETRANSLATE(D:D,""auto"",""en"")"),"US stocks")</f>
        <v>US stocks</v>
      </c>
      <c r="D7241" s="5" t="s">
        <v>14436</v>
      </c>
      <c r="E7241" s="4">
        <v>393526</v>
      </c>
    </row>
    <row r="7242" spans="1:6" ht="13.5" hidden="1" customHeight="1">
      <c r="A7242" s="4" t="s">
        <v>16633</v>
      </c>
      <c r="B7242" s="4" t="s">
        <v>16634</v>
      </c>
      <c r="C7242" s="4" t="str">
        <f ca="1">IFERROR(__xludf.DUMMYFUNCTION("GOOGLETRANSLATE(D:D,""auto"",""en"")"),"Arbor Day")</f>
        <v>Arbor Day</v>
      </c>
      <c r="D7242" s="5" t="s">
        <v>16635</v>
      </c>
      <c r="E7242" s="4">
        <v>378352</v>
      </c>
    </row>
    <row r="7243" spans="1:6" ht="13.5" hidden="1" customHeight="1">
      <c r="A7243" s="4" t="s">
        <v>16636</v>
      </c>
      <c r="B7243" s="4" t="s">
        <v>16626</v>
      </c>
      <c r="C7243" s="4" t="str">
        <f ca="1">IFERROR(__xludf.DUMMYFUNCTION("GOOGLETRANSLATE(D:D,""auto"",""en"")"),"24 banks earned a total of 439 billion in 2019")</f>
        <v>24 banks earned a total of 439 billion in 2019</v>
      </c>
      <c r="D7243" s="5" t="s">
        <v>16637</v>
      </c>
      <c r="E7243" s="4">
        <v>371172</v>
      </c>
    </row>
    <row r="7244" spans="1:6" ht="13.5" hidden="1" customHeight="1">
      <c r="A7244" s="4" t="s">
        <v>16638</v>
      </c>
      <c r="B7244" s="4" t="s">
        <v>16522</v>
      </c>
      <c r="C7244" s="4" t="str">
        <f ca="1">IFERROR(__xludf.DUMMYFUNCTION("GOOGLETRANSLATE(D:D,""auto"",""en"")"),"Northeast reminder father son class with noise fancy")</f>
        <v>Northeast reminder father son class with noise fancy</v>
      </c>
      <c r="D7244" s="5" t="s">
        <v>16639</v>
      </c>
      <c r="E7244" s="4">
        <v>357427</v>
      </c>
    </row>
    <row r="7245" spans="1:6" ht="13.5" hidden="1" customHeight="1">
      <c r="A7245" s="4" t="s">
        <v>16596</v>
      </c>
      <c r="B7245" s="4" t="s">
        <v>16640</v>
      </c>
      <c r="C7245" s="4" t="str">
        <f ca="1">IFERROR(__xludf.DUMMYFUNCTION("GOOGLETRANSLATE(D:D,""auto"",""en"")"),"Small pomegranate discharged today")</f>
        <v>Small pomegranate discharged today</v>
      </c>
      <c r="D7245" s="5" t="s">
        <v>16641</v>
      </c>
      <c r="E7245" s="4">
        <v>346789</v>
      </c>
    </row>
    <row r="7246" spans="1:6" ht="13.5" customHeight="1">
      <c r="A7246" s="4" t="s">
        <v>16642</v>
      </c>
      <c r="B7246" s="4" t="s">
        <v>16643</v>
      </c>
      <c r="C7246" s="4" t="str">
        <f ca="1">IFERROR(__xludf.DUMMYFUNCTION("GOOGLETRANSLATE(D:D,""auto"",""en"")"),"The new crown pneumonia outbreak has been characterized by a pandemic")</f>
        <v>The new crown pneumonia outbreak has been characterized by a pandemic</v>
      </c>
      <c r="D7246" s="5" t="s">
        <v>16644</v>
      </c>
      <c r="E7246" s="4">
        <v>332983</v>
      </c>
      <c r="F7246">
        <v>1</v>
      </c>
    </row>
    <row r="7247" spans="1:6" ht="13.5" hidden="1" customHeight="1">
      <c r="A7247" s="4" t="s">
        <v>16645</v>
      </c>
      <c r="B7247" s="4" t="s">
        <v>16460</v>
      </c>
      <c r="C7247" s="4" t="str">
        <f ca="1">IFERROR(__xludf.DUMMYFUNCTION("GOOGLETRANSLATE(D:D,""auto"",""en"")"),"The ugly become beautiful What kind of experience")</f>
        <v>The ugly become beautiful What kind of experience</v>
      </c>
      <c r="D7247" s="5" t="s">
        <v>16646</v>
      </c>
      <c r="E7247" s="4">
        <v>306266</v>
      </c>
    </row>
    <row r="7248" spans="1:6" ht="13.5" hidden="1" customHeight="1">
      <c r="A7248" s="4" t="s">
        <v>16647</v>
      </c>
      <c r="B7248" s="4" t="s">
        <v>16648</v>
      </c>
      <c r="C7248" s="4" t="str">
        <f ca="1">IFERROR(__xludf.DUMMYFUNCTION("GOOGLETRANSLATE(D:D,""auto"",""en"")"),"Jiang Xueqing")</f>
        <v>Jiang Xueqing</v>
      </c>
      <c r="D7248" s="5" t="s">
        <v>16649</v>
      </c>
      <c r="E7248" s="4">
        <v>291042</v>
      </c>
    </row>
    <row r="7249" spans="1:6" ht="13.5" hidden="1" customHeight="1">
      <c r="A7249" s="4" t="s">
        <v>16650</v>
      </c>
      <c r="B7249" s="4" t="s">
        <v>16651</v>
      </c>
      <c r="C7249" s="4" t="str">
        <f ca="1">IFERROR(__xludf.DUMMYFUNCTION("GOOGLETRANSLATE(D:D,""auto"",""en"")"),"Trump said China is expected to be released ahead of the travel warning")</f>
        <v>Trump said China is expected to be released ahead of the travel warning</v>
      </c>
      <c r="D7249" s="5" t="s">
        <v>16652</v>
      </c>
      <c r="E7249" s="4">
        <v>290894</v>
      </c>
    </row>
    <row r="7250" spans="1:6" ht="13.5" customHeight="1">
      <c r="A7250" s="4" t="s">
        <v>16653</v>
      </c>
      <c r="B7250" s="4" t="s">
        <v>16654</v>
      </c>
      <c r="C7250" s="4" t="str">
        <f ca="1">IFERROR(__xludf.DUMMYFUNCTION("GOOGLETRANSLATE(D:D,""auto"",""en"")"),"Emergency Response adjusted for the two Jiangxi")</f>
        <v>Emergency Response adjusted for the two Jiangxi</v>
      </c>
      <c r="D7250" s="5" t="s">
        <v>16655</v>
      </c>
      <c r="E7250" s="4">
        <v>289783</v>
      </c>
      <c r="F7250">
        <v>1</v>
      </c>
    </row>
    <row r="7251" spans="1:6" ht="13.5" hidden="1" customHeight="1">
      <c r="A7251" s="4" t="s">
        <v>16656</v>
      </c>
      <c r="B7251" s="4" t="s">
        <v>16657</v>
      </c>
      <c r="C7251" s="4" t="str">
        <f ca="1">IFERROR(__xludf.DUMMYFUNCTION("GOOGLETRANSLATE(D:D,""auto"",""en"")"),"Mulan Japanese version of the theme song")</f>
        <v>Mulan Japanese version of the theme song</v>
      </c>
      <c r="D7251" s="5" t="s">
        <v>16658</v>
      </c>
      <c r="E7251" s="4">
        <v>288291</v>
      </c>
    </row>
    <row r="7252" spans="1:6" ht="13.5" hidden="1" customHeight="1">
      <c r="A7252" s="4" t="s">
        <v>16659</v>
      </c>
      <c r="B7252" s="4" t="s">
        <v>16660</v>
      </c>
      <c r="C7252" s="4" t="str">
        <f ca="1">IFERROR(__xludf.DUMMYFUNCTION("GOOGLETRANSLATE(D:D,""auto"",""en"")"),"Nasdaq futures triggered fuse")</f>
        <v>Nasdaq futures triggered fuse</v>
      </c>
      <c r="D7252" s="5" t="s">
        <v>16661</v>
      </c>
      <c r="E7252" s="4">
        <v>287801</v>
      </c>
    </row>
    <row r="7253" spans="1:6" ht="13.5" customHeight="1">
      <c r="A7253" s="4" t="s">
        <v>16662</v>
      </c>
      <c r="B7253" s="4" t="s">
        <v>16663</v>
      </c>
      <c r="C7253" s="4" t="str">
        <f ca="1">IFERROR(__xludf.DUMMYFUNCTION("GOOGLETRANSLATE(D:D,""auto"",""en"")"),"Merkel warned Germans to 7 may be infected")</f>
        <v>Merkel warned Germans to 7 may be infected</v>
      </c>
      <c r="D7253" s="5" t="s">
        <v>16664</v>
      </c>
      <c r="E7253" s="4">
        <v>286547</v>
      </c>
      <c r="F7253">
        <v>1</v>
      </c>
    </row>
    <row r="7254" spans="1:6" ht="13.5" customHeight="1">
      <c r="A7254" s="4" t="s">
        <v>16582</v>
      </c>
      <c r="B7254" s="4" t="s">
        <v>16665</v>
      </c>
      <c r="C7254" s="4" t="str">
        <f ca="1">IFERROR(__xludf.DUMMYFUNCTION("GOOGLETRANSLATE(D:D,""auto"",""en"")"),"US CDC admitted that some of the dead may be suffering from the new flu crown")</f>
        <v>US CDC admitted that some of the dead may be suffering from the new flu crown</v>
      </c>
      <c r="D7254" s="5" t="s">
        <v>16666</v>
      </c>
      <c r="E7254" s="4">
        <v>284911</v>
      </c>
      <c r="F7254">
        <v>1</v>
      </c>
    </row>
    <row r="7255" spans="1:6" ht="13.5" hidden="1" customHeight="1">
      <c r="A7255" s="4" t="s">
        <v>16653</v>
      </c>
      <c r="B7255" s="4" t="s">
        <v>16654</v>
      </c>
      <c r="C7255" s="4" t="str">
        <f ca="1">IFERROR(__xludf.DUMMYFUNCTION("GOOGLETRANSLATE(D:D,""auto"",""en"")"),"LGOP introduce Chinese standard of poverty")</f>
        <v>LGOP introduce Chinese standard of poverty</v>
      </c>
      <c r="D7255" s="5" t="s">
        <v>16667</v>
      </c>
      <c r="E7255" s="4">
        <v>283782</v>
      </c>
    </row>
    <row r="7256" spans="1:6" ht="13.5" customHeight="1">
      <c r="A7256" s="4" t="s">
        <v>16668</v>
      </c>
      <c r="B7256" s="4" t="s">
        <v>16669</v>
      </c>
      <c r="C7256" s="4" t="str">
        <f ca="1">IFERROR(__xludf.DUMMYFUNCTION("GOOGLETRANSLATE(D:D,""auto"",""en"")"),"Zhengzhou sister angrily outside input diagnosed")</f>
        <v>Zhengzhou sister angrily outside input diagnosed</v>
      </c>
      <c r="D7256" s="5" t="s">
        <v>16670</v>
      </c>
      <c r="E7256" s="4">
        <v>282908</v>
      </c>
      <c r="F7256">
        <v>1</v>
      </c>
    </row>
    <row r="7257" spans="1:6" ht="13.5" hidden="1" customHeight="1">
      <c r="A7257" s="4" t="s">
        <v>16671</v>
      </c>
      <c r="B7257" s="4" t="s">
        <v>16669</v>
      </c>
      <c r="C7257" s="4" t="str">
        <f ca="1">IFERROR(__xludf.DUMMYFUNCTION("GOOGLETRANSLATE(D:D,""auto"",""en"")"),"Japan Post")</f>
        <v>Japan Post</v>
      </c>
      <c r="D7257" s="5" t="s">
        <v>16672</v>
      </c>
      <c r="E7257" s="4">
        <v>281593</v>
      </c>
    </row>
    <row r="7258" spans="1:6" ht="13.5" hidden="1" customHeight="1">
      <c r="A7258" s="4" t="s">
        <v>16673</v>
      </c>
      <c r="B7258" s="4" t="s">
        <v>16605</v>
      </c>
      <c r="C7258" s="4" t="str">
        <f ca="1">IFERROR(__xludf.DUMMYFUNCTION("GOOGLETRANSLATE(D:D,""auto"",""en"")"),"Parents Avatar Awards")</f>
        <v>Parents Avatar Awards</v>
      </c>
      <c r="D7258" s="5" t="s">
        <v>16674</v>
      </c>
      <c r="E7258" s="4">
        <v>281539</v>
      </c>
    </row>
    <row r="7259" spans="1:6" ht="13.5" customHeight="1">
      <c r="A7259" s="4" t="s">
        <v>16675</v>
      </c>
      <c r="B7259" s="4" t="s">
        <v>16676</v>
      </c>
      <c r="C7259" s="4" t="str">
        <f ca="1">IFERROR(__xludf.DUMMYFUNCTION("GOOGLETRANSLATE(D:D,""auto"",""en"")"),"Juve players diagnosed with pneumonia new crown")</f>
        <v>Juve players diagnosed with pneumonia new crown</v>
      </c>
      <c r="D7259" s="5" t="s">
        <v>16677</v>
      </c>
      <c r="E7259" s="4">
        <v>272685</v>
      </c>
      <c r="F7259">
        <v>1</v>
      </c>
    </row>
    <row r="7260" spans="1:6" ht="13.5" customHeight="1">
      <c r="A7260" s="4" t="s">
        <v>16678</v>
      </c>
      <c r="B7260" s="4" t="s">
        <v>16543</v>
      </c>
      <c r="C7260" s="4" t="str">
        <f ca="1">IFERROR(__xludf.DUMMYFUNCTION("GOOGLETRANSLATE(D:D,""auto"",""en"")"),"The shelter will be returned to society after disinfection")</f>
        <v>The shelter will be returned to society after disinfection</v>
      </c>
      <c r="D7260" s="5" t="s">
        <v>16679</v>
      </c>
      <c r="E7260" s="4">
        <v>268869</v>
      </c>
      <c r="F7260">
        <v>1</v>
      </c>
    </row>
    <row r="7261" spans="1:6" ht="13.5" customHeight="1">
      <c r="A7261" s="4" t="s">
        <v>16680</v>
      </c>
      <c r="B7261" s="4" t="s">
        <v>16681</v>
      </c>
      <c r="C7261" s="4" t="str">
        <f ca="1">IFERROR(__xludf.DUMMYFUNCTION("GOOGLETRANSLATE(D:D,""auto"",""en"")"),"Italy's new crown cumulative confirmed 12,462 cases of pneumonia")</f>
        <v>Italy's new crown cumulative confirmed 12,462 cases of pneumonia</v>
      </c>
      <c r="D7261" s="5" t="s">
        <v>16682</v>
      </c>
      <c r="E7261" s="4">
        <v>250337</v>
      </c>
      <c r="F7261">
        <v>1</v>
      </c>
    </row>
    <row r="7262" spans="1:6" ht="13.5" hidden="1" customHeight="1">
      <c r="C7262" s="4" t="str">
        <f ca="1">IFERROR(__xludf.DUMMYFUNCTION("GOOGLETRANSLATE(D:D,""auto"",""en"")"),"#VALUE!")</f>
        <v>#VALUE!</v>
      </c>
    </row>
    <row r="7263" spans="1:6" ht="13.5" hidden="1" customHeight="1">
      <c r="A7263" s="4" t="s">
        <v>16683</v>
      </c>
      <c r="B7263" s="4" t="s">
        <v>16684</v>
      </c>
      <c r="C7263" s="4" t="str">
        <f ca="1">IFERROR(__xludf.DUMMYFUNCTION("GOOGLETRANSLATE(D:D,""auto"",""en"")"),"Yu Shuxin speak")</f>
        <v>Yu Shuxin speak</v>
      </c>
      <c r="D7263" s="4" t="s">
        <v>16685</v>
      </c>
      <c r="E7263" s="4">
        <v>2793802</v>
      </c>
    </row>
    <row r="7264" spans="1:6" ht="13.5" hidden="1" customHeight="1">
      <c r="A7264" s="4" t="s">
        <v>16686</v>
      </c>
      <c r="B7264" s="4" t="s">
        <v>16687</v>
      </c>
      <c r="C7264" s="4" t="str">
        <f ca="1">IFERROR(__xludf.DUMMYFUNCTION("GOOGLETRANSLATE(D:D,""auto"",""en"")"),"Italian citizens are required to carry out self-declaration")</f>
        <v>Italian citizens are required to carry out self-declaration</v>
      </c>
      <c r="D7264" s="5" t="s">
        <v>16688</v>
      </c>
      <c r="E7264" s="4">
        <v>2601423</v>
      </c>
    </row>
    <row r="7265" spans="1:6" ht="13.5" customHeight="1">
      <c r="A7265" s="4" t="s">
        <v>16689</v>
      </c>
      <c r="B7265" s="4" t="s">
        <v>16690</v>
      </c>
      <c r="C7265" s="4" t="str">
        <f ca="1">IFERROR(__xludf.DUMMYFUNCTION("GOOGLETRANSLATE(D:D,""auto"",""en"")"),"Mitchell tested positive for the new virus crown")</f>
        <v>Mitchell tested positive for the new virus crown</v>
      </c>
      <c r="D7265" s="5" t="s">
        <v>16691</v>
      </c>
      <c r="E7265" s="4">
        <v>2433594</v>
      </c>
      <c r="F7265">
        <v>1</v>
      </c>
    </row>
    <row r="7266" spans="1:6" ht="13.5" hidden="1" customHeight="1">
      <c r="A7266" s="4" t="s">
        <v>16692</v>
      </c>
      <c r="B7266" s="4" t="s">
        <v>16693</v>
      </c>
      <c r="C7266" s="4" t="str">
        <f ca="1">IFERROR(__xludf.DUMMYFUNCTION("GOOGLETRANSLATE(D:D,""auto"",""en"")"),"Zhang take the ride baby")</f>
        <v>Zhang take the ride baby</v>
      </c>
      <c r="D7266" s="5" t="s">
        <v>16694</v>
      </c>
      <c r="E7266" s="4">
        <v>1999406</v>
      </c>
    </row>
    <row r="7267" spans="1:6" ht="13.5" hidden="1" customHeight="1">
      <c r="A7267" s="4" t="s">
        <v>16695</v>
      </c>
      <c r="B7267" s="4" t="s">
        <v>16696</v>
      </c>
      <c r="C7267" s="4" t="str">
        <f ca="1">IFERROR(__xludf.DUMMYFUNCTION("GOOGLETRANSLATE(D:D,""auto"",""en"")"),"Lisa too cute")</f>
        <v>Lisa too cute</v>
      </c>
      <c r="D7267" s="5" t="s">
        <v>16697</v>
      </c>
      <c r="E7267" s="4">
        <v>1610405</v>
      </c>
    </row>
    <row r="7268" spans="1:6" ht="13.5" hidden="1" customHeight="1">
      <c r="A7268" s="4" t="s">
        <v>16698</v>
      </c>
      <c r="B7268" s="4" t="s">
        <v>16699</v>
      </c>
      <c r="C7268" s="4" t="str">
        <f ca="1">IFERROR(__xludf.DUMMYFUNCTION("GOOGLETRANSLATE(D:D,""auto"",""en"")"),"Xu Jiaqi good Sa")</f>
        <v>Xu Jiaqi good Sa</v>
      </c>
      <c r="D7268" s="5" t="s">
        <v>16700</v>
      </c>
      <c r="E7268" s="4">
        <v>1308131</v>
      </c>
    </row>
    <row r="7269" spans="1:6" ht="13.5" hidden="1" customHeight="1">
      <c r="A7269" s="4" t="s">
        <v>3562</v>
      </c>
      <c r="B7269" s="4" t="s">
        <v>3563</v>
      </c>
      <c r="C7269" s="4" t="str">
        <f ca="1">IFERROR(__xludf.DUMMYFUNCTION("GOOGLETRANSLATE(D:D,""auto"",""en"")"),"You have 2 youth")</f>
        <v>You have 2 youth</v>
      </c>
      <c r="D7269" s="5" t="s">
        <v>3564</v>
      </c>
      <c r="E7269" s="4">
        <v>946592</v>
      </c>
    </row>
    <row r="7270" spans="1:6" ht="13.5" hidden="1" customHeight="1">
      <c r="A7270" s="4" t="s">
        <v>16701</v>
      </c>
      <c r="B7270" s="4" t="s">
        <v>16702</v>
      </c>
      <c r="C7270" s="4" t="str">
        <f ca="1">IFERROR(__xludf.DUMMYFUNCTION("GOOGLETRANSLATE(D:D,""auto"",""en"")"),"One person connect Chinese ambassador Li Junhua Italy")</f>
        <v>One person connect Chinese ambassador Li Junhua Italy</v>
      </c>
      <c r="D7270" s="5" t="s">
        <v>16703</v>
      </c>
      <c r="E7270" s="4">
        <v>845554</v>
      </c>
    </row>
    <row r="7271" spans="1:6" ht="13.5" customHeight="1">
      <c r="A7271" s="4" t="s">
        <v>16704</v>
      </c>
      <c r="B7271" s="4" t="s">
        <v>16705</v>
      </c>
      <c r="C7271" s="4" t="str">
        <f ca="1">IFERROR(__xludf.DUMMYFUNCTION("GOOGLETRANSLATE(D:D,""auto"",""en"")"),"Both houses of the US Capitol building closed")</f>
        <v>Both houses of the US Capitol building closed</v>
      </c>
      <c r="D7271" s="5" t="s">
        <v>16706</v>
      </c>
      <c r="E7271" s="4">
        <v>837166</v>
      </c>
      <c r="F7271">
        <v>1</v>
      </c>
    </row>
    <row r="7272" spans="1:6" ht="13.5" hidden="1" customHeight="1">
      <c r="A7272" s="4" t="s">
        <v>16707</v>
      </c>
      <c r="B7272" s="4" t="s">
        <v>16708</v>
      </c>
      <c r="C7272" s="4" t="str">
        <f ca="1">IFERROR(__xludf.DUMMYFUNCTION("GOOGLETRANSLATE(D:D,""auto"",""en"")"),"Song Mei Ting teacher Goodbye")</f>
        <v>Song Mei Ting teacher Goodbye</v>
      </c>
      <c r="D7272" s="5" t="s">
        <v>16709</v>
      </c>
      <c r="E7272" s="4">
        <v>834894</v>
      </c>
    </row>
    <row r="7273" spans="1:6" ht="13.5" hidden="1" customHeight="1">
      <c r="A7273" s="4" t="s">
        <v>16710</v>
      </c>
      <c r="B7273" s="4" t="s">
        <v>16711</v>
      </c>
      <c r="C7273" s="4" t="str">
        <f ca="1">IFERROR(__xludf.DUMMYFUNCTION("GOOGLETRANSLATE(D:D,""auto"",""en"")"),"Cai Xu Kun playing basketball is just my hobby")</f>
        <v>Cai Xu Kun playing basketball is just my hobby</v>
      </c>
      <c r="D7273" s="5" t="s">
        <v>16712</v>
      </c>
      <c r="E7273" s="4">
        <v>831822</v>
      </c>
    </row>
    <row r="7274" spans="1:6" ht="13.5" hidden="1" customHeight="1">
      <c r="A7274" s="4" t="s">
        <v>16713</v>
      </c>
      <c r="B7274" s="4" t="s">
        <v>16714</v>
      </c>
      <c r="C7274" s="4" t="str">
        <f ca="1">IFERROR(__xludf.DUMMYFUNCTION("GOOGLETRANSLATE(D:D,""auto"",""en"")"),"US stocks blows again")</f>
        <v>US stocks blows again</v>
      </c>
      <c r="D7274" s="5" t="s">
        <v>16715</v>
      </c>
      <c r="E7274" s="4">
        <v>829984</v>
      </c>
    </row>
    <row r="7275" spans="1:6" ht="13.5" hidden="1" customHeight="1">
      <c r="A7275" s="4" t="s">
        <v>16716</v>
      </c>
      <c r="B7275" s="4" t="s">
        <v>16690</v>
      </c>
      <c r="C7275" s="4" t="str">
        <f ca="1">IFERROR(__xludf.DUMMYFUNCTION("GOOGLETRANSLATE(D:D,""auto"",""en"")"),"China Wildlife Conservation Association to be punished")</f>
        <v>China Wildlife Conservation Association to be punished</v>
      </c>
      <c r="D7275" s="5" t="s">
        <v>16717</v>
      </c>
      <c r="E7275" s="4">
        <v>825707</v>
      </c>
    </row>
    <row r="7276" spans="1:6" ht="13.5" customHeight="1">
      <c r="A7276" s="4" t="s">
        <v>16718</v>
      </c>
      <c r="B7276" s="4" t="s">
        <v>16719</v>
      </c>
      <c r="C7276" s="4" t="str">
        <f ca="1">IFERROR(__xludf.DUMMYFUNCTION("GOOGLETRANSLATE(D:D,""auto"",""en"")"),"Coronavirus at higher temperatures in the summer are less active")</f>
        <v>Coronavirus at higher temperatures in the summer are less active</v>
      </c>
      <c r="D7276" s="5" t="s">
        <v>16720</v>
      </c>
      <c r="E7276" s="4">
        <v>822378</v>
      </c>
      <c r="F7276">
        <v>1</v>
      </c>
    </row>
    <row r="7277" spans="1:6" ht="13.5" hidden="1" customHeight="1">
      <c r="A7277" s="4" t="s">
        <v>16721</v>
      </c>
      <c r="B7277" s="4" t="s">
        <v>16722</v>
      </c>
      <c r="C7277" s="4" t="str">
        <f ca="1">IFERROR(__xludf.DUMMYFUNCTION("GOOGLETRANSLATE(D:D,""auto"",""en"")"),"Korea mandatory rotation Home Office civil servants")</f>
        <v>Korea mandatory rotation Home Office civil servants</v>
      </c>
      <c r="D7277" s="5" t="s">
        <v>16723</v>
      </c>
      <c r="E7277" s="4">
        <v>817430</v>
      </c>
    </row>
    <row r="7278" spans="1:6" ht="13.5" customHeight="1">
      <c r="A7278" s="4" t="s">
        <v>16716</v>
      </c>
      <c r="B7278" s="4" t="s">
        <v>16724</v>
      </c>
      <c r="C7278" s="4" t="str">
        <f ca="1">IFERROR(__xludf.DUMMYFUNCTION("GOOGLETRANSLATE(D:D,""auto"",""en"")"),"Wuhan hospital ambulance pull the meat back to the application")</f>
        <v>Wuhan hospital ambulance pull the meat back to the application</v>
      </c>
      <c r="D7278" s="5" t="s">
        <v>16725</v>
      </c>
      <c r="E7278" s="4">
        <v>814495</v>
      </c>
      <c r="F7278">
        <v>1</v>
      </c>
    </row>
    <row r="7279" spans="1:6" ht="13.5" customHeight="1">
      <c r="A7279" s="4" t="s">
        <v>16726</v>
      </c>
      <c r="B7279" s="4" t="s">
        <v>16727</v>
      </c>
      <c r="C7279" s="4" t="str">
        <f ca="1">IFERROR(__xludf.DUMMYFUNCTION("GOOGLETRANSLATE(D:D,""auto"",""en"")"),"Dr Liu Zhen exposed semi-paralysis")</f>
        <v>Dr Liu Zhen exposed semi-paralysis</v>
      </c>
      <c r="D7279" s="5" t="s">
        <v>16728</v>
      </c>
      <c r="E7279" s="4">
        <v>811108</v>
      </c>
      <c r="F7279">
        <v>1</v>
      </c>
    </row>
    <row r="7280" spans="1:6" ht="13.5" hidden="1" customHeight="1">
      <c r="A7280" s="4" t="s">
        <v>16729</v>
      </c>
      <c r="B7280" s="4" t="s">
        <v>16730</v>
      </c>
      <c r="C7280" s="4" t="str">
        <f ca="1">IFERROR(__xludf.DUMMYFUNCTION("GOOGLETRANSLATE(D:D,""auto"",""en"")"),"Jiang grandmother Wills")</f>
        <v>Jiang grandmother Wills</v>
      </c>
      <c r="D7280" s="5" t="s">
        <v>16731</v>
      </c>
      <c r="E7280" s="4">
        <v>807678</v>
      </c>
    </row>
    <row r="7281" spans="1:6" ht="13.5" customHeight="1">
      <c r="A7281" s="4" t="s">
        <v>16732</v>
      </c>
      <c r="B7281" s="4" t="s">
        <v>16733</v>
      </c>
      <c r="C7281" s="4" t="str">
        <f ca="1">IFERROR(__xludf.DUMMYFUNCTION("GOOGLETRANSLATE(D:D,""auto"",""en"")"),"Ireland announced the closure of all schools")</f>
        <v>Ireland announced the closure of all schools</v>
      </c>
      <c r="D7281" s="5" t="s">
        <v>16734</v>
      </c>
      <c r="E7281" s="4">
        <v>781854</v>
      </c>
      <c r="F7281">
        <v>1</v>
      </c>
    </row>
    <row r="7282" spans="1:6" ht="13.5" hidden="1" customHeight="1">
      <c r="A7282" s="4" t="s">
        <v>16735</v>
      </c>
      <c r="B7282" s="4" t="s">
        <v>16567</v>
      </c>
      <c r="C7282" s="4" t="str">
        <f ca="1">IFERROR(__xludf.DUMMYFUNCTION("GOOGLETRANSLATE(D:D,""auto"",""en"")"),"Luo Yufeng")</f>
        <v>Luo Yufeng</v>
      </c>
      <c r="D7282" s="5" t="s">
        <v>16736</v>
      </c>
      <c r="E7282" s="4">
        <v>732844</v>
      </c>
    </row>
    <row r="7283" spans="1:6" ht="13.5" hidden="1" customHeight="1">
      <c r="A7283" s="4" t="s">
        <v>16737</v>
      </c>
      <c r="B7283" s="4" t="s">
        <v>16738</v>
      </c>
      <c r="C7283" s="4" t="str">
        <f ca="1">IFERROR(__xludf.DUMMYFUNCTION("GOOGLETRANSLATE(D:D,""auto"",""en"")"),"Buffett")</f>
        <v>Buffett</v>
      </c>
      <c r="D7283" s="5" t="s">
        <v>16739</v>
      </c>
      <c r="E7283" s="4">
        <v>646161</v>
      </c>
    </row>
    <row r="7284" spans="1:6" ht="13.5" hidden="1" customHeight="1">
      <c r="A7284" s="4" t="s">
        <v>16732</v>
      </c>
      <c r="B7284" s="4" t="s">
        <v>16738</v>
      </c>
      <c r="C7284" s="4" t="str">
        <f ca="1">IFERROR(__xludf.DUMMYFUNCTION("GOOGLETRANSLATE(D:D,""auto"",""en"")"),"Chen Jue voice")</f>
        <v>Chen Jue voice</v>
      </c>
      <c r="D7284" s="5" t="s">
        <v>16740</v>
      </c>
      <c r="E7284" s="4">
        <v>624964</v>
      </c>
    </row>
    <row r="7285" spans="1:6" ht="13.5" hidden="1" customHeight="1">
      <c r="A7285" s="4" t="s">
        <v>16741</v>
      </c>
      <c r="B7285" s="4" t="s">
        <v>16738</v>
      </c>
      <c r="C7285" s="4" t="str">
        <f ca="1">IFERROR(__xludf.DUMMYFUNCTION("GOOGLETRANSLATE(D:D,""auto"",""en"")"),"Jiang Dalin intelligence on the line")</f>
        <v>Jiang Dalin intelligence on the line</v>
      </c>
      <c r="D7285" s="5" t="s">
        <v>16742</v>
      </c>
      <c r="E7285" s="4">
        <v>555800</v>
      </c>
    </row>
    <row r="7286" spans="1:6" ht="13.5" hidden="1" customHeight="1">
      <c r="A7286" s="4" t="s">
        <v>16743</v>
      </c>
      <c r="B7286" s="4" t="s">
        <v>16744</v>
      </c>
      <c r="C7286" s="4" t="str">
        <f ca="1">IFERROR(__xludf.DUMMYFUNCTION("GOOGLETRANSLATE(D:D,""auto"",""en"")"),"Xi Meijuan acting")</f>
        <v>Xi Meijuan acting</v>
      </c>
      <c r="D7286" s="5" t="s">
        <v>16745</v>
      </c>
      <c r="E7286" s="4">
        <v>526800</v>
      </c>
    </row>
    <row r="7287" spans="1:6" ht="13.5" hidden="1" customHeight="1">
      <c r="A7287" s="4" t="s">
        <v>12063</v>
      </c>
      <c r="B7287" s="4" t="s">
        <v>12051</v>
      </c>
      <c r="C7287" s="4" t="str">
        <f ca="1">IFERROR(__xludf.DUMMYFUNCTION("GOOGLETRANSLATE(D:D,""auto"",""en"")"),"settle down")</f>
        <v>settle down</v>
      </c>
      <c r="D7287" s="5" t="s">
        <v>12064</v>
      </c>
      <c r="E7287" s="4">
        <v>510171</v>
      </c>
    </row>
    <row r="7288" spans="1:6" ht="13.5" hidden="1" customHeight="1">
      <c r="A7288" s="4" t="s">
        <v>16746</v>
      </c>
      <c r="B7288" s="4" t="s">
        <v>16738</v>
      </c>
      <c r="C7288" s="4" t="str">
        <f ca="1">IFERROR(__xludf.DUMMYFUNCTION("GOOGLETRANSLATE(D:D,""auto"",""en"")"),"gold")</f>
        <v>gold</v>
      </c>
      <c r="D7288" s="5" t="s">
        <v>16747</v>
      </c>
      <c r="E7288" s="4">
        <v>502676</v>
      </c>
    </row>
    <row r="7289" spans="1:6" ht="13.5" customHeight="1">
      <c r="A7289" s="4" t="s">
        <v>16748</v>
      </c>
      <c r="B7289" s="4" t="s">
        <v>16749</v>
      </c>
      <c r="C7289" s="4" t="str">
        <f ca="1">IFERROR(__xludf.DUMMYFUNCTION("GOOGLETRANSLATE(D:D,""auto"",""en"")"),"Wear a mask disowned")</f>
        <v>Wear a mask disowned</v>
      </c>
      <c r="D7289" s="5" t="s">
        <v>16750</v>
      </c>
      <c r="E7289" s="4">
        <v>502655</v>
      </c>
      <c r="F7289">
        <v>1</v>
      </c>
    </row>
    <row r="7290" spans="1:6" ht="13.5" hidden="1" customHeight="1">
      <c r="A7290" s="4" t="s">
        <v>16751</v>
      </c>
      <c r="B7290" s="4" t="s">
        <v>16752</v>
      </c>
      <c r="C7290" s="4" t="str">
        <f ca="1">IFERROR(__xludf.DUMMYFUNCTION("GOOGLETRANSLATE(D:D,""auto"",""en"")"),"Shangguan favorite strength")</f>
        <v>Shangguan favorite strength</v>
      </c>
      <c r="D7290" s="5" t="s">
        <v>16753</v>
      </c>
      <c r="E7290" s="4">
        <v>474858</v>
      </c>
    </row>
    <row r="7291" spans="1:6" ht="13.5" hidden="1" customHeight="1">
      <c r="A7291" s="4" t="s">
        <v>16754</v>
      </c>
      <c r="B7291" s="4" t="s">
        <v>16755</v>
      </c>
      <c r="C7291" s="4" t="str">
        <f ca="1">IFERROR(__xludf.DUMMYFUNCTION("GOOGLETRANSLATE(D:D,""auto"",""en"")"),"Manila City emergency closure")</f>
        <v>Manila City emergency closure</v>
      </c>
      <c r="D7291" s="5" t="s">
        <v>16756</v>
      </c>
      <c r="E7291" s="4">
        <v>422895</v>
      </c>
    </row>
    <row r="7292" spans="1:6" ht="13.5" hidden="1" customHeight="1">
      <c r="A7292" s="4" t="s">
        <v>16757</v>
      </c>
      <c r="B7292" s="4" t="s">
        <v>16758</v>
      </c>
      <c r="C7292" s="4" t="str">
        <f ca="1">IFERROR(__xludf.DUMMYFUNCTION("GOOGLETRANSLATE(D:D,""auto"",""en"")"),"Liu Wen US version of the cover of VOGUE")</f>
        <v>Liu Wen US version of the cover of VOGUE</v>
      </c>
      <c r="D7292" s="5" t="s">
        <v>16759</v>
      </c>
      <c r="E7292" s="4">
        <v>413015</v>
      </c>
    </row>
    <row r="7293" spans="1:6" ht="13.5" hidden="1" customHeight="1">
      <c r="A7293" s="4" t="s">
        <v>13795</v>
      </c>
      <c r="B7293" s="4" t="s">
        <v>13796</v>
      </c>
      <c r="C7293" s="4" t="str">
        <f ca="1">IFERROR(__xludf.DUMMYFUNCTION("GOOGLETRANSLATE(D:D,""auto"",""en"")"),"US Flu")</f>
        <v>US Flu</v>
      </c>
      <c r="D7293" s="5" t="s">
        <v>13797</v>
      </c>
      <c r="E7293" s="4">
        <v>392145</v>
      </c>
    </row>
    <row r="7294" spans="1:6" ht="13.5" customHeight="1">
      <c r="A7294" s="4" t="s">
        <v>16760</v>
      </c>
      <c r="B7294" s="4" t="s">
        <v>16761</v>
      </c>
      <c r="C7294" s="4" t="str">
        <f ca="1">IFERROR(__xludf.DUMMYFUNCTION("GOOGLETRANSLATE(D:D,""auto"",""en"")"),"Bat wings when the sun is reported")</f>
        <v>Bat wings when the sun is reported</v>
      </c>
      <c r="D7294" s="5" t="s">
        <v>16762</v>
      </c>
      <c r="E7294" s="4">
        <v>388634</v>
      </c>
      <c r="F7294">
        <v>1</v>
      </c>
    </row>
    <row r="7295" spans="1:6" ht="13.5" customHeight="1">
      <c r="A7295" s="4" t="s">
        <v>16763</v>
      </c>
      <c r="B7295" s="4" t="s">
        <v>16764</v>
      </c>
      <c r="C7295" s="4" t="str">
        <f ca="1">IFERROR(__xludf.DUMMYFUNCTION("GOOGLETRANSLATE(D:D,""auto"",""en"")"),"Shelter doctors Jiang Wen Yang")</f>
        <v>Shelter doctors Jiang Wen Yang</v>
      </c>
      <c r="D7295" s="5" t="s">
        <v>16765</v>
      </c>
      <c r="E7295" s="4">
        <v>375655</v>
      </c>
      <c r="F7295">
        <v>1</v>
      </c>
    </row>
    <row r="7296" spans="1:6" ht="13.5" customHeight="1">
      <c r="A7296" s="4" t="s">
        <v>16766</v>
      </c>
      <c r="B7296" s="4" t="s">
        <v>16767</v>
      </c>
      <c r="C7296" s="4" t="str">
        <f ca="1">IFERROR(__xludf.DUMMYFUNCTION("GOOGLETRANSLATE(D:D,""auto"",""en"")"),"Spanish Deputy Prime Minister wife diagnosed with pneumonia new crown")</f>
        <v>Spanish Deputy Prime Minister wife diagnosed with pneumonia new crown</v>
      </c>
      <c r="D7296" s="5" t="s">
        <v>16768</v>
      </c>
      <c r="E7296" s="4">
        <v>374145</v>
      </c>
      <c r="F7296">
        <v>1</v>
      </c>
    </row>
    <row r="7297" spans="1:6" ht="13.5" hidden="1" customHeight="1">
      <c r="A7297" s="4" t="s">
        <v>16710</v>
      </c>
      <c r="B7297" s="4" t="s">
        <v>16769</v>
      </c>
      <c r="C7297" s="4" t="str">
        <f ca="1">IFERROR(__xludf.DUMMYFUNCTION("GOOGLETRANSLATE(D:D,""auto"",""en"")"),"Spanish citizens were forced to go out wearing a plastic bag")</f>
        <v>Spanish citizens were forced to go out wearing a plastic bag</v>
      </c>
      <c r="D7297" s="5" t="s">
        <v>16770</v>
      </c>
      <c r="E7297" s="4">
        <v>372831</v>
      </c>
    </row>
    <row r="7298" spans="1:6" ht="13.5" hidden="1" customHeight="1">
      <c r="A7298" s="4" t="s">
        <v>16754</v>
      </c>
      <c r="B7298" s="4" t="s">
        <v>16771</v>
      </c>
      <c r="C7298" s="4" t="str">
        <f ca="1">IFERROR(__xludf.DUMMYFUNCTION("GOOGLETRANSLATE(D:D,""auto"",""en"")"),"Sydney wash their hands over the words appear")</f>
        <v>Sydney wash their hands over the words appear</v>
      </c>
      <c r="D7298" s="5" t="s">
        <v>16772</v>
      </c>
      <c r="E7298" s="4">
        <v>362449</v>
      </c>
    </row>
    <row r="7299" spans="1:6" ht="13.5" hidden="1" customHeight="1">
      <c r="A7299" s="4" t="s">
        <v>16721</v>
      </c>
      <c r="B7299" s="4" t="s">
        <v>16755</v>
      </c>
      <c r="C7299" s="4" t="str">
        <f ca="1">IFERROR(__xludf.DUMMYFUNCTION("GOOGLETRANSLATE(D:D,""auto"",""en"")"),"Philippines")</f>
        <v>Philippines</v>
      </c>
      <c r="D7299" s="5" t="s">
        <v>16773</v>
      </c>
      <c r="E7299" s="4">
        <v>359804</v>
      </c>
    </row>
    <row r="7300" spans="1:6" ht="13.5" customHeight="1">
      <c r="A7300" s="4" t="s">
        <v>16774</v>
      </c>
      <c r="B7300" s="4" t="s">
        <v>16775</v>
      </c>
      <c r="C7300" s="4" t="str">
        <f ca="1">IFERROR(__xludf.DUMMYFUNCTION("GOOGLETRANSLATE(D:D,""auto"",""en"")"),"Japanese natto buy epidemic")</f>
        <v>Japanese natto buy epidemic</v>
      </c>
      <c r="D7300" s="5" t="s">
        <v>16776</v>
      </c>
      <c r="E7300" s="4">
        <v>341939</v>
      </c>
      <c r="F7300">
        <v>1</v>
      </c>
    </row>
    <row r="7301" spans="1:6" ht="13.5" customHeight="1">
      <c r="A7301" s="4" t="s">
        <v>16757</v>
      </c>
      <c r="B7301" s="4" t="s">
        <v>16777</v>
      </c>
      <c r="C7301" s="4" t="str">
        <f ca="1">IFERROR(__xludf.DUMMYFUNCTION("GOOGLETRANSLATE(D:D,""auto"",""en"")"),"Milan, Italy, will be built version of Vulcan Mountain")</f>
        <v>Milan, Italy, will be built version of Vulcan Mountain</v>
      </c>
      <c r="D7301" s="5" t="s">
        <v>16778</v>
      </c>
      <c r="E7301" s="4">
        <v>330129</v>
      </c>
      <c r="F7301">
        <v>1</v>
      </c>
    </row>
    <row r="7302" spans="1:6" ht="13.5" customHeight="1">
      <c r="A7302" s="4" t="s">
        <v>16779</v>
      </c>
      <c r="B7302" s="4" t="s">
        <v>16780</v>
      </c>
      <c r="C7302" s="4" t="str">
        <f ca="1">IFERROR(__xludf.DUMMYFUNCTION("GOOGLETRANSLATE(D:D,""auto"",""en"")"),"Zhong Nanshan said that foreign epidemic much like early in Wuhan")</f>
        <v>Zhong Nanshan said that foreign epidemic much like early in Wuhan</v>
      </c>
      <c r="D7302" s="5" t="s">
        <v>16781</v>
      </c>
      <c r="E7302" s="4">
        <v>329834</v>
      </c>
      <c r="F7302">
        <v>1</v>
      </c>
    </row>
    <row r="7303" spans="1:6" ht="13.5" hidden="1" customHeight="1">
      <c r="A7303" s="4" t="s">
        <v>11378</v>
      </c>
      <c r="B7303" s="4" t="s">
        <v>11379</v>
      </c>
      <c r="C7303" s="4" t="str">
        <f ca="1">IFERROR(__xludf.DUMMYFUNCTION("GOOGLETRANSLATE(D:D,""auto"",""en"")"),"Perfect relationship")</f>
        <v>Perfect relationship</v>
      </c>
      <c r="D7303" s="5" t="s">
        <v>11380</v>
      </c>
      <c r="E7303" s="4">
        <v>290968</v>
      </c>
    </row>
    <row r="7304" spans="1:6" ht="13.5" customHeight="1">
      <c r="A7304" s="4" t="s">
        <v>16721</v>
      </c>
      <c r="B7304" s="4" t="s">
        <v>16782</v>
      </c>
      <c r="C7304" s="4" t="str">
        <f ca="1">IFERROR(__xludf.DUMMYFUNCTION("GOOGLETRANSLATE(D:D,""auto"",""en"")"),"The new crown pneumonia AI auxiliary system 20 seconds to complete diagnostic CT")</f>
        <v>The new crown pneumonia AI auxiliary system 20 seconds to complete diagnostic CT</v>
      </c>
      <c r="D7304" s="5" t="s">
        <v>16783</v>
      </c>
      <c r="E7304" s="4">
        <v>278346</v>
      </c>
      <c r="F7304">
        <v>1</v>
      </c>
    </row>
    <row r="7305" spans="1:6" ht="13.5" hidden="1" customHeight="1">
      <c r="A7305" s="4" t="s">
        <v>16009</v>
      </c>
      <c r="B7305" s="4" t="s">
        <v>16010</v>
      </c>
      <c r="C7305" s="4" t="str">
        <f ca="1">IFERROR(__xludf.DUMMYFUNCTION("GOOGLETRANSLATE(D:D,""auto"",""en"")"),"Trump")</f>
        <v>Trump</v>
      </c>
      <c r="D7305" s="5" t="s">
        <v>16011</v>
      </c>
      <c r="E7305" s="4">
        <v>268804</v>
      </c>
    </row>
    <row r="7306" spans="1:6" ht="13.5" hidden="1" customHeight="1">
      <c r="A7306" s="4" t="s">
        <v>16784</v>
      </c>
      <c r="B7306" s="4" t="s">
        <v>16785</v>
      </c>
      <c r="C7306" s="4" t="str">
        <f ca="1">IFERROR(__xludf.DUMMYFUNCTION("GOOGLETRANSLATE(D:D,""auto"",""en"")"),"Department who requested resolutely prevent illegal corporate layoffs")</f>
        <v>Department who requested resolutely prevent illegal corporate layoffs</v>
      </c>
      <c r="D7306" s="5" t="s">
        <v>16786</v>
      </c>
      <c r="E7306" s="4">
        <v>267573</v>
      </c>
    </row>
    <row r="7307" spans="1:6" ht="13.5" customHeight="1">
      <c r="A7307" s="4" t="s">
        <v>16787</v>
      </c>
      <c r="B7307" s="4" t="s">
        <v>16788</v>
      </c>
      <c r="C7307" s="4" t="str">
        <f ca="1">IFERROR(__xludf.DUMMYFUNCTION("GOOGLETRANSLATE(D:D,""auto"",""en"")"),"UK new cases of 134 cases")</f>
        <v>UK new cases of 134 cases</v>
      </c>
      <c r="D7307" s="5" t="s">
        <v>16789</v>
      </c>
      <c r="E7307" s="4">
        <v>266532</v>
      </c>
      <c r="F7307">
        <v>1</v>
      </c>
    </row>
    <row r="7308" spans="1:6" ht="13.5" hidden="1" customHeight="1">
      <c r="A7308" s="4" t="s">
        <v>16790</v>
      </c>
      <c r="B7308" s="4" t="s">
        <v>16791</v>
      </c>
      <c r="C7308" s="4" t="str">
        <f ca="1">IFERROR(__xludf.DUMMYFUNCTION("GOOGLETRANSLATE(D:D,""auto"",""en"")"),"Zhou Yixuan")</f>
        <v>Zhou Yixuan</v>
      </c>
      <c r="D7308" s="5" t="s">
        <v>16792</v>
      </c>
      <c r="E7308" s="4">
        <v>261250</v>
      </c>
    </row>
    <row r="7309" spans="1:6" ht="13.5" customHeight="1">
      <c r="A7309" s="4" t="s">
        <v>16793</v>
      </c>
      <c r="B7309" s="4" t="s">
        <v>16794</v>
      </c>
      <c r="C7309" s="4" t="str">
        <f ca="1">IFERROR(__xludf.DUMMYFUNCTION("GOOGLETRANSLATE(D:D,""auto"",""en"")"),"The doctor was lying in bed relieved empty")</f>
        <v>The doctor was lying in bed relieved empty</v>
      </c>
      <c r="D7309" s="5" t="s">
        <v>16795</v>
      </c>
      <c r="E7309" s="4">
        <v>254726</v>
      </c>
      <c r="F7309">
        <v>1</v>
      </c>
    </row>
    <row r="7310" spans="1:6" ht="13.5" customHeight="1">
      <c r="A7310" s="4" t="s">
        <v>16796</v>
      </c>
      <c r="B7310" s="4" t="s">
        <v>16797</v>
      </c>
      <c r="C7310" s="4" t="str">
        <f ca="1">IFERROR(__xludf.DUMMYFUNCTION("GOOGLETRANSLATE(D:D,""auto"",""en"")"),"Greek National Day parade canceled")</f>
        <v>Greek National Day parade canceled</v>
      </c>
      <c r="D7310" s="5" t="s">
        <v>16798</v>
      </c>
      <c r="E7310" s="4">
        <v>246113</v>
      </c>
      <c r="F7310">
        <v>1</v>
      </c>
    </row>
    <row r="7311" spans="1:6" ht="13.5" customHeight="1">
      <c r="A7311" s="4" t="s">
        <v>16799</v>
      </c>
      <c r="B7311" s="4" t="s">
        <v>16800</v>
      </c>
      <c r="C7311" s="4" t="str">
        <f ca="1">IFERROR(__xludf.DUMMYFUNCTION("GOOGLETRANSLATE(D:D,""auto"",""en"")"),"Words to describe your Life Network Division")</f>
        <v>Words to describe your Life Network Division</v>
      </c>
      <c r="D7311" s="5" t="s">
        <v>16801</v>
      </c>
      <c r="E7311" s="4">
        <v>243441</v>
      </c>
      <c r="F7311">
        <v>1</v>
      </c>
    </row>
    <row r="7312" spans="1:6" ht="13.5" hidden="1" customHeight="1">
      <c r="C7312" s="4" t="str">
        <f ca="1">IFERROR(__xludf.DUMMYFUNCTION("GOOGLETRANSLATE(D:D,""auto"",""en"")"),"#VALUE!")</f>
        <v>#VALUE!</v>
      </c>
    </row>
    <row r="7313" spans="1:6" ht="13.5" customHeight="1">
      <c r="A7313" s="4" t="s">
        <v>16802</v>
      </c>
      <c r="B7313" s="4" t="s">
        <v>16701</v>
      </c>
      <c r="C7313" s="4" t="str">
        <f ca="1">IFERROR(__xludf.DUMMYFUNCTION("GOOGLETRANSLATE(D:D,""auto"",""en"")"),"13 students hiding their parents tour the country to return home heating is isolated")</f>
        <v>13 students hiding their parents tour the country to return home heating is isolated</v>
      </c>
      <c r="D7313" s="4" t="s">
        <v>16803</v>
      </c>
      <c r="E7313" s="4">
        <v>3355339</v>
      </c>
      <c r="F7313">
        <v>1</v>
      </c>
    </row>
    <row r="7314" spans="1:6" ht="13.5" hidden="1" customHeight="1">
      <c r="A7314" s="4" t="s">
        <v>16804</v>
      </c>
      <c r="B7314" s="4" t="s">
        <v>16805</v>
      </c>
      <c r="C7314" s="4" t="str">
        <f ca="1">IFERROR(__xludf.DUMMYFUNCTION("GOOGLETRANSLATE(D:D,""auto"",""en"")"),"2020 Ching Ming Festival holiday arrangements")</f>
        <v>2020 Ching Ming Festival holiday arrangements</v>
      </c>
      <c r="D7314" s="5" t="s">
        <v>16806</v>
      </c>
      <c r="E7314" s="4">
        <v>2908220</v>
      </c>
    </row>
    <row r="7315" spans="1:6" ht="13.5" customHeight="1">
      <c r="A7315" s="4" t="s">
        <v>16807</v>
      </c>
      <c r="B7315" s="4" t="s">
        <v>16808</v>
      </c>
      <c r="C7315" s="4" t="str">
        <f ca="1">IFERROR(__xludf.DUMMYFUNCTION("GOOGLETRANSLATE(D:D,""auto"",""en"")"),"Wuhan add 50,000 new cases of pneumonia crown")</f>
        <v>Wuhan add 50,000 new cases of pneumonia crown</v>
      </c>
      <c r="D7315" s="5" t="s">
        <v>16809</v>
      </c>
      <c r="E7315" s="4">
        <v>1872601</v>
      </c>
      <c r="F7315">
        <v>1</v>
      </c>
    </row>
    <row r="7316" spans="1:6" ht="13.5" hidden="1" customHeight="1">
      <c r="A7316" s="4" t="s">
        <v>16810</v>
      </c>
      <c r="B7316" s="4" t="s">
        <v>16811</v>
      </c>
      <c r="C7316" s="4" t="str">
        <f ca="1">IFERROR(__xludf.DUMMYFUNCTION("GOOGLETRANSLATE(D:D,""auto"",""en"")"),"Mulan withdrawal global file")</f>
        <v>Mulan withdrawal global file</v>
      </c>
      <c r="D7316" s="5" t="s">
        <v>16812</v>
      </c>
      <c r="E7316" s="4">
        <v>1557677</v>
      </c>
    </row>
    <row r="7317" spans="1:6" ht="13.5" hidden="1" customHeight="1">
      <c r="A7317" s="4" t="s">
        <v>16807</v>
      </c>
      <c r="B7317" s="4" t="s">
        <v>16813</v>
      </c>
      <c r="C7317" s="4" t="str">
        <f ca="1">IFERROR(__xludf.DUMMYFUNCTION("GOOGLETRANSLATE(D:D,""auto"",""en"")"),"Why are intended to aid the expert group a number of experts from Sichuan")</f>
        <v>Why are intended to aid the expert group a number of experts from Sichuan</v>
      </c>
      <c r="D7317" s="5" t="s">
        <v>16814</v>
      </c>
      <c r="E7317" s="4">
        <v>1437691</v>
      </c>
    </row>
    <row r="7318" spans="1:6" ht="13.5" hidden="1" customHeight="1">
      <c r="A7318" s="4" t="s">
        <v>16815</v>
      </c>
      <c r="B7318" s="4" t="s">
        <v>16816</v>
      </c>
      <c r="C7318" s="4" t="str">
        <f ca="1">IFERROR(__xludf.DUMMYFUNCTION("GOOGLETRANSLATE(D:D,""auto"",""en"")"),"China issued 19 measures to promote the consumption of hard expansion and quality")</f>
        <v>China issued 19 measures to promote the consumption of hard expansion and quality</v>
      </c>
      <c r="D7318" s="5" t="s">
        <v>16817</v>
      </c>
      <c r="E7318" s="4">
        <v>1387454</v>
      </c>
    </row>
    <row r="7319" spans="1:6" ht="13.5" customHeight="1">
      <c r="A7319" s="4" t="s">
        <v>16818</v>
      </c>
      <c r="B7319" s="4" t="s">
        <v>16819</v>
      </c>
      <c r="C7319" s="4" t="str">
        <f ca="1">IFERROR(__xludf.DUMMYFUNCTION("GOOGLETRANSLATE(D:D,""auto"",""en"")"),"Xiaogan respond to 100 people gathered in the district")</f>
        <v>Xiaogan respond to 100 people gathered in the district</v>
      </c>
      <c r="D7319" s="5" t="s">
        <v>16820</v>
      </c>
      <c r="E7319" s="4">
        <v>1125969</v>
      </c>
      <c r="F7319">
        <v>1</v>
      </c>
    </row>
    <row r="7320" spans="1:6" ht="13.5" hidden="1" customHeight="1">
      <c r="A7320" s="4" t="s">
        <v>16821</v>
      </c>
      <c r="B7320" s="4" t="s">
        <v>16710</v>
      </c>
      <c r="C7320" s="4" t="str">
        <f ca="1">IFERROR(__xludf.DUMMYFUNCTION("GOOGLETRANSLATE(D:D,""auto"",""en"")"),"Liu Yifei black swan dress")</f>
        <v>Liu Yifei black swan dress</v>
      </c>
      <c r="D7320" s="5" t="s">
        <v>16822</v>
      </c>
      <c r="E7320" s="4">
        <v>1119569</v>
      </c>
    </row>
    <row r="7321" spans="1:6" ht="13.5" customHeight="1">
      <c r="A7321" s="4" t="s">
        <v>16823</v>
      </c>
      <c r="B7321" s="4" t="s">
        <v>16824</v>
      </c>
      <c r="C7321" s="4" t="str">
        <f ca="1">IFERROR(__xludf.DUMMYFUNCTION("GOOGLETRANSLATE(D:D,""auto"",""en"")"),"Beijing confirmed one case of new foreign input")</f>
        <v>Beijing confirmed one case of new foreign input</v>
      </c>
      <c r="D7321" s="5" t="s">
        <v>16825</v>
      </c>
      <c r="E7321" s="4">
        <v>978636</v>
      </c>
      <c r="F7321">
        <v>1</v>
      </c>
    </row>
    <row r="7322" spans="1:6" ht="13.5" customHeight="1">
      <c r="A7322" s="4" t="s">
        <v>16826</v>
      </c>
      <c r="B7322" s="4" t="s">
        <v>16827</v>
      </c>
      <c r="C7322" s="4" t="str">
        <f ca="1">IFERROR(__xludf.DUMMYFUNCTION("GOOGLETRANSLATE(D:D,""auto"",""en"")"),"Sweden and suspected patients with mild to no longer be detected")</f>
        <v>Sweden and suspected patients with mild to no longer be detected</v>
      </c>
      <c r="D7322" s="5" t="s">
        <v>16828</v>
      </c>
      <c r="E7322" s="4">
        <v>960012</v>
      </c>
      <c r="F7322">
        <v>1</v>
      </c>
    </row>
    <row r="7323" spans="1:6" ht="13.5" customHeight="1">
      <c r="A7323" s="4" t="s">
        <v>16829</v>
      </c>
      <c r="B7323" s="4" t="s">
        <v>16830</v>
      </c>
      <c r="C7323" s="4" t="str">
        <f ca="1">IFERROR(__xludf.DUMMYFUNCTION("GOOGLETRANSLATE(D:D,""auto"",""en"")"),"US detection system does not demand")</f>
        <v>US detection system does not demand</v>
      </c>
      <c r="D7323" s="5" t="s">
        <v>16831</v>
      </c>
      <c r="E7323" s="4">
        <v>906940</v>
      </c>
      <c r="F7323">
        <v>1</v>
      </c>
    </row>
    <row r="7324" spans="1:6" ht="13.5" hidden="1" customHeight="1">
      <c r="A7324" s="4" t="s">
        <v>16832</v>
      </c>
      <c r="B7324" s="4" t="s">
        <v>16779</v>
      </c>
      <c r="C7324" s="4" t="str">
        <f ca="1">IFERROR(__xludf.DUMMYFUNCTION("GOOGLETRANSLATE(D:D,""auto"",""en"")"),"Goebel apology")</f>
        <v>Goebel apology</v>
      </c>
      <c r="D7324" s="5" t="s">
        <v>16833</v>
      </c>
      <c r="E7324" s="4">
        <v>855345</v>
      </c>
    </row>
    <row r="7325" spans="1:6" ht="13.5" hidden="1" customHeight="1">
      <c r="A7325" s="4" t="s">
        <v>16834</v>
      </c>
      <c r="B7325" s="4" t="s">
        <v>16835</v>
      </c>
      <c r="C7325" s="4" t="str">
        <f ca="1">IFERROR(__xludf.DUMMYFUNCTION("GOOGLETRANSLATE(D:D,""auto"",""en"")"),"Youth have your clips")</f>
        <v>Youth have your clips</v>
      </c>
      <c r="D7325" s="5" t="s">
        <v>16836</v>
      </c>
      <c r="E7325" s="4">
        <v>854365</v>
      </c>
    </row>
    <row r="7326" spans="1:6" ht="13.5" customHeight="1">
      <c r="A7326" s="4" t="s">
        <v>16837</v>
      </c>
      <c r="B7326" s="4" t="s">
        <v>16838</v>
      </c>
      <c r="C7326" s="4" t="str">
        <f ca="1">IFERROR(__xludf.DUMMYFUNCTION("GOOGLETRANSLATE(D:D,""auto"",""en"")"),"In addition to the operating rate of the country has reached 60% of SMEs outside Hubei")</f>
        <v>In addition to the operating rate of the country has reached 60% of SMEs outside Hubei</v>
      </c>
      <c r="D7326" s="5" t="s">
        <v>16839</v>
      </c>
      <c r="E7326" s="4">
        <v>852942</v>
      </c>
      <c r="F7326">
        <v>1</v>
      </c>
    </row>
    <row r="7327" spans="1:6" ht="13.5" hidden="1" customHeight="1">
      <c r="A7327" s="4" t="s">
        <v>9371</v>
      </c>
      <c r="B7327" s="4" t="s">
        <v>9372</v>
      </c>
      <c r="C7327" s="4" t="str">
        <f ca="1">IFERROR(__xludf.DUMMYFUNCTION("GOOGLETRANSLATE(D:D,""auto"",""en"")"),"stock market")</f>
        <v>stock market</v>
      </c>
      <c r="D7327" s="5" t="s">
        <v>9373</v>
      </c>
      <c r="E7327" s="4">
        <v>852132</v>
      </c>
    </row>
    <row r="7328" spans="1:6" ht="13.5" customHeight="1">
      <c r="A7328" s="4" t="s">
        <v>16840</v>
      </c>
      <c r="B7328" s="4" t="s">
        <v>16841</v>
      </c>
      <c r="C7328" s="4" t="str">
        <f ca="1">IFERROR(__xludf.DUMMYFUNCTION("GOOGLETRANSLATE(D:D,""auto"",""en"")"),"China closed Everest channel")</f>
        <v>China closed Everest channel</v>
      </c>
      <c r="D7328" s="5" t="s">
        <v>16842</v>
      </c>
      <c r="E7328" s="4">
        <v>850933</v>
      </c>
      <c r="F7328">
        <v>1</v>
      </c>
    </row>
    <row r="7329" spans="1:6" ht="13.5" hidden="1" customHeight="1">
      <c r="A7329" s="4" t="s">
        <v>16843</v>
      </c>
      <c r="B7329" s="4" t="s">
        <v>16844</v>
      </c>
      <c r="C7329" s="4" t="str">
        <f ca="1">IFERROR(__xludf.DUMMYFUNCTION("GOOGLETRANSLATE(D:D,""auto"",""en"")"),"Trump and CNN and tear open")</f>
        <v>Trump and CNN and tear open</v>
      </c>
      <c r="D7329" s="5" t="s">
        <v>16845</v>
      </c>
      <c r="E7329" s="4">
        <v>849323</v>
      </c>
    </row>
    <row r="7330" spans="1:6" ht="13.5" customHeight="1">
      <c r="A7330" s="4" t="s">
        <v>16846</v>
      </c>
      <c r="B7330" s="4" t="s">
        <v>16819</v>
      </c>
      <c r="C7330" s="4" t="str">
        <f ca="1">IFERROR(__xludf.DUMMYFUNCTION("GOOGLETRANSLATE(D:D,""auto"",""en"")"),"American berserk toilet paper also quoted Cui baby Tucao fight")</f>
        <v>American berserk toilet paper also quoted Cui baby Tucao fight</v>
      </c>
      <c r="D7330" s="5" t="s">
        <v>16847</v>
      </c>
      <c r="E7330" s="4">
        <v>848744</v>
      </c>
      <c r="F7330">
        <v>1</v>
      </c>
    </row>
    <row r="7331" spans="1:6" ht="13.5" hidden="1" customHeight="1">
      <c r="A7331" s="4" t="s">
        <v>16848</v>
      </c>
      <c r="B7331" s="4" t="s">
        <v>16849</v>
      </c>
      <c r="C7331" s="4" t="str">
        <f ca="1">IFERROR(__xludf.DUMMYFUNCTION("GOOGLETRANSLATE(D:D,""auto"",""en"")"),"Wang Junkai choker style suit")</f>
        <v>Wang Junkai choker style suit</v>
      </c>
      <c r="D7331" s="5" t="s">
        <v>16850</v>
      </c>
      <c r="E7331" s="4">
        <v>826207</v>
      </c>
    </row>
    <row r="7332" spans="1:6" ht="13.5" customHeight="1">
      <c r="A7332" s="4" t="s">
        <v>16846</v>
      </c>
      <c r="B7332" s="4" t="s">
        <v>16851</v>
      </c>
      <c r="C7332" s="4" t="str">
        <f ca="1">IFERROR(__xludf.DUMMYFUNCTION("GOOGLETRANSLATE(D:D,""auto"",""en"")"),"Canadian Prime Minister wife diagnosed with pneumonia new crown")</f>
        <v>Canadian Prime Minister wife diagnosed with pneumonia new crown</v>
      </c>
      <c r="D7332" s="5" t="s">
        <v>16852</v>
      </c>
      <c r="E7332" s="4">
        <v>784036</v>
      </c>
      <c r="F7332">
        <v>1</v>
      </c>
    </row>
    <row r="7333" spans="1:6" ht="13.5" hidden="1" customHeight="1">
      <c r="A7333" s="4" t="s">
        <v>16853</v>
      </c>
      <c r="B7333" s="4" t="s">
        <v>16854</v>
      </c>
      <c r="C7333" s="4" t="str">
        <f ca="1">IFERROR(__xludf.DUMMYFUNCTION("GOOGLETRANSLATE(D:D,""auto"",""en"")"),"fund")</f>
        <v>fund</v>
      </c>
      <c r="D7333" s="5" t="s">
        <v>16855</v>
      </c>
      <c r="E7333" s="4">
        <v>766566</v>
      </c>
    </row>
    <row r="7334" spans="1:6" ht="13.5" hidden="1" customHeight="1">
      <c r="A7334" s="4" t="s">
        <v>16856</v>
      </c>
      <c r="B7334" s="4" t="s">
        <v>16713</v>
      </c>
      <c r="C7334" s="4" t="str">
        <f ca="1">IFERROR(__xludf.DUMMYFUNCTION("GOOGLETRANSLATE(D:D,""auto"",""en"")"),"Few Extra Pounds girls Yen value Contest")</f>
        <v>Few Extra Pounds girls Yen value Contest</v>
      </c>
      <c r="D7334" s="5" t="s">
        <v>16857</v>
      </c>
      <c r="E7334" s="4">
        <v>618775</v>
      </c>
    </row>
    <row r="7335" spans="1:6" ht="13.5" hidden="1" customHeight="1">
      <c r="A7335" s="4" t="s">
        <v>16858</v>
      </c>
      <c r="B7335" s="4" t="s">
        <v>16743</v>
      </c>
      <c r="C7335" s="4" t="str">
        <f ca="1">IFERROR(__xludf.DUMMYFUNCTION("GOOGLETRANSLATE(D:D,""auto"",""en"")"),"With classical break up")</f>
        <v>With classical break up</v>
      </c>
      <c r="D7335" s="5" t="s">
        <v>16859</v>
      </c>
      <c r="E7335" s="4">
        <v>593455</v>
      </c>
    </row>
    <row r="7336" spans="1:6" ht="13.5" hidden="1" customHeight="1">
      <c r="A7336" s="4" t="s">
        <v>16860</v>
      </c>
      <c r="B7336" s="4" t="s">
        <v>16861</v>
      </c>
      <c r="C7336" s="4" t="str">
        <f ca="1">IFERROR(__xludf.DUMMYFUNCTION("GOOGLETRANSLATE(D:D,""auto"",""en"")"),"Hui Lau Shan")</f>
        <v>Hui Lau Shan</v>
      </c>
      <c r="D7336" s="5" t="s">
        <v>16862</v>
      </c>
      <c r="E7336" s="4">
        <v>567394</v>
      </c>
    </row>
    <row r="7337" spans="1:6" ht="13.5" hidden="1" customHeight="1">
      <c r="A7337" s="4" t="s">
        <v>16834</v>
      </c>
      <c r="B7337" s="4" t="s">
        <v>16863</v>
      </c>
      <c r="C7337" s="4" t="str">
        <f ca="1">IFERROR(__xludf.DUMMYFUNCTION("GOOGLETRANSLATE(D:D,""auto"",""en"")"),"NBA will not fine or suspension Goebel")</f>
        <v>NBA will not fine or suspension Goebel</v>
      </c>
      <c r="D7337" s="5" t="s">
        <v>16864</v>
      </c>
      <c r="E7337" s="4">
        <v>563968</v>
      </c>
    </row>
    <row r="7338" spans="1:6" ht="13.5" hidden="1" customHeight="1">
      <c r="A7338" s="4" t="s">
        <v>16865</v>
      </c>
      <c r="B7338" s="4" t="s">
        <v>16735</v>
      </c>
      <c r="C7338" s="4" t="str">
        <f ca="1">IFERROR(__xludf.DUMMYFUNCTION("GOOGLETRANSLATE(D:D,""auto"",""en"")"),"Those you delete a circle of friends")</f>
        <v>Those you delete a circle of friends</v>
      </c>
      <c r="D7338" s="5" t="s">
        <v>16866</v>
      </c>
      <c r="E7338" s="4">
        <v>557157</v>
      </c>
    </row>
    <row r="7339" spans="1:6" ht="13.5" customHeight="1">
      <c r="A7339" s="4" t="s">
        <v>16867</v>
      </c>
      <c r="B7339" s="4" t="s">
        <v>16868</v>
      </c>
      <c r="C7339" s="4" t="str">
        <f ca="1">IFERROR(__xludf.DUMMYFUNCTION("GOOGLETRANSLATE(D:D,""auto"",""en"")"),"2018 Zhejiang, Hubei aid medical personnel Full list")</f>
        <v>2018 Zhejiang, Hubei aid medical personnel Full list</v>
      </c>
      <c r="D7339" s="5" t="s">
        <v>16869</v>
      </c>
      <c r="E7339" s="4">
        <v>526014</v>
      </c>
      <c r="F7339">
        <v>1</v>
      </c>
    </row>
    <row r="7340" spans="1:6" ht="13.5" hidden="1" customHeight="1">
      <c r="A7340" s="4" t="s">
        <v>16834</v>
      </c>
      <c r="B7340" s="4" t="s">
        <v>16729</v>
      </c>
      <c r="C7340" s="4" t="str">
        <f ca="1">IFERROR(__xludf.DUMMYFUNCTION("GOOGLETRANSLATE(D:D,""auto"",""en"")"),"Five technology giant $ 400 billion market value evaporated overnight")</f>
        <v>Five technology giant $ 400 billion market value evaporated overnight</v>
      </c>
      <c r="D7340" s="5" t="s">
        <v>16870</v>
      </c>
      <c r="E7340" s="4">
        <v>484326</v>
      </c>
    </row>
    <row r="7341" spans="1:6" ht="13.5" customHeight="1">
      <c r="A7341" s="4" t="s">
        <v>16871</v>
      </c>
      <c r="B7341" s="4" t="s">
        <v>16872</v>
      </c>
      <c r="C7341" s="4" t="str">
        <f ca="1">IFERROR(__xludf.DUMMYFUNCTION("GOOGLETRANSLATE(D:D,""auto"",""en"")"),"King of Spain to accept the new queen crown virus detection")</f>
        <v>King of Spain to accept the new queen crown virus detection</v>
      </c>
      <c r="D7341" s="5" t="s">
        <v>16873</v>
      </c>
      <c r="E7341" s="4">
        <v>455629</v>
      </c>
      <c r="F7341">
        <v>1</v>
      </c>
    </row>
    <row r="7342" spans="1:6" ht="13.5" hidden="1" customHeight="1">
      <c r="A7342" s="4" t="s">
        <v>16832</v>
      </c>
      <c r="B7342" s="4" t="s">
        <v>16841</v>
      </c>
      <c r="C7342" s="4" t="str">
        <f ca="1">IFERROR(__xludf.DUMMYFUNCTION("GOOGLETRANSLATE(D:D,""auto"",""en"")"),"Beijing Municipal People's Procuratorate decided to arrest more wear from")</f>
        <v>Beijing Municipal People's Procuratorate decided to arrest more wear from</v>
      </c>
      <c r="D7342" s="5" t="s">
        <v>16874</v>
      </c>
      <c r="E7342" s="4">
        <v>406414</v>
      </c>
    </row>
    <row r="7343" spans="1:6" ht="13.5" hidden="1" customHeight="1">
      <c r="A7343" s="4" t="s">
        <v>16829</v>
      </c>
      <c r="B7343" s="4" t="s">
        <v>16735</v>
      </c>
      <c r="C7343" s="4" t="str">
        <f ca="1">IFERROR(__xludf.DUMMYFUNCTION("GOOGLETRANSLATE(D:D,""auto"",""en"")"),"Friendship in the cold violence")</f>
        <v>Friendship in the cold violence</v>
      </c>
      <c r="D7343" s="5" t="s">
        <v>16875</v>
      </c>
      <c r="E7343" s="4">
        <v>404713</v>
      </c>
    </row>
    <row r="7344" spans="1:6" ht="13.5" customHeight="1">
      <c r="A7344" s="4" t="s">
        <v>16876</v>
      </c>
      <c r="B7344" s="4" t="s">
        <v>16877</v>
      </c>
      <c r="C7344" s="4" t="str">
        <f ca="1">IFERROR(__xludf.DUMMYFUNCTION("GOOGLETRANSLATE(D:D,""auto"",""en"")"),"National new cases of 8 cases")</f>
        <v>National new cases of 8 cases</v>
      </c>
      <c r="D7344" s="5" t="s">
        <v>16878</v>
      </c>
      <c r="E7344" s="4">
        <v>402763</v>
      </c>
      <c r="F7344">
        <v>1</v>
      </c>
    </row>
    <row r="7345" spans="1:6" ht="13.5" hidden="1" customHeight="1">
      <c r="A7345" s="4" t="s">
        <v>16185</v>
      </c>
      <c r="B7345" s="4" t="s">
        <v>16186</v>
      </c>
      <c r="C7345" s="4" t="str">
        <f ca="1">IFERROR(__xludf.DUMMYFUNCTION("GOOGLETRANSLATE(D:D,""auto"",""en"")"),"Bitcoin")</f>
        <v>Bitcoin</v>
      </c>
      <c r="D7345" s="5" t="s">
        <v>16187</v>
      </c>
      <c r="E7345" s="4">
        <v>369983</v>
      </c>
    </row>
    <row r="7346" spans="1:6" ht="13.5" customHeight="1">
      <c r="A7346" s="4" t="s">
        <v>16879</v>
      </c>
      <c r="B7346" s="4" t="s">
        <v>16793</v>
      </c>
      <c r="C7346" s="4" t="str">
        <f ca="1">IFERROR(__xludf.DUMMYFUNCTION("GOOGLETRANSLATE(D:D,""auto"",""en"")"),"Canadian Prime Minister Trudeau self-segregation")</f>
        <v>Canadian Prime Minister Trudeau self-segregation</v>
      </c>
      <c r="D7346" s="5" t="s">
        <v>16880</v>
      </c>
      <c r="E7346" s="4">
        <v>368534</v>
      </c>
      <c r="F7346">
        <v>1</v>
      </c>
    </row>
    <row r="7347" spans="1:6" ht="13.5" customHeight="1">
      <c r="A7347" s="4" t="s">
        <v>16881</v>
      </c>
      <c r="B7347" s="4" t="s">
        <v>16882</v>
      </c>
      <c r="C7347" s="4" t="str">
        <f ca="1">IFERROR(__xludf.DUMMYFUNCTION("GOOGLETRANSLATE(D:D,""auto"",""en"")"),"Britain stops to detect patients with mild")</f>
        <v>Britain stops to detect patients with mild</v>
      </c>
      <c r="D7347" s="5" t="s">
        <v>16883</v>
      </c>
      <c r="E7347" s="4">
        <v>368467</v>
      </c>
      <c r="F7347">
        <v>1</v>
      </c>
    </row>
    <row r="7348" spans="1:6" ht="13.5" customHeight="1">
      <c r="A7348" s="4" t="s">
        <v>16884</v>
      </c>
      <c r="B7348" s="4" t="s">
        <v>16805</v>
      </c>
      <c r="C7348" s="4" t="str">
        <f ca="1">IFERROR(__xludf.DUMMYFUNCTION("GOOGLETRANSLATE(D:D,""auto"",""en"")"),"South Korea's new crown increased to 7979 cases of pneumonia")</f>
        <v>South Korea's new crown increased to 7979 cases of pneumonia</v>
      </c>
      <c r="D7348" s="5" t="s">
        <v>16885</v>
      </c>
      <c r="E7348" s="4">
        <v>327915</v>
      </c>
      <c r="F7348">
        <v>1</v>
      </c>
    </row>
    <row r="7349" spans="1:6" ht="13.5" hidden="1" customHeight="1">
      <c r="A7349" s="4" t="s">
        <v>16886</v>
      </c>
      <c r="B7349" s="4" t="s">
        <v>16887</v>
      </c>
      <c r="C7349" s="4" t="str">
        <f ca="1">IFERROR(__xludf.DUMMYFUNCTION("GOOGLETRANSLATE(D:D,""auto"",""en"")"),"Lin Dan lost to Chen Long")</f>
        <v>Lin Dan lost to Chen Long</v>
      </c>
      <c r="D7349" s="5" t="s">
        <v>16888</v>
      </c>
      <c r="E7349" s="4">
        <v>300835</v>
      </c>
    </row>
    <row r="7350" spans="1:6" ht="13.5" customHeight="1">
      <c r="A7350" s="4" t="s">
        <v>16889</v>
      </c>
      <c r="B7350" s="4" t="s">
        <v>16890</v>
      </c>
      <c r="C7350" s="4" t="str">
        <f ca="1">IFERROR(__xludf.DUMMYFUNCTION("GOOGLETRANSLATE(D:D,""auto"",""en"")"),"American Physicians would predict that nearly half of Americans may be infected")</f>
        <v>American Physicians would predict that nearly half of Americans may be infected</v>
      </c>
      <c r="D7350" s="5" t="s">
        <v>16891</v>
      </c>
      <c r="E7350" s="4">
        <v>300523</v>
      </c>
      <c r="F7350">
        <v>1</v>
      </c>
    </row>
    <row r="7351" spans="1:6" ht="13.5" hidden="1" customHeight="1">
      <c r="A7351" s="4" t="s">
        <v>16892</v>
      </c>
      <c r="B7351" s="4" t="s">
        <v>16893</v>
      </c>
      <c r="C7351" s="4" t="str">
        <f ca="1">IFERROR(__xludf.DUMMYFUNCTION("GOOGLETRANSLATE(D:D,""auto"",""en"")"),"Guizhou acres of canola flower open")</f>
        <v>Guizhou acres of canola flower open</v>
      </c>
      <c r="D7351" s="5" t="s">
        <v>16894</v>
      </c>
      <c r="E7351" s="4">
        <v>277923</v>
      </c>
    </row>
    <row r="7352" spans="1:6" ht="13.5" hidden="1" customHeight="1">
      <c r="A7352" s="4" t="s">
        <v>16009</v>
      </c>
      <c r="B7352" s="4" t="s">
        <v>16010</v>
      </c>
      <c r="C7352" s="4" t="str">
        <f ca="1">IFERROR(__xludf.DUMMYFUNCTION("GOOGLETRANSLATE(D:D,""auto"",""en"")"),"Trump")</f>
        <v>Trump</v>
      </c>
      <c r="D7352" s="5" t="s">
        <v>16011</v>
      </c>
      <c r="E7352" s="4">
        <v>265001</v>
      </c>
    </row>
    <row r="7353" spans="1:6" ht="13.5" customHeight="1">
      <c r="A7353" s="4" t="s">
        <v>16895</v>
      </c>
      <c r="B7353" s="4" t="s">
        <v>16816</v>
      </c>
      <c r="C7353" s="4" t="str">
        <f ca="1">IFERROR(__xludf.DUMMYFUNCTION("GOOGLETRANSLATE(D:D,""auto"",""en"")"),"Spring in Wuhan")</f>
        <v>Spring in Wuhan</v>
      </c>
      <c r="D7353" s="5" t="s">
        <v>16896</v>
      </c>
      <c r="E7353" s="4">
        <v>259872</v>
      </c>
      <c r="F7353">
        <v>1</v>
      </c>
    </row>
    <row r="7354" spans="1:6" ht="13.5" customHeight="1">
      <c r="A7354" s="4" t="s">
        <v>16689</v>
      </c>
      <c r="B7354" s="4" t="s">
        <v>16690</v>
      </c>
      <c r="C7354" s="4" t="str">
        <f ca="1">IFERROR(__xludf.DUMMYFUNCTION("GOOGLETRANSLATE(D:D,""auto"",""en"")"),"Mitchell tested positive for the new virus crown")</f>
        <v>Mitchell tested positive for the new virus crown</v>
      </c>
      <c r="D7354" s="5" t="s">
        <v>16691</v>
      </c>
      <c r="E7354" s="4">
        <v>254602</v>
      </c>
      <c r="F7354">
        <v>1</v>
      </c>
    </row>
    <row r="7355" spans="1:6" ht="13.5" hidden="1" customHeight="1">
      <c r="A7355" s="4" t="s">
        <v>16897</v>
      </c>
      <c r="B7355" s="4" t="s">
        <v>16898</v>
      </c>
      <c r="C7355" s="4" t="str">
        <f ca="1">IFERROR(__xludf.DUMMYFUNCTION("GOOGLETRANSLATE(D:D,""auto"",""en"")"),"Hengda heavy fines for Fernando 3000000")</f>
        <v>Hengda heavy fines for Fernando 3000000</v>
      </c>
      <c r="D7355" s="5" t="s">
        <v>16899</v>
      </c>
      <c r="E7355" s="4">
        <v>248720</v>
      </c>
    </row>
    <row r="7356" spans="1:6" ht="13.5" customHeight="1">
      <c r="A7356" s="4" t="s">
        <v>16840</v>
      </c>
      <c r="B7356" s="4" t="s">
        <v>16900</v>
      </c>
      <c r="C7356" s="4" t="str">
        <f ca="1">IFERROR(__xludf.DUMMYFUNCTION("GOOGLETRANSLATE(D:D,""auto"",""en"")"),"Tom Hanks and his wife in isolation")</f>
        <v>Tom Hanks and his wife in isolation</v>
      </c>
      <c r="D7356" s="5" t="s">
        <v>16901</v>
      </c>
      <c r="E7356" s="4">
        <v>242677</v>
      </c>
      <c r="F7356">
        <v>1</v>
      </c>
    </row>
    <row r="7357" spans="1:6" ht="13.5" hidden="1" customHeight="1">
      <c r="A7357" s="4" t="s">
        <v>16902</v>
      </c>
      <c r="B7357" s="4" t="s">
        <v>16903</v>
      </c>
      <c r="C7357" s="4" t="str">
        <f ca="1">IFERROR(__xludf.DUMMYFUNCTION("GOOGLETRANSLATE(D:D,""auto"",""en"")"),"3.4 earthquake in the Taiwan Strait")</f>
        <v>3.4 earthquake in the Taiwan Strait</v>
      </c>
      <c r="D7357" s="5" t="s">
        <v>16904</v>
      </c>
      <c r="E7357" s="4">
        <v>241593</v>
      </c>
    </row>
    <row r="7358" spans="1:6" ht="13.5" customHeight="1">
      <c r="A7358" s="4" t="s">
        <v>16897</v>
      </c>
      <c r="B7358" s="4" t="s">
        <v>16835</v>
      </c>
      <c r="C7358" s="4" t="str">
        <f ca="1">IFERROR(__xludf.DUMMYFUNCTION("GOOGLETRANSLATE(D:D,""auto"",""en"")"),"Outside China had confirmed 44,067 cases of pneumonia new crown")</f>
        <v>Outside China had confirmed 44,067 cases of pneumonia new crown</v>
      </c>
      <c r="D7358" s="5" t="s">
        <v>16905</v>
      </c>
      <c r="E7358" s="4">
        <v>240737</v>
      </c>
      <c r="F7358">
        <v>1</v>
      </c>
    </row>
    <row r="7359" spans="1:6" ht="13.5" customHeight="1">
      <c r="A7359" s="4" t="s">
        <v>16897</v>
      </c>
      <c r="B7359" s="4" t="s">
        <v>16893</v>
      </c>
      <c r="C7359" s="4" t="str">
        <f ca="1">IFERROR(__xludf.DUMMYFUNCTION("GOOGLETRANSLATE(D:D,""auto"",""en"")"),"Brazilian President to accept the new virus detection crown")</f>
        <v>Brazilian President to accept the new virus detection crown</v>
      </c>
      <c r="D7359" s="5" t="s">
        <v>16906</v>
      </c>
      <c r="E7359" s="4">
        <v>229593</v>
      </c>
      <c r="F7359">
        <v>1</v>
      </c>
    </row>
    <row r="7360" spans="1:6" ht="13.5" hidden="1" customHeight="1">
      <c r="A7360" s="4" t="s">
        <v>12922</v>
      </c>
      <c r="B7360" s="4" t="s">
        <v>12923</v>
      </c>
      <c r="C7360" s="4" t="str">
        <f ca="1">IFERROR(__xludf.DUMMYFUNCTION("GOOGLETRANSLATE(D:D,""auto"",""en"")"),"stock")</f>
        <v>stock</v>
      </c>
      <c r="D7360" s="5" t="s">
        <v>12924</v>
      </c>
      <c r="E7360" s="4">
        <v>195685</v>
      </c>
    </row>
    <row r="7361" spans="1:6" ht="13.5" hidden="1" customHeight="1">
      <c r="A7361" s="4" t="s">
        <v>16907</v>
      </c>
      <c r="B7361" s="4" t="s">
        <v>16908</v>
      </c>
      <c r="C7361" s="4" t="str">
        <f ca="1">IFERROR(__xludf.DUMMYFUNCTION("GOOGLETRANSLATE(D:D,""auto"",""en"")"),"Flowers Lan Lundui premiere")</f>
        <v>Flowers Lan Lundui premiere</v>
      </c>
      <c r="D7361" s="5" t="s">
        <v>16909</v>
      </c>
      <c r="E7361" s="4">
        <v>188585</v>
      </c>
    </row>
    <row r="7362" spans="1:6" ht="13.5" hidden="1" customHeight="1">
      <c r="C7362" s="4" t="str">
        <f ca="1">IFERROR(__xludf.DUMMYFUNCTION("GOOGLETRANSLATE(D:D,""auto"",""en"")"),"#VALUE!")</f>
        <v>#VALUE!</v>
      </c>
    </row>
    <row r="7363" spans="1:6" ht="13.5" customHeight="1">
      <c r="A7363" s="4" t="s">
        <v>16910</v>
      </c>
      <c r="B7363" s="4" t="s">
        <v>16911</v>
      </c>
      <c r="C7363" s="4" t="str">
        <f ca="1">IFERROR(__xludf.DUMMYFUNCTION("GOOGLETRANSLATE(D:D,""auto"",""en"")"),"Zhong Nanshan smile")</f>
        <v>Zhong Nanshan smile</v>
      </c>
      <c r="D7363" s="4" t="s">
        <v>16912</v>
      </c>
      <c r="E7363" s="4">
        <v>3562917</v>
      </c>
      <c r="F7363">
        <v>1</v>
      </c>
    </row>
    <row r="7364" spans="1:6" ht="13.5" hidden="1" customHeight="1">
      <c r="A7364" s="4" t="s">
        <v>16913</v>
      </c>
      <c r="B7364" s="4" t="s">
        <v>16914</v>
      </c>
      <c r="C7364" s="4" t="str">
        <f ca="1">IFERROR(__xludf.DUMMYFUNCTION("GOOGLETRANSLATE(D:D,""auto"",""en"")"),"Take Zhang Xu aunt of the child is not multiply")</f>
        <v>Take Zhang Xu aunt of the child is not multiply</v>
      </c>
      <c r="D7364" s="5" t="s">
        <v>16915</v>
      </c>
      <c r="E7364" s="4">
        <v>1764683</v>
      </c>
    </row>
    <row r="7365" spans="1:6" ht="13.5" hidden="1" customHeight="1">
      <c r="A7365" s="4" t="s">
        <v>16916</v>
      </c>
      <c r="B7365" s="4" t="s">
        <v>16917</v>
      </c>
      <c r="C7365" s="4" t="str">
        <f ca="1">IFERROR(__xludf.DUMMYFUNCTION("GOOGLETRANSLATE(D:D,""auto"",""en"")"),"17,000 tons of pork put in the central reserve")</f>
        <v>17,000 tons of pork put in the central reserve</v>
      </c>
      <c r="D7365" s="5" t="s">
        <v>16918</v>
      </c>
      <c r="E7365" s="4">
        <v>1560829</v>
      </c>
    </row>
    <row r="7366" spans="1:6" ht="13.5" hidden="1" customHeight="1">
      <c r="A7366" s="4" t="s">
        <v>16009</v>
      </c>
      <c r="B7366" s="4" t="s">
        <v>16010</v>
      </c>
      <c r="C7366" s="4" t="str">
        <f ca="1">IFERROR(__xludf.DUMMYFUNCTION("GOOGLETRANSLATE(D:D,""auto"",""en"")"),"Trump")</f>
        <v>Trump</v>
      </c>
      <c r="D7366" s="5" t="s">
        <v>16011</v>
      </c>
      <c r="E7366" s="4">
        <v>1556969</v>
      </c>
    </row>
    <row r="7367" spans="1:6" ht="13.5" customHeight="1">
      <c r="A7367" s="4" t="s">
        <v>16919</v>
      </c>
      <c r="B7367" s="4" t="s">
        <v>16920</v>
      </c>
      <c r="C7367" s="4" t="str">
        <f ca="1">IFERROR(__xludf.DUMMYFUNCTION("GOOGLETRANSLATE(D:D,""auto"",""en"")"),"Children wearing masks of all open-mouthed")</f>
        <v>Children wearing masks of all open-mouthed</v>
      </c>
      <c r="D7367" s="5" t="s">
        <v>16921</v>
      </c>
      <c r="E7367" s="4">
        <v>1538025</v>
      </c>
      <c r="F7367">
        <v>1</v>
      </c>
    </row>
    <row r="7368" spans="1:6" ht="13.5" hidden="1" customHeight="1">
      <c r="A7368" s="4" t="s">
        <v>16922</v>
      </c>
      <c r="B7368" s="4" t="s">
        <v>16923</v>
      </c>
      <c r="C7368" s="4" t="str">
        <f ca="1">IFERROR(__xludf.DUMMYFUNCTION("GOOGLETRANSLATE(D:D,""auto"",""en"")"),"Zhan Qingyun")</f>
        <v>Zhan Qingyun</v>
      </c>
      <c r="D7368" s="5" t="s">
        <v>16924</v>
      </c>
      <c r="E7368" s="4">
        <v>1370464</v>
      </c>
    </row>
    <row r="7369" spans="1:6" ht="13.5" hidden="1" customHeight="1">
      <c r="A7369" s="4" t="s">
        <v>16925</v>
      </c>
      <c r="B7369" s="4" t="s">
        <v>16926</v>
      </c>
      <c r="C7369" s="4" t="str">
        <f ca="1">IFERROR(__xludf.DUMMYFUNCTION("GOOGLETRANSLATE(D:D,""auto"",""en"")"),"Just learning makeup done stupid things")</f>
        <v>Just learning makeup done stupid things</v>
      </c>
      <c r="D7369" s="5" t="s">
        <v>16927</v>
      </c>
      <c r="E7369" s="4">
        <v>1000675</v>
      </c>
    </row>
    <row r="7370" spans="1:6" ht="13.5" hidden="1" customHeight="1">
      <c r="A7370" s="4" t="s">
        <v>2917</v>
      </c>
      <c r="B7370" s="4" t="s">
        <v>2918</v>
      </c>
      <c r="C7370" s="4" t="str">
        <f ca="1">IFERROR(__xludf.DUMMYFUNCTION("GOOGLETRANSLATE(D:D,""auto"",""en"")"),"Negotiator")</f>
        <v>Negotiator</v>
      </c>
      <c r="D7370" s="5" t="s">
        <v>2919</v>
      </c>
      <c r="E7370" s="4">
        <v>932559</v>
      </c>
    </row>
    <row r="7371" spans="1:6" ht="13.5" hidden="1" customHeight="1">
      <c r="A7371" s="4" t="s">
        <v>16928</v>
      </c>
      <c r="B7371" s="4" t="s">
        <v>16929</v>
      </c>
      <c r="C7371" s="4" t="str">
        <f ca="1">IFERROR(__xludf.DUMMYFUNCTION("GOOGLETRANSLATE(D:D,""auto"",""en"")"),"Qing Zhou Yang back to hate friends")</f>
        <v>Qing Zhou Yang back to hate friends</v>
      </c>
      <c r="D7371" s="5" t="s">
        <v>16930</v>
      </c>
      <c r="E7371" s="4">
        <v>913484</v>
      </c>
    </row>
    <row r="7372" spans="1:6" ht="13.5" hidden="1" customHeight="1">
      <c r="A7372" s="4" t="s">
        <v>16925</v>
      </c>
      <c r="B7372" s="4" t="s">
        <v>16914</v>
      </c>
      <c r="C7372" s="4" t="str">
        <f ca="1">IFERROR(__xludf.DUMMYFUNCTION("GOOGLETRANSLATE(D:D,""auto"",""en"")"),"Nanjing will be issued over 300 million coupons")</f>
        <v>Nanjing will be issued over 300 million coupons</v>
      </c>
      <c r="D7372" s="5" t="s">
        <v>16931</v>
      </c>
      <c r="E7372" s="4">
        <v>758134</v>
      </c>
    </row>
    <row r="7373" spans="1:6" ht="13.5" hidden="1" customHeight="1">
      <c r="A7373" s="4" t="s">
        <v>16932</v>
      </c>
      <c r="B7373" s="4" t="s">
        <v>16933</v>
      </c>
      <c r="C7373" s="4" t="str">
        <f ca="1">IFERROR(__xludf.DUMMYFUNCTION("GOOGLETRANSLATE(D:D,""auto"",""en"")"),"Ji Zhu shining bright")</f>
        <v>Ji Zhu shining bright</v>
      </c>
      <c r="D7373" s="5" t="s">
        <v>16934</v>
      </c>
      <c r="E7373" s="4">
        <v>730323</v>
      </c>
    </row>
    <row r="7374" spans="1:6" ht="13.5" customHeight="1">
      <c r="A7374" s="4" t="s">
        <v>16935</v>
      </c>
      <c r="B7374" s="4" t="s">
        <v>16936</v>
      </c>
      <c r="C7374" s="4" t="str">
        <f ca="1">IFERROR(__xludf.DUMMYFUNCTION("GOOGLETRANSLATE(D:D,""auto"",""en"")"),"Iran $ 5 billion in loans to fight against SARS")</f>
        <v>Iran $ 5 billion in loans to fight against SARS</v>
      </c>
      <c r="D7374" s="5" t="s">
        <v>16937</v>
      </c>
      <c r="E7374" s="4">
        <v>690448</v>
      </c>
      <c r="F7374">
        <v>1</v>
      </c>
    </row>
    <row r="7375" spans="1:6" ht="13.5" customHeight="1">
      <c r="A7375" s="4" t="s">
        <v>16938</v>
      </c>
      <c r="B7375" s="4" t="s">
        <v>16939</v>
      </c>
      <c r="C7375" s="4" t="str">
        <f ca="1">IFERROR(__xludf.DUMMYFUNCTION("GOOGLETRANSLATE(D:D,""auto"",""en"")"),"Brazilian President virus tested positive for the new crown")</f>
        <v>Brazilian President virus tested positive for the new crown</v>
      </c>
      <c r="D7375" s="5" t="s">
        <v>16940</v>
      </c>
      <c r="E7375" s="4">
        <v>661349</v>
      </c>
      <c r="F7375">
        <v>1</v>
      </c>
    </row>
    <row r="7376" spans="1:6" ht="13.5" hidden="1" customHeight="1">
      <c r="A7376" s="4" t="s">
        <v>16941</v>
      </c>
      <c r="B7376" s="4" t="s">
        <v>16942</v>
      </c>
      <c r="C7376" s="4" t="str">
        <f ca="1">IFERROR(__xludf.DUMMYFUNCTION("GOOGLETRANSLATE(D:D,""auto"",""en"")"),"Frankfurt fly to Shanghai flights found four passengers fever")</f>
        <v>Frankfurt fly to Shanghai flights found four passengers fever</v>
      </c>
      <c r="D7376" s="5" t="s">
        <v>16943</v>
      </c>
      <c r="E7376" s="4">
        <v>599702</v>
      </c>
    </row>
    <row r="7377" spans="1:6" ht="13.5" customHeight="1">
      <c r="A7377" s="4" t="s">
        <v>16928</v>
      </c>
      <c r="B7377" s="4" t="s">
        <v>16944</v>
      </c>
      <c r="C7377" s="4" t="str">
        <f ca="1">IFERROR(__xludf.DUMMYFUNCTION("GOOGLETRANSLATE(D:D,""auto"",""en"")"),"Britain rose to a total of 798 people diagnosed")</f>
        <v>Britain rose to a total of 798 people diagnosed</v>
      </c>
      <c r="D7377" s="5" t="s">
        <v>16945</v>
      </c>
      <c r="E7377" s="4">
        <v>583167</v>
      </c>
      <c r="F7377">
        <v>1</v>
      </c>
    </row>
    <row r="7378" spans="1:6" ht="13.5" hidden="1" customHeight="1">
      <c r="A7378" s="4" t="s">
        <v>16946</v>
      </c>
      <c r="B7378" s="4" t="s">
        <v>16947</v>
      </c>
      <c r="C7378" s="4" t="str">
        <f ca="1">IFERROR(__xludf.DUMMYFUNCTION("GOOGLETRANSLATE(D:D,""auto"",""en"")"),"Huang Yali's home")</f>
        <v>Huang Yali's home</v>
      </c>
      <c r="D7378" s="5" t="s">
        <v>16948</v>
      </c>
      <c r="E7378" s="4">
        <v>582424</v>
      </c>
    </row>
    <row r="7379" spans="1:6" ht="13.5" hidden="1" customHeight="1">
      <c r="A7379" s="4" t="s">
        <v>14826</v>
      </c>
      <c r="B7379" s="4" t="s">
        <v>14827</v>
      </c>
      <c r="C7379" s="4" t="str">
        <f ca="1">IFERROR(__xludf.DUMMYFUNCTION("GOOGLETRANSLATE(D:D,""auto"",""en"")"),"Li Jiaqi")</f>
        <v>Li Jiaqi</v>
      </c>
      <c r="D7379" s="5" t="s">
        <v>14828</v>
      </c>
      <c r="E7379" s="4">
        <v>568131</v>
      </c>
    </row>
    <row r="7380" spans="1:6" ht="13.5" hidden="1" customHeight="1">
      <c r="A7380" s="4" t="s">
        <v>13679</v>
      </c>
      <c r="B7380" s="4" t="s">
        <v>13680</v>
      </c>
      <c r="C7380" s="4" t="str">
        <f ca="1">IFERROR(__xludf.DUMMYFUNCTION("GOOGLETRANSLATE(D:D,""auto"",""en"")"),"Silvia live")</f>
        <v>Silvia live</v>
      </c>
      <c r="D7380" s="5" t="s">
        <v>13681</v>
      </c>
      <c r="E7380" s="4">
        <v>553938</v>
      </c>
    </row>
    <row r="7381" spans="1:6" ht="13.5" hidden="1" customHeight="1">
      <c r="A7381" s="4" t="s">
        <v>16949</v>
      </c>
      <c r="B7381" s="4" t="s">
        <v>16950</v>
      </c>
      <c r="C7381" s="4" t="str">
        <f ca="1">IFERROR(__xludf.DUMMYFUNCTION("GOOGLETRANSLATE(D:D,""auto"",""en"")"),"Zhang Weili opponent will do plastic surgery")</f>
        <v>Zhang Weili opponent will do plastic surgery</v>
      </c>
      <c r="D7381" s="5" t="s">
        <v>16951</v>
      </c>
      <c r="E7381" s="4">
        <v>540426</v>
      </c>
    </row>
    <row r="7382" spans="1:6" ht="13.5" hidden="1" customHeight="1">
      <c r="A7382" s="4" t="s">
        <v>16949</v>
      </c>
      <c r="B7382" s="4" t="s">
        <v>16952</v>
      </c>
      <c r="C7382" s="4" t="str">
        <f ca="1">IFERROR(__xludf.DUMMYFUNCTION("GOOGLETRANSLATE(D:D,""auto"",""en"")"),"Italy thanked the Chinese Embassy refresh friends")</f>
        <v>Italy thanked the Chinese Embassy refresh friends</v>
      </c>
      <c r="D7382" s="5" t="s">
        <v>16953</v>
      </c>
      <c r="E7382" s="4">
        <v>532718</v>
      </c>
    </row>
    <row r="7383" spans="1:6" ht="13.5" hidden="1" customHeight="1">
      <c r="A7383" s="4" t="s">
        <v>16954</v>
      </c>
      <c r="B7383" s="4" t="s">
        <v>16955</v>
      </c>
      <c r="C7383" s="4" t="str">
        <f ca="1">IFERROR(__xludf.DUMMYFUNCTION("GOOGLETRANSLATE(D:D,""auto"",""en"")"),"Zhaiyun Xiao angry")</f>
        <v>Zhaiyun Xiao angry</v>
      </c>
      <c r="D7383" s="5" t="s">
        <v>16956</v>
      </c>
      <c r="E7383" s="4">
        <v>522309</v>
      </c>
    </row>
    <row r="7384" spans="1:6" ht="13.5" hidden="1" customHeight="1">
      <c r="A7384" s="4" t="s">
        <v>16957</v>
      </c>
      <c r="B7384" s="4" t="s">
        <v>16958</v>
      </c>
      <c r="C7384" s="4" t="str">
        <f ca="1">IFERROR(__xludf.DUMMYFUNCTION("GOOGLETRANSLATE(D:D,""auto"",""en"")"),"Spain declared a state of emergency")</f>
        <v>Spain declared a state of emergency</v>
      </c>
      <c r="D7384" s="5" t="s">
        <v>16959</v>
      </c>
      <c r="E7384" s="4">
        <v>478423</v>
      </c>
    </row>
    <row r="7385" spans="1:6" ht="13.5" hidden="1" customHeight="1">
      <c r="A7385" s="4" t="s">
        <v>16960</v>
      </c>
      <c r="B7385" s="4" t="s">
        <v>16961</v>
      </c>
      <c r="C7385" s="4" t="str">
        <f ca="1">IFERROR(__xludf.DUMMYFUNCTION("GOOGLETRANSLATE(D:D,""auto"",""en"")"),"Only buy their own dog bites")</f>
        <v>Only buy their own dog bites</v>
      </c>
      <c r="D7385" s="5" t="s">
        <v>16962</v>
      </c>
      <c r="E7385" s="4">
        <v>441078</v>
      </c>
    </row>
    <row r="7386" spans="1:6" ht="13.5" hidden="1" customHeight="1">
      <c r="A7386" s="4" t="s">
        <v>16963</v>
      </c>
      <c r="B7386" s="4" t="s">
        <v>16964</v>
      </c>
      <c r="C7386" s="4" t="str">
        <f ca="1">IFERROR(__xludf.DUMMYFUNCTION("GOOGLETRANSLATE(D:D,""auto"",""en"")"),"Today freshman too difficult")</f>
        <v>Today freshman too difficult</v>
      </c>
      <c r="D7386" s="5" t="s">
        <v>16965</v>
      </c>
      <c r="E7386" s="4">
        <v>422248</v>
      </c>
    </row>
    <row r="7387" spans="1:6" ht="13.5" hidden="1" customHeight="1">
      <c r="A7387" s="4" t="s">
        <v>16925</v>
      </c>
      <c r="B7387" s="4" t="s">
        <v>16966</v>
      </c>
      <c r="C7387" s="4" t="str">
        <f ca="1">IFERROR(__xludf.DUMMYFUNCTION("GOOGLETRANSLATE(D:D,""auto"",""en"")"),"Yen those values ​​are live spectacles seal")</f>
        <v>Yen those values ​​are live spectacles seal</v>
      </c>
      <c r="D7387" s="5" t="s">
        <v>16967</v>
      </c>
      <c r="E7387" s="4">
        <v>405285</v>
      </c>
    </row>
    <row r="7388" spans="1:6" ht="13.5" hidden="1" customHeight="1">
      <c r="A7388" s="4" t="s">
        <v>16968</v>
      </c>
      <c r="B7388" s="4" t="s">
        <v>16969</v>
      </c>
      <c r="C7388" s="4" t="str">
        <f ca="1">IFERROR(__xludf.DUMMYFUNCTION("GOOGLETRANSLATE(D:D,""auto"",""en"")"),"National feather men's singles missed the first time in 21 years the All England semi-finals")</f>
        <v>National feather men's singles missed the first time in 21 years the All England semi-finals</v>
      </c>
      <c r="D7388" s="5" t="s">
        <v>16970</v>
      </c>
      <c r="E7388" s="4">
        <v>399353</v>
      </c>
    </row>
    <row r="7389" spans="1:6" ht="13.5" hidden="1" customHeight="1">
      <c r="A7389" s="4" t="s">
        <v>16971</v>
      </c>
      <c r="B7389" s="4" t="s">
        <v>16972</v>
      </c>
      <c r="C7389" s="4" t="str">
        <f ca="1">IFERROR(__xludf.DUMMYFUNCTION("GOOGLETRANSLATE(D:D,""auto"",""en"")"),"Bo Pu Canlie more")</f>
        <v>Bo Pu Canlie more</v>
      </c>
      <c r="D7389" s="5" t="s">
        <v>16973</v>
      </c>
      <c r="E7389" s="4">
        <v>380940</v>
      </c>
    </row>
    <row r="7390" spans="1:6" ht="13.5" customHeight="1">
      <c r="A7390" s="4" t="s">
        <v>16974</v>
      </c>
      <c r="B7390" s="4" t="s">
        <v>16975</v>
      </c>
      <c r="C7390" s="4" t="str">
        <f ca="1">IFERROR(__xludf.DUMMYFUNCTION("GOOGLETRANSLATE(D:D,""auto"",""en"")"),"Zhejiang issued the first group of children masks Standards")</f>
        <v>Zhejiang issued the first group of children masks Standards</v>
      </c>
      <c r="D7390" s="5" t="s">
        <v>16976</v>
      </c>
      <c r="E7390" s="4">
        <v>368380</v>
      </c>
      <c r="F7390">
        <v>1</v>
      </c>
    </row>
    <row r="7391" spans="1:6" ht="13.5" customHeight="1">
      <c r="A7391" s="4" t="s">
        <v>16977</v>
      </c>
      <c r="B7391" s="4" t="s">
        <v>16978</v>
      </c>
      <c r="C7391" s="4" t="str">
        <f ca="1">IFERROR(__xludf.DUMMYFUNCTION("GOOGLETRANSLATE(D:D,""auto"",""en"")"),"Wuhan other cities and counties are epidemic in addition to low-risk")</f>
        <v>Wuhan other cities and counties are epidemic in addition to low-risk</v>
      </c>
      <c r="D7391" s="5" t="s">
        <v>16979</v>
      </c>
      <c r="E7391" s="4">
        <v>362105</v>
      </c>
      <c r="F7391">
        <v>1</v>
      </c>
    </row>
    <row r="7392" spans="1:6" ht="13.5" customHeight="1">
      <c r="A7392" s="4" t="s">
        <v>16980</v>
      </c>
      <c r="B7392" s="4" t="s">
        <v>16981</v>
      </c>
      <c r="C7392" s="4" t="str">
        <f ca="1">IFERROR(__xludf.DUMMYFUNCTION("GOOGLETRANSLATE(D:D,""auto"",""en"")"),"South Korea confirmed the sum total of over 3 million people in Italy and Iran")</f>
        <v>South Korea confirmed the sum total of over 3 million people in Italy and Iran</v>
      </c>
      <c r="D7392" s="5" t="s">
        <v>16982</v>
      </c>
      <c r="E7392" s="4">
        <v>324574</v>
      </c>
      <c r="F7392">
        <v>1</v>
      </c>
    </row>
    <row r="7393" spans="1:6" ht="13.5" hidden="1" customHeight="1">
      <c r="A7393" s="4" t="s">
        <v>16983</v>
      </c>
      <c r="B7393" s="4" t="s">
        <v>16984</v>
      </c>
      <c r="C7393" s="4" t="str">
        <f ca="1">IFERROR(__xludf.DUMMYFUNCTION("GOOGLETRANSLATE(D:D,""auto"",""en"")"),"Huang Xiaoyun eliminated")</f>
        <v>Huang Xiaoyun eliminated</v>
      </c>
      <c r="D7393" s="5" t="s">
        <v>16985</v>
      </c>
      <c r="E7393" s="4">
        <v>324443</v>
      </c>
    </row>
    <row r="7394" spans="1:6" ht="13.5" hidden="1" customHeight="1">
      <c r="A7394" s="4" t="s">
        <v>10368</v>
      </c>
      <c r="B7394" s="4" t="s">
        <v>10369</v>
      </c>
      <c r="C7394" s="4" t="str">
        <f ca="1">IFERROR(__xludf.DUMMYFUNCTION("GOOGLETRANSLATE(D:D,""auto"",""en"")"),"singer")</f>
        <v>singer</v>
      </c>
      <c r="D7394" s="5" t="s">
        <v>10370</v>
      </c>
      <c r="E7394" s="4">
        <v>324404</v>
      </c>
    </row>
    <row r="7395" spans="1:6" ht="13.5" hidden="1" customHeight="1">
      <c r="A7395" s="4" t="s">
        <v>16949</v>
      </c>
      <c r="B7395" s="4" t="s">
        <v>16986</v>
      </c>
      <c r="C7395" s="4" t="str">
        <f ca="1">IFERROR(__xludf.DUMMYFUNCTION("GOOGLETRANSLATE(D:D,""auto"",""en"")"),"Zhou deep Russian coloratura bel canto")</f>
        <v>Zhou deep Russian coloratura bel canto</v>
      </c>
      <c r="D7395" s="5" t="s">
        <v>16987</v>
      </c>
      <c r="E7395" s="4">
        <v>324321</v>
      </c>
    </row>
    <row r="7396" spans="1:6" ht="13.5" hidden="1" customHeight="1">
      <c r="A7396" s="4" t="s">
        <v>16988</v>
      </c>
      <c r="B7396" s="4" t="s">
        <v>16989</v>
      </c>
      <c r="C7396" s="4" t="str">
        <f ca="1">IFERROR(__xludf.DUMMYFUNCTION("GOOGLETRANSLATE(D:D,""auto"",""en"")"),"Before going to bed is not recommended because the turning circle of friends")</f>
        <v>Before going to bed is not recommended because the turning circle of friends</v>
      </c>
      <c r="D7396" s="5" t="s">
        <v>16990</v>
      </c>
      <c r="E7396" s="4">
        <v>324064</v>
      </c>
    </row>
    <row r="7397" spans="1:6" ht="13.5" hidden="1" customHeight="1">
      <c r="A7397" s="4" t="s">
        <v>16991</v>
      </c>
      <c r="B7397" s="4" t="s">
        <v>16992</v>
      </c>
      <c r="C7397" s="4" t="str">
        <f ca="1">IFERROR(__xludf.DUMMYFUNCTION("GOOGLETRANSLATE(D:D,""auto"",""en"")"),"Hohhot two sisters were on file and exit conceal history")</f>
        <v>Hohhot two sisters were on file and exit conceal history</v>
      </c>
      <c r="D7397" s="5" t="s">
        <v>16993</v>
      </c>
      <c r="E7397" s="4">
        <v>322999</v>
      </c>
    </row>
    <row r="7398" spans="1:6" ht="13.5" customHeight="1">
      <c r="A7398" s="4" t="s">
        <v>16994</v>
      </c>
      <c r="B7398" s="4" t="s">
        <v>16992</v>
      </c>
      <c r="C7398" s="4" t="str">
        <f ca="1">IFERROR(__xludf.DUMMYFUNCTION("GOOGLETRANSLATE(D:D,""auto"",""en"")"),"Australian officials have confirmed meeting with Ivanka")</f>
        <v>Australian officials have confirmed meeting with Ivanka</v>
      </c>
      <c r="D7398" s="5" t="s">
        <v>16995</v>
      </c>
      <c r="E7398" s="4">
        <v>315386</v>
      </c>
      <c r="F7398">
        <v>1</v>
      </c>
    </row>
    <row r="7399" spans="1:6" ht="13.5" hidden="1" customHeight="1">
      <c r="A7399" s="4" t="s">
        <v>16928</v>
      </c>
      <c r="B7399" s="4" t="s">
        <v>16996</v>
      </c>
      <c r="C7399" s="4" t="str">
        <f ca="1">IFERROR(__xludf.DUMMYFUNCTION("GOOGLETRANSLATE(D:D,""auto"",""en"")"),"Girls before going to bed is a drama")</f>
        <v>Girls before going to bed is a drama</v>
      </c>
      <c r="D7399" s="5" t="s">
        <v>16997</v>
      </c>
      <c r="E7399" s="4">
        <v>283496</v>
      </c>
    </row>
    <row r="7400" spans="1:6" ht="13.5" customHeight="1">
      <c r="A7400" s="4" t="s">
        <v>16998</v>
      </c>
      <c r="B7400" s="4" t="s">
        <v>16999</v>
      </c>
      <c r="C7400" s="4" t="str">
        <f ca="1">IFERROR(__xludf.DUMMYFUNCTION("GOOGLETRANSLATE(D:D,""auto"",""en"")"),"Vulcan Mountain nurse Sun Qing")</f>
        <v>Vulcan Mountain nurse Sun Qing</v>
      </c>
      <c r="D7400" s="5" t="s">
        <v>17000</v>
      </c>
      <c r="E7400" s="4">
        <v>271517</v>
      </c>
      <c r="F7400">
        <v>1</v>
      </c>
    </row>
    <row r="7401" spans="1:6" ht="13.5" hidden="1" customHeight="1">
      <c r="A7401" s="4" t="s">
        <v>17001</v>
      </c>
      <c r="B7401" s="4" t="s">
        <v>17002</v>
      </c>
      <c r="C7401" s="4" t="str">
        <f ca="1">IFERROR(__xludf.DUMMYFUNCTION("GOOGLETRANSLATE(D:D,""auto"",""en"")"),"Song Zhongji Song Hye Kyo original marriage room down and build a new building")</f>
        <v>Song Zhongji Song Hye Kyo original marriage room down and build a new building</v>
      </c>
      <c r="D7401" s="5" t="s">
        <v>17003</v>
      </c>
      <c r="E7401" s="4">
        <v>268545</v>
      </c>
    </row>
    <row r="7402" spans="1:6" ht="13.5" customHeight="1">
      <c r="A7402" s="4" t="s">
        <v>16916</v>
      </c>
      <c r="B7402" s="4" t="s">
        <v>16996</v>
      </c>
      <c r="C7402" s="4" t="str">
        <f ca="1">IFERROR(__xludf.DUMMYFUNCTION("GOOGLETRANSLATE(D:D,""auto"",""en"")"),"Sweden will no longer count the number of newly diagnosed pneumonia crown")</f>
        <v>Sweden will no longer count the number of newly diagnosed pneumonia crown</v>
      </c>
      <c r="D7402" s="5" t="s">
        <v>17004</v>
      </c>
      <c r="E7402" s="4">
        <v>266832</v>
      </c>
      <c r="F7402">
        <v>1</v>
      </c>
    </row>
    <row r="7403" spans="1:6" ht="13.5" hidden="1" customHeight="1">
      <c r="A7403" s="4" t="s">
        <v>17005</v>
      </c>
      <c r="B7403" s="4" t="s">
        <v>17006</v>
      </c>
      <c r="C7403" s="4" t="str">
        <f ca="1">IFERROR(__xludf.DUMMYFUNCTION("GOOGLETRANSLATE(D:D,""auto"",""en"")"),"China may be the best investment hedge regions of the world")</f>
        <v>China may be the best investment hedge regions of the world</v>
      </c>
      <c r="D7403" s="5" t="s">
        <v>17007</v>
      </c>
      <c r="E7403" s="4">
        <v>254090</v>
      </c>
    </row>
    <row r="7404" spans="1:6" ht="13.5" hidden="1" customHeight="1">
      <c r="A7404" s="4" t="s">
        <v>16988</v>
      </c>
      <c r="B7404" s="4" t="s">
        <v>17008</v>
      </c>
      <c r="C7404" s="4" t="str">
        <f ca="1">IFERROR(__xludf.DUMMYFUNCTION("GOOGLETRANSLATE(D:D,""auto"",""en"")"),"My current status quo")</f>
        <v>My current status quo</v>
      </c>
      <c r="D7404" s="5" t="s">
        <v>17009</v>
      </c>
      <c r="E7404" s="4">
        <v>247909</v>
      </c>
    </row>
    <row r="7405" spans="1:6" ht="13.5" customHeight="1">
      <c r="A7405" s="4" t="s">
        <v>17010</v>
      </c>
      <c r="B7405" s="4" t="s">
        <v>17011</v>
      </c>
      <c r="C7405" s="4" t="str">
        <f ca="1">IFERROR(__xludf.DUMMYFUNCTION("GOOGLETRANSLATE(D:D,""auto"",""en"")"),"Shelter reading brother home")</f>
        <v>Shelter reading brother home</v>
      </c>
      <c r="D7405" s="5" t="s">
        <v>17012</v>
      </c>
      <c r="E7405" s="4">
        <v>246697</v>
      </c>
      <c r="F7405">
        <v>1</v>
      </c>
    </row>
    <row r="7406" spans="1:6" ht="13.5" customHeight="1">
      <c r="A7406" s="4" t="s">
        <v>16988</v>
      </c>
      <c r="B7406" s="4" t="s">
        <v>17013</v>
      </c>
      <c r="C7406" s="4" t="str">
        <f ca="1">IFERROR(__xludf.DUMMYFUNCTION("GOOGLETRANSLATE(D:D,""auto"",""en"")"),"Global deaths exceeded 5000 cases")</f>
        <v>Global deaths exceeded 5000 cases</v>
      </c>
      <c r="D7406" s="5" t="s">
        <v>17014</v>
      </c>
      <c r="E7406" s="4">
        <v>243545</v>
      </c>
      <c r="F7406">
        <v>1</v>
      </c>
    </row>
    <row r="7407" spans="1:6" ht="13.5" hidden="1" customHeight="1">
      <c r="A7407" s="4" t="s">
        <v>17015</v>
      </c>
      <c r="B7407" s="4" t="s">
        <v>17016</v>
      </c>
      <c r="C7407" s="4" t="str">
        <f ca="1">IFERROR(__xludf.DUMMYFUNCTION("GOOGLETRANSLATE(D:D,""auto"",""en"")"),"Japan responded Trump recommendation to postpone the Olympics")</f>
        <v>Japan responded Trump recommendation to postpone the Olympics</v>
      </c>
      <c r="D7407" s="5" t="s">
        <v>17017</v>
      </c>
      <c r="E7407" s="4">
        <v>214277</v>
      </c>
    </row>
    <row r="7408" spans="1:6" ht="13.5" customHeight="1">
      <c r="A7408" s="4" t="s">
        <v>17018</v>
      </c>
      <c r="B7408" s="4" t="s">
        <v>17019</v>
      </c>
      <c r="C7408" s="4" t="str">
        <f ca="1">IFERROR(__xludf.DUMMYFUNCTION("GOOGLETRANSLATE(D:D,""auto"",""en"")"),"C Luo Xinguan virus tested negative")</f>
        <v>C Luo Xinguan virus tested negative</v>
      </c>
      <c r="D7408" s="5" t="s">
        <v>17020</v>
      </c>
      <c r="E7408" s="4">
        <v>210596</v>
      </c>
      <c r="F7408">
        <v>1</v>
      </c>
    </row>
    <row r="7409" spans="1:6" ht="13.5" hidden="1" customHeight="1">
      <c r="A7409" s="4" t="s">
        <v>17021</v>
      </c>
      <c r="B7409" s="4" t="s">
        <v>17022</v>
      </c>
      <c r="C7409" s="4" t="str">
        <f ca="1">IFERROR(__xludf.DUMMYFUNCTION("GOOGLETRANSLATE(D:D,""auto"",""en"")"),"Jintai Heng Itaewon ClassOST")</f>
        <v>Jintai Heng Itaewon ClassOST</v>
      </c>
      <c r="D7409" s="5" t="s">
        <v>17023</v>
      </c>
      <c r="E7409" s="4">
        <v>208054</v>
      </c>
    </row>
    <row r="7410" spans="1:6" ht="13.5" customHeight="1">
      <c r="A7410" s="4" t="s">
        <v>17024</v>
      </c>
      <c r="B7410" s="4" t="s">
        <v>16914</v>
      </c>
      <c r="C7410" s="4" t="str">
        <f ca="1">IFERROR(__xludf.DUMMYFUNCTION("GOOGLETRANSLATE(D:D,""auto"",""en"")"),"The new crown pneumonia cases in Australia increased to 156 cases")</f>
        <v>The new crown pneumonia cases in Australia increased to 156 cases</v>
      </c>
      <c r="D7410" s="5" t="s">
        <v>17025</v>
      </c>
      <c r="E7410" s="4">
        <v>189383</v>
      </c>
      <c r="F7410">
        <v>1</v>
      </c>
    </row>
    <row r="7411" spans="1:6" ht="13.5" hidden="1" customHeight="1">
      <c r="A7411" s="4" t="s">
        <v>17026</v>
      </c>
      <c r="B7411" s="4" t="s">
        <v>17027</v>
      </c>
      <c r="C7411" s="4" t="str">
        <f ca="1">IFERROR(__xludf.DUMMYFUNCTION("GOOGLETRANSLATE(D:D,""auto"",""en"")"),"Global box office or loss of billions of dollars")</f>
        <v>Global box office or loss of billions of dollars</v>
      </c>
      <c r="D7411" s="5" t="s">
        <v>17028</v>
      </c>
      <c r="E7411" s="4">
        <v>165079</v>
      </c>
    </row>
    <row r="7412" spans="1:6" ht="13.5" hidden="1" customHeight="1">
      <c r="C7412" s="4" t="str">
        <f ca="1">IFERROR(__xludf.DUMMYFUNCTION("GOOGLETRANSLATE(D:D,""auto"",""en"")"),"#VALUE!")</f>
        <v>#VALUE!</v>
      </c>
    </row>
    <row r="7413" spans="1:6" ht="13.5" customHeight="1">
      <c r="A7413" s="4" t="s">
        <v>17029</v>
      </c>
      <c r="B7413" s="4" t="s">
        <v>17030</v>
      </c>
      <c r="C7413" s="4" t="str">
        <f ca="1">IFERROR(__xludf.DUMMYFUNCTION("GOOGLETRANSLATE(D:D,""auto"",""en"")"),"University school to continue after the extension")</f>
        <v>University school to continue after the extension</v>
      </c>
      <c r="D7413" s="4" t="s">
        <v>17031</v>
      </c>
      <c r="E7413" s="4">
        <v>3146971</v>
      </c>
      <c r="F7413">
        <v>1</v>
      </c>
    </row>
    <row r="7414" spans="1:6" ht="13.5" hidden="1" customHeight="1">
      <c r="A7414" s="4" t="s">
        <v>17032</v>
      </c>
      <c r="B7414" s="4" t="s">
        <v>17033</v>
      </c>
      <c r="C7414" s="4" t="str">
        <f ca="1">IFERROR(__xludf.DUMMYFUNCTION("GOOGLETRANSLATE(D:D,""auto"",""en"")"),"Curry did not dare cough")</f>
        <v>Curry did not dare cough</v>
      </c>
      <c r="D7414" s="5" t="s">
        <v>17034</v>
      </c>
      <c r="E7414" s="4">
        <v>2336394</v>
      </c>
    </row>
    <row r="7415" spans="1:6" ht="13.5" customHeight="1">
      <c r="A7415" s="4" t="s">
        <v>17035</v>
      </c>
      <c r="B7415" s="4" t="s">
        <v>17036</v>
      </c>
      <c r="C7415" s="4" t="str">
        <f ca="1">IFERROR(__xludf.DUMMYFUNCTION("GOOGLETRANSLATE(D:D,""auto"",""en"")"),"Trump praised the Chinese epidemic prevention and control outcomes")</f>
        <v>Trump praised the Chinese epidemic prevention and control outcomes</v>
      </c>
      <c r="D7415" s="5" t="s">
        <v>17037</v>
      </c>
      <c r="E7415" s="4">
        <v>2282155</v>
      </c>
      <c r="F7415">
        <v>1</v>
      </c>
    </row>
    <row r="7416" spans="1:6" ht="13.5" customHeight="1">
      <c r="A7416" s="4" t="s">
        <v>17038</v>
      </c>
      <c r="B7416" s="4" t="s">
        <v>17039</v>
      </c>
      <c r="C7416" s="4" t="str">
        <f ca="1">IFERROR(__xludf.DUMMYFUNCTION("GOOGLETRANSLATE(D:D,""auto"",""en"")"),"Cancel Tokyo Olympic torch relay in Greece")</f>
        <v>Cancel Tokyo Olympic torch relay in Greece</v>
      </c>
      <c r="D7416" s="5" t="s">
        <v>17040</v>
      </c>
      <c r="E7416" s="4">
        <v>1750101</v>
      </c>
      <c r="F7416">
        <v>1</v>
      </c>
    </row>
    <row r="7417" spans="1:6" ht="13.5" hidden="1" customHeight="1">
      <c r="A7417" s="4" t="s">
        <v>17041</v>
      </c>
      <c r="B7417" s="4" t="s">
        <v>16925</v>
      </c>
      <c r="C7417" s="4" t="str">
        <f ca="1">IFERROR(__xludf.DUMMYFUNCTION("GOOGLETRANSLATE(D:D,""auto"",""en"")"),"Zhang Jianing support her mother remarried")</f>
        <v>Zhang Jianing support her mother remarried</v>
      </c>
      <c r="D7417" s="5" t="s">
        <v>17042</v>
      </c>
      <c r="E7417" s="4">
        <v>1600563</v>
      </c>
    </row>
    <row r="7418" spans="1:6" ht="13.5" customHeight="1">
      <c r="A7418" s="4" t="s">
        <v>17043</v>
      </c>
      <c r="B7418" s="4" t="s">
        <v>17044</v>
      </c>
      <c r="C7418" s="4" t="str">
        <f ca="1">IFERROR(__xludf.DUMMYFUNCTION("GOOGLETRANSLATE(D:D,""auto"",""en"")"),"Hunan Yueyang screening found five asymptomatic infection")</f>
        <v>Hunan Yueyang screening found five asymptomatic infection</v>
      </c>
      <c r="D7418" s="5" t="s">
        <v>17045</v>
      </c>
      <c r="E7418" s="4">
        <v>1475523</v>
      </c>
      <c r="F7418">
        <v>1</v>
      </c>
    </row>
    <row r="7419" spans="1:6" ht="13.5" customHeight="1">
      <c r="A7419" s="4" t="s">
        <v>17046</v>
      </c>
      <c r="B7419" s="4" t="s">
        <v>17047</v>
      </c>
      <c r="C7419" s="4" t="str">
        <f ca="1">IFERROR(__xludf.DUMMYFUNCTION("GOOGLETRANSLATE(D:D,""auto"",""en"")"),"The new crown the world's smallest virus infection")</f>
        <v>The new crown the world's smallest virus infection</v>
      </c>
      <c r="D7419" s="5" t="s">
        <v>17048</v>
      </c>
      <c r="E7419" s="4">
        <v>1388885</v>
      </c>
      <c r="F7419">
        <v>1</v>
      </c>
    </row>
    <row r="7420" spans="1:6" ht="13.5" hidden="1" customHeight="1">
      <c r="A7420" s="4" t="s">
        <v>17049</v>
      </c>
      <c r="B7420" s="4" t="s">
        <v>17050</v>
      </c>
      <c r="C7420" s="4" t="str">
        <f ca="1">IFERROR(__xludf.DUMMYFUNCTION("GOOGLETRANSLATE(D:D,""auto"",""en"")"),"WHO says no country can afford to give up on themselves")</f>
        <v>WHO says no country can afford to give up on themselves</v>
      </c>
      <c r="D7420" s="5" t="s">
        <v>17051</v>
      </c>
      <c r="E7420" s="4">
        <v>1116370</v>
      </c>
    </row>
    <row r="7421" spans="1:6" ht="13.5" hidden="1" customHeight="1">
      <c r="A7421" s="4" t="s">
        <v>17052</v>
      </c>
      <c r="B7421" s="4" t="s">
        <v>17053</v>
      </c>
      <c r="C7421" s="4" t="str">
        <f ca="1">IFERROR(__xludf.DUMMYFUNCTION("GOOGLETRANSLATE(D:D,""auto"",""en"")"),"High mortality or the United States explained that many patients have not been found")</f>
        <v>High mortality or the United States explained that many patients have not been found</v>
      </c>
      <c r="D7421" s="5" t="s">
        <v>17054</v>
      </c>
      <c r="E7421" s="4">
        <v>952663</v>
      </c>
    </row>
    <row r="7422" spans="1:6" ht="13.5" hidden="1" customHeight="1">
      <c r="A7422" s="4" t="s">
        <v>17055</v>
      </c>
      <c r="B7422" s="4" t="s">
        <v>17056</v>
      </c>
      <c r="C7422" s="4" t="str">
        <f ca="1">IFERROR(__xludf.DUMMYFUNCTION("GOOGLETRANSLATE(D:D,""auto"",""en"")"),"Shen Teng imitate find Saipan")</f>
        <v>Shen Teng imitate find Saipan</v>
      </c>
      <c r="D7422" s="5" t="s">
        <v>17057</v>
      </c>
      <c r="E7422" s="4">
        <v>877908</v>
      </c>
    </row>
    <row r="7423" spans="1:6" ht="13.5" hidden="1" customHeight="1">
      <c r="A7423" s="4" t="s">
        <v>17058</v>
      </c>
      <c r="B7423" s="4" t="s">
        <v>16910</v>
      </c>
      <c r="C7423" s="4" t="str">
        <f ca="1">IFERROR(__xludf.DUMMYFUNCTION("GOOGLETRANSLATE(D:D,""auto"",""en"")"),"Golden old couple from severe to go home")</f>
        <v>Golden old couple from severe to go home</v>
      </c>
      <c r="D7423" s="5" t="s">
        <v>17059</v>
      </c>
      <c r="E7423" s="4">
        <v>827511</v>
      </c>
    </row>
    <row r="7424" spans="1:6" ht="13.5" hidden="1" customHeight="1">
      <c r="A7424" s="4" t="s">
        <v>17060</v>
      </c>
      <c r="B7424" s="4" t="s">
        <v>17061</v>
      </c>
      <c r="C7424" s="4" t="str">
        <f ca="1">IFERROR(__xludf.DUMMYFUNCTION("GOOGLETRANSLATE(D:D,""auto"",""en"")"),"Jeremy Lin cumulative donations exceed 3 million")</f>
        <v>Jeremy Lin cumulative donations exceed 3 million</v>
      </c>
      <c r="D7424" s="5" t="s">
        <v>17062</v>
      </c>
      <c r="E7424" s="4">
        <v>812899</v>
      </c>
    </row>
    <row r="7425" spans="1:6" ht="13.5" customHeight="1">
      <c r="A7425" s="4" t="s">
        <v>17063</v>
      </c>
      <c r="B7425" s="4" t="s">
        <v>17064</v>
      </c>
      <c r="C7425" s="4" t="str">
        <f ca="1">IFERROR(__xludf.DUMMYFUNCTION("GOOGLETRANSLATE(D:D,""auto"",""en"")"),"Italy's chief medical officer died of pneumonia because of the new crown")</f>
        <v>Italy's chief medical officer died of pneumonia because of the new crown</v>
      </c>
      <c r="D7425" s="5" t="s">
        <v>17065</v>
      </c>
      <c r="E7425" s="4">
        <v>811942</v>
      </c>
      <c r="F7425">
        <v>1</v>
      </c>
    </row>
    <row r="7426" spans="1:6" ht="13.5" customHeight="1">
      <c r="A7426" s="4" t="s">
        <v>17058</v>
      </c>
      <c r="B7426" s="4" t="s">
        <v>17066</v>
      </c>
      <c r="C7426" s="4" t="str">
        <f ca="1">IFERROR(__xludf.DUMMYFUNCTION("GOOGLETRANSLATE(D:D,""auto"",""en"")"),"China thousands of years of war and plague")</f>
        <v>China thousands of years of war and plague</v>
      </c>
      <c r="D7426" s="5" t="s">
        <v>17067</v>
      </c>
      <c r="E7426" s="4">
        <v>807596</v>
      </c>
      <c r="F7426">
        <v>1</v>
      </c>
    </row>
    <row r="7427" spans="1:6" ht="13.5" hidden="1" customHeight="1">
      <c r="A7427" s="4" t="s">
        <v>17068</v>
      </c>
      <c r="B7427" s="4" t="s">
        <v>17069</v>
      </c>
      <c r="C7427" s="4" t="str">
        <f ca="1">IFERROR(__xludf.DUMMYFUNCTION("GOOGLETRANSLATE(D:D,""auto"",""en"")"),"Bill Gates quit Microsoft board")</f>
        <v>Bill Gates quit Microsoft board</v>
      </c>
      <c r="D7427" s="5" t="s">
        <v>17070</v>
      </c>
      <c r="E7427" s="4">
        <v>804576</v>
      </c>
    </row>
    <row r="7428" spans="1:6" ht="13.5" hidden="1" customHeight="1">
      <c r="A7428" s="4" t="s">
        <v>17071</v>
      </c>
      <c r="B7428" s="4" t="s">
        <v>17044</v>
      </c>
      <c r="C7428" s="4" t="str">
        <f ca="1">IFERROR(__xludf.DUMMYFUNCTION("GOOGLETRANSLATE(D:D,""auto"",""en"")"),"Hu Ge Legend of the scenes photos")</f>
        <v>Hu Ge Legend of the scenes photos</v>
      </c>
      <c r="D7428" s="5" t="s">
        <v>17072</v>
      </c>
      <c r="E7428" s="4">
        <v>798660</v>
      </c>
    </row>
    <row r="7429" spans="1:6" ht="13.5" customHeight="1">
      <c r="A7429" s="4" t="s">
        <v>17073</v>
      </c>
      <c r="B7429" s="4" t="s">
        <v>17074</v>
      </c>
      <c r="C7429" s="4" t="str">
        <f ca="1">IFERROR(__xludf.DUMMYFUNCTION("GOOGLETRANSLATE(D:D,""auto"",""en"")"),"A primary school in Sichuan did not urge parents to pay tuition")</f>
        <v>A primary school in Sichuan did not urge parents to pay tuition</v>
      </c>
      <c r="D7429" s="5" t="s">
        <v>17075</v>
      </c>
      <c r="E7429" s="4">
        <v>798348</v>
      </c>
      <c r="F7429">
        <v>1</v>
      </c>
    </row>
    <row r="7430" spans="1:6" ht="13.5" hidden="1" customHeight="1">
      <c r="A7430" s="4" t="s">
        <v>17076</v>
      </c>
      <c r="B7430" s="4" t="s">
        <v>16977</v>
      </c>
      <c r="C7430" s="4" t="str">
        <f ca="1">IFERROR(__xludf.DUMMYFUNCTION("GOOGLETRANSLATE(D:D,""auto"",""en"")"),"This winter suddenly grown up children")</f>
        <v>This winter suddenly grown up children</v>
      </c>
      <c r="D7430" s="5" t="s">
        <v>17077</v>
      </c>
      <c r="E7430" s="4">
        <v>722294</v>
      </c>
    </row>
    <row r="7431" spans="1:6" ht="13.5" hidden="1" customHeight="1">
      <c r="A7431" s="4" t="s">
        <v>17078</v>
      </c>
      <c r="B7431" s="4" t="s">
        <v>16974</v>
      </c>
      <c r="C7431" s="4" t="str">
        <f ca="1">IFERROR(__xludf.DUMMYFUNCTION("GOOGLETRANSLATE(D:D,""auto"",""en"")"),"Jun Ji-hyun Review")</f>
        <v>Jun Ji-hyun Review</v>
      </c>
      <c r="D7431" s="5" t="s">
        <v>17079</v>
      </c>
      <c r="E7431" s="4">
        <v>689926</v>
      </c>
    </row>
    <row r="7432" spans="1:6" ht="13.5" customHeight="1">
      <c r="A7432" s="4" t="s">
        <v>17080</v>
      </c>
      <c r="B7432" s="4" t="s">
        <v>17061</v>
      </c>
      <c r="C7432" s="4" t="str">
        <f ca="1">IFERROR(__xludf.DUMMYFUNCTION("GOOGLETRANSLATE(D:D,""auto"",""en"")"),"Ibaka new virus were negative crown")</f>
        <v>Ibaka new virus were negative crown</v>
      </c>
      <c r="D7432" s="5" t="s">
        <v>17081</v>
      </c>
      <c r="E7432" s="4">
        <v>655372</v>
      </c>
      <c r="F7432">
        <v>1</v>
      </c>
    </row>
    <row r="7433" spans="1:6" ht="13.5" hidden="1" customHeight="1">
      <c r="A7433" s="4" t="s">
        <v>17052</v>
      </c>
      <c r="B7433" s="4" t="s">
        <v>17082</v>
      </c>
      <c r="C7433" s="4" t="str">
        <f ca="1">IFERROR(__xludf.DUMMYFUNCTION("GOOGLETRANSLATE(D:D,""auto"",""en"")"),"The Little Mermaid Tingpai")</f>
        <v>The Little Mermaid Tingpai</v>
      </c>
      <c r="D7433" s="5" t="s">
        <v>17083</v>
      </c>
      <c r="E7433" s="4">
        <v>613019</v>
      </c>
    </row>
    <row r="7434" spans="1:6" ht="13.5" customHeight="1">
      <c r="A7434" s="4" t="s">
        <v>17084</v>
      </c>
      <c r="B7434" s="4" t="s">
        <v>17085</v>
      </c>
      <c r="C7434" s="4" t="str">
        <f ca="1">IFERROR(__xludf.DUMMYFUNCTION("GOOGLETRANSLATE(D:D,""auto"",""en"")"),"Middle East version of the module hospital internal screen")</f>
        <v>Middle East version of the module hospital internal screen</v>
      </c>
      <c r="D7434" s="5" t="s">
        <v>17086</v>
      </c>
      <c r="E7434" s="4">
        <v>549837</v>
      </c>
      <c r="F7434">
        <v>1</v>
      </c>
    </row>
    <row r="7435" spans="1:6" ht="13.5" hidden="1" customHeight="1">
      <c r="A7435" s="4" t="s">
        <v>17087</v>
      </c>
      <c r="B7435" s="4" t="s">
        <v>17088</v>
      </c>
      <c r="C7435" s="4" t="str">
        <f ca="1">IFERROR(__xludf.DUMMYFUNCTION("GOOGLETRANSLATE(D:D,""auto"",""en"")"),"Tangshan outside the hiding of the disease treatment costs from fear")</f>
        <v>Tangshan outside the hiding of the disease treatment costs from fear</v>
      </c>
      <c r="D7435" s="5" t="s">
        <v>17089</v>
      </c>
      <c r="E7435" s="4">
        <v>495641</v>
      </c>
    </row>
    <row r="7436" spans="1:6" ht="13.5" customHeight="1">
      <c r="A7436" s="4" t="s">
        <v>17090</v>
      </c>
      <c r="B7436" s="4" t="s">
        <v>17091</v>
      </c>
      <c r="C7436" s="4" t="str">
        <f ca="1">IFERROR(__xludf.DUMMYFUNCTION("GOOGLETRANSLATE(D:D,""auto"",""en"")"),"In addition to Wuhan, Hubei nine consecutive days and new")</f>
        <v>In addition to Wuhan, Hubei nine consecutive days and new</v>
      </c>
      <c r="D7436" s="5" t="s">
        <v>17092</v>
      </c>
      <c r="E7436" s="4">
        <v>480191</v>
      </c>
      <c r="F7436">
        <v>1</v>
      </c>
    </row>
    <row r="7437" spans="1:6" ht="13.5" hidden="1" customHeight="1">
      <c r="A7437" s="4" t="s">
        <v>17093</v>
      </c>
      <c r="B7437" s="4" t="s">
        <v>17094</v>
      </c>
      <c r="C7437" s="4" t="str">
        <f ca="1">IFERROR(__xludf.DUMMYFUNCTION("GOOGLETRANSLATE(D:D,""auto"",""en"")"),"Zhan Qingyun response")</f>
        <v>Zhan Qingyun response</v>
      </c>
      <c r="D7437" s="5" t="s">
        <v>17095</v>
      </c>
      <c r="E7437" s="4">
        <v>475489</v>
      </c>
    </row>
    <row r="7438" spans="1:6" ht="13.5" customHeight="1">
      <c r="A7438" s="4" t="s">
        <v>17038</v>
      </c>
      <c r="B7438" s="4" t="s">
        <v>17096</v>
      </c>
      <c r="C7438" s="4" t="str">
        <f ca="1">IFERROR(__xludf.DUMMYFUNCTION("GOOGLETRANSLATE(D:D,""auto"",""en"")"),"New domestic crown over 80% of patients diagnosed with pneumonia was cured")</f>
        <v>New domestic crown over 80% of patients diagnosed with pneumonia was cured</v>
      </c>
      <c r="D7438" s="5" t="s">
        <v>17097</v>
      </c>
      <c r="E7438" s="4">
        <v>459197</v>
      </c>
      <c r="F7438">
        <v>1</v>
      </c>
    </row>
    <row r="7439" spans="1:6" ht="13.5" hidden="1" customHeight="1">
      <c r="A7439" s="4" t="s">
        <v>17098</v>
      </c>
      <c r="B7439" s="4" t="s">
        <v>17099</v>
      </c>
      <c r="C7439" s="4" t="str">
        <f ca="1">IFERROR(__xludf.DUMMYFUNCTION("GOOGLETRANSLATE(D:D,""auto"",""en"")"),"Dunk")</f>
        <v>Dunk</v>
      </c>
      <c r="D7439" s="5" t="s">
        <v>17100</v>
      </c>
      <c r="E7439" s="4">
        <v>412982</v>
      </c>
    </row>
    <row r="7440" spans="1:6" ht="13.5" customHeight="1">
      <c r="A7440" s="4" t="s">
        <v>17101</v>
      </c>
      <c r="B7440" s="4" t="s">
        <v>16980</v>
      </c>
      <c r="C7440" s="4" t="str">
        <f ca="1">IFERROR(__xludf.DUMMYFUNCTION("GOOGLETRANSLATE(D:D,""auto"",""en"")"),"Trump said it would soon accept the new virus detection crown")</f>
        <v>Trump said it would soon accept the new virus detection crown</v>
      </c>
      <c r="D7440" s="5" t="s">
        <v>17102</v>
      </c>
      <c r="E7440" s="4">
        <v>403066</v>
      </c>
      <c r="F7440">
        <v>1</v>
      </c>
    </row>
    <row r="7441" spans="1:6" ht="13.5" hidden="1" customHeight="1">
      <c r="A7441" s="4" t="s">
        <v>17103</v>
      </c>
      <c r="B7441" s="4" t="s">
        <v>17056</v>
      </c>
      <c r="C7441" s="4" t="str">
        <f ca="1">IFERROR(__xludf.DUMMYFUNCTION("GOOGLETRANSLATE(D:D,""auto"",""en"")"),"US stocks rose")</f>
        <v>US stocks rose</v>
      </c>
      <c r="D7441" s="5" t="s">
        <v>17104</v>
      </c>
      <c r="E7441" s="4">
        <v>387844</v>
      </c>
    </row>
    <row r="7442" spans="1:6" ht="13.5" customHeight="1">
      <c r="A7442" s="4" t="s">
        <v>17105</v>
      </c>
      <c r="B7442" s="4" t="s">
        <v>17106</v>
      </c>
      <c r="C7442" s="4" t="str">
        <f ca="1">IFERROR(__xludf.DUMMYFUNCTION("GOOGLETRANSLATE(D:D,""auto"",""en"")"),"Wuhan add four new cases of pneumonia crown")</f>
        <v>Wuhan add four new cases of pneumonia crown</v>
      </c>
      <c r="D7442" s="5" t="s">
        <v>17107</v>
      </c>
      <c r="E7442" s="4">
        <v>383301</v>
      </c>
      <c r="F7442">
        <v>1</v>
      </c>
    </row>
    <row r="7443" spans="1:6" ht="13.5" hidden="1" customHeight="1">
      <c r="A7443" s="4" t="s">
        <v>17108</v>
      </c>
      <c r="B7443" s="4" t="s">
        <v>17109</v>
      </c>
      <c r="C7443" s="4" t="str">
        <f ca="1">IFERROR(__xludf.DUMMYFUNCTION("GOOGLETRANSLATE(D:D,""auto"",""en"")"),"The children of divorced parents remarry support it")</f>
        <v>The children of divorced parents remarry support it</v>
      </c>
      <c r="D7443" s="5" t="s">
        <v>17110</v>
      </c>
      <c r="E7443" s="4">
        <v>377612</v>
      </c>
    </row>
    <row r="7444" spans="1:6" ht="13.5" hidden="1" customHeight="1">
      <c r="A7444" s="4" t="s">
        <v>17078</v>
      </c>
      <c r="B7444" s="4" t="s">
        <v>17047</v>
      </c>
      <c r="C7444" s="4" t="str">
        <f ca="1">IFERROR(__xludf.DUMMYFUNCTION("GOOGLETRANSLATE(D:D,""auto"",""en"")"),"Black Widow Cover")</f>
        <v>Black Widow Cover</v>
      </c>
      <c r="D7444" s="5" t="s">
        <v>17111</v>
      </c>
      <c r="E7444" s="4">
        <v>369366</v>
      </c>
    </row>
    <row r="7445" spans="1:6" ht="13.5" hidden="1" customHeight="1">
      <c r="A7445" s="4" t="s">
        <v>17112</v>
      </c>
      <c r="B7445" s="4" t="s">
        <v>17113</v>
      </c>
      <c r="C7445" s="4" t="str">
        <f ca="1">IFERROR(__xludf.DUMMYFUNCTION("GOOGLETRANSLATE(D:D,""auto"",""en"")"),"Ronaldinho participated in jail Cup win")</f>
        <v>Ronaldinho participated in jail Cup win</v>
      </c>
      <c r="D7445" s="5" t="s">
        <v>17114</v>
      </c>
      <c r="E7445" s="4">
        <v>366178</v>
      </c>
    </row>
    <row r="7446" spans="1:6" ht="13.5" customHeight="1">
      <c r="A7446" s="4" t="s">
        <v>17115</v>
      </c>
      <c r="B7446" s="4" t="s">
        <v>17116</v>
      </c>
      <c r="C7446" s="4" t="str">
        <f ca="1">IFERROR(__xludf.DUMMYFUNCTION("GOOGLETRANSLATE(D:D,""auto"",""en"")"),"The new confirmed cases of pneumonia in the United States exceeded 20 crown")</f>
        <v>The new confirmed cases of pneumonia in the United States exceeded 20 crown</v>
      </c>
      <c r="D7446" s="5" t="s">
        <v>17117</v>
      </c>
      <c r="E7446" s="4">
        <v>358547</v>
      </c>
      <c r="F7446">
        <v>1</v>
      </c>
    </row>
    <row r="7447" spans="1:6" ht="13.5" hidden="1" customHeight="1">
      <c r="A7447" s="4" t="s">
        <v>5351</v>
      </c>
      <c r="B7447" s="4" t="s">
        <v>5352</v>
      </c>
      <c r="C7447" s="4" t="str">
        <f ca="1">IFERROR(__xludf.DUMMYFUNCTION("GOOGLETRANSLATE(D:D,""auto"",""en"")"),"My home girl")</f>
        <v>My home girl</v>
      </c>
      <c r="D7447" s="5" t="s">
        <v>5353</v>
      </c>
      <c r="E7447" s="4">
        <v>349824</v>
      </c>
    </row>
    <row r="7448" spans="1:6" ht="13.5" hidden="1" customHeight="1">
      <c r="A7448" s="4" t="s">
        <v>17118</v>
      </c>
      <c r="B7448" s="4" t="s">
        <v>17119</v>
      </c>
      <c r="C7448" s="4" t="str">
        <f ca="1">IFERROR(__xludf.DUMMYFUNCTION("GOOGLETRANSLATE(D:D,""auto"",""en"")"),"Have you ever ticking and I will crash")</f>
        <v>Have you ever ticking and I will crash</v>
      </c>
      <c r="D7448" s="5" t="s">
        <v>17120</v>
      </c>
      <c r="E7448" s="4">
        <v>344979</v>
      </c>
    </row>
    <row r="7449" spans="1:6" ht="13.5" customHeight="1">
      <c r="A7449" s="4" t="s">
        <v>17121</v>
      </c>
      <c r="B7449" s="4" t="s">
        <v>17122</v>
      </c>
      <c r="C7449" s="4" t="str">
        <f ca="1">IFERROR(__xludf.DUMMYFUNCTION("GOOGLETRANSLATE(D:D,""auto"",""en"")"),"WHO declared a global epidemic hit Europe")</f>
        <v>WHO declared a global epidemic hit Europe</v>
      </c>
      <c r="D7449" s="5" t="s">
        <v>17123</v>
      </c>
      <c r="E7449" s="4">
        <v>320638</v>
      </c>
      <c r="F7449">
        <v>1</v>
      </c>
    </row>
    <row r="7450" spans="1:6" ht="13.5" customHeight="1">
      <c r="A7450" s="4" t="s">
        <v>17124</v>
      </c>
      <c r="B7450" s="4" t="s">
        <v>17109</v>
      </c>
      <c r="C7450" s="4" t="str">
        <f ca="1">IFERROR(__xludf.DUMMYFUNCTION("GOOGLETRANSLATE(D:D,""auto"",""en"")"),"Isolated dot lifted volunteer student dormitory precise reduction")</f>
        <v>Isolated dot lifted volunteer student dormitory precise reduction</v>
      </c>
      <c r="D7450" s="5" t="s">
        <v>17125</v>
      </c>
      <c r="E7450" s="4">
        <v>274168</v>
      </c>
      <c r="F7450">
        <v>1</v>
      </c>
    </row>
    <row r="7451" spans="1:6" ht="13.5" hidden="1" customHeight="1">
      <c r="A7451" s="4" t="s">
        <v>16009</v>
      </c>
      <c r="B7451" s="4" t="s">
        <v>16010</v>
      </c>
      <c r="C7451" s="4" t="str">
        <f ca="1">IFERROR(__xludf.DUMMYFUNCTION("GOOGLETRANSLATE(D:D,""auto"",""en"")"),"Trump")</f>
        <v>Trump</v>
      </c>
      <c r="D7451" s="5" t="s">
        <v>16011</v>
      </c>
      <c r="E7451" s="4">
        <v>272331</v>
      </c>
    </row>
    <row r="7452" spans="1:6" ht="13.5" hidden="1" customHeight="1">
      <c r="A7452" s="4" t="s">
        <v>16946</v>
      </c>
      <c r="B7452" s="4" t="s">
        <v>16947</v>
      </c>
      <c r="C7452" s="4" t="str">
        <f ca="1">IFERROR(__xludf.DUMMYFUNCTION("GOOGLETRANSLATE(D:D,""auto"",""en"")"),"Huang Yali's home")</f>
        <v>Huang Yali's home</v>
      </c>
      <c r="D7452" s="5" t="s">
        <v>16948</v>
      </c>
      <c r="E7452" s="4">
        <v>270740</v>
      </c>
    </row>
    <row r="7453" spans="1:6" ht="13.5" hidden="1" customHeight="1">
      <c r="A7453" s="4" t="s">
        <v>17126</v>
      </c>
      <c r="B7453" s="4" t="s">
        <v>17127</v>
      </c>
      <c r="C7453" s="4" t="str">
        <f ca="1">IFERROR(__xludf.DUMMYFUNCTION("GOOGLETRANSLATE(D:D,""auto"",""en"")"),"Sichuan experts support the story behind Italy")</f>
        <v>Sichuan experts support the story behind Italy</v>
      </c>
      <c r="D7453" s="5" t="s">
        <v>17128</v>
      </c>
      <c r="E7453" s="4">
        <v>270260</v>
      </c>
    </row>
    <row r="7454" spans="1:6" ht="13.5" customHeight="1">
      <c r="A7454" s="4" t="s">
        <v>17129</v>
      </c>
      <c r="B7454" s="4" t="s">
        <v>17074</v>
      </c>
      <c r="C7454" s="4" t="str">
        <f ca="1">IFERROR(__xludf.DUMMYFUNCTION("GOOGLETRANSLATE(D:D,""auto"",""en"")"),"Wuhan new cases for 3 consecutive days and a single-digit decreasing")</f>
        <v>Wuhan new cases for 3 consecutive days and a single-digit decreasing</v>
      </c>
      <c r="D7454" s="5" t="s">
        <v>17130</v>
      </c>
      <c r="E7454" s="4">
        <v>268917</v>
      </c>
      <c r="F7454">
        <v>1</v>
      </c>
    </row>
    <row r="7455" spans="1:6" ht="13.5" hidden="1" customHeight="1">
      <c r="A7455" s="4" t="s">
        <v>17131</v>
      </c>
      <c r="B7455" s="4" t="s">
        <v>17127</v>
      </c>
      <c r="C7455" s="4" t="str">
        <f ca="1">IFERROR(__xludf.DUMMYFUNCTION("GOOGLETRANSLATE(D:D,""auto"",""en"")"),"Dufu Guo turned announcer")</f>
        <v>Dufu Guo turned announcer</v>
      </c>
      <c r="D7455" s="5" t="s">
        <v>17132</v>
      </c>
      <c r="E7455" s="4">
        <v>267341</v>
      </c>
    </row>
    <row r="7456" spans="1:6" ht="13.5" hidden="1" customHeight="1">
      <c r="A7456" s="4" t="s">
        <v>17133</v>
      </c>
      <c r="B7456" s="4" t="s">
        <v>17134</v>
      </c>
      <c r="C7456" s="4" t="str">
        <f ca="1">IFERROR(__xludf.DUMMYFUNCTION("GOOGLETRANSLATE(D:D,""auto"",""en"")"),"Ma with Italian opera refueling")</f>
        <v>Ma with Italian opera refueling</v>
      </c>
      <c r="D7456" s="5" t="s">
        <v>17135</v>
      </c>
      <c r="E7456" s="4">
        <v>264645</v>
      </c>
    </row>
    <row r="7457" spans="1:6" ht="13.5" customHeight="1">
      <c r="A7457" s="4" t="s">
        <v>17136</v>
      </c>
      <c r="B7457" s="4" t="s">
        <v>17134</v>
      </c>
      <c r="C7457" s="4" t="str">
        <f ca="1">IFERROR(__xludf.DUMMYFUNCTION("GOOGLETRANSLATE(D:D,""auto"",""en"")"),"Russia's first shelter hospital construction")</f>
        <v>Russia's first shelter hospital construction</v>
      </c>
      <c r="D7457" s="5" t="s">
        <v>17137</v>
      </c>
      <c r="E7457" s="4">
        <v>264406</v>
      </c>
      <c r="F7457">
        <v>1</v>
      </c>
    </row>
    <row r="7458" spans="1:6" ht="13.5" customHeight="1">
      <c r="A7458" s="4" t="s">
        <v>17138</v>
      </c>
      <c r="B7458" s="4" t="s">
        <v>17134</v>
      </c>
      <c r="C7458" s="4" t="str">
        <f ca="1">IFERROR(__xludf.DUMMYFUNCTION("GOOGLETRANSLATE(D:D,""auto"",""en"")"),"Brazil's ambassador to the US tested positive for the new virus crown")</f>
        <v>Brazil's ambassador to the US tested positive for the new virus crown</v>
      </c>
      <c r="D7458" s="5" t="s">
        <v>17139</v>
      </c>
      <c r="E7458" s="4">
        <v>261619</v>
      </c>
      <c r="F7458">
        <v>1</v>
      </c>
    </row>
    <row r="7459" spans="1:6" ht="13.5" hidden="1" customHeight="1">
      <c r="A7459" s="4" t="s">
        <v>17126</v>
      </c>
      <c r="B7459" s="4" t="s">
        <v>17140</v>
      </c>
      <c r="C7459" s="4" t="str">
        <f ca="1">IFERROR(__xludf.DUMMYFUNCTION("GOOGLETRANSLATE(D:D,""auto"",""en"")"),"Balcony gong to save the mother woman mother has been discharged from hospital")</f>
        <v>Balcony gong to save the mother woman mother has been discharged from hospital</v>
      </c>
      <c r="D7459" s="5" t="s">
        <v>17141</v>
      </c>
      <c r="E7459" s="4">
        <v>261389</v>
      </c>
    </row>
    <row r="7460" spans="1:6" ht="13.5" hidden="1" customHeight="1">
      <c r="A7460" s="4" t="s">
        <v>17142</v>
      </c>
      <c r="B7460" s="4" t="s">
        <v>17005</v>
      </c>
      <c r="C7460" s="4" t="str">
        <f ca="1">IFERROR(__xludf.DUMMYFUNCTION("GOOGLETRANSLATE(D:D,""auto"",""en"")"),"Zhengzhou Official Journal Guomou Peng treatment")</f>
        <v>Zhengzhou Official Journal Guomou Peng treatment</v>
      </c>
      <c r="D7460" s="5" t="s">
        <v>17143</v>
      </c>
      <c r="E7460" s="4">
        <v>247195</v>
      </c>
    </row>
    <row r="7461" spans="1:6" ht="13.5" customHeight="1">
      <c r="A7461" s="4" t="s">
        <v>17144</v>
      </c>
      <c r="B7461" s="4" t="s">
        <v>17145</v>
      </c>
      <c r="C7461" s="4" t="str">
        <f ca="1">IFERROR(__xludf.DUMMYFUNCTION("GOOGLETRANSLATE(D:D,""auto"",""en"")"),"Hubei Qianjiang people celebrate blasting reopened")</f>
        <v>Hubei Qianjiang people celebrate blasting reopened</v>
      </c>
      <c r="D7461" s="5" t="s">
        <v>17146</v>
      </c>
      <c r="E7461" s="4">
        <v>230268</v>
      </c>
      <c r="F7461">
        <v>1</v>
      </c>
    </row>
    <row r="7462" spans="1:6" ht="13.5" customHeight="1">
      <c r="A7462" s="4" t="s">
        <v>17147</v>
      </c>
      <c r="B7462" s="4" t="s">
        <v>17044</v>
      </c>
      <c r="C7462" s="4" t="str">
        <f ca="1">IFERROR(__xludf.DUMMYFUNCTION("GOOGLETRANSLATE(D:D,""auto"",""en"")"),"31 provinces and municipalities in 11 cases of new confirmed cases")</f>
        <v>31 provinces and municipalities in 11 cases of new confirmed cases</v>
      </c>
      <c r="D7462" s="5" t="s">
        <v>17148</v>
      </c>
      <c r="E7462" s="4">
        <v>215949</v>
      </c>
      <c r="F7462">
        <v>1</v>
      </c>
    </row>
    <row r="7463" spans="1:6" ht="13.5" hidden="1" customHeight="1">
      <c r="C7463" s="4" t="str">
        <f ca="1">IFERROR(__xludf.DUMMYFUNCTION("GOOGLETRANSLATE(D:D,""auto"",""en"")"),"#VALUE!")</f>
        <v>#VALUE!</v>
      </c>
    </row>
    <row r="7464" spans="1:6" ht="13.5" hidden="1" customHeight="1">
      <c r="A7464" s="4" t="s">
        <v>17149</v>
      </c>
      <c r="B7464" s="4" t="s">
        <v>17150</v>
      </c>
      <c r="C7464" s="4" t="str">
        <f ca="1">IFERROR(__xludf.DUMMYFUNCTION("GOOGLETRANSLATE(D:D,""auto"",""en"")"),"Wang Ziwen long hair")</f>
        <v>Wang Ziwen long hair</v>
      </c>
      <c r="D7464" s="4" t="s">
        <v>17151</v>
      </c>
      <c r="E7464" s="4">
        <v>3670693</v>
      </c>
    </row>
    <row r="7465" spans="1:6" ht="13.5" hidden="1" customHeight="1">
      <c r="A7465" s="4" t="s">
        <v>17152</v>
      </c>
      <c r="B7465" s="4" t="s">
        <v>17153</v>
      </c>
      <c r="C7465" s="4" t="str">
        <f ca="1">IFERROR(__xludf.DUMMYFUNCTION("GOOGLETRANSLATE(D:D,""auto"",""en"")"),"ECMO rescue throughout the first public")</f>
        <v>ECMO rescue throughout the first public</v>
      </c>
      <c r="D7465" s="5" t="s">
        <v>17154</v>
      </c>
      <c r="E7465" s="4">
        <v>1937241</v>
      </c>
    </row>
    <row r="7466" spans="1:6" ht="13.5" hidden="1" customHeight="1">
      <c r="A7466" s="4" t="s">
        <v>17155</v>
      </c>
      <c r="B7466" s="4" t="s">
        <v>17156</v>
      </c>
      <c r="C7466" s="4" t="str">
        <f ca="1">IFERROR(__xludf.DUMMYFUNCTION("GOOGLETRANSLATE(D:D,""auto"",""en"")"),"Liu Xijun voice")</f>
        <v>Liu Xijun voice</v>
      </c>
      <c r="D7466" s="5" t="s">
        <v>17157</v>
      </c>
      <c r="E7466" s="4">
        <v>1932821</v>
      </c>
    </row>
    <row r="7467" spans="1:6" ht="13.5" hidden="1" customHeight="1">
      <c r="A7467" s="4" t="s">
        <v>17158</v>
      </c>
      <c r="B7467" s="4" t="s">
        <v>17159</v>
      </c>
      <c r="C7467" s="4" t="str">
        <f ca="1">IFERROR(__xludf.DUMMYFUNCTION("GOOGLETRANSLATE(D:D,""auto"",""en"")"),"Three years after graduation gap between how much students")</f>
        <v>Three years after graduation gap between how much students</v>
      </c>
      <c r="D7467" s="5" t="s">
        <v>17160</v>
      </c>
      <c r="E7467" s="4">
        <v>1907922</v>
      </c>
    </row>
    <row r="7468" spans="1:6" ht="13.5" hidden="1" customHeight="1">
      <c r="A7468" s="4" t="s">
        <v>17155</v>
      </c>
      <c r="B7468" s="4" t="s">
        <v>17161</v>
      </c>
      <c r="C7468" s="4" t="str">
        <f ca="1">IFERROR(__xludf.DUMMYFUNCTION("GOOGLETRANSLATE(D:D,""auto"",""en"")"),"Abe again stressed the Tokyo Olympic Games will be held as scheduled")</f>
        <v>Abe again stressed the Tokyo Olympic Games will be held as scheduled</v>
      </c>
      <c r="D7468" s="5" t="s">
        <v>17162</v>
      </c>
      <c r="E7468" s="4">
        <v>1589224</v>
      </c>
    </row>
    <row r="7469" spans="1:6" ht="13.5" hidden="1" customHeight="1">
      <c r="A7469" s="4" t="s">
        <v>17163</v>
      </c>
      <c r="B7469" s="4" t="s">
        <v>17164</v>
      </c>
      <c r="C7469" s="4" t="str">
        <f ca="1">IFERROR(__xludf.DUMMYFUNCTION("GOOGLETRANSLATE(D:D,""auto"",""en"")"),"Caizhuo Yi cried")</f>
        <v>Caizhuo Yi cried</v>
      </c>
      <c r="D7469" s="5" t="s">
        <v>17165</v>
      </c>
      <c r="E7469" s="4">
        <v>1312962</v>
      </c>
    </row>
    <row r="7470" spans="1:6" ht="13.5" hidden="1" customHeight="1">
      <c r="A7470" s="4" t="s">
        <v>17166</v>
      </c>
      <c r="B7470" s="4" t="s">
        <v>17167</v>
      </c>
      <c r="C7470" s="4" t="str">
        <f ca="1">IFERROR(__xludf.DUMMYFUNCTION("GOOGLETRANSLATE(D:D,""auto"",""en"")"),"Qingfei detoxification soup total efficiency 97%")</f>
        <v>Qingfei detoxification soup total efficiency 97%</v>
      </c>
      <c r="D7470" s="5" t="s">
        <v>17168</v>
      </c>
      <c r="E7470" s="4">
        <v>1175523</v>
      </c>
    </row>
    <row r="7471" spans="1:6" ht="13.5" hidden="1" customHeight="1">
      <c r="A7471" s="4" t="s">
        <v>17169</v>
      </c>
      <c r="B7471" s="4" t="s">
        <v>17170</v>
      </c>
      <c r="C7471" s="4" t="str">
        <f ca="1">IFERROR(__xludf.DUMMYFUNCTION("GOOGLETRANSLATE(D:D,""auto"",""en"")"),"A first hole Cher")</f>
        <v>A first hole Cher</v>
      </c>
      <c r="D7471" s="5" t="s">
        <v>17171</v>
      </c>
      <c r="E7471" s="4">
        <v>1103690</v>
      </c>
    </row>
    <row r="7472" spans="1:6" ht="13.5" customHeight="1">
      <c r="A7472" s="4" t="s">
        <v>17172</v>
      </c>
      <c r="B7472" s="4" t="s">
        <v>17173</v>
      </c>
      <c r="C7472" s="4" t="str">
        <f ca="1">IFERROR(__xludf.DUMMYFUNCTION("GOOGLETRANSLATE(D:D,""auto"",""en"")"),"Disney closed the last day of the influx of thousands of visitors in the rain")</f>
        <v>Disney closed the last day of the influx of thousands of visitors in the rain</v>
      </c>
      <c r="D7472" s="5" t="s">
        <v>17174</v>
      </c>
      <c r="E7472" s="4">
        <v>973641</v>
      </c>
      <c r="F7472">
        <v>1</v>
      </c>
    </row>
    <row r="7473" spans="1:6" ht="13.5" hidden="1" customHeight="1">
      <c r="A7473" s="4" t="s">
        <v>12063</v>
      </c>
      <c r="B7473" s="4" t="s">
        <v>12051</v>
      </c>
      <c r="C7473" s="4" t="str">
        <f ca="1">IFERROR(__xludf.DUMMYFUNCTION("GOOGLETRANSLATE(D:D,""auto"",""en"")"),"settle down")</f>
        <v>settle down</v>
      </c>
      <c r="D7473" s="5" t="s">
        <v>12064</v>
      </c>
      <c r="E7473" s="4">
        <v>971706</v>
      </c>
    </row>
    <row r="7474" spans="1:6" ht="13.5" hidden="1" customHeight="1">
      <c r="A7474" s="4" t="s">
        <v>3562</v>
      </c>
      <c r="B7474" s="4" t="s">
        <v>3563</v>
      </c>
      <c r="C7474" s="4" t="str">
        <f ca="1">IFERROR(__xludf.DUMMYFUNCTION("GOOGLETRANSLATE(D:D,""auto"",""en"")"),"You have 2 youth")</f>
        <v>You have 2 youth</v>
      </c>
      <c r="D7474" s="5" t="s">
        <v>3564</v>
      </c>
      <c r="E7474" s="4">
        <v>803086</v>
      </c>
    </row>
    <row r="7475" spans="1:6" ht="13.5" hidden="1" customHeight="1">
      <c r="A7475" s="4" t="s">
        <v>17175</v>
      </c>
      <c r="B7475" s="4" t="s">
        <v>17176</v>
      </c>
      <c r="C7475" s="4" t="str">
        <f ca="1">IFERROR(__xludf.DUMMYFUNCTION("GOOGLETRANSLATE(D:D,""auto"",""en"")"),"The Spanish government announced that it would blockade the country")</f>
        <v>The Spanish government announced that it would blockade the country</v>
      </c>
      <c r="D7475" s="5" t="s">
        <v>17177</v>
      </c>
      <c r="E7475" s="4">
        <v>718591</v>
      </c>
    </row>
    <row r="7476" spans="1:6" ht="13.5" customHeight="1">
      <c r="A7476" s="4" t="s">
        <v>17175</v>
      </c>
      <c r="B7476" s="4" t="s">
        <v>17178</v>
      </c>
      <c r="C7476" s="4" t="str">
        <f ca="1">IFERROR(__xludf.DUMMYFUNCTION("GOOGLETRANSLATE(D:D,""auto"",""en"")"),"Hong Kong's new crown pneumonia confirmed cases increased to a total of 140 cases")</f>
        <v>Hong Kong's new crown pneumonia confirmed cases increased to a total of 140 cases</v>
      </c>
      <c r="D7476" s="5" t="s">
        <v>17179</v>
      </c>
      <c r="E7476" s="4">
        <v>697360</v>
      </c>
      <c r="F7476">
        <v>1</v>
      </c>
    </row>
    <row r="7477" spans="1:6" ht="13.5" customHeight="1">
      <c r="A7477" s="4" t="s">
        <v>17180</v>
      </c>
      <c r="B7477" s="4" t="s">
        <v>17181</v>
      </c>
      <c r="C7477" s="4" t="str">
        <f ca="1">IFERROR(__xludf.DUMMYFUNCTION("GOOGLETRANSLATE(D:D,""auto"",""en"")"),"Italy's new crown pneumonia mortality rate over 7%")</f>
        <v>Italy's new crown pneumonia mortality rate over 7%</v>
      </c>
      <c r="D7477" s="5" t="s">
        <v>17182</v>
      </c>
      <c r="E7477" s="4">
        <v>689825</v>
      </c>
      <c r="F7477">
        <v>1</v>
      </c>
    </row>
    <row r="7478" spans="1:6" ht="13.5" hidden="1" customHeight="1">
      <c r="A7478" s="4" t="s">
        <v>17183</v>
      </c>
      <c r="B7478" s="4" t="s">
        <v>17176</v>
      </c>
      <c r="C7478" s="4" t="str">
        <f ca="1">IFERROR(__xludf.DUMMYFUNCTION("GOOGLETRANSLATE(D:D,""auto"",""en"")"),"Pan was mad at your rain")</f>
        <v>Pan was mad at your rain</v>
      </c>
      <c r="D7478" s="5" t="s">
        <v>17184</v>
      </c>
      <c r="E7478" s="4">
        <v>687750</v>
      </c>
    </row>
    <row r="7479" spans="1:6" ht="13.5" hidden="1" customHeight="1">
      <c r="A7479" s="4" t="s">
        <v>17185</v>
      </c>
      <c r="B7479" s="4" t="s">
        <v>17153</v>
      </c>
      <c r="C7479" s="4" t="str">
        <f ca="1">IFERROR(__xludf.DUMMYFUNCTION("GOOGLETRANSLATE(D:D,""auto"",""en"")"),"Song Hye Kyo seaweed hair")</f>
        <v>Song Hye Kyo seaweed hair</v>
      </c>
      <c r="D7479" s="5" t="s">
        <v>17186</v>
      </c>
      <c r="E7479" s="4">
        <v>669699</v>
      </c>
    </row>
    <row r="7480" spans="1:6" ht="13.5" hidden="1" customHeight="1">
      <c r="A7480" s="4" t="s">
        <v>17187</v>
      </c>
      <c r="B7480" s="4" t="s">
        <v>17188</v>
      </c>
      <c r="C7480" s="4" t="str">
        <f ca="1">IFERROR(__xludf.DUMMYFUNCTION("GOOGLETRANSLATE(D:D,""auto"",""en"")"),"Henan street green belt now civet cat litter")</f>
        <v>Henan street green belt now civet cat litter</v>
      </c>
      <c r="D7480" s="5" t="s">
        <v>17189</v>
      </c>
      <c r="E7480" s="4">
        <v>660234</v>
      </c>
    </row>
    <row r="7481" spans="1:6" ht="13.5" hidden="1" customHeight="1">
      <c r="A7481" s="4" t="s">
        <v>17190</v>
      </c>
      <c r="B7481" s="4" t="s">
        <v>17191</v>
      </c>
      <c r="C7481" s="4" t="str">
        <f ca="1">IFERROR(__xludf.DUMMYFUNCTION("GOOGLETRANSLATE(D:D,""auto"",""en"")"),"Jolin black skirt Bra")</f>
        <v>Jolin black skirt Bra</v>
      </c>
      <c r="D7481" s="5" t="s">
        <v>17192</v>
      </c>
      <c r="E7481" s="4">
        <v>628311</v>
      </c>
    </row>
    <row r="7482" spans="1:6" ht="13.5" hidden="1" customHeight="1">
      <c r="A7482" s="4" t="s">
        <v>17193</v>
      </c>
      <c r="B7482" s="4" t="s">
        <v>17194</v>
      </c>
      <c r="C7482" s="4" t="str">
        <f ca="1">IFERROR(__xludf.DUMMYFUNCTION("GOOGLETRANSLATE(D:D,""auto"",""en"")"),"Professor Jiang Xi Agricultural grow canola flower color 38")</f>
        <v>Professor Jiang Xi Agricultural grow canola flower color 38</v>
      </c>
      <c r="D7482" s="5" t="s">
        <v>17195</v>
      </c>
      <c r="E7482" s="4">
        <v>593823</v>
      </c>
    </row>
    <row r="7483" spans="1:6" ht="13.5" customHeight="1">
      <c r="A7483" s="4" t="s">
        <v>17196</v>
      </c>
      <c r="B7483" s="4" t="s">
        <v>17197</v>
      </c>
      <c r="C7483" s="4" t="str">
        <f ca="1">IFERROR(__xludf.DUMMYFUNCTION("GOOGLETRANSLATE(D:D,""auto"",""en"")"),"Britain rose to 1140 people diagnosed with cumulative")</f>
        <v>Britain rose to 1140 people diagnosed with cumulative</v>
      </c>
      <c r="D7483" s="5" t="s">
        <v>17198</v>
      </c>
      <c r="E7483" s="4">
        <v>571817</v>
      </c>
      <c r="F7483">
        <v>1</v>
      </c>
    </row>
    <row r="7484" spans="1:6" ht="13.5" hidden="1" customHeight="1">
      <c r="A7484" s="4" t="s">
        <v>17199</v>
      </c>
      <c r="B7484" s="4" t="s">
        <v>17200</v>
      </c>
      <c r="C7484" s="4" t="str">
        <f ca="1">IFERROR(__xludf.DUMMYFUNCTION("GOOGLETRANSLATE(D:D,""auto"",""en"")"),"Ju Jing Yi sound")</f>
        <v>Ju Jing Yi sound</v>
      </c>
      <c r="D7484" s="5" t="s">
        <v>17201</v>
      </c>
      <c r="E7484" s="4">
        <v>568343</v>
      </c>
    </row>
    <row r="7485" spans="1:6" ht="13.5" hidden="1" customHeight="1">
      <c r="A7485" s="4" t="s">
        <v>17202</v>
      </c>
      <c r="B7485" s="4" t="s">
        <v>17203</v>
      </c>
      <c r="C7485" s="4" t="str">
        <f ca="1">IFERROR(__xludf.DUMMYFUNCTION("GOOGLETRANSLATE(D:D,""auto"",""en"")"),"Jiang Dalin Three Views")</f>
        <v>Jiang Dalin Three Views</v>
      </c>
      <c r="D7485" s="5" t="s">
        <v>17204</v>
      </c>
      <c r="E7485" s="4">
        <v>563723</v>
      </c>
    </row>
    <row r="7486" spans="1:6" ht="13.5" hidden="1" customHeight="1">
      <c r="A7486" s="4" t="s">
        <v>17205</v>
      </c>
      <c r="B7486" s="4" t="s">
        <v>17206</v>
      </c>
      <c r="C7486" s="4" t="str">
        <f ca="1">IFERROR(__xludf.DUMMYFUNCTION("GOOGLETRANSLATE(D:D,""auto"",""en"")"),"Chinese New blind Chen Xiaoyu")</f>
        <v>Chinese New blind Chen Xiaoyu</v>
      </c>
      <c r="D7486" s="5" t="s">
        <v>17207</v>
      </c>
      <c r="E7486" s="4">
        <v>563469</v>
      </c>
    </row>
    <row r="7487" spans="1:6" ht="13.5" customHeight="1">
      <c r="A7487" s="4" t="s">
        <v>17208</v>
      </c>
      <c r="B7487" s="4" t="s">
        <v>17209</v>
      </c>
      <c r="C7487" s="4" t="str">
        <f ca="1">IFERROR(__xludf.DUMMYFUNCTION("GOOGLETRANSLATE(D:D,""auto"",""en"")"),"Italy under Epidemic")</f>
        <v>Italy under Epidemic</v>
      </c>
      <c r="D7487" s="5" t="s">
        <v>17210</v>
      </c>
      <c r="E7487" s="4">
        <v>561687</v>
      </c>
      <c r="F7487">
        <v>1</v>
      </c>
    </row>
    <row r="7488" spans="1:6" ht="13.5" hidden="1" customHeight="1">
      <c r="A7488" s="4" t="s">
        <v>17211</v>
      </c>
      <c r="B7488" s="4" t="s">
        <v>17212</v>
      </c>
      <c r="C7488" s="4" t="str">
        <f ca="1">IFERROR(__xludf.DUMMYFUNCTION("GOOGLETRANSLATE(D:D,""auto"",""en"")"),"Collapse survivor complaint about the hotel 69 hours under the rubble")</f>
        <v>Collapse survivor complaint about the hotel 69 hours under the rubble</v>
      </c>
      <c r="D7488" s="5" t="s">
        <v>17213</v>
      </c>
      <c r="E7488" s="4">
        <v>545880</v>
      </c>
    </row>
    <row r="7489" spans="1:6" ht="13.5" hidden="1" customHeight="1">
      <c r="A7489" s="4" t="s">
        <v>17214</v>
      </c>
      <c r="B7489" s="4" t="s">
        <v>17215</v>
      </c>
      <c r="C7489" s="4" t="str">
        <f ca="1">IFERROR(__xludf.DUMMYFUNCTION("GOOGLETRANSLATE(D:D,""auto"",""en"")"),"Wang Junkai talk about young fame")</f>
        <v>Wang Junkai talk about young fame</v>
      </c>
      <c r="D7489" s="5" t="s">
        <v>17216</v>
      </c>
      <c r="E7489" s="4">
        <v>544101</v>
      </c>
    </row>
    <row r="7490" spans="1:6" ht="13.5" hidden="1" customHeight="1">
      <c r="A7490" s="4" t="s">
        <v>17217</v>
      </c>
      <c r="B7490" s="4" t="s">
        <v>17218</v>
      </c>
      <c r="C7490" s="4" t="str">
        <f ca="1">IFERROR(__xludf.DUMMYFUNCTION("GOOGLETRANSLATE(D:D,""auto"",""en"")"),"Wang Su waterfall pork")</f>
        <v>Wang Su waterfall pork</v>
      </c>
      <c r="D7490" s="5" t="s">
        <v>17219</v>
      </c>
      <c r="E7490" s="4">
        <v>487993</v>
      </c>
    </row>
    <row r="7491" spans="1:6" ht="13.5" hidden="1" customHeight="1">
      <c r="A7491" s="4" t="s">
        <v>17220</v>
      </c>
      <c r="B7491" s="4" t="s">
        <v>17221</v>
      </c>
      <c r="C7491" s="4" t="str">
        <f ca="1">IFERROR(__xludf.DUMMYFUNCTION("GOOGLETRANSLATE(D:D,""auto"",""en"")"),"Panama declared a state of emergency")</f>
        <v>Panama declared a state of emergency</v>
      </c>
      <c r="D7491" s="5" t="s">
        <v>17222</v>
      </c>
      <c r="E7491" s="4">
        <v>432627</v>
      </c>
    </row>
    <row r="7492" spans="1:6" ht="13.5" hidden="1" customHeight="1">
      <c r="A7492" s="4" t="s">
        <v>17223</v>
      </c>
      <c r="B7492" s="4" t="s">
        <v>17224</v>
      </c>
      <c r="C7492" s="4" t="str">
        <f ca="1">IFERROR(__xludf.DUMMYFUNCTION("GOOGLETRANSLATE(D:D,""auto"",""en"")"),"Our band")</f>
        <v>Our band</v>
      </c>
      <c r="D7492" s="5" t="s">
        <v>17225</v>
      </c>
      <c r="E7492" s="4">
        <v>432293</v>
      </c>
    </row>
    <row r="7493" spans="1:6" ht="13.5" hidden="1" customHeight="1">
      <c r="A7493" s="4" t="s">
        <v>17226</v>
      </c>
      <c r="B7493" s="4" t="s">
        <v>17164</v>
      </c>
      <c r="C7493" s="4" t="str">
        <f ca="1">IFERROR(__xludf.DUMMYFUNCTION("GOOGLETRANSLATE(D:D,""auto"",""en"")"),"Xu Jiaqi dance solo")</f>
        <v>Xu Jiaqi dance solo</v>
      </c>
      <c r="D7493" s="5" t="s">
        <v>17227</v>
      </c>
      <c r="E7493" s="4">
        <v>413535</v>
      </c>
    </row>
    <row r="7494" spans="1:6" ht="13.5" customHeight="1">
      <c r="A7494" s="4" t="s">
        <v>17172</v>
      </c>
      <c r="B7494" s="4" t="s">
        <v>17212</v>
      </c>
      <c r="C7494" s="4" t="str">
        <f ca="1">IFERROR(__xludf.DUMMYFUNCTION("GOOGLETRANSLATE(D:D,""auto"",""en"")"),"Deputy Minister of Italian Ministry of Health tested positive for the new virus crown")</f>
        <v>Deputy Minister of Italian Ministry of Health tested positive for the new virus crown</v>
      </c>
      <c r="D7494" s="5" t="s">
        <v>17228</v>
      </c>
      <c r="E7494" s="4">
        <v>406871</v>
      </c>
      <c r="F7494">
        <v>1</v>
      </c>
    </row>
    <row r="7495" spans="1:6" ht="13.5" hidden="1" customHeight="1">
      <c r="A7495" s="4" t="s">
        <v>17229</v>
      </c>
      <c r="B7495" s="4" t="s">
        <v>17230</v>
      </c>
      <c r="C7495" s="4" t="str">
        <f ca="1">IFERROR(__xludf.DUMMYFUNCTION("GOOGLETRANSLATE(D:D,""auto"",""en"")"),"Wang Qing Zhang Yu was so funny")</f>
        <v>Wang Qing Zhang Yu was so funny</v>
      </c>
      <c r="D7495" s="5" t="s">
        <v>17231</v>
      </c>
      <c r="E7495" s="4">
        <v>397455</v>
      </c>
    </row>
    <row r="7496" spans="1:6" ht="13.5" hidden="1" customHeight="1">
      <c r="A7496" s="4" t="s">
        <v>17232</v>
      </c>
      <c r="B7496" s="4" t="s">
        <v>17233</v>
      </c>
      <c r="C7496" s="4" t="str">
        <f ca="1">IFERROR(__xludf.DUMMYFUNCTION("GOOGLETRANSLATE(D:D,""auto"",""en"")"),"Xie Binbin's sweet story")</f>
        <v>Xie Binbin's sweet story</v>
      </c>
      <c r="D7496" s="5" t="s">
        <v>17234</v>
      </c>
      <c r="E7496" s="4">
        <v>392724</v>
      </c>
    </row>
    <row r="7497" spans="1:6" ht="13.5" hidden="1" customHeight="1">
      <c r="A7497" s="4" t="s">
        <v>17211</v>
      </c>
      <c r="B7497" s="4" t="s">
        <v>17156</v>
      </c>
      <c r="C7497" s="4" t="str">
        <f ca="1">IFERROR(__xludf.DUMMYFUNCTION("GOOGLETRANSLATE(D:D,""auto"",""en"")"),"Angela Lee Wen Han Chorus")</f>
        <v>Angela Lee Wen Han Chorus</v>
      </c>
      <c r="D7497" s="5" t="s">
        <v>17235</v>
      </c>
      <c r="E7497" s="4">
        <v>384655</v>
      </c>
    </row>
    <row r="7498" spans="1:6" ht="13.5" hidden="1" customHeight="1">
      <c r="A7498" s="4" t="s">
        <v>17236</v>
      </c>
      <c r="B7498" s="4" t="s">
        <v>17237</v>
      </c>
      <c r="C7498" s="4" t="str">
        <f ca="1">IFERROR(__xludf.DUMMYFUNCTION("GOOGLETRANSLATE(D:D,""auto"",""en"")"),"Beijing Consumers Association released five complaints a hot issue")</f>
        <v>Beijing Consumers Association released five complaints a hot issue</v>
      </c>
      <c r="D7498" s="5" t="s">
        <v>17238</v>
      </c>
      <c r="E7498" s="4">
        <v>375448</v>
      </c>
    </row>
    <row r="7499" spans="1:6" ht="13.5" hidden="1" customHeight="1">
      <c r="A7499" s="4" t="s">
        <v>17239</v>
      </c>
      <c r="B7499" s="4" t="s">
        <v>17240</v>
      </c>
      <c r="C7499" s="4" t="str">
        <f ca="1">IFERROR(__xludf.DUMMYFUNCTION("GOOGLETRANSLATE(D:D,""auto"",""en"")"),"Huang Jingyu dancing")</f>
        <v>Huang Jingyu dancing</v>
      </c>
      <c r="D7499" s="5" t="s">
        <v>17241</v>
      </c>
      <c r="E7499" s="4">
        <v>365214</v>
      </c>
    </row>
    <row r="7500" spans="1:6" ht="13.5" customHeight="1">
      <c r="A7500" s="4" t="s">
        <v>17175</v>
      </c>
      <c r="B7500" s="4" t="s">
        <v>17242</v>
      </c>
      <c r="C7500" s="4" t="str">
        <f ca="1">IFERROR(__xludf.DUMMYFUNCTION("GOOGLETRANSLATE(D:D,""auto"",""en"")"),"Students return to school in batches luggage thoroughly disinfected")</f>
        <v>Students return to school in batches luggage thoroughly disinfected</v>
      </c>
      <c r="D7500" s="5" t="s">
        <v>17243</v>
      </c>
      <c r="E7500" s="4">
        <v>350840</v>
      </c>
      <c r="F7500">
        <v>1</v>
      </c>
    </row>
    <row r="7501" spans="1:6" ht="13.5" hidden="1" customHeight="1">
      <c r="A7501" s="4" t="s">
        <v>974</v>
      </c>
      <c r="B7501" s="4" t="s">
        <v>975</v>
      </c>
      <c r="C7501" s="4" t="str">
        <f ca="1">IFERROR(__xludf.DUMMYFUNCTION("GOOGLETRANSLATE(D:D,""auto"",""en"")"),"Sound clinical environment")</f>
        <v>Sound clinical environment</v>
      </c>
      <c r="D7501" s="5" t="s">
        <v>976</v>
      </c>
      <c r="E7501" s="4">
        <v>348811</v>
      </c>
    </row>
    <row r="7502" spans="1:6" ht="13.5" hidden="1" customHeight="1">
      <c r="A7502" s="4" t="s">
        <v>17202</v>
      </c>
      <c r="B7502" s="4" t="s">
        <v>17244</v>
      </c>
      <c r="C7502" s="4" t="str">
        <f ca="1">IFERROR(__xludf.DUMMYFUNCTION("GOOGLETRANSLATE(D:D,""auto"",""en"")"),"Airport go into the star of the show")</f>
        <v>Airport go into the star of the show</v>
      </c>
      <c r="D7502" s="5" t="s">
        <v>17245</v>
      </c>
      <c r="E7502" s="4">
        <v>339229</v>
      </c>
    </row>
    <row r="7503" spans="1:6" ht="13.5" customHeight="1">
      <c r="A7503" s="4" t="s">
        <v>17246</v>
      </c>
      <c r="B7503" s="4" t="s">
        <v>17247</v>
      </c>
      <c r="C7503" s="4" t="str">
        <f ca="1">IFERROR(__xludf.DUMMYFUNCTION("GOOGLETRANSLATE(D:D,""auto"",""en"")"),"Italy about the status of Chinese medical Italy")</f>
        <v>Italy about the status of Chinese medical Italy</v>
      </c>
      <c r="D7503" s="5" t="s">
        <v>17248</v>
      </c>
      <c r="E7503" s="4">
        <v>323464</v>
      </c>
      <c r="F7503">
        <v>1</v>
      </c>
    </row>
    <row r="7504" spans="1:6" ht="13.5" hidden="1" customHeight="1">
      <c r="A7504" s="4" t="s">
        <v>1155</v>
      </c>
      <c r="B7504" s="4" t="s">
        <v>1156</v>
      </c>
      <c r="C7504" s="4" t="str">
        <f ca="1">IFERROR(__xludf.DUMMYFUNCTION("GOOGLETRANSLATE(D:D,""auto"",""en"")"),"Happy Camp")</f>
        <v>Happy Camp</v>
      </c>
      <c r="D7504" s="5" t="s">
        <v>1157</v>
      </c>
      <c r="E7504" s="4">
        <v>311520</v>
      </c>
    </row>
    <row r="7505" spans="1:6" ht="13.5" customHeight="1">
      <c r="A7505" s="4" t="s">
        <v>17249</v>
      </c>
      <c r="B7505" s="4" t="s">
        <v>17250</v>
      </c>
      <c r="C7505" s="4" t="str">
        <f ca="1">IFERROR(__xludf.DUMMYFUNCTION("GOOGLETRANSLATE(D:D,""auto"",""en"")"),"Sampdoria four new confirmed")</f>
        <v>Sampdoria four new confirmed</v>
      </c>
      <c r="D7505" s="5" t="s">
        <v>17251</v>
      </c>
      <c r="E7505" s="4">
        <v>297651</v>
      </c>
      <c r="F7505">
        <v>1</v>
      </c>
    </row>
    <row r="7506" spans="1:6" ht="13.5" hidden="1" customHeight="1">
      <c r="A7506" s="4" t="s">
        <v>17252</v>
      </c>
      <c r="B7506" s="4" t="s">
        <v>17240</v>
      </c>
      <c r="C7506" s="4" t="str">
        <f ca="1">IFERROR(__xludf.DUMMYFUNCTION("GOOGLETRANSLATE(D:D,""auto"",""en"")"),"Zhaoxiao Tang Chinese Dance")</f>
        <v>Zhaoxiao Tang Chinese Dance</v>
      </c>
      <c r="D7506" s="5" t="s">
        <v>17253</v>
      </c>
      <c r="E7506" s="4">
        <v>289777</v>
      </c>
    </row>
    <row r="7507" spans="1:6" ht="13.5" hidden="1" customHeight="1">
      <c r="A7507" s="4" t="s">
        <v>3745</v>
      </c>
      <c r="B7507" s="4" t="s">
        <v>3746</v>
      </c>
      <c r="C7507" s="4" t="str">
        <f ca="1">IFERROR(__xludf.DUMMYFUNCTION("GOOGLETRANSLATE(D:D,""auto"",""en"")"),"Please listen to good friend")</f>
        <v>Please listen to good friend</v>
      </c>
      <c r="D7507" s="5" t="s">
        <v>3747</v>
      </c>
      <c r="E7507" s="4">
        <v>268749</v>
      </c>
    </row>
    <row r="7508" spans="1:6" ht="13.5" hidden="1" customHeight="1">
      <c r="A7508" s="4" t="s">
        <v>17254</v>
      </c>
      <c r="B7508" s="4" t="s">
        <v>17255</v>
      </c>
      <c r="C7508" s="4" t="str">
        <f ca="1">IFERROR(__xludf.DUMMYFUNCTION("GOOGLETRANSLATE(D:D,""auto"",""en"")"),"Sprite fried chicken")</f>
        <v>Sprite fried chicken</v>
      </c>
      <c r="D7508" s="5" t="s">
        <v>17256</v>
      </c>
      <c r="E7508" s="4">
        <v>248072</v>
      </c>
    </row>
    <row r="7509" spans="1:6" ht="13.5" customHeight="1">
      <c r="A7509" s="4" t="s">
        <v>17257</v>
      </c>
      <c r="B7509" s="4" t="s">
        <v>17212</v>
      </c>
      <c r="C7509" s="4" t="str">
        <f ca="1">IFERROR(__xludf.DUMMYFUNCTION("GOOGLETRANSLATE(D:D,""auto"",""en"")"),"Indonesia's Minister of Transport, tested positive for the new virus crown")</f>
        <v>Indonesia's Minister of Transport, tested positive for the new virus crown</v>
      </c>
      <c r="D7509" s="5" t="s">
        <v>17258</v>
      </c>
      <c r="E7509" s="4">
        <v>244626</v>
      </c>
      <c r="F7509">
        <v>1</v>
      </c>
    </row>
    <row r="7510" spans="1:6" ht="13.5" hidden="1" customHeight="1">
      <c r="A7510" s="4" t="s">
        <v>17259</v>
      </c>
      <c r="B7510" s="4" t="s">
        <v>17260</v>
      </c>
      <c r="C7510" s="4" t="str">
        <f ca="1">IFERROR(__xludf.DUMMYFUNCTION("GOOGLETRANSLATE(D:D,""auto"",""en"")"),"Zhou Qiqi dubbing")</f>
        <v>Zhou Qiqi dubbing</v>
      </c>
      <c r="D7510" s="5" t="s">
        <v>17261</v>
      </c>
      <c r="E7510" s="4">
        <v>242416</v>
      </c>
    </row>
    <row r="7511" spans="1:6" ht="13.5" hidden="1" customHeight="1">
      <c r="A7511" s="4" t="s">
        <v>17262</v>
      </c>
      <c r="B7511" s="4" t="s">
        <v>17263</v>
      </c>
      <c r="C7511" s="4" t="str">
        <f ca="1">IFERROR(__xludf.DUMMYFUNCTION("GOOGLETRANSLATE(D:D,""auto"",""en"")"),"Namaste India popular worldwide")</f>
        <v>Namaste India popular worldwide</v>
      </c>
      <c r="D7511" s="5" t="s">
        <v>17264</v>
      </c>
      <c r="E7511" s="4">
        <v>189492</v>
      </c>
    </row>
    <row r="7512" spans="1:6" ht="13.5" hidden="1" customHeight="1">
      <c r="A7512" s="4" t="s">
        <v>17265</v>
      </c>
      <c r="B7512" s="4" t="s">
        <v>17247</v>
      </c>
      <c r="C7512" s="4" t="str">
        <f ca="1">IFERROR(__xludf.DUMMYFUNCTION("GOOGLETRANSLATE(D:D,""auto"",""en"")"),"Italy announced that grounded most of the domestic flights")</f>
        <v>Italy announced that grounded most of the domestic flights</v>
      </c>
      <c r="D7512" s="5" t="s">
        <v>17266</v>
      </c>
      <c r="E7512" s="4">
        <v>177520</v>
      </c>
    </row>
    <row r="7513" spans="1:6" ht="13.5" hidden="1" customHeight="1">
      <c r="A7513" s="4" t="s">
        <v>17267</v>
      </c>
      <c r="B7513" s="4" t="s">
        <v>17268</v>
      </c>
      <c r="C7513" s="4" t="str">
        <f ca="1">IFERROR(__xludf.DUMMYFUNCTION("GOOGLETRANSLATE(D:D,""auto"",""en"")"),"I really want this chair")</f>
        <v>I really want this chair</v>
      </c>
      <c r="D7513" s="5" t="s">
        <v>17269</v>
      </c>
      <c r="E7513" s="4">
        <v>151706</v>
      </c>
    </row>
    <row r="7514" spans="1:6" ht="13.5" hidden="1" customHeight="1">
      <c r="C7514" s="4" t="str">
        <f ca="1">IFERROR(__xludf.DUMMYFUNCTION("GOOGLETRANSLATE(D:D,""auto"",""en"")"),"#VALUE!")</f>
        <v>#VALUE!</v>
      </c>
    </row>
    <row r="7515" spans="1:6" ht="13.5" customHeight="1">
      <c r="A7515" s="4" t="s">
        <v>17270</v>
      </c>
      <c r="B7515" s="4" t="s">
        <v>17271</v>
      </c>
      <c r="C7515" s="4" t="str">
        <f ca="1">IFERROR(__xludf.DUMMYFUNCTION("GOOGLETRANSLATE(D:D,""auto"",""en"")"),"Wuhan informed the funeral vehicles transporting living materials")</f>
        <v>Wuhan informed the funeral vehicles transporting living materials</v>
      </c>
      <c r="D7515" s="4" t="s">
        <v>17272</v>
      </c>
      <c r="E7515" s="4">
        <v>2864485</v>
      </c>
      <c r="F7515">
        <v>1</v>
      </c>
    </row>
    <row r="7516" spans="1:6" ht="13.5" hidden="1" customHeight="1">
      <c r="A7516" s="4" t="s">
        <v>17273</v>
      </c>
      <c r="B7516" s="4" t="s">
        <v>17274</v>
      </c>
      <c r="C7516" s="4" t="str">
        <f ca="1">IFERROR(__xludf.DUMMYFUNCTION("GOOGLETRANSLATE(D:D,""auto"",""en"")"),"Queen of England to leave Buckingham Palace")</f>
        <v>Queen of England to leave Buckingham Palace</v>
      </c>
      <c r="D7516" s="5" t="s">
        <v>17275</v>
      </c>
      <c r="E7516" s="4">
        <v>2237045</v>
      </c>
    </row>
    <row r="7517" spans="1:6" ht="13.5" hidden="1" customHeight="1">
      <c r="A7517" s="4" t="s">
        <v>17276</v>
      </c>
      <c r="B7517" s="4" t="s">
        <v>17277</v>
      </c>
      <c r="C7517" s="4" t="str">
        <f ca="1">IFERROR(__xludf.DUMMYFUNCTION("GOOGLETRANSLATE(D:D,""auto"",""en"")"),"Man was killed on the flight to the United States")</f>
        <v>Man was killed on the flight to the United States</v>
      </c>
      <c r="D7517" s="5" t="s">
        <v>17278</v>
      </c>
      <c r="E7517" s="4">
        <v>1505086</v>
      </c>
    </row>
    <row r="7518" spans="1:6" ht="13.5" hidden="1" customHeight="1">
      <c r="A7518" s="4" t="s">
        <v>17279</v>
      </c>
      <c r="B7518" s="4" t="s">
        <v>17280</v>
      </c>
      <c r="C7518" s="4" t="str">
        <f ca="1">IFERROR(__xludf.DUMMYFUNCTION("GOOGLETRANSLATE(D:D,""auto"",""en"")"),"Yu Shuxin lens")</f>
        <v>Yu Shuxin lens</v>
      </c>
      <c r="D7518" s="5" t="s">
        <v>17281</v>
      </c>
      <c r="E7518" s="4">
        <v>1447363</v>
      </c>
    </row>
    <row r="7519" spans="1:6" ht="13.5" hidden="1" customHeight="1">
      <c r="A7519" s="4" t="s">
        <v>17282</v>
      </c>
      <c r="B7519" s="4" t="s">
        <v>17283</v>
      </c>
      <c r="C7519" s="4" t="str">
        <f ca="1">IFERROR(__xludf.DUMMYFUNCTION("GOOGLETRANSLATE(D:D,""auto"",""en"")"),"Confessions four o'clock in")</f>
        <v>Confessions four o'clock in</v>
      </c>
      <c r="D7519" s="5" t="s">
        <v>17284</v>
      </c>
      <c r="E7519" s="4">
        <v>1350026</v>
      </c>
    </row>
    <row r="7520" spans="1:6" ht="13.5" hidden="1" customHeight="1">
      <c r="A7520" s="4" t="s">
        <v>17285</v>
      </c>
      <c r="B7520" s="4" t="s">
        <v>17286</v>
      </c>
      <c r="C7520" s="4" t="str">
        <f ca="1">IFERROR(__xludf.DUMMYFUNCTION("GOOGLETRANSLATE(D:D,""auto"",""en"")"),"315")</f>
        <v>315</v>
      </c>
      <c r="D7520" s="5" t="s">
        <v>17287</v>
      </c>
      <c r="E7520" s="4">
        <v>1339950</v>
      </c>
    </row>
    <row r="7521" spans="1:6" ht="13.5" hidden="1" customHeight="1">
      <c r="A7521" s="4" t="s">
        <v>17288</v>
      </c>
      <c r="B7521" s="4" t="s">
        <v>17289</v>
      </c>
      <c r="C7521" s="4" t="str">
        <f ca="1">IFERROR(__xludf.DUMMYFUNCTION("GOOGLETRANSLATE(D:D,""auto"",""en"")"),"98-year-old dean of Korea Astronomy dioxin couple of days cured")</f>
        <v>98-year-old dean of Korea Astronomy dioxin couple of days cured</v>
      </c>
      <c r="D7521" s="5" t="s">
        <v>17290</v>
      </c>
      <c r="E7521" s="4">
        <v>1209112</v>
      </c>
    </row>
    <row r="7522" spans="1:6" ht="13.5" customHeight="1">
      <c r="A7522" s="4" t="s">
        <v>17291</v>
      </c>
      <c r="B7522" s="4" t="s">
        <v>17292</v>
      </c>
      <c r="C7522" s="4" t="str">
        <f ca="1">IFERROR(__xludf.DUMMYFUNCTION("GOOGLETRANSLATE(D:D,""auto"",""en"")"),"NBA Third patients with newly diagnosed crown")</f>
        <v>NBA Third patients with newly diagnosed crown</v>
      </c>
      <c r="D7522" s="5" t="s">
        <v>17293</v>
      </c>
      <c r="E7522" s="4">
        <v>1099174</v>
      </c>
      <c r="F7522">
        <v>1</v>
      </c>
    </row>
    <row r="7523" spans="1:6" ht="13.5" hidden="1" customHeight="1">
      <c r="A7523" s="4" t="s">
        <v>16009</v>
      </c>
      <c r="B7523" s="4" t="s">
        <v>16010</v>
      </c>
      <c r="C7523" s="4" t="str">
        <f ca="1">IFERROR(__xludf.DUMMYFUNCTION("GOOGLETRANSLATE(D:D,""auto"",""en"")"),"Trump")</f>
        <v>Trump</v>
      </c>
      <c r="D7523" s="5" t="s">
        <v>16011</v>
      </c>
      <c r="E7523" s="4">
        <v>1069622</v>
      </c>
    </row>
    <row r="7524" spans="1:6" ht="13.5" hidden="1" customHeight="1">
      <c r="A7524" s="4" t="s">
        <v>17294</v>
      </c>
      <c r="B7524" s="4" t="s">
        <v>17295</v>
      </c>
      <c r="C7524" s="4" t="str">
        <f ca="1">IFERROR(__xludf.DUMMYFUNCTION("GOOGLETRANSLATE(D:D,""auto"",""en"")"),"Indian farmers fear the virus dyed chickens buried alive in 6000")</f>
        <v>Indian farmers fear the virus dyed chickens buried alive in 6000</v>
      </c>
      <c r="D7524" s="5" t="s">
        <v>17296</v>
      </c>
      <c r="E7524" s="4">
        <v>1046086</v>
      </c>
    </row>
    <row r="7525" spans="1:6" ht="13.5" hidden="1" customHeight="1">
      <c r="A7525" s="4" t="s">
        <v>17297</v>
      </c>
      <c r="B7525" s="4" t="s">
        <v>17298</v>
      </c>
      <c r="C7525" s="4" t="str">
        <f ca="1">IFERROR(__xludf.DUMMYFUNCTION("GOOGLETRANSLATE(D:D,""auto"",""en"")"),"Five college students to save two drowning hand in hand")</f>
        <v>Five college students to save two drowning hand in hand</v>
      </c>
      <c r="D7525" s="5" t="s">
        <v>17299</v>
      </c>
      <c r="E7525" s="4">
        <v>954203</v>
      </c>
    </row>
    <row r="7526" spans="1:6" ht="13.5" customHeight="1">
      <c r="A7526" s="4" t="s">
        <v>17294</v>
      </c>
      <c r="B7526" s="4" t="s">
        <v>17300</v>
      </c>
      <c r="C7526" s="4" t="str">
        <f ca="1">IFERROR(__xludf.DUMMYFUNCTION("GOOGLETRANSLATE(D:D,""auto"",""en"")"),"Trump's new crown virus test results were negative")</f>
        <v>Trump's new crown virus test results were negative</v>
      </c>
      <c r="D7526" s="5" t="s">
        <v>17301</v>
      </c>
      <c r="E7526" s="4">
        <v>897003</v>
      </c>
      <c r="F7526">
        <v>1</v>
      </c>
    </row>
    <row r="7527" spans="1:6" ht="13.5" hidden="1" customHeight="1">
      <c r="A7527" s="4" t="s">
        <v>17302</v>
      </c>
      <c r="B7527" s="4" t="s">
        <v>17303</v>
      </c>
      <c r="C7527" s="4" t="str">
        <f ca="1">IFERROR(__xludf.DUMMYFUNCTION("GOOGLETRANSLATE(D:D,""auto"",""en"")"),"Anthem sounded over Rome")</f>
        <v>Anthem sounded over Rome</v>
      </c>
      <c r="D7527" s="5" t="s">
        <v>17304</v>
      </c>
      <c r="E7527" s="4">
        <v>764395</v>
      </c>
    </row>
    <row r="7528" spans="1:6" ht="13.5" customHeight="1">
      <c r="A7528" s="4" t="s">
        <v>17305</v>
      </c>
      <c r="B7528" s="4" t="s">
        <v>17286</v>
      </c>
      <c r="C7528" s="4" t="str">
        <f ca="1">IFERROR(__xludf.DUMMYFUNCTION("GOOGLETRANSLATE(D:D,""auto"",""en"")"),"Wuhan existing confirmed cases dropped to less people")</f>
        <v>Wuhan existing confirmed cases dropped to less people</v>
      </c>
      <c r="D7528" s="5" t="s">
        <v>17306</v>
      </c>
      <c r="E7528" s="4">
        <v>708482</v>
      </c>
      <c r="F7528">
        <v>1</v>
      </c>
    </row>
    <row r="7529" spans="1:6" ht="13.5" hidden="1" customHeight="1">
      <c r="A7529" s="4" t="s">
        <v>17307</v>
      </c>
      <c r="B7529" s="4" t="s">
        <v>17217</v>
      </c>
      <c r="C7529" s="4" t="str">
        <f ca="1">IFERROR(__xludf.DUMMYFUNCTION("GOOGLETRANSLATE(D:D,""auto"",""en"")"),"China started the first day of the Group of Experts Italy Full Record")</f>
        <v>China started the first day of the Group of Experts Italy Full Record</v>
      </c>
      <c r="D7529" s="5" t="s">
        <v>17308</v>
      </c>
      <c r="E7529" s="4">
        <v>667555</v>
      </c>
    </row>
    <row r="7530" spans="1:6" ht="13.5" hidden="1" customHeight="1">
      <c r="A7530" s="4" t="s">
        <v>17309</v>
      </c>
      <c r="B7530" s="4" t="s">
        <v>17310</v>
      </c>
      <c r="C7530" s="4" t="str">
        <f ca="1">IFERROR(__xludf.DUMMYFUNCTION("GOOGLETRANSLATE(D:D,""auto"",""en"")"),"Hou Yi you scared")</f>
        <v>Hou Yi you scared</v>
      </c>
      <c r="D7530" s="5" t="s">
        <v>17311</v>
      </c>
      <c r="E7530" s="4">
        <v>667019</v>
      </c>
    </row>
    <row r="7531" spans="1:6" ht="13.5" customHeight="1">
      <c r="A7531" s="4" t="s">
        <v>17312</v>
      </c>
      <c r="B7531" s="4" t="s">
        <v>17313</v>
      </c>
      <c r="C7531" s="4" t="str">
        <f ca="1">IFERROR(__xludf.DUMMYFUNCTION("GOOGLETRANSLATE(D:D,""auto"",""en"")"),"Apple does not allow the epidemic to entertainment-themed game App")</f>
        <v>Apple does not allow the epidemic to entertainment-themed game App</v>
      </c>
      <c r="D7531" s="5" t="s">
        <v>17314</v>
      </c>
      <c r="E7531" s="4">
        <v>658720</v>
      </c>
      <c r="F7531">
        <v>1</v>
      </c>
    </row>
    <row r="7532" spans="1:6" ht="13.5" hidden="1" customHeight="1">
      <c r="A7532" s="4" t="s">
        <v>17270</v>
      </c>
      <c r="B7532" s="4" t="s">
        <v>17315</v>
      </c>
      <c r="C7532" s="4" t="str">
        <f ca="1">IFERROR(__xludf.DUMMYFUNCTION("GOOGLETRANSLATE(D:D,""auto"",""en"")"),"But the loss of huge box office revenue growth of the game")</f>
        <v>But the loss of huge box office revenue growth of the game</v>
      </c>
      <c r="D7532" s="5" t="s">
        <v>17316</v>
      </c>
      <c r="E7532" s="4">
        <v>650575</v>
      </c>
    </row>
    <row r="7533" spans="1:6" ht="13.5" hidden="1" customHeight="1">
      <c r="A7533" s="4" t="s">
        <v>17317</v>
      </c>
      <c r="B7533" s="4" t="s">
        <v>17318</v>
      </c>
      <c r="C7533" s="4" t="str">
        <f ca="1">IFERROR(__xludf.DUMMYFUNCTION("GOOGLETRANSLATE(D:D,""auto"",""en"")"),"Jennie Korean version of Marie Claire Cover")</f>
        <v>Jennie Korean version of Marie Claire Cover</v>
      </c>
      <c r="D7533" s="5" t="s">
        <v>17319</v>
      </c>
      <c r="E7533" s="4">
        <v>643104</v>
      </c>
    </row>
    <row r="7534" spans="1:6" ht="13.5" hidden="1" customHeight="1">
      <c r="A7534" s="4" t="s">
        <v>17320</v>
      </c>
      <c r="B7534" s="4" t="s">
        <v>17321</v>
      </c>
      <c r="C7534" s="4" t="str">
        <f ca="1">IFERROR(__xludf.DUMMYFUNCTION("GOOGLETRANSLATE(D:D,""auto"",""en"")"),"But you sense high popularity but no fruit")</f>
        <v>But you sense high popularity but no fruit</v>
      </c>
      <c r="D7534" s="5" t="s">
        <v>17322</v>
      </c>
      <c r="E7534" s="4">
        <v>639895</v>
      </c>
    </row>
    <row r="7535" spans="1:6" ht="13.5" hidden="1" customHeight="1">
      <c r="A7535" s="4" t="s">
        <v>17323</v>
      </c>
      <c r="B7535" s="4" t="s">
        <v>17321</v>
      </c>
      <c r="C7535" s="4" t="str">
        <f ca="1">IFERROR(__xludf.DUMMYFUNCTION("GOOGLETRANSLATE(D:D,""auto"",""en"")"),"Yan girls round face value Contest")</f>
        <v>Yan girls round face value Contest</v>
      </c>
      <c r="D7535" s="5" t="s">
        <v>17324</v>
      </c>
      <c r="E7535" s="4">
        <v>635023</v>
      </c>
    </row>
    <row r="7536" spans="1:6" ht="13.5" hidden="1" customHeight="1">
      <c r="A7536" s="4" t="s">
        <v>17305</v>
      </c>
      <c r="B7536" s="4" t="s">
        <v>17229</v>
      </c>
      <c r="C7536" s="4" t="str">
        <f ca="1">IFERROR(__xludf.DUMMYFUNCTION("GOOGLETRANSLATE(D:D,""auto"",""en"")"),"Trump's daughter Ivanka start Home Office")</f>
        <v>Trump's daughter Ivanka start Home Office</v>
      </c>
      <c r="D7536" s="5" t="s">
        <v>17325</v>
      </c>
      <c r="E7536" s="4">
        <v>630188</v>
      </c>
    </row>
    <row r="7537" spans="1:6" ht="13.5" customHeight="1">
      <c r="A7537" s="4" t="s">
        <v>17326</v>
      </c>
      <c r="B7537" s="4" t="s">
        <v>17183</v>
      </c>
      <c r="C7537" s="4" t="str">
        <f ca="1">IFERROR(__xludf.DUMMYFUNCTION("GOOGLETRANSLATE(D:D,""auto"",""en"")"),"Guangdong imported cases of confirmed cases of the initiative to declare a history of exposure")</f>
        <v>Guangdong imported cases of confirmed cases of the initiative to declare a history of exposure</v>
      </c>
      <c r="D7537" s="5" t="s">
        <v>17327</v>
      </c>
      <c r="E7537" s="4">
        <v>496918</v>
      </c>
      <c r="F7537">
        <v>1</v>
      </c>
    </row>
    <row r="7538" spans="1:6" ht="13.5" customHeight="1">
      <c r="A7538" s="4" t="s">
        <v>17328</v>
      </c>
      <c r="B7538" s="4" t="s">
        <v>17199</v>
      </c>
      <c r="C7538" s="4" t="str">
        <f ca="1">IFERROR(__xludf.DUMMYFUNCTION("GOOGLETRANSLATE(D:D,""auto"",""en"")"),"If one day you inform the school")</f>
        <v>If one day you inform the school</v>
      </c>
      <c r="D7538" s="5" t="s">
        <v>17329</v>
      </c>
      <c r="E7538" s="4">
        <v>466464</v>
      </c>
      <c r="F7538">
        <v>1</v>
      </c>
    </row>
    <row r="7539" spans="1:6" ht="13.5" customHeight="1">
      <c r="A7539" s="4" t="s">
        <v>17330</v>
      </c>
      <c r="B7539" s="4" t="s">
        <v>17232</v>
      </c>
      <c r="C7539" s="4" t="str">
        <f ca="1">IFERROR(__xludf.DUMMYFUNCTION("GOOGLETRANSLATE(D:D,""auto"",""en"")"),"Chinese epidemic prevention supplies arrived in Turin, Italy rush to the rescue")</f>
        <v>Chinese epidemic prevention supplies arrived in Turin, Italy rush to the rescue</v>
      </c>
      <c r="D7539" s="5" t="s">
        <v>17331</v>
      </c>
      <c r="E7539" s="4">
        <v>439469</v>
      </c>
      <c r="F7539">
        <v>1</v>
      </c>
    </row>
    <row r="7540" spans="1:6" ht="13.5" customHeight="1">
      <c r="A7540" s="4" t="s">
        <v>17332</v>
      </c>
      <c r="B7540" s="4" t="s">
        <v>17333</v>
      </c>
      <c r="C7540" s="4" t="str">
        <f ca="1">IFERROR(__xludf.DUMMYFUNCTION("GOOGLETRANSLATE(D:D,""auto"",""en"")"),"WHO questioned the British herd immunity method")</f>
        <v>WHO questioned the British herd immunity method</v>
      </c>
      <c r="D7540" s="5" t="s">
        <v>17334</v>
      </c>
      <c r="E7540" s="4">
        <v>419858</v>
      </c>
      <c r="F7540">
        <v>1</v>
      </c>
    </row>
    <row r="7541" spans="1:6" ht="13.5" customHeight="1">
      <c r="A7541" s="4" t="s">
        <v>17335</v>
      </c>
      <c r="B7541" s="4" t="s">
        <v>17336</v>
      </c>
      <c r="C7541" s="4" t="str">
        <f ca="1">IFERROR(__xludf.DUMMYFUNCTION("GOOGLETRANSLATE(D:D,""auto"",""en"")"),"Most want to cancel a course")</f>
        <v>Most want to cancel a course</v>
      </c>
      <c r="D7541" s="5" t="s">
        <v>17337</v>
      </c>
      <c r="E7541" s="4">
        <v>366008</v>
      </c>
      <c r="F7541">
        <v>1</v>
      </c>
    </row>
    <row r="7542" spans="1:6" ht="13.5" hidden="1" customHeight="1">
      <c r="A7542" s="4" t="s">
        <v>17338</v>
      </c>
      <c r="B7542" s="4" t="s">
        <v>17187</v>
      </c>
      <c r="C7542" s="4" t="str">
        <f ca="1">IFERROR(__xludf.DUMMYFUNCTION("GOOGLETRANSLATE(D:D,""auto"",""en"")"),"Spanish police advised people to go home UAV")</f>
        <v>Spanish police advised people to go home UAV</v>
      </c>
      <c r="D7542" s="5" t="s">
        <v>17339</v>
      </c>
      <c r="E7542" s="4">
        <v>365826</v>
      </c>
    </row>
    <row r="7543" spans="1:6" ht="13.5" hidden="1" customHeight="1">
      <c r="A7543" s="4" t="s">
        <v>17340</v>
      </c>
      <c r="B7543" s="4" t="s">
        <v>17341</v>
      </c>
      <c r="C7543" s="4" t="str">
        <f ca="1">IFERROR(__xludf.DUMMYFUNCTION("GOOGLETRANSLATE(D:D,""auto"",""en"")"),"Jiangsu All cases were cured")</f>
        <v>Jiangsu All cases were cured</v>
      </c>
      <c r="D7543" s="5" t="s">
        <v>17342</v>
      </c>
      <c r="E7543" s="4">
        <v>365109</v>
      </c>
    </row>
    <row r="7544" spans="1:6" ht="13.5" hidden="1" customHeight="1">
      <c r="A7544" s="4" t="s">
        <v>17343</v>
      </c>
      <c r="B7544" s="4" t="s">
        <v>17344</v>
      </c>
      <c r="C7544" s="4" t="str">
        <f ca="1">IFERROR(__xludf.DUMMYFUNCTION("GOOGLETRANSLATE(D:D,""auto"",""en"")"),"Only three percent of respondents were satisfied with the results of rights")</f>
        <v>Only three percent of respondents were satisfied with the results of rights</v>
      </c>
      <c r="D7544" s="5" t="s">
        <v>17345</v>
      </c>
      <c r="E7544" s="4">
        <v>333348</v>
      </c>
    </row>
    <row r="7545" spans="1:6" ht="13.5" hidden="1" customHeight="1">
      <c r="A7545" s="4" t="s">
        <v>17346</v>
      </c>
      <c r="B7545" s="4" t="s">
        <v>17303</v>
      </c>
      <c r="C7545" s="4" t="str">
        <f ca="1">IFERROR(__xludf.DUMMYFUNCTION("GOOGLETRANSLATE(D:D,""auto"",""en"")"),"CCTV broadcast the documentary treatment of severe cases")</f>
        <v>CCTV broadcast the documentary treatment of severe cases</v>
      </c>
      <c r="D7545" s="5" t="s">
        <v>17347</v>
      </c>
      <c r="E7545" s="4">
        <v>325790</v>
      </c>
    </row>
    <row r="7546" spans="1:6" ht="13.5" customHeight="1">
      <c r="A7546" s="4" t="s">
        <v>17348</v>
      </c>
      <c r="B7546" s="4" t="s">
        <v>17349</v>
      </c>
      <c r="C7546" s="4" t="str">
        <f ca="1">IFERROR(__xludf.DUMMYFUNCTION("GOOGLETRANSLATE(D:D,""auto"",""en"")"),"Spanish Prime Minister wife has been diagnosed with pneumonia new crown")</f>
        <v>Spanish Prime Minister wife has been diagnosed with pneumonia new crown</v>
      </c>
      <c r="D7546" s="5" t="s">
        <v>17350</v>
      </c>
      <c r="E7546" s="4">
        <v>317468</v>
      </c>
      <c r="F7546">
        <v>1</v>
      </c>
    </row>
    <row r="7547" spans="1:6" ht="13.5" customHeight="1">
      <c r="A7547" s="4" t="s">
        <v>17330</v>
      </c>
      <c r="B7547" s="4" t="s">
        <v>17351</v>
      </c>
      <c r="C7547" s="4" t="str">
        <f ca="1">IFERROR(__xludf.DUMMYFUNCTION("GOOGLETRANSLATE(D:D,""auto"",""en"")"),"The White House and Trump body temperature check all contacts")</f>
        <v>The White House and Trump body temperature check all contacts</v>
      </c>
      <c r="D7547" s="5" t="s">
        <v>17352</v>
      </c>
      <c r="E7547" s="4">
        <v>303140</v>
      </c>
      <c r="F7547">
        <v>1</v>
      </c>
    </row>
    <row r="7548" spans="1:6" ht="13.5" hidden="1" customHeight="1">
      <c r="A7548" s="4" t="s">
        <v>17305</v>
      </c>
      <c r="B7548" s="4" t="s">
        <v>17239</v>
      </c>
      <c r="C7548" s="4" t="str">
        <f ca="1">IFERROR(__xludf.DUMMYFUNCTION("GOOGLETRANSLATE(D:D,""auto"",""en"")"),"Iranian Vice President female rehabilitation")</f>
        <v>Iranian Vice President female rehabilitation</v>
      </c>
      <c r="D7548" s="5" t="s">
        <v>17353</v>
      </c>
      <c r="E7548" s="4">
        <v>298434</v>
      </c>
    </row>
    <row r="7549" spans="1:6" ht="13.5" customHeight="1">
      <c r="A7549" s="4" t="s">
        <v>17288</v>
      </c>
      <c r="B7549" s="4" t="s">
        <v>17310</v>
      </c>
      <c r="C7549" s="4" t="str">
        <f ca="1">IFERROR(__xludf.DUMMYFUNCTION("GOOGLETRANSLATE(D:D,""auto"",""en"")"),"Chongqing confirmed cases cleared")</f>
        <v>Chongqing confirmed cases cleared</v>
      </c>
      <c r="D7549" s="5" t="s">
        <v>17354</v>
      </c>
      <c r="E7549" s="4">
        <v>295581</v>
      </c>
      <c r="F7549">
        <v>1</v>
      </c>
    </row>
    <row r="7550" spans="1:6" ht="13.5" customHeight="1">
      <c r="A7550" s="4" t="s">
        <v>17355</v>
      </c>
      <c r="B7550" s="4" t="s">
        <v>17356</v>
      </c>
      <c r="C7550" s="4" t="str">
        <f ca="1">IFERROR(__xludf.DUMMYFUNCTION("GOOGLETRANSLATE(D:D,""auto"",""en"")"),"Batman Tingpai")</f>
        <v>Batman Tingpai</v>
      </c>
      <c r="D7550" s="5" t="s">
        <v>17357</v>
      </c>
      <c r="E7550" s="4">
        <v>292611</v>
      </c>
      <c r="F7550">
        <v>1</v>
      </c>
    </row>
    <row r="7551" spans="1:6" ht="13.5" hidden="1" customHeight="1">
      <c r="A7551" s="4" t="s">
        <v>17348</v>
      </c>
      <c r="B7551" s="4" t="s">
        <v>17358</v>
      </c>
      <c r="C7551" s="4" t="str">
        <f ca="1">IFERROR(__xludf.DUMMYFUNCTION("GOOGLETRANSLATE(D:D,""auto"",""en"")"),"The owner, police said four car glass theft")</f>
        <v>The owner, police said four car glass theft</v>
      </c>
      <c r="D7551" s="5" t="s">
        <v>17359</v>
      </c>
      <c r="E7551" s="4">
        <v>287531</v>
      </c>
    </row>
    <row r="7552" spans="1:6" ht="13.5" customHeight="1">
      <c r="A7552" s="4" t="s">
        <v>17360</v>
      </c>
      <c r="B7552" s="4" t="s">
        <v>17361</v>
      </c>
      <c r="C7552" s="4" t="str">
        <f ca="1">IFERROR(__xludf.DUMMYFUNCTION("GOOGLETRANSLATE(D:D,""auto"",""en"")"),"Pistons do not plan to detect other staff")</f>
        <v>Pistons do not plan to detect other staff</v>
      </c>
      <c r="D7552" s="5" t="s">
        <v>17362</v>
      </c>
      <c r="E7552" s="4">
        <v>282259</v>
      </c>
      <c r="F7552">
        <v>1</v>
      </c>
    </row>
    <row r="7553" spans="1:6" ht="13.5" customHeight="1">
      <c r="A7553" s="4" t="s">
        <v>17348</v>
      </c>
      <c r="B7553" s="4" t="s">
        <v>17229</v>
      </c>
      <c r="C7553" s="4" t="str">
        <f ca="1">IFERROR(__xludf.DUMMYFUNCTION("GOOGLETRANSLATE(D:D,""auto"",""en"")"),"Screening new crown pneumonia detect early lung cancer")</f>
        <v>Screening new crown pneumonia detect early lung cancer</v>
      </c>
      <c r="D7553" s="5" t="s">
        <v>17363</v>
      </c>
      <c r="E7553" s="4">
        <v>278827</v>
      </c>
      <c r="F7553">
        <v>1</v>
      </c>
    </row>
    <row r="7554" spans="1:6" ht="13.5" hidden="1" customHeight="1">
      <c r="A7554" s="4" t="s">
        <v>17364</v>
      </c>
      <c r="B7554" s="4" t="s">
        <v>17365</v>
      </c>
      <c r="C7554" s="4" t="str">
        <f ca="1">IFERROR(__xludf.DUMMYFUNCTION("GOOGLETRANSLATE(D:D,""auto"",""en"")"),"Wang does not send Ethernet Specter")</f>
        <v>Wang does not send Ethernet Specter</v>
      </c>
      <c r="D7554" s="5" t="s">
        <v>17366</v>
      </c>
      <c r="E7554" s="4">
        <v>271742</v>
      </c>
    </row>
    <row r="7555" spans="1:6" ht="13.5" customHeight="1">
      <c r="A7555" s="4" t="s">
        <v>17367</v>
      </c>
      <c r="B7555" s="4" t="s">
        <v>17341</v>
      </c>
      <c r="C7555" s="4" t="str">
        <f ca="1">IFERROR(__xludf.DUMMYFUNCTION("GOOGLETRANSLATE(D:D,""auto"",""en"")"),"Zhejiang new cases of four cases of foreign input")</f>
        <v>Zhejiang new cases of four cases of foreign input</v>
      </c>
      <c r="D7555" s="5" t="s">
        <v>17368</v>
      </c>
      <c r="E7555" s="4">
        <v>263448</v>
      </c>
      <c r="F7555">
        <v>1</v>
      </c>
    </row>
    <row r="7556" spans="1:6" ht="13.5" hidden="1" customHeight="1">
      <c r="A7556" s="4" t="s">
        <v>17369</v>
      </c>
      <c r="B7556" s="4" t="s">
        <v>17351</v>
      </c>
      <c r="C7556" s="4" t="str">
        <f ca="1">IFERROR(__xludf.DUMMYFUNCTION("GOOGLETRANSLATE(D:D,""auto"",""en"")"),"Overseas return home to hide the fact that four people detained in Henan Jiaozuo")</f>
        <v>Overseas return home to hide the fact that four people detained in Henan Jiaozuo</v>
      </c>
      <c r="D7556" s="5" t="s">
        <v>17370</v>
      </c>
      <c r="E7556" s="4">
        <v>260230</v>
      </c>
    </row>
    <row r="7557" spans="1:6" ht="13.5" hidden="1" customHeight="1">
      <c r="A7557" s="4" t="s">
        <v>17371</v>
      </c>
      <c r="B7557" s="4" t="s">
        <v>17372</v>
      </c>
      <c r="C7557" s="4" t="str">
        <f ca="1">IFERROR(__xludf.DUMMYFUNCTION("GOOGLETRANSLATE(D:D,""auto"",""en"")"),"Wu large cherry broadcast schedule")</f>
        <v>Wu large cherry broadcast schedule</v>
      </c>
      <c r="D7557" s="5" t="s">
        <v>17373</v>
      </c>
      <c r="E7557" s="4">
        <v>258133</v>
      </c>
    </row>
    <row r="7558" spans="1:6" ht="13.5" hidden="1" customHeight="1">
      <c r="A7558" s="4" t="s">
        <v>17374</v>
      </c>
      <c r="B7558" s="4" t="s">
        <v>17375</v>
      </c>
      <c r="C7558" s="4" t="str">
        <f ca="1">IFERROR(__xludf.DUMMYFUNCTION("GOOGLETRANSLATE(D:D,""auto"",""en"")"),"The complexity of the patients with severe psychological problems than expected")</f>
        <v>The complexity of the patients with severe psychological problems than expected</v>
      </c>
      <c r="D7558" s="5" t="s">
        <v>17376</v>
      </c>
      <c r="E7558" s="4">
        <v>257533</v>
      </c>
    </row>
    <row r="7559" spans="1:6" ht="13.5" hidden="1" customHeight="1">
      <c r="A7559" s="4" t="s">
        <v>10721</v>
      </c>
      <c r="B7559" s="4" t="s">
        <v>10722</v>
      </c>
      <c r="C7559" s="4" t="str">
        <f ca="1">IFERROR(__xludf.DUMMYFUNCTION("GOOGLETRANSLATE(D:D,""auto"",""en"")"),"Chalk mold test")</f>
        <v>Chalk mold test</v>
      </c>
      <c r="D7559" s="5" t="s">
        <v>10723</v>
      </c>
      <c r="E7559" s="4">
        <v>257066</v>
      </c>
    </row>
    <row r="7560" spans="1:6" ht="13.5" hidden="1" customHeight="1">
      <c r="A7560" s="4" t="s">
        <v>17377</v>
      </c>
      <c r="B7560" s="4" t="s">
        <v>17378</v>
      </c>
      <c r="C7560" s="4" t="str">
        <f ca="1">IFERROR(__xludf.DUMMYFUNCTION("GOOGLETRANSLATE(D:D,""auto"",""en"")"),"Lincoln Park")</f>
        <v>Lincoln Park</v>
      </c>
      <c r="D7560" s="5" t="s">
        <v>17379</v>
      </c>
      <c r="E7560" s="4">
        <v>254062</v>
      </c>
    </row>
    <row r="7561" spans="1:6" ht="13.5" customHeight="1">
      <c r="A7561" s="4" t="s">
        <v>17380</v>
      </c>
      <c r="B7561" s="4" t="s">
        <v>17381</v>
      </c>
      <c r="C7561" s="4" t="str">
        <f ca="1">IFERROR(__xludf.DUMMYFUNCTION("GOOGLETRANSLATE(D:D,""auto"",""en"")"),"2020 World Sport for All Congress canceled")</f>
        <v>2020 World Sport for All Congress canceled</v>
      </c>
      <c r="D7561" s="5" t="s">
        <v>17382</v>
      </c>
      <c r="E7561" s="4">
        <v>252709</v>
      </c>
      <c r="F7561">
        <v>1</v>
      </c>
    </row>
    <row r="7562" spans="1:6" ht="13.5" hidden="1" customHeight="1">
      <c r="A7562" s="4" t="s">
        <v>17383</v>
      </c>
      <c r="B7562" s="4" t="s">
        <v>17361</v>
      </c>
      <c r="C7562" s="4" t="str">
        <f ca="1">IFERROR(__xludf.DUMMYFUNCTION("GOOGLETRANSLATE(D:D,""auto"",""en"")"),"Anqing 47 acres of canola flower open")</f>
        <v>Anqing 47 acres of canola flower open</v>
      </c>
      <c r="D7562" s="5" t="s">
        <v>17384</v>
      </c>
      <c r="E7562" s="4">
        <v>239128</v>
      </c>
    </row>
    <row r="7563" spans="1:6" ht="13.5" hidden="1" customHeight="1">
      <c r="A7563" s="4" t="s">
        <v>17385</v>
      </c>
      <c r="B7563" s="4" t="s">
        <v>17386</v>
      </c>
      <c r="C7563" s="4" t="str">
        <f ca="1">IFERROR(__xludf.DUMMYFUNCTION("GOOGLETRANSLATE(D:D,""auto"",""en"")"),"Because the poor have received and which grievances")</f>
        <v>Because the poor have received and which grievances</v>
      </c>
      <c r="D7563" s="5" t="s">
        <v>17387</v>
      </c>
      <c r="E7563" s="4">
        <v>214599</v>
      </c>
    </row>
    <row r="7564" spans="1:6" ht="13.5" customHeight="1">
      <c r="A7564" s="4" t="s">
        <v>17388</v>
      </c>
      <c r="B7564" s="4" t="s">
        <v>17389</v>
      </c>
      <c r="C7564" s="4" t="str">
        <f ca="1">IFERROR(__xludf.DUMMYFUNCTION("GOOGLETRANSLATE(D:D,""auto"",""en"")"),"Montenegro announced the closure of schools and border points")</f>
        <v>Montenegro announced the closure of schools and border points</v>
      </c>
      <c r="D7564" s="5" t="s">
        <v>17390</v>
      </c>
      <c r="E7564" s="4">
        <v>187703</v>
      </c>
      <c r="F7564">
        <v>1</v>
      </c>
    </row>
    <row r="7565" spans="1:6" ht="13.5" hidden="1" customHeight="1">
      <c r="C7565" s="4" t="str">
        <f ca="1">IFERROR(__xludf.DUMMYFUNCTION("GOOGLETRANSLATE(D:D,""auto"",""en"")"),"#VALUE!")</f>
        <v>#VALUE!</v>
      </c>
    </row>
    <row r="7566" spans="1:6" ht="13.5" customHeight="1">
      <c r="A7566" s="4" t="s">
        <v>17391</v>
      </c>
      <c r="B7566" s="4" t="s">
        <v>17392</v>
      </c>
      <c r="C7566" s="4" t="str">
        <f ca="1">IFERROR(__xludf.DUMMYFUNCTION("GOOGLETRANSLATE(D:D,""auto"",""en"")"),"ZHANG Wen-hong said the epidemic has been basically impossible to end this summer")</f>
        <v>ZHANG Wen-hong said the epidemic has been basically impossible to end this summer</v>
      </c>
      <c r="D7566" s="4" t="s">
        <v>17393</v>
      </c>
      <c r="E7566" s="4">
        <v>2896027</v>
      </c>
      <c r="F7566">
        <v>1</v>
      </c>
    </row>
    <row r="7567" spans="1:6" ht="13.5" customHeight="1">
      <c r="A7567" s="4" t="s">
        <v>17394</v>
      </c>
      <c r="B7567" s="4" t="s">
        <v>17395</v>
      </c>
      <c r="C7567" s="4" t="str">
        <f ca="1">IFERROR(__xludf.DUMMYFUNCTION("GOOGLETRANSLATE(D:D,""auto"",""en"")"),"Germany will close the border with France, Austria and Switzerland")</f>
        <v>Germany will close the border with France, Austria and Switzerland</v>
      </c>
      <c r="D7567" s="5" t="s">
        <v>17396</v>
      </c>
      <c r="E7567" s="4">
        <v>1629368</v>
      </c>
      <c r="F7567">
        <v>1</v>
      </c>
    </row>
    <row r="7568" spans="1:6" ht="13.5" hidden="1" customHeight="1">
      <c r="A7568" s="4" t="s">
        <v>17397</v>
      </c>
      <c r="B7568" s="4" t="s">
        <v>17398</v>
      </c>
      <c r="C7568" s="4" t="str">
        <f ca="1">IFERROR(__xludf.DUMMYFUNCTION("GOOGLETRANSLATE(D:D,""auto"",""en"")"),"Cloakroom Zhang day love")</f>
        <v>Cloakroom Zhang day love</v>
      </c>
      <c r="D7568" s="5" t="s">
        <v>17399</v>
      </c>
      <c r="E7568" s="4">
        <v>1250650</v>
      </c>
    </row>
    <row r="7569" spans="1:6" ht="13.5" hidden="1" customHeight="1">
      <c r="A7569" s="4" t="s">
        <v>17400</v>
      </c>
      <c r="B7569" s="4" t="s">
        <v>17401</v>
      </c>
      <c r="C7569" s="4" t="str">
        <f ca="1">IFERROR(__xludf.DUMMYFUNCTION("GOOGLETRANSLATE(D:D,""auto"",""en"")"),"Kids Do you have a lot of questions of provenance")</f>
        <v>Kids Do you have a lot of questions of provenance</v>
      </c>
      <c r="D7569" s="5" t="s">
        <v>17402</v>
      </c>
      <c r="E7569" s="4">
        <v>1238374</v>
      </c>
    </row>
    <row r="7570" spans="1:6" ht="13.5" hidden="1" customHeight="1">
      <c r="A7570" s="4" t="s">
        <v>17403</v>
      </c>
      <c r="B7570" s="4" t="s">
        <v>17404</v>
      </c>
      <c r="C7570" s="4" t="str">
        <f ca="1">IFERROR(__xludf.DUMMYFUNCTION("GOOGLETRANSLATE(D:D,""auto"",""en"")"),"Ye Donglie find Stella apology")</f>
        <v>Ye Donglie find Stella apology</v>
      </c>
      <c r="D7570" s="5" t="s">
        <v>17405</v>
      </c>
      <c r="E7570" s="4">
        <v>1219413</v>
      </c>
    </row>
    <row r="7571" spans="1:6" ht="13.5" hidden="1" customHeight="1">
      <c r="A7571" s="4" t="s">
        <v>17406</v>
      </c>
      <c r="B7571" s="4" t="s">
        <v>17407</v>
      </c>
      <c r="C7571" s="4" t="str">
        <f ca="1">IFERROR(__xludf.DUMMYFUNCTION("GOOGLETRANSLATE(D:D,""auto"",""en"")"),"Palace Beibei and her husband quarrel")</f>
        <v>Palace Beibei and her husband quarrel</v>
      </c>
      <c r="D7571" s="5" t="s">
        <v>17408</v>
      </c>
      <c r="E7571" s="4">
        <v>1090833</v>
      </c>
    </row>
    <row r="7572" spans="1:6" ht="13.5" customHeight="1">
      <c r="A7572" s="4" t="s">
        <v>17409</v>
      </c>
      <c r="B7572" s="4" t="s">
        <v>17407</v>
      </c>
      <c r="C7572" s="4" t="str">
        <f ca="1">IFERROR(__xludf.DUMMYFUNCTION("GOOGLETRANSLATE(D:D,""auto"",""en"")"),"Beijing yesterday new imported cases to initiate an investigation in Thailand")</f>
        <v>Beijing yesterday new imported cases to initiate an investigation in Thailand</v>
      </c>
      <c r="D7572" s="5" t="s">
        <v>17410</v>
      </c>
      <c r="E7572" s="4">
        <v>1076662</v>
      </c>
      <c r="F7572">
        <v>1</v>
      </c>
    </row>
    <row r="7573" spans="1:6" ht="13.5" hidden="1" customHeight="1">
      <c r="A7573" s="4" t="s">
        <v>17411</v>
      </c>
      <c r="B7573" s="4" t="s">
        <v>17412</v>
      </c>
      <c r="C7573" s="4" t="str">
        <f ca="1">IFERROR(__xludf.DUMMYFUNCTION("GOOGLETRANSLATE(D:D,""auto"",""en"")"),"How not to mention a great word for snow snow")</f>
        <v>How not to mention a great word for snow snow</v>
      </c>
      <c r="D7573" s="5" t="s">
        <v>17413</v>
      </c>
      <c r="E7573" s="4">
        <v>980352</v>
      </c>
    </row>
    <row r="7574" spans="1:6" ht="13.5" hidden="1" customHeight="1">
      <c r="A7574" s="4" t="s">
        <v>17414</v>
      </c>
      <c r="B7574" s="4" t="s">
        <v>17415</v>
      </c>
      <c r="C7574" s="4" t="str">
        <f ca="1">IFERROR(__xludf.DUMMYFUNCTION("GOOGLETRANSLATE(D:D,""auto"",""en"")"),"Small peanut blind monk")</f>
        <v>Small peanut blind monk</v>
      </c>
      <c r="D7574" s="5" t="s">
        <v>17416</v>
      </c>
      <c r="E7574" s="4">
        <v>757126</v>
      </c>
    </row>
    <row r="7575" spans="1:6" ht="13.5" hidden="1" customHeight="1">
      <c r="A7575" s="4" t="s">
        <v>1209</v>
      </c>
      <c r="B7575" s="4" t="s">
        <v>1210</v>
      </c>
      <c r="C7575" s="4" t="str">
        <f ca="1">IFERROR(__xludf.DUMMYFUNCTION("GOOGLETRANSLATE(D:D,""auto"",""en"")"),"Every day")</f>
        <v>Every day</v>
      </c>
      <c r="D7575" s="5" t="s">
        <v>1211</v>
      </c>
      <c r="E7575" s="4">
        <v>740604</v>
      </c>
    </row>
    <row r="7576" spans="1:6" ht="13.5" hidden="1" customHeight="1">
      <c r="A7576" s="4" t="s">
        <v>17417</v>
      </c>
      <c r="B7576" s="4" t="s">
        <v>17418</v>
      </c>
      <c r="C7576" s="4" t="str">
        <f ca="1">IFERROR(__xludf.DUMMYFUNCTION("GOOGLETRANSLATE(D:D,""auto"",""en"")"),"Room bright family ties")</f>
        <v>Room bright family ties</v>
      </c>
      <c r="D7576" s="5" t="s">
        <v>17419</v>
      </c>
      <c r="E7576" s="4">
        <v>736629</v>
      </c>
    </row>
    <row r="7577" spans="1:6" ht="13.5" hidden="1" customHeight="1">
      <c r="A7577" s="4" t="s">
        <v>17420</v>
      </c>
      <c r="B7577" s="4" t="s">
        <v>17421</v>
      </c>
      <c r="C7577" s="4" t="str">
        <f ca="1">IFERROR(__xludf.DUMMYFUNCTION("GOOGLETRANSLATE(D:D,""auto"",""en"")"),"Fully reflects the importance of the withdrawal of")</f>
        <v>Fully reflects the importance of the withdrawal of</v>
      </c>
      <c r="D7577" s="5" t="s">
        <v>17422</v>
      </c>
      <c r="E7577" s="4">
        <v>586355</v>
      </c>
    </row>
    <row r="7578" spans="1:6" ht="13.5" hidden="1" customHeight="1">
      <c r="A7578" s="4" t="s">
        <v>17423</v>
      </c>
      <c r="B7578" s="4" t="s">
        <v>17424</v>
      </c>
      <c r="C7578" s="4" t="str">
        <f ca="1">IFERROR(__xludf.DUMMYFUNCTION("GOOGLETRANSLATE(D:D,""auto"",""en"")"),"Bonnie who set")</f>
        <v>Bonnie who set</v>
      </c>
      <c r="D7578" s="5" t="s">
        <v>17425</v>
      </c>
      <c r="E7578" s="4">
        <v>570674</v>
      </c>
    </row>
    <row r="7579" spans="1:6" ht="13.5" customHeight="1">
      <c r="A7579" s="4" t="s">
        <v>17426</v>
      </c>
      <c r="B7579" s="4" t="s">
        <v>17427</v>
      </c>
      <c r="C7579" s="4" t="str">
        <f ca="1">IFERROR(__xludf.DUMMYFUNCTION("GOOGLETRANSLATE(D:D,""auto"",""en"")"),"Beijing Xiaotangshan Hospital, all medical equipment in place")</f>
        <v>Beijing Xiaotangshan Hospital, all medical equipment in place</v>
      </c>
      <c r="D7579" s="5" t="s">
        <v>17428</v>
      </c>
      <c r="E7579" s="4">
        <v>503988</v>
      </c>
      <c r="F7579">
        <v>1</v>
      </c>
    </row>
    <row r="7580" spans="1:6" ht="13.5" hidden="1" customHeight="1">
      <c r="A7580" s="4" t="s">
        <v>17429</v>
      </c>
      <c r="B7580" s="4" t="s">
        <v>17427</v>
      </c>
      <c r="C7580" s="4" t="str">
        <f ca="1">IFERROR(__xludf.DUMMYFUNCTION("GOOGLETRANSLATE(D:D,""auto"",""en"")"),"Britain called on the government to sign over 10 million active prevention and control")</f>
        <v>Britain called on the government to sign over 10 million active prevention and control</v>
      </c>
      <c r="D7580" s="5" t="s">
        <v>17430</v>
      </c>
      <c r="E7580" s="4">
        <v>499856</v>
      </c>
    </row>
    <row r="7581" spans="1:6" ht="13.5" hidden="1" customHeight="1">
      <c r="A7581" s="4" t="s">
        <v>17431</v>
      </c>
      <c r="B7581" s="4" t="s">
        <v>17395</v>
      </c>
      <c r="C7581" s="4" t="str">
        <f ca="1">IFERROR(__xludf.DUMMYFUNCTION("GOOGLETRANSLATE(D:D,""auto"",""en"")"),"Baby face girls face value Contest")</f>
        <v>Baby face girls face value Contest</v>
      </c>
      <c r="D7581" s="5" t="s">
        <v>17432</v>
      </c>
      <c r="E7581" s="4">
        <v>498190</v>
      </c>
    </row>
    <row r="7582" spans="1:6" ht="13.5" hidden="1" customHeight="1">
      <c r="A7582" s="4" t="s">
        <v>17406</v>
      </c>
      <c r="B7582" s="4" t="s">
        <v>17433</v>
      </c>
      <c r="C7582" s="4" t="str">
        <f ca="1">IFERROR(__xludf.DUMMYFUNCTION("GOOGLETRANSLATE(D:D,""auto"",""en"")"),"Shocking incident occurred dorm")</f>
        <v>Shocking incident occurred dorm</v>
      </c>
      <c r="D7582" s="5" t="s">
        <v>17434</v>
      </c>
      <c r="E7582" s="4">
        <v>493898</v>
      </c>
    </row>
    <row r="7583" spans="1:6" ht="13.5" hidden="1" customHeight="1">
      <c r="A7583" s="4" t="s">
        <v>12063</v>
      </c>
      <c r="B7583" s="4" t="s">
        <v>12051</v>
      </c>
      <c r="C7583" s="4" t="str">
        <f ca="1">IFERROR(__xludf.DUMMYFUNCTION("GOOGLETRANSLATE(D:D,""auto"",""en"")"),"settle down")</f>
        <v>settle down</v>
      </c>
      <c r="D7583" s="5" t="s">
        <v>12064</v>
      </c>
      <c r="E7583" s="4">
        <v>487341</v>
      </c>
    </row>
    <row r="7584" spans="1:6" ht="13.5" hidden="1" customHeight="1">
      <c r="A7584" s="4" t="s">
        <v>17435</v>
      </c>
      <c r="B7584" s="4" t="s">
        <v>17436</v>
      </c>
      <c r="C7584" s="4" t="str">
        <f ca="1">IFERROR(__xludf.DUMMYFUNCTION("GOOGLETRANSLATE(D:D,""auto"",""en"")"),"IOC employees will work from home")</f>
        <v>IOC employees will work from home</v>
      </c>
      <c r="D7584" s="5" t="s">
        <v>17437</v>
      </c>
      <c r="E7584" s="4">
        <v>484457</v>
      </c>
    </row>
    <row r="7585" spans="1:6" ht="13.5" customHeight="1">
      <c r="A7585" s="4" t="s">
        <v>17438</v>
      </c>
      <c r="B7585" s="4" t="s">
        <v>17439</v>
      </c>
      <c r="C7585" s="4" t="str">
        <f ca="1">IFERROR(__xludf.DUMMYFUNCTION("GOOGLETRANSLATE(D:D,""auto"",""en"")"),"The Netherlands confirmed a total of 1135 cases of pneumonia new crown")</f>
        <v>The Netherlands confirmed a total of 1135 cases of pneumonia new crown</v>
      </c>
      <c r="D7585" s="5" t="s">
        <v>17440</v>
      </c>
      <c r="E7585" s="4">
        <v>478515</v>
      </c>
      <c r="F7585">
        <v>1</v>
      </c>
    </row>
    <row r="7586" spans="1:6" ht="13.5" hidden="1" customHeight="1">
      <c r="A7586" s="4" t="s">
        <v>17441</v>
      </c>
      <c r="B7586" s="4" t="s">
        <v>17317</v>
      </c>
      <c r="C7586" s="4" t="str">
        <f ca="1">IFERROR(__xludf.DUMMYFUNCTION("GOOGLETRANSLATE(D:D,""auto"",""en"")"),"Qiu Chen")</f>
        <v>Qiu Chen</v>
      </c>
      <c r="D7586" s="5" t="s">
        <v>17442</v>
      </c>
      <c r="E7586" s="4">
        <v>473976</v>
      </c>
    </row>
    <row r="7587" spans="1:6" ht="13.5" customHeight="1">
      <c r="A7587" s="4" t="s">
        <v>17414</v>
      </c>
      <c r="B7587" s="4" t="s">
        <v>17443</v>
      </c>
      <c r="C7587" s="4" t="str">
        <f ca="1">IFERROR(__xludf.DUMMYFUNCTION("GOOGLETRANSLATE(D:D,""auto"",""en"")"),"Spain growth in 2000 cases of pneumonia crown new day")</f>
        <v>Spain growth in 2000 cases of pneumonia crown new day</v>
      </c>
      <c r="D7587" s="5" t="s">
        <v>17444</v>
      </c>
      <c r="E7587" s="4">
        <v>470585</v>
      </c>
      <c r="F7587">
        <v>1</v>
      </c>
    </row>
    <row r="7588" spans="1:6" ht="13.5" customHeight="1">
      <c r="A7588" s="4" t="s">
        <v>17445</v>
      </c>
      <c r="B7588" s="4" t="s">
        <v>17446</v>
      </c>
      <c r="C7588" s="4" t="str">
        <f ca="1">IFERROR(__xludf.DUMMYFUNCTION("GOOGLETRANSLATE(D:D,""auto"",""en"")"),"Yan mask seal is live value")</f>
        <v>Yan mask seal is live value</v>
      </c>
      <c r="D7588" s="5" t="s">
        <v>17447</v>
      </c>
      <c r="E7588" s="4">
        <v>432493</v>
      </c>
      <c r="F7588">
        <v>1</v>
      </c>
    </row>
    <row r="7589" spans="1:6" ht="13.5" hidden="1" customHeight="1">
      <c r="A7589" s="4" t="s">
        <v>17448</v>
      </c>
      <c r="B7589" s="4" t="s">
        <v>17449</v>
      </c>
      <c r="C7589" s="4" t="str">
        <f ca="1">IFERROR(__xludf.DUMMYFUNCTION("GOOGLETRANSLATE(D:D,""auto"",""en"")"),"Pets really do relieve loneliness")</f>
        <v>Pets really do relieve loneliness</v>
      </c>
      <c r="D7589" s="5" t="s">
        <v>17450</v>
      </c>
      <c r="E7589" s="4">
        <v>403706</v>
      </c>
    </row>
    <row r="7590" spans="1:6" ht="13.5" hidden="1" customHeight="1">
      <c r="A7590" s="4" t="s">
        <v>17451</v>
      </c>
      <c r="B7590" s="4" t="s">
        <v>17452</v>
      </c>
      <c r="C7590" s="4" t="str">
        <f ca="1">IFERROR(__xludf.DUMMYFUNCTION("GOOGLETRANSLATE(D:D,""auto"",""en"")"),"The most silent bought fakes")</f>
        <v>The most silent bought fakes</v>
      </c>
      <c r="D7590" s="5" t="s">
        <v>17453</v>
      </c>
      <c r="E7590" s="4">
        <v>371033</v>
      </c>
    </row>
    <row r="7591" spans="1:6" ht="13.5" hidden="1" customHeight="1">
      <c r="A7591" s="4" t="s">
        <v>17454</v>
      </c>
      <c r="B7591" s="4" t="s">
        <v>17455</v>
      </c>
      <c r="C7591" s="4" t="str">
        <f ca="1">IFERROR(__xludf.DUMMYFUNCTION("GOOGLETRANSLATE(D:D,""auto"",""en"")"),"Sun Mi open microblogging")</f>
        <v>Sun Mi open microblogging</v>
      </c>
      <c r="D7591" s="5" t="s">
        <v>17456</v>
      </c>
      <c r="E7591" s="4">
        <v>334017</v>
      </c>
    </row>
    <row r="7592" spans="1:6" ht="13.5" hidden="1" customHeight="1">
      <c r="A7592" s="4" t="s">
        <v>17457</v>
      </c>
      <c r="B7592" s="4" t="s">
        <v>17458</v>
      </c>
      <c r="C7592" s="4" t="str">
        <f ca="1">IFERROR(__xludf.DUMMYFUNCTION("GOOGLETRANSLATE(D:D,""auto"",""en"")"),"Menghe Tang cute")</f>
        <v>Menghe Tang cute</v>
      </c>
      <c r="D7592" s="5" t="s">
        <v>17459</v>
      </c>
      <c r="E7592" s="4">
        <v>329875</v>
      </c>
    </row>
    <row r="7593" spans="1:6" ht="13.5" hidden="1" customHeight="1">
      <c r="A7593" s="4" t="s">
        <v>17460</v>
      </c>
      <c r="B7593" s="4" t="s">
        <v>17461</v>
      </c>
      <c r="C7593" s="4" t="str">
        <f ca="1">IFERROR(__xludf.DUMMYFUNCTION("GOOGLETRANSLATE(D:D,""auto"",""en"")"),"Housing bright brother useless")</f>
        <v>Housing bright brother useless</v>
      </c>
      <c r="D7593" s="5" t="s">
        <v>17462</v>
      </c>
      <c r="E7593" s="4">
        <v>328622</v>
      </c>
    </row>
    <row r="7594" spans="1:6" ht="13.5" customHeight="1">
      <c r="A7594" s="4" t="s">
        <v>17463</v>
      </c>
      <c r="B7594" s="4" t="s">
        <v>17464</v>
      </c>
      <c r="C7594" s="4" t="str">
        <f ca="1">IFERROR(__xludf.DUMMYFUNCTION("GOOGLETRANSLATE(D:D,""auto"",""en"")"),"Norway will seek medical materials imported from China")</f>
        <v>Norway will seek medical materials imported from China</v>
      </c>
      <c r="D7594" s="5" t="s">
        <v>17465</v>
      </c>
      <c r="E7594" s="4">
        <v>305072</v>
      </c>
      <c r="F7594">
        <v>1</v>
      </c>
    </row>
    <row r="7595" spans="1:6" ht="13.5" hidden="1" customHeight="1">
      <c r="A7595" s="4" t="s">
        <v>17431</v>
      </c>
      <c r="B7595" s="4" t="s">
        <v>17466</v>
      </c>
      <c r="C7595" s="4" t="str">
        <f ca="1">IFERROR(__xludf.DUMMYFUNCTION("GOOGLETRANSLATE(D:D,""auto"",""en"")"),"Xu aunt protection bright room")</f>
        <v>Xu aunt protection bright room</v>
      </c>
      <c r="D7595" s="5" t="s">
        <v>17467</v>
      </c>
      <c r="E7595" s="4">
        <v>284813</v>
      </c>
    </row>
    <row r="7596" spans="1:6" ht="13.5" hidden="1" customHeight="1">
      <c r="A7596" s="4" t="s">
        <v>17468</v>
      </c>
      <c r="B7596" s="4" t="s">
        <v>17469</v>
      </c>
      <c r="C7596" s="4" t="str">
        <f ca="1">IFERROR(__xludf.DUMMYFUNCTION("GOOGLETRANSLATE(D:D,""auto"",""en"")"),"Russian soldiers show mechanical exoskeleton")</f>
        <v>Russian soldiers show mechanical exoskeleton</v>
      </c>
      <c r="D7596" s="5" t="s">
        <v>17470</v>
      </c>
      <c r="E7596" s="4">
        <v>272735</v>
      </c>
    </row>
    <row r="7597" spans="1:6" ht="13.5" hidden="1" customHeight="1">
      <c r="A7597" s="4" t="s">
        <v>17471</v>
      </c>
      <c r="B7597" s="4" t="s">
        <v>17472</v>
      </c>
      <c r="C7597" s="4" t="str">
        <f ca="1">IFERROR(__xludf.DUMMYFUNCTION("GOOGLETRANSLATE(D:D,""auto"",""en"")"),"Pan your angry rain")</f>
        <v>Pan your angry rain</v>
      </c>
      <c r="D7597" s="5" t="s">
        <v>17473</v>
      </c>
      <c r="E7597" s="4">
        <v>270152</v>
      </c>
    </row>
    <row r="7598" spans="1:6" ht="13.5" hidden="1" customHeight="1">
      <c r="A7598" s="4" t="s">
        <v>17474</v>
      </c>
      <c r="B7598" s="4" t="s">
        <v>17475</v>
      </c>
      <c r="C7598" s="4" t="str">
        <f ca="1">IFERROR(__xludf.DUMMYFUNCTION("GOOGLETRANSLATE(D:D,""auto"",""en"")"),"Son back to the hotel to pay homage to his father collapse site")</f>
        <v>Son back to the hotel to pay homage to his father collapse site</v>
      </c>
      <c r="D7598" s="5" t="s">
        <v>17476</v>
      </c>
      <c r="E7598" s="4">
        <v>263565</v>
      </c>
    </row>
    <row r="7599" spans="1:6" ht="13.5" customHeight="1">
      <c r="A7599" s="4" t="s">
        <v>17477</v>
      </c>
      <c r="B7599" s="4" t="s">
        <v>17305</v>
      </c>
      <c r="C7599" s="4" t="str">
        <f ca="1">IFERROR(__xludf.DUMMYFUNCTION("GOOGLETRANSLATE(D:D,""auto"",""en"")"),"UN Secretary-General called for global co-declared war on the new crown")</f>
        <v>UN Secretary-General called for global co-declared war on the new crown</v>
      </c>
      <c r="D7599" s="5" t="s">
        <v>17478</v>
      </c>
      <c r="E7599" s="4">
        <v>263023</v>
      </c>
      <c r="F7599">
        <v>1</v>
      </c>
    </row>
    <row r="7600" spans="1:6" ht="13.5" customHeight="1">
      <c r="A7600" s="4" t="s">
        <v>17479</v>
      </c>
      <c r="B7600" s="4" t="s">
        <v>17480</v>
      </c>
      <c r="C7600" s="4" t="str">
        <f ca="1">IFERROR(__xludf.DUMMYFUNCTION("GOOGLETRANSLATE(D:D,""auto"",""en"")"),"Britain will self-segregation 70 years old")</f>
        <v>Britain will self-segregation 70 years old</v>
      </c>
      <c r="D7600" s="5" t="s">
        <v>17481</v>
      </c>
      <c r="E7600" s="4">
        <v>262822</v>
      </c>
      <c r="F7600">
        <v>1</v>
      </c>
    </row>
    <row r="7601" spans="1:6" ht="13.5" hidden="1" customHeight="1">
      <c r="A7601" s="4" t="s">
        <v>17482</v>
      </c>
      <c r="B7601" s="4" t="s">
        <v>17483</v>
      </c>
      <c r="C7601" s="4" t="str">
        <f ca="1">IFERROR(__xludf.DUMMYFUNCTION("GOOGLETRANSLATE(D:D,""auto"",""en"")"),"Yang Qi letter")</f>
        <v>Yang Qi letter</v>
      </c>
      <c r="D7601" s="5" t="s">
        <v>17484</v>
      </c>
      <c r="E7601" s="4">
        <v>256502</v>
      </c>
    </row>
    <row r="7602" spans="1:6" ht="13.5" hidden="1" customHeight="1">
      <c r="A7602" s="4" t="s">
        <v>17485</v>
      </c>
      <c r="B7602" s="4" t="s">
        <v>17404</v>
      </c>
      <c r="C7602" s="4" t="str">
        <f ca="1">IFERROR(__xludf.DUMMYFUNCTION("GOOGLETRANSLATE(D:D,""auto"",""en"")"),"Canola flower")</f>
        <v>Canola flower</v>
      </c>
      <c r="D7602" s="5" t="s">
        <v>17486</v>
      </c>
      <c r="E7602" s="4">
        <v>255756</v>
      </c>
    </row>
    <row r="7603" spans="1:6" ht="13.5" hidden="1" customHeight="1">
      <c r="A7603" s="4" t="s">
        <v>17414</v>
      </c>
      <c r="B7603" s="4" t="s">
        <v>17487</v>
      </c>
      <c r="C7603" s="4" t="str">
        <f ca="1">IFERROR(__xludf.DUMMYFUNCTION("GOOGLETRANSLATE(D:D,""auto"",""en"")"),"In those years drenched in rain idol")</f>
        <v>In those years drenched in rain idol</v>
      </c>
      <c r="D7603" s="5" t="s">
        <v>17488</v>
      </c>
      <c r="E7603" s="4">
        <v>248380</v>
      </c>
    </row>
    <row r="7604" spans="1:6" ht="13.5" customHeight="1">
      <c r="A7604" s="4" t="s">
        <v>17479</v>
      </c>
      <c r="B7604" s="4" t="s">
        <v>17433</v>
      </c>
      <c r="C7604" s="4" t="str">
        <f ca="1">IFERROR(__xludf.DUMMYFUNCTION("GOOGLETRANSLATE(D:D,""auto"",""en"")"),"Gansu new one cases of imported cases in Egypt")</f>
        <v>Gansu new one cases of imported cases in Egypt</v>
      </c>
      <c r="D7604" s="5" t="s">
        <v>17489</v>
      </c>
      <c r="E7604" s="4">
        <v>247358</v>
      </c>
      <c r="F7604">
        <v>1</v>
      </c>
    </row>
    <row r="7605" spans="1:6" ht="13.5" hidden="1" customHeight="1">
      <c r="A7605" s="4" t="s">
        <v>17490</v>
      </c>
      <c r="B7605" s="4" t="s">
        <v>17480</v>
      </c>
      <c r="C7605" s="4" t="str">
        <f ca="1">IFERROR(__xludf.DUMMYFUNCTION("GOOGLETRANSLATE(D:D,""auto"",""en"")"),"When the teacher added after parental micro-letter")</f>
        <v>When the teacher added after parental micro-letter</v>
      </c>
      <c r="D7605" s="5" t="s">
        <v>17491</v>
      </c>
      <c r="E7605" s="4">
        <v>222629</v>
      </c>
    </row>
    <row r="7606" spans="1:6" ht="13.5" hidden="1" customHeight="1">
      <c r="A7606" s="4" t="s">
        <v>17492</v>
      </c>
      <c r="B7606" s="4" t="s">
        <v>17433</v>
      </c>
      <c r="C7606" s="4" t="str">
        <f ca="1">IFERROR(__xludf.DUMMYFUNCTION("GOOGLETRANSLATE(D:D,""auto"",""en"")"),"If tomorrow can travel")</f>
        <v>If tomorrow can travel</v>
      </c>
      <c r="D7606" s="5" t="s">
        <v>17493</v>
      </c>
      <c r="E7606" s="4">
        <v>219259</v>
      </c>
    </row>
    <row r="7607" spans="1:6" ht="13.5" customHeight="1">
      <c r="A7607" s="4" t="s">
        <v>17494</v>
      </c>
      <c r="B7607" s="4" t="s">
        <v>17495</v>
      </c>
      <c r="C7607" s="4" t="str">
        <f ca="1">IFERROR(__xludf.DUMMYFUNCTION("GOOGLETRANSLATE(D:D,""auto"",""en"")"),"More seized substandard masks on a tear rotten")</f>
        <v>More seized substandard masks on a tear rotten</v>
      </c>
      <c r="D7607" s="5" t="s">
        <v>17496</v>
      </c>
      <c r="E7607" s="4">
        <v>215311</v>
      </c>
      <c r="F7607">
        <v>1</v>
      </c>
    </row>
    <row r="7608" spans="1:6" ht="13.5" customHeight="1">
      <c r="A7608" s="4" t="s">
        <v>17414</v>
      </c>
      <c r="B7608" s="4" t="s">
        <v>17497</v>
      </c>
      <c r="C7608" s="4" t="str">
        <f ca="1">IFERROR(__xludf.DUMMYFUNCTION("GOOGLETRANSLATE(D:D,""auto"",""en"")"),"After clearing the air show Relay care ward")</f>
        <v>After clearing the air show Relay care ward</v>
      </c>
      <c r="D7608" s="5" t="s">
        <v>17498</v>
      </c>
      <c r="E7608" s="4">
        <v>198679</v>
      </c>
      <c r="F7608">
        <v>1</v>
      </c>
    </row>
    <row r="7609" spans="1:6" ht="13.5" hidden="1" customHeight="1">
      <c r="A7609" s="4" t="s">
        <v>17474</v>
      </c>
      <c r="B7609" s="4" t="s">
        <v>17499</v>
      </c>
      <c r="C7609" s="4" t="str">
        <f ca="1">IFERROR(__xludf.DUMMYFUNCTION("GOOGLETRANSLATE(D:D,""auto"",""en"")"),"You are Jiangsu team cute little")</f>
        <v>You are Jiangsu team cute little</v>
      </c>
      <c r="D7609" s="5" t="s">
        <v>17500</v>
      </c>
      <c r="E7609" s="4">
        <v>191577</v>
      </c>
    </row>
    <row r="7610" spans="1:6" ht="13.5" hidden="1" customHeight="1">
      <c r="A7610" s="4" t="s">
        <v>17435</v>
      </c>
      <c r="B7610" s="4" t="s">
        <v>17501</v>
      </c>
      <c r="C7610" s="4" t="str">
        <f ca="1">IFERROR(__xludf.DUMMYFUNCTION("GOOGLETRANSLATE(D:D,""auto"",""en"")"),"Guangzhou's first cases reported outside input")</f>
        <v>Guangzhou's first cases reported outside input</v>
      </c>
      <c r="D7610" s="5" t="s">
        <v>17502</v>
      </c>
      <c r="E7610" s="4">
        <v>175651</v>
      </c>
    </row>
    <row r="7611" spans="1:6" ht="13.5" hidden="1" customHeight="1">
      <c r="A7611" s="4" t="s">
        <v>17494</v>
      </c>
      <c r="B7611" s="4" t="s">
        <v>17427</v>
      </c>
      <c r="C7611" s="4" t="str">
        <f ca="1">IFERROR(__xludf.DUMMYFUNCTION("GOOGLETRANSLATE(D:D,""auto"",""en"")"),"Inventory star cos too cartoon image")</f>
        <v>Inventory star cos too cartoon image</v>
      </c>
      <c r="D7611" s="5" t="s">
        <v>17503</v>
      </c>
      <c r="E7611" s="4">
        <v>173124</v>
      </c>
    </row>
    <row r="7612" spans="1:6" ht="13.5" customHeight="1">
      <c r="A7612" s="4" t="s">
        <v>17504</v>
      </c>
      <c r="B7612" s="4" t="s">
        <v>17505</v>
      </c>
      <c r="C7612" s="4" t="str">
        <f ca="1">IFERROR(__xludf.DUMMYFUNCTION("GOOGLETRANSLATE(D:D,""auto"",""en"")"),"Students use the train ticket was extended to May 31")</f>
        <v>Students use the train ticket was extended to May 31</v>
      </c>
      <c r="D7612" s="5" t="s">
        <v>17506</v>
      </c>
      <c r="E7612" s="4">
        <v>155872</v>
      </c>
      <c r="F7612">
        <v>1</v>
      </c>
    </row>
    <row r="7613" spans="1:6" ht="13.5" hidden="1" customHeight="1">
      <c r="A7613" s="4" t="s">
        <v>17507</v>
      </c>
      <c r="B7613" s="4" t="s">
        <v>17508</v>
      </c>
      <c r="C7613" s="4" t="str">
        <f ca="1">IFERROR(__xludf.DUMMYFUNCTION("GOOGLETRANSLATE(D:D,""auto"",""en"")"),"Puff steal home")</f>
        <v>Puff steal home</v>
      </c>
      <c r="D7613" s="5" t="s">
        <v>17509</v>
      </c>
      <c r="E7613" s="4">
        <v>146637</v>
      </c>
    </row>
    <row r="7614" spans="1:6" ht="13.5" customHeight="1">
      <c r="A7614" s="4" t="s">
        <v>17510</v>
      </c>
      <c r="B7614" s="4" t="s">
        <v>17511</v>
      </c>
      <c r="C7614" s="4" t="str">
        <f ca="1">IFERROR(__xludf.DUMMYFUNCTION("GOOGLETRANSLATE(D:D,""auto"",""en"")"),"Immigration outside Anhui all centralized quarantine 14 days")</f>
        <v>Immigration outside Anhui all centralized quarantine 14 days</v>
      </c>
      <c r="D7614" s="5" t="s">
        <v>17512</v>
      </c>
      <c r="E7614" s="4">
        <v>120767</v>
      </c>
      <c r="F7614">
        <v>1</v>
      </c>
    </row>
    <row r="7615" spans="1:6" ht="13.5" hidden="1" customHeight="1">
      <c r="C7615" s="4" t="str">
        <f ca="1">IFERROR(__xludf.DUMMYFUNCTION("GOOGLETRANSLATE(D:D,""auto"",""en"")"),"#VALUE!")</f>
        <v>#VALUE!</v>
      </c>
    </row>
    <row r="7616" spans="1:6" ht="13.5" hidden="1" customHeight="1">
      <c r="A7616" s="4" t="s">
        <v>17513</v>
      </c>
      <c r="B7616" s="4" t="s">
        <v>17514</v>
      </c>
      <c r="C7616" s="4" t="str">
        <f ca="1">IFERROR(__xludf.DUMMYFUNCTION("GOOGLETRANSLATE(D:D,""auto"",""en"")"),"Tang Yi Xin belly")</f>
        <v>Tang Yi Xin belly</v>
      </c>
      <c r="D7616" s="4" t="s">
        <v>17515</v>
      </c>
      <c r="E7616" s="4">
        <v>5306012</v>
      </c>
    </row>
    <row r="7617" spans="1:6" ht="13.5" hidden="1" customHeight="1">
      <c r="A7617" s="4" t="s">
        <v>17516</v>
      </c>
      <c r="B7617" s="4" t="s">
        <v>17406</v>
      </c>
      <c r="C7617" s="4" t="str">
        <f ca="1">IFERROR(__xludf.DUMMYFUNCTION("GOOGLETRANSLATE(D:D,""auto"",""en"")"),"American men live shots into the US media rebuked")</f>
        <v>American men live shots into the US media rebuked</v>
      </c>
      <c r="D7617" s="5" t="s">
        <v>17517</v>
      </c>
      <c r="E7617" s="4">
        <v>4718744</v>
      </c>
    </row>
    <row r="7618" spans="1:6" ht="13.5" hidden="1" customHeight="1">
      <c r="A7618" s="4" t="s">
        <v>17518</v>
      </c>
      <c r="B7618" s="4" t="s">
        <v>17519</v>
      </c>
      <c r="C7618" s="4" t="str">
        <f ca="1">IFERROR(__xludf.DUMMYFUNCTION("GOOGLETRANSLATE(D:D,""auto"",""en"")"),"Huang Shuhao monk")</f>
        <v>Huang Shuhao monk</v>
      </c>
      <c r="D7618" s="5" t="s">
        <v>17520</v>
      </c>
      <c r="E7618" s="4">
        <v>4242090</v>
      </c>
    </row>
    <row r="7619" spans="1:6" ht="13.5" hidden="1" customHeight="1">
      <c r="A7619" s="4" t="s">
        <v>17521</v>
      </c>
      <c r="B7619" s="4" t="s">
        <v>17522</v>
      </c>
      <c r="C7619" s="4" t="str">
        <f ca="1">IFERROR(__xludf.DUMMYFUNCTION("GOOGLETRANSLATE(D:D,""auto"",""en"")"),"Heiwa")</f>
        <v>Heiwa</v>
      </c>
      <c r="D7619" s="5" t="s">
        <v>17523</v>
      </c>
      <c r="E7619" s="4">
        <v>2291111</v>
      </c>
    </row>
    <row r="7620" spans="1:6" ht="13.5" hidden="1" customHeight="1">
      <c r="A7620" s="4" t="s">
        <v>17524</v>
      </c>
      <c r="B7620" s="4" t="s">
        <v>17525</v>
      </c>
      <c r="C7620" s="4" t="str">
        <f ca="1">IFERROR(__xludf.DUMMYFUNCTION("GOOGLETRANSLATE(D:D,""auto"",""en"")"),"Zhao Zhiwei did not love derailment")</f>
        <v>Zhao Zhiwei did not love derailment</v>
      </c>
      <c r="D7620" s="5" t="s">
        <v>17526</v>
      </c>
      <c r="E7620" s="4">
        <v>2087388</v>
      </c>
    </row>
    <row r="7621" spans="1:6" ht="13.5" customHeight="1">
      <c r="A7621" s="4" t="s">
        <v>17527</v>
      </c>
      <c r="B7621" s="4" t="s">
        <v>17528</v>
      </c>
      <c r="C7621" s="4" t="str">
        <f ca="1">IFERROR(__xludf.DUMMYFUNCTION("GOOGLETRANSLATE(D:D,""auto"",""en"")"),"Wuhan is still sporadic cases of community")</f>
        <v>Wuhan is still sporadic cases of community</v>
      </c>
      <c r="D7621" s="5" t="s">
        <v>17529</v>
      </c>
      <c r="E7621" s="4">
        <v>1578858</v>
      </c>
      <c r="F7621">
        <v>1</v>
      </c>
    </row>
    <row r="7622" spans="1:6" ht="13.5" customHeight="1">
      <c r="A7622" s="4" t="s">
        <v>17530</v>
      </c>
      <c r="B7622" s="4" t="s">
        <v>17531</v>
      </c>
      <c r="C7622" s="4" t="str">
        <f ca="1">IFERROR(__xludf.DUMMYFUNCTION("GOOGLETRANSLATE(D:D,""auto"",""en"")"),"Xinjiang hair masks after school free for students")</f>
        <v>Xinjiang hair masks after school free for students</v>
      </c>
      <c r="D7622" s="5" t="s">
        <v>17532</v>
      </c>
      <c r="E7622" s="4">
        <v>1516774</v>
      </c>
      <c r="F7622">
        <v>1</v>
      </c>
    </row>
    <row r="7623" spans="1:6" ht="13.5" hidden="1" customHeight="1">
      <c r="A7623" s="4" t="s">
        <v>17533</v>
      </c>
      <c r="B7623" s="4" t="s">
        <v>17534</v>
      </c>
      <c r="C7623" s="4" t="str">
        <f ca="1">IFERROR(__xludf.DUMMYFUNCTION("GOOGLETRANSLATE(D:D,""auto"",""en"")"),"German users to follow Italy balcony singing")</f>
        <v>German users to follow Italy balcony singing</v>
      </c>
      <c r="D7623" s="5" t="s">
        <v>17535</v>
      </c>
      <c r="E7623" s="4">
        <v>1132002</v>
      </c>
    </row>
    <row r="7624" spans="1:6" ht="13.5" customHeight="1">
      <c r="A7624" s="4" t="s">
        <v>17536</v>
      </c>
      <c r="B7624" s="4" t="s">
        <v>17537</v>
      </c>
      <c r="C7624" s="4" t="str">
        <f ca="1">IFERROR(__xludf.DUMMYFUNCTION("GOOGLETRANSLATE(D:D,""auto"",""en"")"),"Trump said the White House and epidemic prevention extraordinary results")</f>
        <v>Trump said the White House and epidemic prevention extraordinary results</v>
      </c>
      <c r="D7624" s="5" t="s">
        <v>17538</v>
      </c>
      <c r="E7624" s="4">
        <v>837010</v>
      </c>
      <c r="F7624">
        <v>1</v>
      </c>
    </row>
    <row r="7625" spans="1:6" ht="13.5" customHeight="1">
      <c r="A7625" s="4" t="s">
        <v>17539</v>
      </c>
      <c r="B7625" s="4" t="s">
        <v>17540</v>
      </c>
      <c r="C7625" s="4" t="str">
        <f ca="1">IFERROR(__xludf.DUMMYFUNCTION("GOOGLETRANSLATE(D:D,""auto"",""en"")"),"South Korea two consecutive days of less than 100 cases of new cases")</f>
        <v>South Korea two consecutive days of less than 100 cases of new cases</v>
      </c>
      <c r="D7625" s="5" t="s">
        <v>17541</v>
      </c>
      <c r="E7625" s="4">
        <v>809315</v>
      </c>
      <c r="F7625">
        <v>1</v>
      </c>
    </row>
    <row r="7626" spans="1:6" ht="13.5" hidden="1" customHeight="1">
      <c r="A7626" s="4" t="s">
        <v>17536</v>
      </c>
      <c r="B7626" s="4" t="s">
        <v>17542</v>
      </c>
      <c r="C7626" s="4" t="str">
        <f ca="1">IFERROR(__xludf.DUMMYFUNCTION("GOOGLETRANSLATE(D:D,""auto"",""en"")"),"Bell questioned the green bag you two clips")</f>
        <v>Bell questioned the green bag you two clips</v>
      </c>
      <c r="D7626" s="5" t="s">
        <v>17543</v>
      </c>
      <c r="E7626" s="4">
        <v>790459</v>
      </c>
    </row>
    <row r="7627" spans="1:6" ht="13.5" hidden="1" customHeight="1">
      <c r="A7627" s="4" t="s">
        <v>17544</v>
      </c>
      <c r="B7627" s="4" t="s">
        <v>17403</v>
      </c>
      <c r="C7627" s="4" t="str">
        <f ca="1">IFERROR(__xludf.DUMMYFUNCTION("GOOGLETRANSLATE(D:D,""auto"",""en"")"),"90-year-old refused to be afraid to waste resources needle injection therapy")</f>
        <v>90-year-old refused to be afraid to waste resources needle injection therapy</v>
      </c>
      <c r="D7627" s="5" t="s">
        <v>17545</v>
      </c>
      <c r="E7627" s="4">
        <v>766334</v>
      </c>
    </row>
    <row r="7628" spans="1:6" ht="13.5" customHeight="1">
      <c r="A7628" s="4" t="s">
        <v>17546</v>
      </c>
      <c r="B7628" s="4" t="s">
        <v>17477</v>
      </c>
      <c r="C7628" s="4" t="str">
        <f ca="1">IFERROR(__xludf.DUMMYFUNCTION("GOOGLETRANSLATE(D:D,""auto"",""en"")"),"Confirmed cases outside of China more than China")</f>
        <v>Confirmed cases outside of China more than China</v>
      </c>
      <c r="D7628" s="5" t="s">
        <v>17547</v>
      </c>
      <c r="E7628" s="4">
        <v>714558</v>
      </c>
      <c r="F7628">
        <v>1</v>
      </c>
    </row>
    <row r="7629" spans="1:6" ht="13.5" customHeight="1">
      <c r="A7629" s="4" t="s">
        <v>17548</v>
      </c>
      <c r="B7629" s="4" t="s">
        <v>17549</v>
      </c>
      <c r="C7629" s="4" t="str">
        <f ca="1">IFERROR(__xludf.DUMMYFUNCTION("GOOGLETRANSLATE(D:D,""auto"",""en"")"),"Xinjiang early high school grades school")</f>
        <v>Xinjiang early high school grades school</v>
      </c>
      <c r="D7629" s="5" t="s">
        <v>17550</v>
      </c>
      <c r="E7629" s="4">
        <v>704795</v>
      </c>
      <c r="F7629">
        <v>1</v>
      </c>
    </row>
    <row r="7630" spans="1:6" ht="13.5" customHeight="1">
      <c r="A7630" s="4" t="s">
        <v>17551</v>
      </c>
      <c r="B7630" s="4" t="s">
        <v>17552</v>
      </c>
      <c r="C7630" s="4" t="str">
        <f ca="1">IFERROR(__xludf.DUMMYFUNCTION("GOOGLETRANSLATE(D:D,""auto"",""en"")"),"US media said, or 100 million Americans will be infected with a new crown")</f>
        <v>US media said, or 100 million Americans will be infected with a new crown</v>
      </c>
      <c r="D7630" s="5" t="s">
        <v>17553</v>
      </c>
      <c r="E7630" s="4">
        <v>697991</v>
      </c>
      <c r="F7630">
        <v>1</v>
      </c>
    </row>
    <row r="7631" spans="1:6" ht="13.5" hidden="1" customHeight="1">
      <c r="A7631" s="4" t="s">
        <v>17554</v>
      </c>
      <c r="B7631" s="4" t="s">
        <v>17555</v>
      </c>
      <c r="C7631" s="4" t="str">
        <f ca="1">IFERROR(__xludf.DUMMYFUNCTION("GOOGLETRANSLATE(D:D,""auto"",""en"")"),"Zhang Yu Jian said Yu Shuxin crazy")</f>
        <v>Zhang Yu Jian said Yu Shuxin crazy</v>
      </c>
      <c r="D7631" s="5" t="s">
        <v>17556</v>
      </c>
      <c r="E7631" s="4">
        <v>688595</v>
      </c>
    </row>
    <row r="7632" spans="1:6" ht="13.5" customHeight="1">
      <c r="A7632" s="4" t="s">
        <v>17557</v>
      </c>
      <c r="B7632" s="4" t="s">
        <v>17558</v>
      </c>
      <c r="C7632" s="4" t="str">
        <f ca="1">IFERROR(__xludf.DUMMYFUNCTION("GOOGLETRANSLATE(D:D,""auto"",""en"")"),"Singapore criticized the British policy of combating the disease in Switzerland")</f>
        <v>Singapore criticized the British policy of combating the disease in Switzerland</v>
      </c>
      <c r="D7632" s="5" t="s">
        <v>17559</v>
      </c>
      <c r="E7632" s="4">
        <v>659473</v>
      </c>
      <c r="F7632">
        <v>1</v>
      </c>
    </row>
    <row r="7633" spans="1:6" ht="13.5" hidden="1" customHeight="1">
      <c r="A7633" s="4" t="s">
        <v>17560</v>
      </c>
      <c r="B7633" s="4" t="s">
        <v>17561</v>
      </c>
      <c r="C7633" s="4" t="str">
        <f ca="1">IFERROR(__xludf.DUMMYFUNCTION("GOOGLETRANSLATE(D:D,""auto"",""en"")"),"Xinjiang earthquake")</f>
        <v>Xinjiang earthquake</v>
      </c>
      <c r="D7633" s="5" t="s">
        <v>17562</v>
      </c>
      <c r="E7633" s="4">
        <v>651831</v>
      </c>
    </row>
    <row r="7634" spans="1:6" ht="13.5" hidden="1" customHeight="1">
      <c r="A7634" s="4" t="s">
        <v>17563</v>
      </c>
      <c r="B7634" s="4" t="s">
        <v>17564</v>
      </c>
      <c r="C7634" s="4" t="str">
        <f ca="1">IFERROR(__xludf.DUMMYFUNCTION("GOOGLETRANSLATE(D:D,""auto"",""en"")"),"742 Love Sauce")</f>
        <v>742 Love Sauce</v>
      </c>
      <c r="D7634" s="5" t="s">
        <v>17565</v>
      </c>
      <c r="E7634" s="4">
        <v>627459</v>
      </c>
    </row>
    <row r="7635" spans="1:6" ht="13.5" hidden="1" customHeight="1">
      <c r="A7635" s="4" t="s">
        <v>17566</v>
      </c>
      <c r="B7635" s="4" t="s">
        <v>17567</v>
      </c>
      <c r="C7635" s="4" t="str">
        <f ca="1">IFERROR(__xludf.DUMMYFUNCTION("GOOGLETRANSLATE(D:D,""auto"",""en"")"),"UAVs really making Americans supermarket queues")</f>
        <v>UAVs really making Americans supermarket queues</v>
      </c>
      <c r="D7635" s="5" t="s">
        <v>17568</v>
      </c>
      <c r="E7635" s="4">
        <v>586757</v>
      </c>
    </row>
    <row r="7636" spans="1:6" ht="13.5" hidden="1" customHeight="1">
      <c r="A7636" s="4" t="s">
        <v>17569</v>
      </c>
      <c r="B7636" s="4" t="s">
        <v>17391</v>
      </c>
      <c r="C7636" s="4" t="str">
        <f ca="1">IFERROR(__xludf.DUMMYFUNCTION("GOOGLETRANSLATE(D:D,""auto"",""en"")"),"CardiB show off themselves to board the China News")</f>
        <v>CardiB show off themselves to board the China News</v>
      </c>
      <c r="D7636" s="5" t="s">
        <v>17570</v>
      </c>
      <c r="E7636" s="4">
        <v>582402</v>
      </c>
    </row>
    <row r="7637" spans="1:6" ht="13.5" customHeight="1">
      <c r="A7637" s="4" t="s">
        <v>17571</v>
      </c>
      <c r="B7637" s="4" t="s">
        <v>17531</v>
      </c>
      <c r="C7637" s="4" t="str">
        <f ca="1">IFERROR(__xludf.DUMMYFUNCTION("GOOGLETRANSLATE(D:D,""auto"",""en"")"),"The amount of work hours of Internet")</f>
        <v>The amount of work hours of Internet</v>
      </c>
      <c r="D7637" s="5" t="s">
        <v>17572</v>
      </c>
      <c r="E7637" s="4">
        <v>561823</v>
      </c>
      <c r="F7637">
        <v>1</v>
      </c>
    </row>
    <row r="7638" spans="1:6" ht="13.5" customHeight="1">
      <c r="A7638" s="4" t="s">
        <v>17573</v>
      </c>
      <c r="B7638" s="4" t="s">
        <v>17574</v>
      </c>
      <c r="C7638" s="4" t="str">
        <f ca="1">IFERROR(__xludf.DUMMYFUNCTION("GOOGLETRANSLATE(D:D,""auto"",""en"")"),"Brazil's president appeared on the streets of isolation")</f>
        <v>Brazil's president appeared on the streets of isolation</v>
      </c>
      <c r="D7638" s="5" t="s">
        <v>17575</v>
      </c>
      <c r="E7638" s="4">
        <v>550015</v>
      </c>
      <c r="F7638">
        <v>1</v>
      </c>
    </row>
    <row r="7639" spans="1:6" ht="13.5" hidden="1" customHeight="1">
      <c r="A7639" s="4" t="s">
        <v>17576</v>
      </c>
      <c r="B7639" s="4" t="s">
        <v>17577</v>
      </c>
      <c r="C7639" s="4" t="str">
        <f ca="1">IFERROR(__xludf.DUMMYFUNCTION("GOOGLETRANSLATE(D:D,""auto"",""en"")"),"ZTE")</f>
        <v>ZTE</v>
      </c>
      <c r="D7639" s="5" t="s">
        <v>17578</v>
      </c>
      <c r="E7639" s="4">
        <v>499449</v>
      </c>
    </row>
    <row r="7640" spans="1:6" ht="13.5" customHeight="1">
      <c r="A7640" s="4" t="s">
        <v>17533</v>
      </c>
      <c r="B7640" s="4" t="s">
        <v>17549</v>
      </c>
      <c r="C7640" s="4" t="str">
        <f ca="1">IFERROR(__xludf.DUMMYFUNCTION("GOOGLETRANSLATE(D:D,""auto"",""en"")"),"China will take measures to help Spain fight the epidemic")</f>
        <v>China will take measures to help Spain fight the epidemic</v>
      </c>
      <c r="D7640" s="5" t="s">
        <v>17579</v>
      </c>
      <c r="E7640" s="4">
        <v>490285</v>
      </c>
      <c r="F7640">
        <v>1</v>
      </c>
    </row>
    <row r="7641" spans="1:6" ht="13.5" hidden="1" customHeight="1">
      <c r="A7641" s="4" t="s">
        <v>17580</v>
      </c>
      <c r="B7641" s="4" t="s">
        <v>17581</v>
      </c>
      <c r="C7641" s="4" t="str">
        <f ca="1">IFERROR(__xludf.DUMMYFUNCTION("GOOGLETRANSLATE(D:D,""auto"",""en"")"),"Leo Ku when dad")</f>
        <v>Leo Ku when dad</v>
      </c>
      <c r="D7641" s="5" t="s">
        <v>17582</v>
      </c>
      <c r="E7641" s="4">
        <v>486722</v>
      </c>
    </row>
    <row r="7642" spans="1:6" ht="13.5" customHeight="1">
      <c r="A7642" s="4" t="s">
        <v>17583</v>
      </c>
      <c r="B7642" s="4" t="s">
        <v>17403</v>
      </c>
      <c r="C7642" s="4" t="str">
        <f ca="1">IFERROR(__xludf.DUMMYFUNCTION("GOOGLETRANSLATE(D:D,""auto"",""en"")"),"British epidemic")</f>
        <v>British epidemic</v>
      </c>
      <c r="D7642" s="5" t="s">
        <v>17584</v>
      </c>
      <c r="E7642" s="4">
        <v>478257</v>
      </c>
      <c r="F7642">
        <v>1</v>
      </c>
    </row>
    <row r="7643" spans="1:6" ht="13.5" hidden="1" customHeight="1">
      <c r="A7643" s="4" t="s">
        <v>17585</v>
      </c>
      <c r="B7643" s="4" t="s">
        <v>17586</v>
      </c>
      <c r="C7643" s="4" t="str">
        <f ca="1">IFERROR(__xludf.DUMMYFUNCTION("GOOGLETRANSLATE(D:D,""auto"",""en"")"),"Xu aunt bright room roof kiss")</f>
        <v>Xu aunt bright room roof kiss</v>
      </c>
      <c r="D7643" s="5" t="s">
        <v>17587</v>
      </c>
      <c r="E7643" s="4">
        <v>466357</v>
      </c>
    </row>
    <row r="7644" spans="1:6" ht="13.5" hidden="1" customHeight="1">
      <c r="A7644" s="4" t="s">
        <v>15932</v>
      </c>
      <c r="B7644" s="4" t="s">
        <v>15933</v>
      </c>
      <c r="C7644" s="4" t="str">
        <f ca="1">IFERROR(__xludf.DUMMYFUNCTION("GOOGLETRANSLATE(D:D,""auto"",""en"")"),"Different degrees invasion")</f>
        <v>Different degrees invasion</v>
      </c>
      <c r="D7644" s="5" t="s">
        <v>15934</v>
      </c>
      <c r="E7644" s="4">
        <v>458741</v>
      </c>
    </row>
    <row r="7645" spans="1:6" ht="13.5" hidden="1" customHeight="1">
      <c r="A7645" s="4" t="s">
        <v>17588</v>
      </c>
      <c r="B7645" s="4" t="s">
        <v>17589</v>
      </c>
      <c r="C7645" s="4" t="str">
        <f ca="1">IFERROR(__xludf.DUMMYFUNCTION("GOOGLETRANSLATE(D:D,""auto"",""en"")"),"More than 40,000 families worrying about")</f>
        <v>More than 40,000 families worrying about</v>
      </c>
      <c r="D7645" s="5" t="s">
        <v>17590</v>
      </c>
      <c r="E7645" s="4">
        <v>457519</v>
      </c>
    </row>
    <row r="7646" spans="1:6" ht="13.5" customHeight="1">
      <c r="A7646" s="4" t="s">
        <v>17560</v>
      </c>
      <c r="B7646" s="4" t="s">
        <v>17589</v>
      </c>
      <c r="C7646" s="4" t="str">
        <f ca="1">IFERROR(__xludf.DUMMYFUNCTION("GOOGLETRANSLATE(D:D,""auto"",""en"")"),"Universal Music CEO confirmed the new crown")</f>
        <v>Universal Music CEO confirmed the new crown</v>
      </c>
      <c r="D7646" s="5" t="s">
        <v>17591</v>
      </c>
      <c r="E7646" s="4">
        <v>440090</v>
      </c>
      <c r="F7646">
        <v>1</v>
      </c>
    </row>
    <row r="7647" spans="1:6" ht="13.5" customHeight="1">
      <c r="A7647" s="4" t="s">
        <v>17592</v>
      </c>
      <c r="B7647" s="4" t="s">
        <v>17593</v>
      </c>
      <c r="C7647" s="4" t="str">
        <f ca="1">IFERROR(__xludf.DUMMYFUNCTION("GOOGLETRANSLATE(D:D,""auto"",""en"")"),"Wuhan University Yun-kun")</f>
        <v>Wuhan University Yun-kun</v>
      </c>
      <c r="D7647" s="5" t="s">
        <v>17594</v>
      </c>
      <c r="E7647" s="4">
        <v>383696</v>
      </c>
      <c r="F7647">
        <v>1</v>
      </c>
    </row>
    <row r="7648" spans="1:6" ht="13.5" customHeight="1">
      <c r="A7648" s="4" t="s">
        <v>17548</v>
      </c>
      <c r="B7648" s="4" t="s">
        <v>17595</v>
      </c>
      <c r="C7648" s="4" t="str">
        <f ca="1">IFERROR(__xludf.DUMMYFUNCTION("GOOGLETRANSLATE(D:D,""auto"",""en"")"),"Overseas Immigration Inner Mongolia isolation of centralized medical observation 14 days")</f>
        <v>Overseas Immigration Inner Mongolia isolation of centralized medical observation 14 days</v>
      </c>
      <c r="D7648" s="5" t="s">
        <v>17596</v>
      </c>
      <c r="E7648" s="4">
        <v>326033</v>
      </c>
      <c r="F7648">
        <v>1</v>
      </c>
    </row>
    <row r="7649" spans="1:6" ht="13.5" hidden="1" customHeight="1">
      <c r="A7649" s="4" t="s">
        <v>17597</v>
      </c>
      <c r="B7649" s="4" t="s">
        <v>17471</v>
      </c>
      <c r="C7649" s="4" t="str">
        <f ca="1">IFERROR(__xludf.DUMMYFUNCTION("GOOGLETRANSLATE(D:D,""auto"",""en"")"),"Italian newspaper obituary of a change of more than 10 semi-")</f>
        <v>Italian newspaper obituary of a change of more than 10 semi-</v>
      </c>
      <c r="D7649" s="5" t="s">
        <v>17598</v>
      </c>
      <c r="E7649" s="4">
        <v>316431</v>
      </c>
    </row>
    <row r="7650" spans="1:6" ht="13.5" hidden="1" customHeight="1">
      <c r="A7650" s="4" t="s">
        <v>17599</v>
      </c>
      <c r="B7650" s="4" t="s">
        <v>17600</v>
      </c>
      <c r="C7650" s="4" t="str">
        <f ca="1">IFERROR(__xludf.DUMMYFUNCTION("GOOGLETRANSLATE(D:D,""auto"",""en"")"),"Do not fill out health declaration form will be convicted and punished")</f>
        <v>Do not fill out health declaration form will be convicted and punished</v>
      </c>
      <c r="D7650" s="5" t="s">
        <v>17601</v>
      </c>
      <c r="E7650" s="4">
        <v>308872</v>
      </c>
    </row>
    <row r="7651" spans="1:6" ht="13.5" customHeight="1">
      <c r="A7651" s="4" t="s">
        <v>17602</v>
      </c>
      <c r="B7651" s="4" t="s">
        <v>17574</v>
      </c>
      <c r="C7651" s="4" t="str">
        <f ca="1">IFERROR(__xludf.DUMMYFUNCTION("GOOGLETRANSLATE(D:D,""auto"",""en"")"),"Wuhan police Li Yin")</f>
        <v>Wuhan police Li Yin</v>
      </c>
      <c r="D7651" s="5" t="s">
        <v>17603</v>
      </c>
      <c r="E7651" s="4">
        <v>304916</v>
      </c>
      <c r="F7651">
        <v>1</v>
      </c>
    </row>
    <row r="7652" spans="1:6" ht="13.5" hidden="1" customHeight="1">
      <c r="A7652" s="4" t="s">
        <v>17604</v>
      </c>
      <c r="B7652" s="4" t="s">
        <v>17605</v>
      </c>
      <c r="C7652" s="4" t="str">
        <f ca="1">IFERROR(__xludf.DUMMYFUNCTION("GOOGLETRANSLATE(D:D,""auto"",""en"")"),"Eggs fairy practice")</f>
        <v>Eggs fairy practice</v>
      </c>
      <c r="D7652" s="5" t="s">
        <v>17606</v>
      </c>
      <c r="E7652" s="4">
        <v>297869</v>
      </c>
    </row>
    <row r="7653" spans="1:6" ht="13.5" hidden="1" customHeight="1">
      <c r="A7653" s="4" t="s">
        <v>17597</v>
      </c>
      <c r="B7653" s="4" t="s">
        <v>17531</v>
      </c>
      <c r="C7653" s="4" t="str">
        <f ca="1">IFERROR(__xludf.DUMMYFUNCTION("GOOGLETRANSLATE(D:D,""auto"",""en"")"),"The central bank conducted 100 billion yuan a year MLF operation")</f>
        <v>The central bank conducted 100 billion yuan a year MLF operation</v>
      </c>
      <c r="D7653" s="5" t="s">
        <v>17607</v>
      </c>
      <c r="E7653" s="4">
        <v>295532</v>
      </c>
    </row>
    <row r="7654" spans="1:6" ht="13.5" hidden="1" customHeight="1">
      <c r="A7654" s="4" t="s">
        <v>17608</v>
      </c>
      <c r="B7654" s="4" t="s">
        <v>17605</v>
      </c>
      <c r="C7654" s="4" t="str">
        <f ca="1">IFERROR(__xludf.DUMMYFUNCTION("GOOGLETRANSLATE(D:D,""auto"",""en"")"),"The most novel nonsense plot")</f>
        <v>The most novel nonsense plot</v>
      </c>
      <c r="D7654" s="5" t="s">
        <v>17609</v>
      </c>
      <c r="E7654" s="4">
        <v>290019</v>
      </c>
    </row>
    <row r="7655" spans="1:6" ht="13.5" hidden="1" customHeight="1">
      <c r="A7655" s="4" t="s">
        <v>17536</v>
      </c>
      <c r="B7655" s="4" t="s">
        <v>17574</v>
      </c>
      <c r="C7655" s="4" t="str">
        <f ca="1">IFERROR(__xludf.DUMMYFUNCTION("GOOGLETRANSLATE(D:D,""auto"",""en"")"),"Modern Family dog ​​actor's death")</f>
        <v>Modern Family dog ​​actor's death</v>
      </c>
      <c r="D7655" s="5" t="s">
        <v>17610</v>
      </c>
      <c r="E7655" s="4">
        <v>281884</v>
      </c>
    </row>
    <row r="7656" spans="1:6" ht="13.5" hidden="1" customHeight="1">
      <c r="A7656" s="4" t="s">
        <v>17611</v>
      </c>
      <c r="B7656" s="4" t="s">
        <v>17612</v>
      </c>
      <c r="C7656" s="4" t="str">
        <f ca="1">IFERROR(__xludf.DUMMYFUNCTION("GOOGLETRANSLATE(D:D,""auto"",""en"")"),"Mexican festival drawing huge crowds")</f>
        <v>Mexican festival drawing huge crowds</v>
      </c>
      <c r="D7656" s="5" t="s">
        <v>17613</v>
      </c>
      <c r="E7656" s="4">
        <v>245271</v>
      </c>
    </row>
    <row r="7657" spans="1:6" ht="13.5" hidden="1" customHeight="1">
      <c r="A7657" s="4" t="s">
        <v>17614</v>
      </c>
      <c r="B7657" s="4" t="s">
        <v>17615</v>
      </c>
      <c r="C7657" s="4" t="str">
        <f ca="1">IFERROR(__xludf.DUMMYFUNCTION("GOOGLETRANSLATE(D:D,""auto"",""en"")"),"79-year-old grandmother patients are staged escape plan marker")</f>
        <v>79-year-old grandmother patients are staged escape plan marker</v>
      </c>
      <c r="D7657" s="5" t="s">
        <v>17616</v>
      </c>
      <c r="E7657" s="4">
        <v>244671</v>
      </c>
    </row>
    <row r="7658" spans="1:6" ht="13.5" hidden="1" customHeight="1">
      <c r="A7658" s="4" t="s">
        <v>17617</v>
      </c>
      <c r="B7658" s="4" t="s">
        <v>17612</v>
      </c>
      <c r="C7658" s="4" t="str">
        <f ca="1">IFERROR(__xludf.DUMMYFUNCTION("GOOGLETRANSLATE(D:D,""auto"",""en"")"),"Fear of being dominated by mom")</f>
        <v>Fear of being dominated by mom</v>
      </c>
      <c r="D7658" s="5" t="s">
        <v>17618</v>
      </c>
      <c r="E7658" s="4">
        <v>243389</v>
      </c>
    </row>
    <row r="7659" spans="1:6" ht="13.5" hidden="1" customHeight="1">
      <c r="A7659" s="4" t="s">
        <v>17619</v>
      </c>
      <c r="B7659" s="4" t="s">
        <v>17612</v>
      </c>
      <c r="C7659" s="4" t="str">
        <f ca="1">IFERROR(__xludf.DUMMYFUNCTION("GOOGLETRANSLATE(D:D,""auto"",""en"")"),"Harbin after the snow, it's beautiful")</f>
        <v>Harbin after the snow, it's beautiful</v>
      </c>
      <c r="D7659" s="5" t="s">
        <v>17620</v>
      </c>
      <c r="E7659" s="4">
        <v>241428</v>
      </c>
    </row>
    <row r="7660" spans="1:6" ht="13.5" hidden="1" customHeight="1">
      <c r="A7660" s="4" t="s">
        <v>17621</v>
      </c>
      <c r="B7660" s="4" t="s">
        <v>17622</v>
      </c>
      <c r="C7660" s="4" t="str">
        <f ca="1">IFERROR(__xludf.DUMMYFUNCTION("GOOGLETRANSLATE(D:D,""auto"",""en"")"),"State All England crown feather 0")</f>
        <v>State All England crown feather 0</v>
      </c>
      <c r="D7660" s="5" t="s">
        <v>17623</v>
      </c>
      <c r="E7660" s="4">
        <v>239606</v>
      </c>
    </row>
    <row r="7661" spans="1:6" ht="13.5" hidden="1" customHeight="1">
      <c r="A7661" s="4" t="s">
        <v>17624</v>
      </c>
      <c r="B7661" s="4" t="s">
        <v>17625</v>
      </c>
      <c r="C7661" s="4" t="str">
        <f ca="1">IFERROR(__xludf.DUMMYFUNCTION("GOOGLETRANSLATE(D:D,""auto"",""en"")"),"Ten self-made female billionaires China accounted for nine seats")</f>
        <v>Ten self-made female billionaires China accounted for nine seats</v>
      </c>
      <c r="D7661" s="5" t="s">
        <v>17626</v>
      </c>
      <c r="E7661" s="4">
        <v>237620</v>
      </c>
    </row>
    <row r="7662" spans="1:6" ht="13.5" customHeight="1">
      <c r="A7662" s="4" t="s">
        <v>17604</v>
      </c>
      <c r="B7662" s="4" t="s">
        <v>17409</v>
      </c>
      <c r="C7662" s="4" t="str">
        <f ca="1">IFERROR(__xludf.DUMMYFUNCTION("GOOGLETRANSLATE(D:D,""auto"",""en"")"),"Add 5 to 12 cases outside input")</f>
        <v>Add 5 to 12 cases outside input</v>
      </c>
      <c r="D7662" s="5" t="s">
        <v>17627</v>
      </c>
      <c r="E7662" s="4">
        <v>235549</v>
      </c>
      <c r="F7662">
        <v>1</v>
      </c>
    </row>
    <row r="7663" spans="1:6" ht="13.5" customHeight="1">
      <c r="A7663" s="4" t="s">
        <v>17628</v>
      </c>
      <c r="B7663" s="4" t="s">
        <v>17629</v>
      </c>
      <c r="C7663" s="4" t="str">
        <f ca="1">IFERROR(__xludf.DUMMYFUNCTION("GOOGLETRANSLATE(D:D,""auto"",""en"")"),"Bond girl Kurylenko diagnosed with pneumonia new crown")</f>
        <v>Bond girl Kurylenko diagnosed with pneumonia new crown</v>
      </c>
      <c r="D7663" s="5" t="s">
        <v>17630</v>
      </c>
      <c r="E7663" s="4">
        <v>234983</v>
      </c>
      <c r="F7663">
        <v>1</v>
      </c>
    </row>
    <row r="7664" spans="1:6" ht="13.5" hidden="1" customHeight="1">
      <c r="A7664" s="4" t="s">
        <v>17628</v>
      </c>
      <c r="B7664" s="4" t="s">
        <v>17631</v>
      </c>
      <c r="C7664" s="4" t="str">
        <f ca="1">IFERROR(__xludf.DUMMYFUNCTION("GOOGLETRANSLATE(D:D,""auto"",""en"")"),"Cruise ship carrying 600 people ran aground in the waters of the Bahamas")</f>
        <v>Cruise ship carrying 600 people ran aground in the waters of the Bahamas</v>
      </c>
      <c r="D7664" s="5" t="s">
        <v>17632</v>
      </c>
      <c r="E7664" s="4">
        <v>221426</v>
      </c>
    </row>
    <row r="7665" spans="1:6" ht="13.5" hidden="1" customHeight="1">
      <c r="A7665" s="4" t="s">
        <v>17397</v>
      </c>
      <c r="B7665" s="4" t="s">
        <v>17398</v>
      </c>
      <c r="C7665" s="4" t="str">
        <f ca="1">IFERROR(__xludf.DUMMYFUNCTION("GOOGLETRANSLATE(D:D,""auto"",""en"")"),"Cloakroom Zhang day love")</f>
        <v>Cloakroom Zhang day love</v>
      </c>
      <c r="D7665" s="5" t="s">
        <v>17399</v>
      </c>
      <c r="E7665" s="4">
        <v>205658</v>
      </c>
    </row>
    <row r="7666" spans="1:6" ht="13.5" hidden="1" customHeight="1">
      <c r="C7666" s="4" t="str">
        <f ca="1">IFERROR(__xludf.DUMMYFUNCTION("GOOGLETRANSLATE(D:D,""auto"",""en"")"),"#VALUE!")</f>
        <v>#VALUE!</v>
      </c>
    </row>
    <row r="7667" spans="1:6" ht="13.5" hidden="1" customHeight="1">
      <c r="A7667" s="4" t="s">
        <v>17633</v>
      </c>
      <c r="B7667" s="4" t="s">
        <v>17634</v>
      </c>
      <c r="C7667" s="4" t="str">
        <f ca="1">IFERROR(__xludf.DUMMYFUNCTION("GOOGLETRANSLATE(D:D,""auto"",""en"")"),"People's Daily commentary Qiu Chen")</f>
        <v>People's Daily commentary Qiu Chen</v>
      </c>
      <c r="D7667" s="4" t="s">
        <v>17635</v>
      </c>
      <c r="E7667" s="4">
        <v>3294717</v>
      </c>
    </row>
    <row r="7668" spans="1:6" ht="13.5" customHeight="1">
      <c r="A7668" s="4" t="s">
        <v>17636</v>
      </c>
      <c r="B7668" s="4" t="s">
        <v>17637</v>
      </c>
      <c r="C7668" s="4" t="str">
        <f ca="1">IFERROR(__xludf.DUMMYFUNCTION("GOOGLETRANSLATE(D:D,""auto"",""en"")"),"Qiu Chen shut down social media accounts")</f>
        <v>Qiu Chen shut down social media accounts</v>
      </c>
      <c r="D7668" s="5" t="s">
        <v>17638</v>
      </c>
      <c r="E7668" s="4">
        <v>2664829</v>
      </c>
      <c r="F7668">
        <v>1</v>
      </c>
    </row>
    <row r="7669" spans="1:6" ht="13.5" hidden="1" customHeight="1">
      <c r="A7669" s="4" t="s">
        <v>17639</v>
      </c>
      <c r="B7669" s="4" t="s">
        <v>17640</v>
      </c>
      <c r="C7669" s="4" t="str">
        <f ca="1">IFERROR(__xludf.DUMMYFUNCTION("GOOGLETRANSLATE(D:D,""auto"",""en"")"),"The next two years the main institutions vacant post to recruit college graduates")</f>
        <v>The next two years the main institutions vacant post to recruit college graduates</v>
      </c>
      <c r="D7669" s="5" t="s">
        <v>17641</v>
      </c>
      <c r="E7669" s="4">
        <v>1341763</v>
      </c>
    </row>
    <row r="7670" spans="1:6" ht="13.5" hidden="1" customHeight="1">
      <c r="A7670" s="4" t="s">
        <v>17642</v>
      </c>
      <c r="B7670" s="4" t="s">
        <v>17643</v>
      </c>
      <c r="C7670" s="4" t="str">
        <f ca="1">IFERROR(__xludf.DUMMYFUNCTION("GOOGLETRANSLATE(D:D,""auto"",""en"")"),"Malaysia")</f>
        <v>Malaysia</v>
      </c>
      <c r="D7670" s="5" t="s">
        <v>17644</v>
      </c>
      <c r="E7670" s="4">
        <v>1283877</v>
      </c>
    </row>
    <row r="7671" spans="1:6" ht="13.5" customHeight="1">
      <c r="A7671" s="4" t="s">
        <v>17645</v>
      </c>
      <c r="B7671" s="4" t="s">
        <v>17646</v>
      </c>
      <c r="C7671" s="4" t="str">
        <f ca="1">IFERROR(__xludf.DUMMYFUNCTION("GOOGLETRANSLATE(D:D,""auto"",""en"")"),"Li Lanjuan talk about herd immunity")</f>
        <v>Li Lanjuan talk about herd immunity</v>
      </c>
      <c r="D7671" s="5" t="s">
        <v>17647</v>
      </c>
      <c r="E7671" s="4">
        <v>1172366</v>
      </c>
      <c r="F7671">
        <v>1</v>
      </c>
    </row>
    <row r="7672" spans="1:6" ht="13.5" hidden="1" customHeight="1">
      <c r="A7672" s="4" t="s">
        <v>17642</v>
      </c>
      <c r="B7672" s="4" t="s">
        <v>17648</v>
      </c>
      <c r="C7672" s="4" t="str">
        <f ca="1">IFERROR(__xludf.DUMMYFUNCTION("GOOGLETRANSLATE(D:D,""auto"",""en"")"),"What is within easy Mao busy")</f>
        <v>What is within easy Mao busy</v>
      </c>
      <c r="D7672" s="5" t="s">
        <v>17649</v>
      </c>
      <c r="E7672" s="4">
        <v>972213</v>
      </c>
    </row>
    <row r="7673" spans="1:6" ht="13.5" hidden="1" customHeight="1">
      <c r="A7673" s="4" t="s">
        <v>12063</v>
      </c>
      <c r="B7673" s="4" t="s">
        <v>12051</v>
      </c>
      <c r="C7673" s="4" t="str">
        <f ca="1">IFERROR(__xludf.DUMMYFUNCTION("GOOGLETRANSLATE(D:D,""auto"",""en"")"),"settle down")</f>
        <v>settle down</v>
      </c>
      <c r="D7673" s="5" t="s">
        <v>12064</v>
      </c>
      <c r="E7673" s="4">
        <v>924787</v>
      </c>
    </row>
    <row r="7674" spans="1:6" ht="13.5" hidden="1" customHeight="1">
      <c r="A7674" s="4" t="s">
        <v>17650</v>
      </c>
      <c r="B7674" s="4" t="s">
        <v>17651</v>
      </c>
      <c r="C7674" s="4" t="str">
        <f ca="1">IFERROR(__xludf.DUMMYFUNCTION("GOOGLETRANSLATE(D:D,""auto"",""en"")"),"Apple was fined 1.1 billion euros")</f>
        <v>Apple was fined 1.1 billion euros</v>
      </c>
      <c r="D7674" s="5" t="s">
        <v>17652</v>
      </c>
      <c r="E7674" s="4">
        <v>910700</v>
      </c>
    </row>
    <row r="7675" spans="1:6" ht="13.5" hidden="1" customHeight="1">
      <c r="A7675" s="4" t="s">
        <v>17653</v>
      </c>
      <c r="B7675" s="4" t="s">
        <v>17654</v>
      </c>
      <c r="C7675" s="4" t="str">
        <f ca="1">IFERROR(__xludf.DUMMYFUNCTION("GOOGLETRANSLATE(D:D,""auto"",""en"")"),"Pakistani President's visit to China Alwi")</f>
        <v>Pakistani President's visit to China Alwi</v>
      </c>
      <c r="D7675" s="5" t="s">
        <v>17655</v>
      </c>
      <c r="E7675" s="4">
        <v>859667</v>
      </c>
    </row>
    <row r="7676" spans="1:6" ht="13.5" hidden="1" customHeight="1">
      <c r="A7676" s="4" t="s">
        <v>17656</v>
      </c>
      <c r="B7676" s="4" t="s">
        <v>17657</v>
      </c>
      <c r="C7676" s="4" t="str">
        <f ca="1">IFERROR(__xludf.DUMMYFUNCTION("GOOGLETRANSLATE(D:D,""auto"",""en"")"),"US stocks opened fuse")</f>
        <v>US stocks opened fuse</v>
      </c>
      <c r="D7676" s="5" t="s">
        <v>17658</v>
      </c>
      <c r="E7676" s="4">
        <v>824679</v>
      </c>
    </row>
    <row r="7677" spans="1:6" ht="13.5" hidden="1" customHeight="1">
      <c r="A7677" s="4" t="s">
        <v>17659</v>
      </c>
      <c r="B7677" s="4" t="s">
        <v>17657</v>
      </c>
      <c r="C7677" s="4" t="str">
        <f ca="1">IFERROR(__xludf.DUMMYFUNCTION("GOOGLETRANSLATE(D:D,""auto"",""en"")"),"Zhang Weili responded opponent will do plastic surgery")</f>
        <v>Zhang Weili responded opponent will do plastic surgery</v>
      </c>
      <c r="D7677" s="5" t="s">
        <v>17660</v>
      </c>
      <c r="E7677" s="4">
        <v>813853</v>
      </c>
    </row>
    <row r="7678" spans="1:6" ht="13.5" hidden="1" customHeight="1">
      <c r="A7678" s="4" t="s">
        <v>17661</v>
      </c>
      <c r="B7678" s="4" t="s">
        <v>17624</v>
      </c>
      <c r="C7678" s="4" t="str">
        <f ca="1">IFERROR(__xludf.DUMMYFUNCTION("GOOGLETRANSLATE(D:D,""auto"",""en"")"),"Serbian President help China")</f>
        <v>Serbian President help China</v>
      </c>
      <c r="D7678" s="5" t="s">
        <v>17662</v>
      </c>
      <c r="E7678" s="4">
        <v>812131</v>
      </c>
    </row>
    <row r="7679" spans="1:6" ht="13.5" customHeight="1">
      <c r="A7679" s="4" t="s">
        <v>17642</v>
      </c>
      <c r="B7679" s="4" t="s">
        <v>17663</v>
      </c>
      <c r="C7679" s="4" t="str">
        <f ca="1">IFERROR(__xludf.DUMMYFUNCTION("GOOGLETRANSLATE(D:D,""auto"",""en"")"),"Chinese medicine treatment experience is the highlight of China's fight against SARS scheme")</f>
        <v>Chinese medicine treatment experience is the highlight of China's fight against SARS scheme</v>
      </c>
      <c r="D7679" s="5" t="s">
        <v>17664</v>
      </c>
      <c r="E7679" s="4">
        <v>808572</v>
      </c>
      <c r="F7679">
        <v>1</v>
      </c>
    </row>
    <row r="7680" spans="1:6" ht="13.5" hidden="1" customHeight="1">
      <c r="A7680" s="4" t="s">
        <v>17665</v>
      </c>
      <c r="B7680" s="4" t="s">
        <v>17666</v>
      </c>
      <c r="C7680" s="4" t="str">
        <f ca="1">IFERROR(__xludf.DUMMYFUNCTION("GOOGLETRANSLATE(D:D,""auto"",""en"")"),"Germany Emergency Order 10000 ventilator")</f>
        <v>Germany Emergency Order 10000 ventilator</v>
      </c>
      <c r="D7680" s="5" t="s">
        <v>17667</v>
      </c>
      <c r="E7680" s="4">
        <v>803829</v>
      </c>
    </row>
    <row r="7681" spans="1:6" ht="13.5" customHeight="1">
      <c r="A7681" s="4" t="s">
        <v>17668</v>
      </c>
      <c r="B7681" s="4" t="s">
        <v>17669</v>
      </c>
      <c r="C7681" s="4" t="str">
        <f ca="1">IFERROR(__xludf.DUMMYFUNCTION("GOOGLETRANSLATE(D:D,""auto"",""en"")"),"Britain confirmed the total number rose to 1543 people")</f>
        <v>Britain confirmed the total number rose to 1543 people</v>
      </c>
      <c r="D7681" s="5" t="s">
        <v>17670</v>
      </c>
      <c r="E7681" s="4">
        <v>801284</v>
      </c>
      <c r="F7681">
        <v>1</v>
      </c>
    </row>
    <row r="7682" spans="1:6" ht="13.5" hidden="1" customHeight="1">
      <c r="A7682" s="4" t="s">
        <v>17671</v>
      </c>
      <c r="B7682" s="4" t="s">
        <v>17643</v>
      </c>
      <c r="C7682" s="4" t="str">
        <f ca="1">IFERROR(__xludf.DUMMYFUNCTION("GOOGLETRANSLATE(D:D,""auto"",""en"")"),"Girls bathing in the end how much trouble")</f>
        <v>Girls bathing in the end how much trouble</v>
      </c>
      <c r="D7682" s="5" t="s">
        <v>17672</v>
      </c>
      <c r="E7682" s="4">
        <v>796001</v>
      </c>
    </row>
    <row r="7683" spans="1:6" ht="13.5" hidden="1" customHeight="1">
      <c r="A7683" s="4" t="s">
        <v>15473</v>
      </c>
      <c r="B7683" s="4" t="s">
        <v>17673</v>
      </c>
      <c r="C7683" s="4" t="str">
        <f ca="1">IFERROR(__xludf.DUMMYFUNCTION("GOOGLETRANSLATE(D:D,""auto"",""en"")"),"Princess and the Pea disease daily")</f>
        <v>Princess and the Pea disease daily</v>
      </c>
      <c r="D7683" s="5" t="s">
        <v>17674</v>
      </c>
      <c r="E7683" s="4">
        <v>795313</v>
      </c>
    </row>
    <row r="7684" spans="1:6" ht="13.5" hidden="1" customHeight="1">
      <c r="A7684" s="4" t="s">
        <v>17675</v>
      </c>
      <c r="B7684" s="4" t="s">
        <v>14467</v>
      </c>
      <c r="C7684" s="4" t="str">
        <f ca="1">IFERROR(__xludf.DUMMYFUNCTION("GOOGLETRANSLATE(D:D,""auto"",""en"")"),"capital Airport")</f>
        <v>capital Airport</v>
      </c>
      <c r="D7684" s="5" t="s">
        <v>17676</v>
      </c>
      <c r="E7684" s="4">
        <v>788636</v>
      </c>
    </row>
    <row r="7685" spans="1:6" ht="13.5" hidden="1" customHeight="1">
      <c r="A7685" s="4" t="s">
        <v>17677</v>
      </c>
      <c r="B7685" s="4" t="s">
        <v>17678</v>
      </c>
      <c r="C7685" s="4" t="str">
        <f ca="1">IFERROR(__xludf.DUMMYFUNCTION("GOOGLETRANSLATE(D:D,""auto"",""en"")"),"AeiherumuhRoo")</f>
        <v>AeiherumuhRoo</v>
      </c>
      <c r="D7685" s="5" t="s">
        <v>17679</v>
      </c>
      <c r="E7685" s="4">
        <v>784730</v>
      </c>
    </row>
    <row r="7686" spans="1:6" ht="13.5" hidden="1" customHeight="1">
      <c r="A7686" s="4" t="s">
        <v>17680</v>
      </c>
      <c r="B7686" s="4" t="s">
        <v>17681</v>
      </c>
      <c r="C7686" s="4" t="str">
        <f ca="1">IFERROR(__xludf.DUMMYFUNCTION("GOOGLETRANSLATE(D:D,""auto"",""en"")"),"Trump issued inquire God Bless America")</f>
        <v>Trump issued inquire God Bless America</v>
      </c>
      <c r="D7686" s="5" t="s">
        <v>17682</v>
      </c>
      <c r="E7686" s="4">
        <v>781408</v>
      </c>
    </row>
    <row r="7687" spans="1:6" ht="13.5" hidden="1" customHeight="1">
      <c r="A7687" s="4" t="s">
        <v>17683</v>
      </c>
      <c r="B7687" s="4" t="s">
        <v>17684</v>
      </c>
      <c r="C7687" s="4" t="str">
        <f ca="1">IFERROR(__xludf.DUMMYFUNCTION("GOOGLETRANSLATE(D:D,""auto"",""en"")"),"Henan university 300 tables filled square")</f>
        <v>Henan university 300 tables filled square</v>
      </c>
      <c r="D7687" s="5" t="s">
        <v>17685</v>
      </c>
      <c r="E7687" s="4">
        <v>779637</v>
      </c>
    </row>
    <row r="7688" spans="1:6" ht="13.5" hidden="1" customHeight="1">
      <c r="A7688" s="4" t="s">
        <v>16009</v>
      </c>
      <c r="B7688" s="4" t="s">
        <v>16010</v>
      </c>
      <c r="C7688" s="4" t="str">
        <f ca="1">IFERROR(__xludf.DUMMYFUNCTION("GOOGLETRANSLATE(D:D,""auto"",""en"")"),"Trump")</f>
        <v>Trump</v>
      </c>
      <c r="D7688" s="5" t="s">
        <v>16011</v>
      </c>
      <c r="E7688" s="4">
        <v>776828</v>
      </c>
    </row>
    <row r="7689" spans="1:6" ht="13.5" customHeight="1">
      <c r="A7689" s="4" t="s">
        <v>17659</v>
      </c>
      <c r="B7689" s="4" t="s">
        <v>17686</v>
      </c>
      <c r="C7689" s="4" t="str">
        <f ca="1">IFERROR(__xludf.DUMMYFUNCTION("GOOGLETRANSLATE(D:D,""auto"",""en"")"),"Korea R &amp; D Washable Nano Mask")</f>
        <v>Korea R &amp; D Washable Nano Mask</v>
      </c>
      <c r="D7689" s="5" t="s">
        <v>17687</v>
      </c>
      <c r="E7689" s="4">
        <v>773312</v>
      </c>
      <c r="F7689">
        <v>1</v>
      </c>
    </row>
    <row r="7690" spans="1:6" ht="13.5" customHeight="1">
      <c r="A7690" s="4" t="s">
        <v>17688</v>
      </c>
      <c r="B7690" s="4" t="s">
        <v>17689</v>
      </c>
      <c r="C7690" s="4" t="str">
        <f ca="1">IFERROR(__xludf.DUMMYFUNCTION("GOOGLETRANSLATE(D:D,""auto"",""en"")"),"Zhao Liying resumed as")</f>
        <v>Zhao Liying resumed as</v>
      </c>
      <c r="D7690" s="5" t="s">
        <v>17690</v>
      </c>
      <c r="E7690" s="4">
        <v>756762</v>
      </c>
      <c r="F7690">
        <v>1</v>
      </c>
    </row>
    <row r="7691" spans="1:6" ht="13.5" hidden="1" customHeight="1">
      <c r="A7691" s="4" t="s">
        <v>17691</v>
      </c>
      <c r="B7691" s="4" t="s">
        <v>17663</v>
      </c>
      <c r="C7691" s="4" t="str">
        <f ca="1">IFERROR(__xludf.DUMMYFUNCTION("GOOGLETRANSLATE(D:D,""auto"",""en"")"),"A50")</f>
        <v>A50</v>
      </c>
      <c r="D7691" s="5" t="s">
        <v>17692</v>
      </c>
      <c r="E7691" s="4">
        <v>730541</v>
      </c>
    </row>
    <row r="7692" spans="1:6" ht="13.5" hidden="1" customHeight="1">
      <c r="A7692" s="4" t="s">
        <v>17677</v>
      </c>
      <c r="B7692" s="4" t="s">
        <v>17693</v>
      </c>
      <c r="C7692" s="4" t="str">
        <f ca="1">IFERROR(__xludf.DUMMYFUNCTION("GOOGLETRANSLATE(D:D,""auto"",""en"")"),"Chinese students the greatest feeling in the UK")</f>
        <v>Chinese students the greatest feeling in the UK</v>
      </c>
      <c r="D7692" s="5" t="s">
        <v>17694</v>
      </c>
      <c r="E7692" s="4">
        <v>675819</v>
      </c>
    </row>
    <row r="7693" spans="1:6" ht="13.5" customHeight="1">
      <c r="A7693" s="4" t="s">
        <v>17695</v>
      </c>
      <c r="B7693" s="4" t="s">
        <v>17696</v>
      </c>
      <c r="C7693" s="4" t="str">
        <f ca="1">IFERROR(__xludf.DUMMYFUNCTION("GOOGLETRANSLATE(D:D,""auto"",""en"")"),"South Korea launched a phone booth detection sampling")</f>
        <v>South Korea launched a phone booth detection sampling</v>
      </c>
      <c r="D7693" s="5" t="s">
        <v>17697</v>
      </c>
      <c r="E7693" s="4">
        <v>638433</v>
      </c>
      <c r="F7693">
        <v>1</v>
      </c>
    </row>
    <row r="7694" spans="1:6" ht="13.5" hidden="1" customHeight="1">
      <c r="A7694" s="4" t="s">
        <v>16737</v>
      </c>
      <c r="B7694" s="4" t="s">
        <v>16738</v>
      </c>
      <c r="C7694" s="4" t="str">
        <f ca="1">IFERROR(__xludf.DUMMYFUNCTION("GOOGLETRANSLATE(D:D,""auto"",""en"")"),"Buffett")</f>
        <v>Buffett</v>
      </c>
      <c r="D7694" s="5" t="s">
        <v>16739</v>
      </c>
      <c r="E7694" s="4">
        <v>605332</v>
      </c>
    </row>
    <row r="7695" spans="1:6" ht="13.5" hidden="1" customHeight="1">
      <c r="A7695" s="4" t="s">
        <v>17659</v>
      </c>
      <c r="B7695" s="4" t="s">
        <v>17698</v>
      </c>
      <c r="C7695" s="4" t="str">
        <f ca="1">IFERROR(__xludf.DUMMYFUNCTION("GOOGLETRANSLATE(D:D,""auto"",""en"")"),"Song 8-year-old triplets birthday photos")</f>
        <v>Song 8-year-old triplets birthday photos</v>
      </c>
      <c r="D7695" s="5" t="s">
        <v>17699</v>
      </c>
      <c r="E7695" s="4">
        <v>596897</v>
      </c>
    </row>
    <row r="7696" spans="1:6" ht="13.5" customHeight="1">
      <c r="A7696" s="4" t="s">
        <v>17700</v>
      </c>
      <c r="B7696" s="4" t="s">
        <v>17701</v>
      </c>
      <c r="C7696" s="4" t="str">
        <f ca="1">IFERROR(__xludf.DUMMYFUNCTION("GOOGLETRANSLATE(D:D,""auto"",""en"")"),"The patient reports new crown pneumonia treatment how much money to spend")</f>
        <v>The patient reports new crown pneumonia treatment how much money to spend</v>
      </c>
      <c r="D7696" s="5" t="s">
        <v>17702</v>
      </c>
      <c r="E7696" s="4">
        <v>570309</v>
      </c>
      <c r="F7696">
        <v>1</v>
      </c>
    </row>
    <row r="7697" spans="1:6" ht="13.5" customHeight="1">
      <c r="A7697" s="4" t="s">
        <v>17703</v>
      </c>
      <c r="B7697" s="4" t="s">
        <v>17704</v>
      </c>
      <c r="C7697" s="4" t="str">
        <f ca="1">IFERROR(__xludf.DUMMYFUNCTION("GOOGLETRANSLATE(D:D,""auto"",""en"")"),"The new 104-year-old crown pneumonia patients discharged")</f>
        <v>The new 104-year-old crown pneumonia patients discharged</v>
      </c>
      <c r="D7697" s="5" t="s">
        <v>17705</v>
      </c>
      <c r="E7697" s="4">
        <v>547429</v>
      </c>
      <c r="F7697">
        <v>1</v>
      </c>
    </row>
    <row r="7698" spans="1:6" ht="13.5" hidden="1" customHeight="1">
      <c r="A7698" s="4" t="s">
        <v>17656</v>
      </c>
      <c r="B7698" s="4" t="s">
        <v>17706</v>
      </c>
      <c r="C7698" s="4" t="str">
        <f ca="1">IFERROR(__xludf.DUMMYFUNCTION("GOOGLETRANSLATE(D:D,""auto"",""en"")"),"Zhao Lijian")</f>
        <v>Zhao Lijian</v>
      </c>
      <c r="D7698" s="5" t="s">
        <v>17707</v>
      </c>
      <c r="E7698" s="4">
        <v>503003</v>
      </c>
    </row>
    <row r="7699" spans="1:6" ht="13.5" customHeight="1">
      <c r="A7699" s="4" t="s">
        <v>17659</v>
      </c>
      <c r="B7699" s="4" t="s">
        <v>17708</v>
      </c>
      <c r="C7699" s="4" t="str">
        <f ca="1">IFERROR(__xludf.DUMMYFUNCTION("GOOGLETRANSLATE(D:D,""auto"",""en"")"),"Japan and more schools resume school")</f>
        <v>Japan and more schools resume school</v>
      </c>
      <c r="D7699" s="5" t="s">
        <v>17709</v>
      </c>
      <c r="E7699" s="4">
        <v>502451</v>
      </c>
      <c r="F7699">
        <v>1</v>
      </c>
    </row>
    <row r="7700" spans="1:6" ht="13.5" hidden="1" customHeight="1">
      <c r="A7700" s="4" t="s">
        <v>17710</v>
      </c>
      <c r="B7700" s="4" t="s">
        <v>17643</v>
      </c>
      <c r="C7700" s="4" t="str">
        <f ca="1">IFERROR(__xludf.DUMMYFUNCTION("GOOGLETRANSLATE(D:D,""auto"",""en"")"),"Avril children Bright")</f>
        <v>Avril children Bright</v>
      </c>
      <c r="D7700" s="5" t="s">
        <v>17711</v>
      </c>
      <c r="E7700" s="4">
        <v>497376</v>
      </c>
    </row>
    <row r="7701" spans="1:6" ht="13.5" hidden="1" customHeight="1">
      <c r="A7701" s="4" t="s">
        <v>17712</v>
      </c>
      <c r="B7701" s="4" t="s">
        <v>17646</v>
      </c>
      <c r="C7701" s="4" t="str">
        <f ca="1">IFERROR(__xludf.DUMMYFUNCTION("GOOGLETRANSLATE(D:D,""auto"",""en"")"),"Zhang Xu aunt requirements also take a ride on the house")</f>
        <v>Zhang Xu aunt requirements also take a ride on the house</v>
      </c>
      <c r="D7701" s="5" t="s">
        <v>17713</v>
      </c>
      <c r="E7701" s="4">
        <v>474915</v>
      </c>
    </row>
    <row r="7702" spans="1:6" ht="13.5" customHeight="1">
      <c r="A7702" s="4" t="s">
        <v>17714</v>
      </c>
      <c r="B7702" s="4" t="s">
        <v>17715</v>
      </c>
      <c r="C7702" s="4" t="str">
        <f ca="1">IFERROR(__xludf.DUMMYFUNCTION("GOOGLETRANSLATE(D:D,""auto"",""en"")"),"After the reporter contacted Tom Hanks diagnosed wife")</f>
        <v>After the reporter contacted Tom Hanks diagnosed wife</v>
      </c>
      <c r="D7702" s="5" t="s">
        <v>17716</v>
      </c>
      <c r="E7702" s="4">
        <v>467438</v>
      </c>
      <c r="F7702">
        <v>1</v>
      </c>
    </row>
    <row r="7703" spans="1:6" ht="13.5" hidden="1" customHeight="1">
      <c r="A7703" s="4" t="s">
        <v>17717</v>
      </c>
      <c r="B7703" s="4" t="s">
        <v>17718</v>
      </c>
      <c r="C7703" s="4" t="str">
        <f ca="1">IFERROR(__xludf.DUMMYFUNCTION("GOOGLETRANSLATE(D:D,""auto"",""en"")"),"Italian violinist played balcony")</f>
        <v>Italian violinist played balcony</v>
      </c>
      <c r="D7703" s="5" t="s">
        <v>17719</v>
      </c>
      <c r="E7703" s="4">
        <v>457026</v>
      </c>
    </row>
    <row r="7704" spans="1:6" ht="13.5" hidden="1" customHeight="1">
      <c r="A7704" s="4" t="s">
        <v>17720</v>
      </c>
      <c r="B7704" s="4" t="s">
        <v>17721</v>
      </c>
      <c r="C7704" s="4" t="str">
        <f ca="1">IFERROR(__xludf.DUMMYFUNCTION("GOOGLETRANSLATE(D:D,""auto"",""en"")"),"Yugoslavia")</f>
        <v>Yugoslavia</v>
      </c>
      <c r="D7704" s="5" t="s">
        <v>17722</v>
      </c>
      <c r="E7704" s="4">
        <v>446661</v>
      </c>
    </row>
    <row r="7705" spans="1:6" ht="13.5" hidden="1" customHeight="1">
      <c r="A7705" s="4" t="s">
        <v>17723</v>
      </c>
      <c r="B7705" s="4" t="s">
        <v>17724</v>
      </c>
      <c r="C7705" s="4" t="str">
        <f ca="1">IFERROR(__xludf.DUMMYFUNCTION("GOOGLETRANSLATE(D:D,""auto"",""en"")"),"Ning Xin settle down")</f>
        <v>Ning Xin settle down</v>
      </c>
      <c r="D7705" s="5" t="s">
        <v>17725</v>
      </c>
      <c r="E7705" s="4">
        <v>383144</v>
      </c>
    </row>
    <row r="7706" spans="1:6" ht="13.5" customHeight="1">
      <c r="A7706" s="4" t="s">
        <v>17703</v>
      </c>
      <c r="B7706" s="4" t="s">
        <v>17726</v>
      </c>
      <c r="C7706" s="4" t="str">
        <f ca="1">IFERROR(__xludf.DUMMYFUNCTION("GOOGLETRANSLATE(D:D,""auto"",""en"")"),"Chinese residents averaged over eight hours of sleep during the epidemic")</f>
        <v>Chinese residents averaged over eight hours of sleep during the epidemic</v>
      </c>
      <c r="D7706" s="5" t="s">
        <v>17727</v>
      </c>
      <c r="E7706" s="4">
        <v>372519</v>
      </c>
      <c r="F7706">
        <v>1</v>
      </c>
    </row>
    <row r="7707" spans="1:6" ht="13.5" hidden="1" customHeight="1">
      <c r="A7707" s="4" t="s">
        <v>17728</v>
      </c>
      <c r="B7707" s="4" t="s">
        <v>17726</v>
      </c>
      <c r="C7707" s="4" t="str">
        <f ca="1">IFERROR(__xludf.DUMMYFUNCTION("GOOGLETRANSLATE(D:D,""auto"",""en"")"),"Wang Yibo elastic pants")</f>
        <v>Wang Yibo elastic pants</v>
      </c>
      <c r="D7707" s="5" t="s">
        <v>17729</v>
      </c>
      <c r="E7707" s="4">
        <v>340959</v>
      </c>
    </row>
    <row r="7708" spans="1:6" ht="13.5" hidden="1" customHeight="1">
      <c r="A7708" s="4" t="s">
        <v>17730</v>
      </c>
      <c r="B7708" s="4" t="s">
        <v>17731</v>
      </c>
      <c r="C7708" s="4" t="str">
        <f ca="1">IFERROR(__xludf.DUMMYFUNCTION("GOOGLETRANSLATE(D:D,""auto"",""en"")"),"In the school cafeteria boyfriend harvest")</f>
        <v>In the school cafeteria boyfriend harvest</v>
      </c>
      <c r="D7708" s="5" t="s">
        <v>17732</v>
      </c>
      <c r="E7708" s="4">
        <v>324392</v>
      </c>
    </row>
    <row r="7709" spans="1:6" ht="13.5" hidden="1" customHeight="1">
      <c r="A7709" s="4" t="s">
        <v>17720</v>
      </c>
      <c r="B7709" s="4" t="s">
        <v>17701</v>
      </c>
      <c r="C7709" s="4" t="str">
        <f ca="1">IFERROR(__xludf.DUMMYFUNCTION("GOOGLETRANSLATE(D:D,""auto"",""en"")"),"New York Governor called on the federal government to learn from China")</f>
        <v>New York Governor called on the federal government to learn from China</v>
      </c>
      <c r="D7709" s="5" t="s">
        <v>17733</v>
      </c>
      <c r="E7709" s="4">
        <v>313370</v>
      </c>
    </row>
    <row r="7710" spans="1:6" ht="13.5" hidden="1" customHeight="1">
      <c r="A7710" s="4" t="s">
        <v>14434</v>
      </c>
      <c r="B7710" s="4" t="s">
        <v>14435</v>
      </c>
      <c r="C7710" s="4" t="str">
        <f ca="1">IFERROR(__xludf.DUMMYFUNCTION("GOOGLETRANSLATE(D:D,""auto"",""en"")"),"US stocks")</f>
        <v>US stocks</v>
      </c>
      <c r="D7710" s="5" t="s">
        <v>14436</v>
      </c>
      <c r="E7710" s="4">
        <v>293888</v>
      </c>
    </row>
    <row r="7711" spans="1:6" ht="13.5" hidden="1" customHeight="1">
      <c r="A7711" s="4" t="s">
        <v>17734</v>
      </c>
      <c r="B7711" s="4" t="s">
        <v>17735</v>
      </c>
      <c r="C7711" s="4" t="str">
        <f ca="1">IFERROR(__xludf.DUMMYFUNCTION("GOOGLETRANSLATE(D:D,""auto"",""en"")"),"Math teacher shouting wheat trigonometric functions")</f>
        <v>Math teacher shouting wheat trigonometric functions</v>
      </c>
      <c r="D7711" s="5" t="s">
        <v>17736</v>
      </c>
      <c r="E7711" s="4">
        <v>289680</v>
      </c>
    </row>
    <row r="7712" spans="1:6" ht="13.5" hidden="1" customHeight="1">
      <c r="A7712" s="4" t="s">
        <v>17737</v>
      </c>
      <c r="B7712" s="4" t="s">
        <v>17738</v>
      </c>
      <c r="C7712" s="4" t="str">
        <f ca="1">IFERROR(__xludf.DUMMYFUNCTION("GOOGLETRANSLATE(D:D,""auto"",""en"")"),"Tom Hanks")</f>
        <v>Tom Hanks</v>
      </c>
      <c r="D7712" s="5" t="s">
        <v>17739</v>
      </c>
      <c r="E7712" s="4">
        <v>286621</v>
      </c>
    </row>
    <row r="7713" spans="1:6" ht="13.5" hidden="1" customHeight="1">
      <c r="A7713" s="4" t="s">
        <v>17740</v>
      </c>
      <c r="B7713" s="4" t="s">
        <v>17715</v>
      </c>
      <c r="C7713" s="4" t="str">
        <f ca="1">IFERROR(__xludf.DUMMYFUNCTION("GOOGLETRANSLATE(D:D,""auto"",""en"")"),"Xu aunt bright room to move")</f>
        <v>Xu aunt bright room to move</v>
      </c>
      <c r="D7713" s="5" t="s">
        <v>17741</v>
      </c>
      <c r="E7713" s="4">
        <v>284789</v>
      </c>
    </row>
    <row r="7714" spans="1:6" ht="13.5" hidden="1" customHeight="1">
      <c r="A7714" s="4" t="s">
        <v>17661</v>
      </c>
      <c r="B7714" s="4" t="s">
        <v>17742</v>
      </c>
      <c r="C7714" s="4" t="str">
        <f ca="1">IFERROR(__xludf.DUMMYFUNCTION("GOOGLETRANSLATE(D:D,""auto"",""en"")"),"Create Camp")</f>
        <v>Create Camp</v>
      </c>
      <c r="D7714" s="5" t="s">
        <v>17743</v>
      </c>
      <c r="E7714" s="4">
        <v>278178</v>
      </c>
    </row>
    <row r="7715" spans="1:6" ht="13.5" hidden="1" customHeight="1">
      <c r="A7715" s="4" t="s">
        <v>17744</v>
      </c>
      <c r="B7715" s="4" t="s">
        <v>17745</v>
      </c>
      <c r="C7715" s="4" t="str">
        <f ca="1">IFERROR(__xludf.DUMMYFUNCTION("GOOGLETRANSLATE(D:D,""auto"",""en"")"),"Brazilian stocks within two weeks of the fifth blown")</f>
        <v>Brazilian stocks within two weeks of the fifth blown</v>
      </c>
      <c r="D7715" s="5" t="s">
        <v>17746</v>
      </c>
      <c r="E7715" s="4">
        <v>231935</v>
      </c>
    </row>
    <row r="7716" spans="1:6" ht="13.5" customHeight="1">
      <c r="A7716" s="4" t="s">
        <v>17747</v>
      </c>
      <c r="B7716" s="4" t="s">
        <v>17704</v>
      </c>
      <c r="C7716" s="4" t="str">
        <f ca="1">IFERROR(__xludf.DUMMYFUNCTION("GOOGLETRANSLATE(D:D,""auto"",""en"")"),"Universal Music CEO diagnosed with pneumonia new crown")</f>
        <v>Universal Music CEO diagnosed with pneumonia new crown</v>
      </c>
      <c r="D7716" s="5" t="s">
        <v>17748</v>
      </c>
      <c r="E7716" s="4">
        <v>193895</v>
      </c>
      <c r="F7716">
        <v>1</v>
      </c>
    </row>
    <row r="7717" spans="1:6" ht="13.5" hidden="1" customHeight="1">
      <c r="C7717" s="4" t="str">
        <f ca="1">IFERROR(__xludf.DUMMYFUNCTION("GOOGLETRANSLATE(D:D,""auto"",""en"")"),"#VALUE!")</f>
        <v>#VALUE!</v>
      </c>
    </row>
    <row r="7718" spans="1:6" ht="13.5" hidden="1" customHeight="1">
      <c r="A7718" s="4" t="s">
        <v>17749</v>
      </c>
      <c r="B7718" s="4" t="s">
        <v>17750</v>
      </c>
      <c r="C7718" s="4" t="str">
        <f ca="1">IFERROR(__xludf.DUMMYFUNCTION("GOOGLETRANSLATE(D:D,""auto"",""en"")"),"Zhang Weili helpless stranded America")</f>
        <v>Zhang Weili helpless stranded America</v>
      </c>
      <c r="D7718" s="4" t="s">
        <v>17751</v>
      </c>
      <c r="E7718" s="4">
        <v>4150328</v>
      </c>
    </row>
    <row r="7719" spans="1:6" ht="13.5" hidden="1" customHeight="1">
      <c r="A7719" s="4" t="s">
        <v>17752</v>
      </c>
      <c r="B7719" s="4" t="s">
        <v>17753</v>
      </c>
      <c r="C7719" s="4" t="str">
        <f ca="1">IFERROR(__xludf.DUMMYFUNCTION("GOOGLETRANSLATE(D:D,""auto"",""en"")"),"Huang Zhibo jailed for three months")</f>
        <v>Huang Zhibo jailed for three months</v>
      </c>
      <c r="D7719" s="5" t="s">
        <v>17754</v>
      </c>
      <c r="E7719" s="4">
        <v>2319634</v>
      </c>
    </row>
    <row r="7720" spans="1:6" ht="13.5" customHeight="1">
      <c r="A7720" s="4" t="s">
        <v>17755</v>
      </c>
      <c r="B7720" s="4" t="s">
        <v>17756</v>
      </c>
      <c r="C7720" s="4" t="str">
        <f ca="1">IFERROR(__xludf.DUMMYFUNCTION("GOOGLETRANSLATE(D:D,""auto"",""en"")"),"South Korea imported masks zero tariff")</f>
        <v>South Korea imported masks zero tariff</v>
      </c>
      <c r="D7720" s="5" t="s">
        <v>17757</v>
      </c>
      <c r="E7720" s="4">
        <v>1842092</v>
      </c>
      <c r="F7720">
        <v>1</v>
      </c>
    </row>
    <row r="7721" spans="1:6" ht="13.5" hidden="1" customHeight="1">
      <c r="A7721" s="4" t="s">
        <v>17758</v>
      </c>
      <c r="B7721" s="4" t="s">
        <v>17759</v>
      </c>
      <c r="C7721" s="4" t="str">
        <f ca="1">IFERROR(__xludf.DUMMYFUNCTION("GOOGLETRANSLATE(D:D,""auto"",""en"")"),"Fans avatar control assessment Luhan")</f>
        <v>Fans avatar control assessment Luhan</v>
      </c>
      <c r="D7721" s="5" t="s">
        <v>17760</v>
      </c>
      <c r="E7721" s="4">
        <v>1599819</v>
      </c>
    </row>
    <row r="7722" spans="1:6" ht="13.5" hidden="1" customHeight="1">
      <c r="A7722" s="4" t="s">
        <v>17761</v>
      </c>
      <c r="B7722" s="4" t="s">
        <v>17762</v>
      </c>
      <c r="C7722" s="4" t="str">
        <f ca="1">IFERROR(__xludf.DUMMYFUNCTION("GOOGLETRANSLATE(D:D,""auto"",""en"")"),"Mexican President shook hands with thousands of people hugging")</f>
        <v>Mexican President shook hands with thousands of people hugging</v>
      </c>
      <c r="D7722" s="5" t="s">
        <v>17763</v>
      </c>
      <c r="E7722" s="4">
        <v>1442229</v>
      </c>
    </row>
    <row r="7723" spans="1:6" ht="13.5" hidden="1" customHeight="1">
      <c r="A7723" s="4" t="s">
        <v>17764</v>
      </c>
      <c r="B7723" s="4" t="s">
        <v>17765</v>
      </c>
      <c r="C7723" s="4" t="str">
        <f ca="1">IFERROR(__xludf.DUMMYFUNCTION("GOOGLETRANSLATE(D:D,""auto"",""en"")"),"The eyes of the girl fine leg")</f>
        <v>The eyes of the girl fine leg</v>
      </c>
      <c r="D7723" s="5" t="s">
        <v>17766</v>
      </c>
      <c r="E7723" s="4">
        <v>1431938</v>
      </c>
    </row>
    <row r="7724" spans="1:6" ht="13.5" customHeight="1">
      <c r="A7724" s="4" t="s">
        <v>17767</v>
      </c>
      <c r="B7724" s="4" t="s">
        <v>17768</v>
      </c>
      <c r="C7724" s="4" t="str">
        <f ca="1">IFERROR(__xludf.DUMMYFUNCTION("GOOGLETRANSLATE(D:D,""auto"",""en"")"),"Anhui part of the public can pick masks")</f>
        <v>Anhui part of the public can pick masks</v>
      </c>
      <c r="D7724" s="5" t="s">
        <v>17769</v>
      </c>
      <c r="E7724" s="4">
        <v>1337125</v>
      </c>
      <c r="F7724">
        <v>1</v>
      </c>
    </row>
    <row r="7725" spans="1:6" ht="13.5" hidden="1" customHeight="1">
      <c r="A7725" s="4" t="s">
        <v>17770</v>
      </c>
      <c r="B7725" s="4" t="s">
        <v>17771</v>
      </c>
      <c r="C7725" s="4" t="str">
        <f ca="1">IFERROR(__xludf.DUMMYFUNCTION("GOOGLETRANSLATE(D:D,""auto"",""en"")"),"Jiuzhaigou snow")</f>
        <v>Jiuzhaigou snow</v>
      </c>
      <c r="D7725" s="5" t="s">
        <v>17772</v>
      </c>
      <c r="E7725" s="4">
        <v>1153729</v>
      </c>
    </row>
    <row r="7726" spans="1:6" ht="13.5" hidden="1" customHeight="1">
      <c r="A7726" s="4" t="s">
        <v>17773</v>
      </c>
      <c r="B7726" s="4" t="s">
        <v>17774</v>
      </c>
      <c r="C7726" s="4" t="str">
        <f ca="1">IFERROR(__xludf.DUMMYFUNCTION("GOOGLETRANSLATE(D:D,""auto"",""en"")"),"Sunnee pants")</f>
        <v>Sunnee pants</v>
      </c>
      <c r="D7726" s="5" t="s">
        <v>17775</v>
      </c>
      <c r="E7726" s="4">
        <v>1130820</v>
      </c>
    </row>
    <row r="7727" spans="1:6" ht="13.5" hidden="1" customHeight="1">
      <c r="A7727" s="4" t="s">
        <v>17776</v>
      </c>
      <c r="B7727" s="4" t="s">
        <v>17777</v>
      </c>
      <c r="C7727" s="4" t="str">
        <f ca="1">IFERROR(__xludf.DUMMYFUNCTION("GOOGLETRANSLATE(D:D,""auto"",""en"")"),"Brazilian prisoners have escaped over 1350")</f>
        <v>Brazilian prisoners have escaped over 1350</v>
      </c>
      <c r="D7727" s="5" t="s">
        <v>17778</v>
      </c>
      <c r="E7727" s="4">
        <v>1044455</v>
      </c>
    </row>
    <row r="7728" spans="1:6" ht="13.5" hidden="1" customHeight="1">
      <c r="A7728" s="4" t="s">
        <v>17779</v>
      </c>
      <c r="B7728" s="4" t="s">
        <v>17780</v>
      </c>
      <c r="C7728" s="4" t="str">
        <f ca="1">IFERROR(__xludf.DUMMYFUNCTION("GOOGLETRANSLATE(D:D,""auto"",""en"")"),"Trump said that the US economy may be headed toward recession")</f>
        <v>Trump said that the US economy may be headed toward recession</v>
      </c>
      <c r="D7728" s="5" t="s">
        <v>17781</v>
      </c>
      <c r="E7728" s="4">
        <v>945637</v>
      </c>
    </row>
    <row r="7729" spans="1:6" ht="13.5" customHeight="1">
      <c r="A7729" s="4" t="s">
        <v>17782</v>
      </c>
      <c r="B7729" s="4" t="s">
        <v>17783</v>
      </c>
      <c r="C7729" s="4" t="str">
        <f ca="1">IFERROR(__xludf.DUMMYFUNCTION("GOOGLETRANSLATE(D:D,""auto"",""en"")"),"ZHANG Wen-hong epidemic is serious caution country students returning home")</f>
        <v>ZHANG Wen-hong epidemic is serious caution country students returning home</v>
      </c>
      <c r="D7729" s="5" t="s">
        <v>17784</v>
      </c>
      <c r="E7729" s="4">
        <v>929281</v>
      </c>
      <c r="F7729">
        <v>1</v>
      </c>
    </row>
    <row r="7730" spans="1:6" ht="13.5" hidden="1" customHeight="1">
      <c r="A7730" s="4" t="s">
        <v>17785</v>
      </c>
      <c r="B7730" s="4" t="s">
        <v>17786</v>
      </c>
      <c r="C7730" s="4" t="str">
        <f ca="1">IFERROR(__xludf.DUMMYFUNCTION("GOOGLETRANSLATE(D:D,""auto"",""en"")"),"Jeeves allow temporary Chengdu")</f>
        <v>Jeeves allow temporary Chengdu</v>
      </c>
      <c r="D7730" s="5" t="s">
        <v>17787</v>
      </c>
      <c r="E7730" s="4">
        <v>827205</v>
      </c>
    </row>
    <row r="7731" spans="1:6" ht="13.5" hidden="1" customHeight="1">
      <c r="A7731" s="4" t="s">
        <v>17782</v>
      </c>
      <c r="B7731" s="4" t="s">
        <v>17788</v>
      </c>
      <c r="C7731" s="4" t="str">
        <f ca="1">IFERROR(__xludf.DUMMYFUNCTION("GOOGLETRANSLATE(D:D,""auto"",""en"")"),"Cats won the Golden Raspberry Award for Worst Movie")</f>
        <v>Cats won the Golden Raspberry Award for Worst Movie</v>
      </c>
      <c r="D7731" s="5" t="s">
        <v>17789</v>
      </c>
      <c r="E7731" s="4">
        <v>782279</v>
      </c>
    </row>
    <row r="7732" spans="1:6" ht="13.5" customHeight="1">
      <c r="A7732" s="4" t="s">
        <v>17790</v>
      </c>
      <c r="B7732" s="4" t="s">
        <v>17791</v>
      </c>
      <c r="C7732" s="4" t="str">
        <f ca="1">IFERROR(__xludf.DUMMYFUNCTION("GOOGLETRANSLATE(D:D,""auto"",""en"")"),"Italy's new crown over 2000 cases of pneumonia deaths")</f>
        <v>Italy's new crown over 2000 cases of pneumonia deaths</v>
      </c>
      <c r="D7732" s="5" t="s">
        <v>17792</v>
      </c>
      <c r="E7732" s="4">
        <v>716313</v>
      </c>
      <c r="F7732">
        <v>1</v>
      </c>
    </row>
    <row r="7733" spans="1:6" ht="13.5" hidden="1" customHeight="1">
      <c r="A7733" s="4" t="s">
        <v>17793</v>
      </c>
      <c r="B7733" s="4" t="s">
        <v>17794</v>
      </c>
      <c r="C7733" s="4" t="str">
        <f ca="1">IFERROR(__xludf.DUMMYFUNCTION("GOOGLETRANSLATE(D:D,""auto"",""en"")"),"Italy Two men playing tennis stuck windows")</f>
        <v>Italy Two men playing tennis stuck windows</v>
      </c>
      <c r="D7733" s="5" t="s">
        <v>17795</v>
      </c>
      <c r="E7733" s="4">
        <v>715664</v>
      </c>
    </row>
    <row r="7734" spans="1:6" ht="13.5" hidden="1" customHeight="1">
      <c r="A7734" s="4" t="s">
        <v>17796</v>
      </c>
      <c r="B7734" s="4" t="s">
        <v>17771</v>
      </c>
      <c r="C7734" s="4" t="str">
        <f ca="1">IFERROR(__xludf.DUMMYFUNCTION("GOOGLETRANSLATE(D:D,""auto"",""en"")"),"Fernando apology")</f>
        <v>Fernando apology</v>
      </c>
      <c r="D7734" s="5" t="s">
        <v>17797</v>
      </c>
      <c r="E7734" s="4">
        <v>714610</v>
      </c>
    </row>
    <row r="7735" spans="1:6" ht="13.5" customHeight="1">
      <c r="A7735" s="4" t="s">
        <v>17798</v>
      </c>
      <c r="B7735" s="4" t="s">
        <v>17639</v>
      </c>
      <c r="C7735" s="4" t="str">
        <f ca="1">IFERROR(__xludf.DUMMYFUNCTION("GOOGLETRANSLATE(D:D,""auto"",""en"")"),"Wait until the real school time")</f>
        <v>Wait until the real school time</v>
      </c>
      <c r="D7735" s="5" t="s">
        <v>17799</v>
      </c>
      <c r="E7735" s="4">
        <v>711662</v>
      </c>
      <c r="F7735">
        <v>1</v>
      </c>
    </row>
    <row r="7736" spans="1:6" ht="13.5" hidden="1" customHeight="1">
      <c r="A7736" s="4" t="s">
        <v>17800</v>
      </c>
      <c r="B7736" s="4" t="s">
        <v>17801</v>
      </c>
      <c r="C7736" s="4" t="str">
        <f ca="1">IFERROR(__xludf.DUMMYFUNCTION("GOOGLETRANSLATE(D:D,""auto"",""en"")"),"UAV discourage pull out flower children")</f>
        <v>UAV discourage pull out flower children</v>
      </c>
      <c r="D7736" s="5" t="s">
        <v>17802</v>
      </c>
      <c r="E7736" s="4">
        <v>710026</v>
      </c>
    </row>
    <row r="7737" spans="1:6" ht="13.5" hidden="1" customHeight="1">
      <c r="A7737" s="4" t="s">
        <v>17803</v>
      </c>
      <c r="B7737" s="4" t="s">
        <v>17804</v>
      </c>
      <c r="C7737" s="4" t="str">
        <f ca="1">IFERROR(__xludf.DUMMYFUNCTION("GOOGLETRANSLATE(D:D,""auto"",""en"")"),"Beijing Customs rumor 11 million people from Europe to Beijing")</f>
        <v>Beijing Customs rumor 11 million people from Europe to Beijing</v>
      </c>
      <c r="D7737" s="5" t="s">
        <v>17805</v>
      </c>
      <c r="E7737" s="4">
        <v>709852</v>
      </c>
    </row>
    <row r="7738" spans="1:6" ht="13.5" hidden="1" customHeight="1">
      <c r="A7738" s="4" t="s">
        <v>17806</v>
      </c>
      <c r="B7738" s="4" t="s">
        <v>17807</v>
      </c>
      <c r="C7738" s="4" t="str">
        <f ca="1">IFERROR(__xludf.DUMMYFUNCTION("GOOGLETRANSLATE(D:D,""auto"",""en"")"),"Beijing Tongzhou District, and three counties north coordinated development plan")</f>
        <v>Beijing Tongzhou District, and three counties north coordinated development plan</v>
      </c>
      <c r="D7738" s="5" t="s">
        <v>17808</v>
      </c>
      <c r="E7738" s="4">
        <v>665000</v>
      </c>
    </row>
    <row r="7739" spans="1:6" ht="13.5" customHeight="1">
      <c r="A7739" s="4" t="s">
        <v>17809</v>
      </c>
      <c r="B7739" s="4" t="s">
        <v>17810</v>
      </c>
      <c r="C7739" s="4" t="str">
        <f ca="1">IFERROR(__xludf.DUMMYFUNCTION("GOOGLETRANSLATE(D:D,""auto"",""en"")"),"Hubei medical teams began to withdraw support")</f>
        <v>Hubei medical teams began to withdraw support</v>
      </c>
      <c r="D7739" s="5" t="s">
        <v>17811</v>
      </c>
      <c r="E7739" s="4">
        <v>664215</v>
      </c>
      <c r="F7739">
        <v>1</v>
      </c>
    </row>
    <row r="7740" spans="1:6" ht="13.5" hidden="1" customHeight="1">
      <c r="A7740" s="4" t="s">
        <v>17812</v>
      </c>
      <c r="B7740" s="4" t="s">
        <v>17813</v>
      </c>
      <c r="C7740" s="4" t="str">
        <f ca="1">IFERROR(__xludf.DUMMYFUNCTION("GOOGLETRANSLATE(D:D,""auto"",""en"")"),"Zhao Liying defamation case in favor of First Instance")</f>
        <v>Zhao Liying defamation case in favor of First Instance</v>
      </c>
      <c r="D7740" s="5" t="s">
        <v>17814</v>
      </c>
      <c r="E7740" s="4">
        <v>587493</v>
      </c>
    </row>
    <row r="7741" spans="1:6" ht="13.5" customHeight="1">
      <c r="A7741" s="4" t="s">
        <v>17815</v>
      </c>
      <c r="B7741" s="4" t="s">
        <v>17791</v>
      </c>
      <c r="C7741" s="4" t="str">
        <f ca="1">IFERROR(__xludf.DUMMYFUNCTION("GOOGLETRANSLATE(D:D,""auto"",""en"")"),"The right to travel Actor Haiwei You infect new crown")</f>
        <v>The right to travel Actor Haiwei You infect new crown</v>
      </c>
      <c r="D7741" s="5" t="s">
        <v>17816</v>
      </c>
      <c r="E7741" s="4">
        <v>581757</v>
      </c>
      <c r="F7741">
        <v>1</v>
      </c>
    </row>
    <row r="7742" spans="1:6" ht="13.5" customHeight="1">
      <c r="A7742" s="4" t="s">
        <v>17817</v>
      </c>
      <c r="B7742" s="4" t="s">
        <v>17818</v>
      </c>
      <c r="C7742" s="4" t="str">
        <f ca="1">IFERROR(__xludf.DUMMYFUNCTION("GOOGLETRANSLATE(D:D,""auto"",""en"")"),"Doctor Guo Hongqing")</f>
        <v>Doctor Guo Hongqing</v>
      </c>
      <c r="D7742" s="5" t="s">
        <v>17819</v>
      </c>
      <c r="E7742" s="4">
        <v>500919</v>
      </c>
      <c r="F7742">
        <v>1</v>
      </c>
    </row>
    <row r="7743" spans="1:6" ht="13.5" hidden="1" customHeight="1">
      <c r="A7743" s="4" t="s">
        <v>17820</v>
      </c>
      <c r="B7743" s="4" t="s">
        <v>17730</v>
      </c>
      <c r="C7743" s="4" t="str">
        <f ca="1">IFERROR(__xludf.DUMMYFUNCTION("GOOGLETRANSLATE(D:D,""auto"",""en"")"),"San Francisco announced the closed city")</f>
        <v>San Francisco announced the closed city</v>
      </c>
      <c r="D7743" s="5" t="s">
        <v>17821</v>
      </c>
      <c r="E7743" s="4">
        <v>497630</v>
      </c>
    </row>
    <row r="7744" spans="1:6" ht="13.5" customHeight="1">
      <c r="A7744" s="4" t="s">
        <v>17822</v>
      </c>
      <c r="B7744" s="4" t="s">
        <v>17823</v>
      </c>
      <c r="C7744" s="4" t="str">
        <f ca="1">IFERROR(__xludf.DUMMYFUNCTION("GOOGLETRANSLATE(D:D,""auto"",""en"")"),"Israel's anti-terrorism technology enabled close contacts to track new crown")</f>
        <v>Israel's anti-terrorism technology enabled close contacts to track new crown</v>
      </c>
      <c r="D7744" s="5" t="s">
        <v>17824</v>
      </c>
      <c r="E7744" s="4">
        <v>497328</v>
      </c>
      <c r="F7744">
        <v>1</v>
      </c>
    </row>
    <row r="7745" spans="1:6" ht="13.5" hidden="1" customHeight="1">
      <c r="A7745" s="4" t="s">
        <v>17825</v>
      </c>
      <c r="B7745" s="4" t="s">
        <v>17826</v>
      </c>
      <c r="C7745" s="4" t="str">
        <f ca="1">IFERROR(__xludf.DUMMYFUNCTION("GOOGLETRANSLATE(D:D,""auto"",""en"")"),"Spain limit line on the first day walking the dog to pass")</f>
        <v>Spain limit line on the first day walking the dog to pass</v>
      </c>
      <c r="D7745" s="5" t="s">
        <v>17827</v>
      </c>
      <c r="E7745" s="4">
        <v>497235</v>
      </c>
    </row>
    <row r="7746" spans="1:6" ht="13.5" hidden="1" customHeight="1">
      <c r="A7746" s="4" t="s">
        <v>17828</v>
      </c>
      <c r="B7746" s="4" t="s">
        <v>17695</v>
      </c>
      <c r="C7746" s="4" t="str">
        <f ca="1">IFERROR(__xludf.DUMMYFUNCTION("GOOGLETRANSLATE(D:D,""auto"",""en"")"),"If the return freshman")</f>
        <v>If the return freshman</v>
      </c>
      <c r="D7746" s="5" t="s">
        <v>17829</v>
      </c>
      <c r="E7746" s="4">
        <v>459753</v>
      </c>
    </row>
    <row r="7747" spans="1:6" ht="13.5" customHeight="1">
      <c r="A7747" s="4" t="s">
        <v>17830</v>
      </c>
      <c r="B7747" s="4" t="s">
        <v>17831</v>
      </c>
      <c r="C7747" s="4" t="str">
        <f ca="1">IFERROR(__xludf.DUMMYFUNCTION("GOOGLETRANSLATE(D:D,""auto"",""en"")"),"The first batch of Chinese aid arrived in Serbia")</f>
        <v>The first batch of Chinese aid arrived in Serbia</v>
      </c>
      <c r="D7747" s="5" t="s">
        <v>17832</v>
      </c>
      <c r="E7747" s="4">
        <v>445463</v>
      </c>
      <c r="F7747">
        <v>1</v>
      </c>
    </row>
    <row r="7748" spans="1:6" ht="13.5" hidden="1" customHeight="1">
      <c r="A7748" s="4" t="s">
        <v>17633</v>
      </c>
      <c r="B7748" s="4" t="s">
        <v>17634</v>
      </c>
      <c r="C7748" s="4" t="str">
        <f ca="1">IFERROR(__xludf.DUMMYFUNCTION("GOOGLETRANSLATE(D:D,""auto"",""en"")"),"People's Daily commentary Qiu Chen")</f>
        <v>People's Daily commentary Qiu Chen</v>
      </c>
      <c r="D7748" s="5" t="s">
        <v>17635</v>
      </c>
      <c r="E7748" s="4">
        <v>400662</v>
      </c>
    </row>
    <row r="7749" spans="1:6" ht="13.5" hidden="1" customHeight="1">
      <c r="A7749" s="4" t="s">
        <v>16009</v>
      </c>
      <c r="B7749" s="4" t="s">
        <v>16010</v>
      </c>
      <c r="C7749" s="4" t="str">
        <f ca="1">IFERROR(__xludf.DUMMYFUNCTION("GOOGLETRANSLATE(D:D,""auto"",""en"")"),"Trump")</f>
        <v>Trump</v>
      </c>
      <c r="D7749" s="5" t="s">
        <v>16011</v>
      </c>
      <c r="E7749" s="4">
        <v>344366</v>
      </c>
    </row>
    <row r="7750" spans="1:6" ht="13.5" hidden="1" customHeight="1">
      <c r="A7750" s="4" t="s">
        <v>17825</v>
      </c>
      <c r="B7750" s="4" t="s">
        <v>17833</v>
      </c>
      <c r="C7750" s="4" t="str">
        <f ca="1">IFERROR(__xludf.DUMMYFUNCTION("GOOGLETRANSLATE(D:D,""auto"",""en"")"),"Nanjing tulip flowers")</f>
        <v>Nanjing tulip flowers</v>
      </c>
      <c r="D7750" s="5" t="s">
        <v>17834</v>
      </c>
      <c r="E7750" s="4">
        <v>344093</v>
      </c>
    </row>
    <row r="7751" spans="1:6" ht="13.5" hidden="1" customHeight="1">
      <c r="A7751" s="4" t="s">
        <v>17835</v>
      </c>
      <c r="B7751" s="4" t="s">
        <v>17836</v>
      </c>
      <c r="C7751" s="4" t="str">
        <f ca="1">IFERROR(__xludf.DUMMYFUNCTION("GOOGLETRANSLATE(D:D,""auto"",""en"")"),"More than Tokyo Olympic Games Council agreed to postpone")</f>
        <v>More than Tokyo Olympic Games Council agreed to postpone</v>
      </c>
      <c r="D7751" s="5" t="s">
        <v>17837</v>
      </c>
      <c r="E7751" s="4">
        <v>335294</v>
      </c>
    </row>
    <row r="7752" spans="1:6" ht="13.5" hidden="1" customHeight="1">
      <c r="A7752" s="4" t="s">
        <v>17633</v>
      </c>
      <c r="B7752" s="4" t="s">
        <v>17717</v>
      </c>
      <c r="C7752" s="4" t="str">
        <f ca="1">IFERROR(__xludf.DUMMYFUNCTION("GOOGLETRANSLATE(D:D,""auto"",""en"")"),"Apple's market value evaporated 150 million iPhone")</f>
        <v>Apple's market value evaporated 150 million iPhone</v>
      </c>
      <c r="D7752" s="5" t="s">
        <v>17838</v>
      </c>
      <c r="E7752" s="4">
        <v>315356</v>
      </c>
    </row>
    <row r="7753" spans="1:6" ht="13.5" hidden="1" customHeight="1">
      <c r="A7753" s="4" t="s">
        <v>17822</v>
      </c>
      <c r="B7753" s="4" t="s">
        <v>17839</v>
      </c>
      <c r="C7753" s="4" t="str">
        <f ca="1">IFERROR(__xludf.DUMMYFUNCTION("GOOGLETRANSLATE(D:D,""auto"",""en"")"),"Thai drama fake even Tiancheng men should open microblogging")</f>
        <v>Thai drama fake even Tiancheng men should open microblogging</v>
      </c>
      <c r="D7753" s="5" t="s">
        <v>17840</v>
      </c>
      <c r="E7753" s="4">
        <v>307820</v>
      </c>
    </row>
    <row r="7754" spans="1:6" ht="13.5" customHeight="1">
      <c r="A7754" s="4" t="s">
        <v>17841</v>
      </c>
      <c r="B7754" s="4" t="s">
        <v>17653</v>
      </c>
      <c r="C7754" s="4" t="str">
        <f ca="1">IFERROR(__xludf.DUMMYFUNCTION("GOOGLETRANSLATE(D:D,""auto"",""en"")"),"Wuhan new cases for six consecutive days of single-digit")</f>
        <v>Wuhan new cases for six consecutive days of single-digit</v>
      </c>
      <c r="D7754" s="5" t="s">
        <v>17842</v>
      </c>
      <c r="E7754" s="4">
        <v>297471</v>
      </c>
      <c r="F7754">
        <v>1</v>
      </c>
    </row>
    <row r="7755" spans="1:6" ht="13.5" hidden="1" customHeight="1">
      <c r="A7755" s="4" t="s">
        <v>17843</v>
      </c>
      <c r="B7755" s="4" t="s">
        <v>17675</v>
      </c>
      <c r="C7755" s="4" t="str">
        <f ca="1">IFERROR(__xludf.DUMMYFUNCTION("GOOGLETRANSLATE(D:D,""auto"",""en"")"),"The best must-eat weight-loss meal")</f>
        <v>The best must-eat weight-loss meal</v>
      </c>
      <c r="D7755" s="5" t="s">
        <v>17844</v>
      </c>
      <c r="E7755" s="4">
        <v>286862</v>
      </c>
    </row>
    <row r="7756" spans="1:6" ht="13.5" customHeight="1">
      <c r="A7756" s="4" t="s">
        <v>17845</v>
      </c>
      <c r="B7756" s="4" t="s">
        <v>17846</v>
      </c>
      <c r="C7756" s="4" t="str">
        <f ca="1">IFERROR(__xludf.DUMMYFUNCTION("GOOGLETRANSLATE(D:D,""auto"",""en"")"),"Shandong new one case the United States imported cases")</f>
        <v>Shandong new one case the United States imported cases</v>
      </c>
      <c r="D7756" s="5" t="s">
        <v>17847</v>
      </c>
      <c r="E7756" s="4">
        <v>272390</v>
      </c>
      <c r="F7756">
        <v>1</v>
      </c>
    </row>
    <row r="7757" spans="1:6" ht="13.5" customHeight="1">
      <c r="A7757" s="4" t="s">
        <v>17841</v>
      </c>
      <c r="B7757" s="4" t="s">
        <v>17836</v>
      </c>
      <c r="C7757" s="4" t="str">
        <f ca="1">IFERROR(__xludf.DUMMYFUNCTION("GOOGLETRANSLATE(D:D,""auto"",""en"")"),"British officials defended herd immunity")</f>
        <v>British officials defended herd immunity</v>
      </c>
      <c r="D7757" s="5" t="s">
        <v>17848</v>
      </c>
      <c r="E7757" s="4">
        <v>271793</v>
      </c>
      <c r="F7757">
        <v>1</v>
      </c>
    </row>
    <row r="7758" spans="1:6" ht="13.5" customHeight="1">
      <c r="A7758" s="4" t="s">
        <v>17815</v>
      </c>
      <c r="B7758" s="4" t="s">
        <v>17849</v>
      </c>
      <c r="C7758" s="4" t="str">
        <f ca="1">IFERROR(__xludf.DUMMYFUNCTION("GOOGLETRANSLATE(D:D,""auto"",""en"")"),"United States to prevent the spread of the epidemic will free some prisoners")</f>
        <v>United States to prevent the spread of the epidemic will free some prisoners</v>
      </c>
      <c r="D7758" s="5" t="s">
        <v>17850</v>
      </c>
      <c r="E7758" s="4">
        <v>271644</v>
      </c>
      <c r="F7758">
        <v>1</v>
      </c>
    </row>
    <row r="7759" spans="1:6" ht="13.5" hidden="1" customHeight="1">
      <c r="A7759" s="4" t="s">
        <v>17851</v>
      </c>
      <c r="B7759" s="4" t="s">
        <v>17852</v>
      </c>
      <c r="C7759" s="4" t="str">
        <f ca="1">IFERROR(__xludf.DUMMYFUNCTION("GOOGLETRANSLATE(D:D,""auto"",""en"")"),"Forbidden City Donghuamen hit the driver has been taken away by police")</f>
        <v>Forbidden City Donghuamen hit the driver has been taken away by police</v>
      </c>
      <c r="D7759" s="5" t="s">
        <v>17853</v>
      </c>
      <c r="E7759" s="4">
        <v>270068</v>
      </c>
    </row>
    <row r="7760" spans="1:6" ht="13.5" hidden="1" customHeight="1">
      <c r="A7760" s="4" t="s">
        <v>17854</v>
      </c>
      <c r="B7760" s="4" t="s">
        <v>15473</v>
      </c>
      <c r="C7760" s="4" t="str">
        <f ca="1">IFERROR(__xludf.DUMMYFUNCTION("GOOGLETRANSLATE(D:D,""auto"",""en"")"),"National football players are not short-term enrollment naturalization")</f>
        <v>National football players are not short-term enrollment naturalization</v>
      </c>
      <c r="D7760" s="5" t="s">
        <v>17855</v>
      </c>
      <c r="E7760" s="4">
        <v>269510</v>
      </c>
    </row>
    <row r="7761" spans="1:6" ht="13.5" customHeight="1">
      <c r="A7761" s="4" t="s">
        <v>17856</v>
      </c>
      <c r="B7761" s="4" t="s">
        <v>17857</v>
      </c>
      <c r="C7761" s="4" t="str">
        <f ca="1">IFERROR(__xludf.DUMMYFUNCTION("GOOGLETRANSLATE(D:D,""auto"",""en"")"),"Inbound foreign Wuhan centralized 14 days isolation")</f>
        <v>Inbound foreign Wuhan centralized 14 days isolation</v>
      </c>
      <c r="D7761" s="5" t="s">
        <v>17858</v>
      </c>
      <c r="E7761" s="4">
        <v>268436</v>
      </c>
      <c r="F7761">
        <v>1</v>
      </c>
    </row>
    <row r="7762" spans="1:6" ht="13.5" hidden="1" customHeight="1">
      <c r="A7762" s="4" t="s">
        <v>17845</v>
      </c>
      <c r="B7762" s="4" t="s">
        <v>17859</v>
      </c>
      <c r="C7762" s="4" t="str">
        <f ca="1">IFERROR(__xludf.DUMMYFUNCTION("GOOGLETRANSLATE(D:D,""auto"",""en"")"),"Golden Raspberry Awards winners")</f>
        <v>Golden Raspberry Awards winners</v>
      </c>
      <c r="D7762" s="5" t="s">
        <v>17860</v>
      </c>
      <c r="E7762" s="4">
        <v>267596</v>
      </c>
    </row>
    <row r="7763" spans="1:6" ht="13.5" hidden="1" customHeight="1">
      <c r="A7763" s="4" t="s">
        <v>17843</v>
      </c>
      <c r="B7763" s="4" t="s">
        <v>17710</v>
      </c>
      <c r="C7763" s="4" t="str">
        <f ca="1">IFERROR(__xludf.DUMMYFUNCTION("GOOGLETRANSLATE(D:D,""auto"",""en"")"),"Uncharted movie shooting postponed")</f>
        <v>Uncharted movie shooting postponed</v>
      </c>
      <c r="D7763" s="5" t="s">
        <v>17861</v>
      </c>
      <c r="E7763" s="4">
        <v>266193</v>
      </c>
    </row>
    <row r="7764" spans="1:6" ht="13.5" customHeight="1">
      <c r="A7764" s="4" t="s">
        <v>17862</v>
      </c>
      <c r="B7764" s="4" t="s">
        <v>17863</v>
      </c>
      <c r="C7764" s="4" t="str">
        <f ca="1">IFERROR(__xludf.DUMMYFUNCTION("GOOGLETRANSLATE(D:D,""auto"",""en"")"),"Spain as the world's fourth most countries the number of infections")</f>
        <v>Spain as the world's fourth most countries the number of infections</v>
      </c>
      <c r="D7764" s="5" t="s">
        <v>17864</v>
      </c>
      <c r="E7764" s="4">
        <v>266051</v>
      </c>
      <c r="F7764">
        <v>1</v>
      </c>
    </row>
    <row r="7765" spans="1:6" ht="13.5" customHeight="1">
      <c r="A7765" s="4" t="s">
        <v>17633</v>
      </c>
      <c r="B7765" s="4" t="s">
        <v>17695</v>
      </c>
      <c r="C7765" s="4" t="str">
        <f ca="1">IFERROR(__xludf.DUMMYFUNCTION("GOOGLETRANSLATE(D:D,""auto"",""en"")"),"Spanish 21-year-old football coach died because of the new virus crown")</f>
        <v>Spanish 21-year-old football coach died because of the new virus crown</v>
      </c>
      <c r="D7765" s="5" t="s">
        <v>17865</v>
      </c>
      <c r="E7765" s="4">
        <v>256898</v>
      </c>
      <c r="F7765">
        <v>1</v>
      </c>
    </row>
    <row r="7766" spans="1:6" ht="13.5" customHeight="1">
      <c r="A7766" s="4" t="s">
        <v>17866</v>
      </c>
      <c r="B7766" s="4" t="s">
        <v>17780</v>
      </c>
      <c r="C7766" s="4" t="str">
        <f ca="1">IFERROR(__xludf.DUMMYFUNCTION("GOOGLETRANSLATE(D:D,""auto"",""en"")"),"The Pentagon appears 37 confirmed cases")</f>
        <v>The Pentagon appears 37 confirmed cases</v>
      </c>
      <c r="D7766" s="5" t="s">
        <v>17867</v>
      </c>
      <c r="E7766" s="4">
        <v>245154</v>
      </c>
      <c r="F7766">
        <v>1</v>
      </c>
    </row>
    <row r="7767" spans="1:6" ht="13.5" hidden="1" customHeight="1">
      <c r="C7767" s="4" t="str">
        <f ca="1">IFERROR(__xludf.DUMMYFUNCTION("GOOGLETRANSLATE(D:D,""auto"",""en"")"),"#VALUE!")</f>
        <v>#VALUE!</v>
      </c>
    </row>
    <row r="7768" spans="1:6" ht="13.5" hidden="1" customHeight="1">
      <c r="A7768" s="4" t="s">
        <v>17868</v>
      </c>
      <c r="B7768" s="4" t="s">
        <v>17869</v>
      </c>
      <c r="C7768" s="4" t="str">
        <f ca="1">IFERROR(__xludf.DUMMYFUNCTION("GOOGLETRANSLATE(D:D,""auto"",""en"")"),"Oil Stick to sell his son Andy marriage room to medical treatment")</f>
        <v>Oil Stick to sell his son Andy marriage room to medical treatment</v>
      </c>
      <c r="D7768" s="4" t="s">
        <v>17870</v>
      </c>
      <c r="E7768" s="4">
        <v>2488540</v>
      </c>
    </row>
    <row r="7769" spans="1:6" ht="13.5" hidden="1" customHeight="1">
      <c r="A7769" s="4" t="s">
        <v>17871</v>
      </c>
      <c r="B7769" s="4" t="s">
        <v>17872</v>
      </c>
      <c r="C7769" s="4" t="str">
        <f ca="1">IFERROR(__xludf.DUMMYFUNCTION("GOOGLETRANSLATE(D:D,""auto"",""en"")"),"Italy church filled coffin")</f>
        <v>Italy church filled coffin</v>
      </c>
      <c r="D7769" s="5" t="s">
        <v>17873</v>
      </c>
      <c r="E7769" s="4">
        <v>1898152</v>
      </c>
    </row>
    <row r="7770" spans="1:6" ht="13.5" hidden="1" customHeight="1">
      <c r="A7770" s="4" t="s">
        <v>17874</v>
      </c>
      <c r="B7770" s="4" t="s">
        <v>17875</v>
      </c>
      <c r="C7770" s="4" t="str">
        <f ca="1">IFERROR(__xludf.DUMMYFUNCTION("GOOGLETRANSLATE(D:D,""auto"",""en"")"),"Xue Yi wife and kids")</f>
        <v>Xue Yi wife and kids</v>
      </c>
      <c r="D7770" s="5" t="s">
        <v>17876</v>
      </c>
      <c r="E7770" s="4">
        <v>1605016</v>
      </c>
    </row>
    <row r="7771" spans="1:6" ht="13.5" hidden="1" customHeight="1">
      <c r="A7771" s="4" t="s">
        <v>17877</v>
      </c>
      <c r="B7771" s="4" t="s">
        <v>17878</v>
      </c>
      <c r="C7771" s="4" t="str">
        <f ca="1">IFERROR(__xludf.DUMMYFUNCTION("GOOGLETRANSLATE(D:D,""auto"",""en"")"),"One dollar equation too expensive")</f>
        <v>One dollar equation too expensive</v>
      </c>
      <c r="D7771" s="5" t="s">
        <v>17879</v>
      </c>
      <c r="E7771" s="4">
        <v>1461342</v>
      </c>
    </row>
    <row r="7772" spans="1:6" ht="13.5" hidden="1" customHeight="1">
      <c r="A7772" s="4" t="s">
        <v>17880</v>
      </c>
      <c r="B7772" s="4" t="s">
        <v>17881</v>
      </c>
      <c r="C7772" s="4" t="str">
        <f ca="1">IFERROR(__xludf.DUMMYFUNCTION("GOOGLETRANSLATE(D:D,""auto"",""en"")"),"Stella Ye Donglie break")</f>
        <v>Stella Ye Donglie break</v>
      </c>
      <c r="D7772" s="5" t="s">
        <v>17882</v>
      </c>
      <c r="E7772" s="4">
        <v>1182473</v>
      </c>
    </row>
    <row r="7773" spans="1:6" ht="13.5" customHeight="1">
      <c r="A7773" s="4" t="s">
        <v>17883</v>
      </c>
      <c r="B7773" s="4" t="s">
        <v>17884</v>
      </c>
      <c r="C7773" s="4" t="str">
        <f ca="1">IFERROR(__xludf.DUMMYFUNCTION("GOOGLETRANSLATE(D:D,""auto"",""en"")"),"Army successfully developed a new recombinant vaccine crown")</f>
        <v>Army successfully developed a new recombinant vaccine crown</v>
      </c>
      <c r="D7773" s="5" t="s">
        <v>17885</v>
      </c>
      <c r="E7773" s="4">
        <v>1094793</v>
      </c>
      <c r="F7773">
        <v>1</v>
      </c>
    </row>
    <row r="7774" spans="1:6" ht="13.5" hidden="1" customHeight="1">
      <c r="A7774" s="4" t="s">
        <v>17886</v>
      </c>
      <c r="B7774" s="4" t="s">
        <v>17887</v>
      </c>
      <c r="C7774" s="4" t="str">
        <f ca="1">IFERROR(__xludf.DUMMYFUNCTION("GOOGLETRANSLATE(D:D,""auto"",""en"")"),"Chen He was the second child female")</f>
        <v>Chen He was the second child female</v>
      </c>
      <c r="D7774" s="5" t="s">
        <v>17888</v>
      </c>
      <c r="E7774" s="4">
        <v>1000889</v>
      </c>
    </row>
    <row r="7775" spans="1:6" ht="13.5" hidden="1" customHeight="1">
      <c r="A7775" s="4" t="s">
        <v>17889</v>
      </c>
      <c r="B7775" s="4" t="s">
        <v>17890</v>
      </c>
      <c r="C7775" s="4" t="str">
        <f ca="1">IFERROR(__xludf.DUMMYFUNCTION("GOOGLETRANSLATE(D:D,""auto"",""en"")"),"Wu Zun wife had their wedding photographs alone")</f>
        <v>Wu Zun wife had their wedding photographs alone</v>
      </c>
      <c r="D7775" s="5" t="s">
        <v>17891</v>
      </c>
      <c r="E7775" s="4">
        <v>971596</v>
      </c>
    </row>
    <row r="7776" spans="1:6" ht="13.5" customHeight="1">
      <c r="A7776" s="4" t="s">
        <v>17892</v>
      </c>
      <c r="B7776" s="4" t="s">
        <v>17893</v>
      </c>
      <c r="C7776" s="4" t="str">
        <f ca="1">IFERROR(__xludf.DUMMYFUNCTION("GOOGLETRANSLATE(D:D,""auto"",""en"")"),"China Eastern Airlines canceled flights to Europe and America more")</f>
        <v>China Eastern Airlines canceled flights to Europe and America more</v>
      </c>
      <c r="D7776" s="5" t="s">
        <v>17894</v>
      </c>
      <c r="E7776" s="4">
        <v>942959</v>
      </c>
      <c r="F7776">
        <v>1</v>
      </c>
    </row>
    <row r="7777" spans="1:6" ht="13.5" customHeight="1">
      <c r="A7777" s="4" t="s">
        <v>17895</v>
      </c>
      <c r="B7777" s="4" t="s">
        <v>17896</v>
      </c>
      <c r="C7777" s="4" t="str">
        <f ca="1">IFERROR(__xludf.DUMMYFUNCTION("GOOGLETRANSLATE(D:D,""auto"",""en"")"),"Bayer refused to dismiss isolated woman out jogging")</f>
        <v>Bayer refused to dismiss isolated woman out jogging</v>
      </c>
      <c r="D7777" s="5" t="s">
        <v>17897</v>
      </c>
      <c r="E7777" s="4">
        <v>843583</v>
      </c>
      <c r="F7777">
        <v>1</v>
      </c>
    </row>
    <row r="7778" spans="1:6" ht="13.5" customHeight="1">
      <c r="A7778" s="4" t="s">
        <v>17898</v>
      </c>
      <c r="B7778" s="4" t="s">
        <v>17899</v>
      </c>
      <c r="C7778" s="4" t="str">
        <f ca="1">IFERROR(__xludf.DUMMYFUNCTION("GOOGLETRANSLATE(D:D,""auto"",""en"")"),"US crown new vaccines into clinical trials")</f>
        <v>US crown new vaccines into clinical trials</v>
      </c>
      <c r="D7778" s="5" t="s">
        <v>17900</v>
      </c>
      <c r="E7778" s="4">
        <v>820379</v>
      </c>
      <c r="F7778">
        <v>1</v>
      </c>
    </row>
    <row r="7779" spans="1:6" ht="13.5" customHeight="1">
      <c r="A7779" s="4" t="s">
        <v>17901</v>
      </c>
      <c r="B7779" s="4" t="s">
        <v>17902</v>
      </c>
      <c r="C7779" s="4" t="str">
        <f ca="1">IFERROR(__xludf.DUMMYFUNCTION("GOOGLETRANSLATE(D:D,""auto"",""en"")"),"China open new crown pneumonia treatment program to the world")</f>
        <v>China open new crown pneumonia treatment program to the world</v>
      </c>
      <c r="D7779" s="5" t="s">
        <v>17903</v>
      </c>
      <c r="E7779" s="4">
        <v>819515</v>
      </c>
      <c r="F7779">
        <v>1</v>
      </c>
    </row>
    <row r="7780" spans="1:6" ht="13.5" hidden="1" customHeight="1">
      <c r="A7780" s="4" t="s">
        <v>17904</v>
      </c>
      <c r="B7780" s="4" t="s">
        <v>17905</v>
      </c>
      <c r="C7780" s="4" t="str">
        <f ca="1">IFERROR(__xludf.DUMMYFUNCTION("GOOGLETRANSLATE(D:D,""auto"",""en"")"),"Japan then said that the Olympic Games will be held as scheduled")</f>
        <v>Japan then said that the Olympic Games will be held as scheduled</v>
      </c>
      <c r="D7780" s="5" t="s">
        <v>17906</v>
      </c>
      <c r="E7780" s="4">
        <v>801372</v>
      </c>
    </row>
    <row r="7781" spans="1:6" ht="13.5" hidden="1" customHeight="1">
      <c r="A7781" s="4" t="s">
        <v>12063</v>
      </c>
      <c r="B7781" s="4" t="s">
        <v>12051</v>
      </c>
      <c r="C7781" s="4" t="str">
        <f ca="1">IFERROR(__xludf.DUMMYFUNCTION("GOOGLETRANSLATE(D:D,""auto"",""en"")"),"settle down")</f>
        <v>settle down</v>
      </c>
      <c r="D7781" s="5" t="s">
        <v>12064</v>
      </c>
      <c r="E7781" s="4">
        <v>798007</v>
      </c>
    </row>
    <row r="7782" spans="1:6" ht="13.5" hidden="1" customHeight="1">
      <c r="A7782" s="4" t="s">
        <v>14434</v>
      </c>
      <c r="B7782" s="4" t="s">
        <v>14435</v>
      </c>
      <c r="C7782" s="4" t="str">
        <f ca="1">IFERROR(__xludf.DUMMYFUNCTION("GOOGLETRANSLATE(D:D,""auto"",""en"")"),"US stocks")</f>
        <v>US stocks</v>
      </c>
      <c r="D7782" s="5" t="s">
        <v>14436</v>
      </c>
      <c r="E7782" s="4">
        <v>786177</v>
      </c>
    </row>
    <row r="7783" spans="1:6" ht="13.5" hidden="1" customHeight="1">
      <c r="A7783" s="4" t="s">
        <v>17907</v>
      </c>
      <c r="B7783" s="4" t="s">
        <v>17908</v>
      </c>
      <c r="C7783" s="4" t="str">
        <f ca="1">IFERROR(__xludf.DUMMYFUNCTION("GOOGLETRANSLATE(D:D,""auto"",""en"")"),"United States Disneyland closed their predecessors crowded")</f>
        <v>United States Disneyland closed their predecessors crowded</v>
      </c>
      <c r="D7783" s="5" t="s">
        <v>17909</v>
      </c>
      <c r="E7783" s="4">
        <v>779988</v>
      </c>
    </row>
    <row r="7784" spans="1:6" ht="13.5" customHeight="1">
      <c r="A7784" s="4" t="s">
        <v>17910</v>
      </c>
      <c r="B7784" s="4" t="s">
        <v>17911</v>
      </c>
      <c r="C7784" s="4" t="str">
        <f ca="1">IFERROR(__xludf.DUMMYFUNCTION("GOOGLETRANSLATE(D:D,""auto"",""en"")"),"New York confirmed the number of the nation's first break in 1000")</f>
        <v>New York confirmed the number of the nation's first break in 1000</v>
      </c>
      <c r="D7784" s="5" t="s">
        <v>17912</v>
      </c>
      <c r="E7784" s="4">
        <v>776363</v>
      </c>
      <c r="F7784">
        <v>1</v>
      </c>
    </row>
    <row r="7785" spans="1:6" ht="13.5" hidden="1" customHeight="1">
      <c r="A7785" s="4" t="s">
        <v>17913</v>
      </c>
      <c r="B7785" s="4" t="s">
        <v>17914</v>
      </c>
      <c r="C7785" s="4" t="str">
        <f ca="1">IFERROR(__xludf.DUMMYFUNCTION("GOOGLETRANSLATE(D:D,""auto"",""en"")"),"Zhang Yu Jian funny")</f>
        <v>Zhang Yu Jian funny</v>
      </c>
      <c r="D7785" s="5" t="s">
        <v>17915</v>
      </c>
      <c r="E7785" s="4">
        <v>741973</v>
      </c>
    </row>
    <row r="7786" spans="1:6" ht="13.5" hidden="1" customHeight="1">
      <c r="A7786" s="4" t="s">
        <v>17916</v>
      </c>
      <c r="B7786" s="4" t="s">
        <v>17917</v>
      </c>
      <c r="C7786" s="4" t="str">
        <f ca="1">IFERROR(__xludf.DUMMYFUNCTION("GOOGLETRANSLATE(D:D,""auto"",""en"")"),"Perfect relationship finale trailer")</f>
        <v>Perfect relationship finale trailer</v>
      </c>
      <c r="D7786" s="5" t="s">
        <v>17918</v>
      </c>
      <c r="E7786" s="4">
        <v>709708</v>
      </c>
    </row>
    <row r="7787" spans="1:6" ht="13.5" hidden="1" customHeight="1">
      <c r="A7787" s="4" t="s">
        <v>17919</v>
      </c>
      <c r="B7787" s="4" t="s">
        <v>17920</v>
      </c>
      <c r="C7787" s="4" t="str">
        <f ca="1">IFERROR(__xludf.DUMMYFUNCTION("GOOGLETRANSLATE(D:D,""auto"",""en"")"),"Sun Jia Yu")</f>
        <v>Sun Jia Yu</v>
      </c>
      <c r="D7787" s="5" t="s">
        <v>17921</v>
      </c>
      <c r="E7787" s="4">
        <v>629421</v>
      </c>
    </row>
    <row r="7788" spans="1:6" ht="13.5" hidden="1" customHeight="1">
      <c r="A7788" s="4" t="s">
        <v>17922</v>
      </c>
      <c r="B7788" s="4" t="s">
        <v>17923</v>
      </c>
      <c r="C7788" s="4" t="str">
        <f ca="1">IFERROR(__xludf.DUMMYFUNCTION("GOOGLETRANSLATE(D:D,""auto"",""en"")"),"Cross-cultural communication with Chinglish")</f>
        <v>Cross-cultural communication with Chinglish</v>
      </c>
      <c r="D7788" s="5" t="s">
        <v>17924</v>
      </c>
      <c r="E7788" s="4">
        <v>496043</v>
      </c>
    </row>
    <row r="7789" spans="1:6" ht="13.5" customHeight="1">
      <c r="A7789" s="4" t="s">
        <v>17925</v>
      </c>
      <c r="B7789" s="4" t="s">
        <v>17926</v>
      </c>
      <c r="C7789" s="4" t="str">
        <f ca="1">IFERROR(__xludf.DUMMYFUNCTION("GOOGLETRANSLATE(D:D,""auto"",""en"")"),"Wall Street stocks rose the fight against SARS")</f>
        <v>Wall Street stocks rose the fight against SARS</v>
      </c>
      <c r="D7789" s="5" t="s">
        <v>17927</v>
      </c>
      <c r="E7789" s="4">
        <v>445601</v>
      </c>
      <c r="F7789">
        <v>1</v>
      </c>
    </row>
    <row r="7790" spans="1:6" ht="13.5" customHeight="1">
      <c r="A7790" s="4" t="s">
        <v>17928</v>
      </c>
      <c r="B7790" s="4" t="s">
        <v>17929</v>
      </c>
      <c r="C7790" s="4" t="str">
        <f ca="1">IFERROR(__xludf.DUMMYFUNCTION("GOOGLETRANSLATE(D:D,""auto"",""en"")"),"India announced the closure of Taj Mahal")</f>
        <v>India announced the closure of Taj Mahal</v>
      </c>
      <c r="D7790" s="5" t="s">
        <v>17930</v>
      </c>
      <c r="E7790" s="4">
        <v>437762</v>
      </c>
      <c r="F7790">
        <v>1</v>
      </c>
    </row>
    <row r="7791" spans="1:6" ht="13.5" hidden="1" customHeight="1">
      <c r="A7791" s="4" t="s">
        <v>17931</v>
      </c>
      <c r="B7791" s="4" t="s">
        <v>17878</v>
      </c>
      <c r="C7791" s="4" t="str">
        <f ca="1">IFERROR(__xludf.DUMMYFUNCTION("GOOGLETRANSLATE(D:D,""auto"",""en"")"),"Doinb five killed")</f>
        <v>Doinb five killed</v>
      </c>
      <c r="D7791" s="5" t="s">
        <v>17932</v>
      </c>
      <c r="E7791" s="4">
        <v>436239</v>
      </c>
    </row>
    <row r="7792" spans="1:6" ht="13.5" hidden="1" customHeight="1">
      <c r="A7792" s="4" t="s">
        <v>17933</v>
      </c>
      <c r="B7792" s="4" t="s">
        <v>17934</v>
      </c>
      <c r="C7792" s="4" t="str">
        <f ca="1">IFERROR(__xludf.DUMMYFUNCTION("GOOGLETRANSLATE(D:D,""auto"",""en"")"),"Cover parents circle of friends Awards")</f>
        <v>Cover parents circle of friends Awards</v>
      </c>
      <c r="D7792" s="5" t="s">
        <v>17935</v>
      </c>
      <c r="E7792" s="4">
        <v>405352</v>
      </c>
    </row>
    <row r="7793" spans="1:6" ht="13.5" customHeight="1">
      <c r="A7793" s="4" t="s">
        <v>17936</v>
      </c>
      <c r="B7793" s="4" t="s">
        <v>17937</v>
      </c>
      <c r="C7793" s="4" t="str">
        <f ca="1">IFERROR(__xludf.DUMMYFUNCTION("GOOGLETRANSLATE(D:D,""auto"",""en"")"),"Ministry of Foreign Affairs to respond to the reputation of the medical supply chain to be transferred")</f>
        <v>Ministry of Foreign Affairs to respond to the reputation of the medical supply chain to be transferred</v>
      </c>
      <c r="D7793" s="5" t="s">
        <v>17938</v>
      </c>
      <c r="E7793" s="4">
        <v>386641</v>
      </c>
      <c r="F7793">
        <v>1</v>
      </c>
    </row>
    <row r="7794" spans="1:6" ht="13.5" customHeight="1">
      <c r="A7794" s="4" t="s">
        <v>17939</v>
      </c>
      <c r="B7794" s="4" t="s">
        <v>17940</v>
      </c>
      <c r="C7794" s="4" t="str">
        <f ca="1">IFERROR(__xludf.DUMMYFUNCTION("GOOGLETRANSLATE(D:D,""auto"",""en"")"),"Wuhan, Hubei people play Pikachu send aid medical evacuation")</f>
        <v>Wuhan, Hubei people play Pikachu send aid medical evacuation</v>
      </c>
      <c r="D7794" s="5" t="s">
        <v>17941</v>
      </c>
      <c r="E7794" s="4">
        <v>372453</v>
      </c>
      <c r="F7794">
        <v>1</v>
      </c>
    </row>
    <row r="7795" spans="1:6" ht="13.5" hidden="1" customHeight="1">
      <c r="A7795" s="4" t="s">
        <v>17942</v>
      </c>
      <c r="B7795" s="4" t="s">
        <v>17943</v>
      </c>
      <c r="C7795" s="4" t="str">
        <f ca="1">IFERROR(__xludf.DUMMYFUNCTION("GOOGLETRANSLATE(D:D,""auto"",""en"")"),"Yi Xi smelt one thousand makeup")</f>
        <v>Yi Xi smelt one thousand makeup</v>
      </c>
      <c r="D7795" s="5" t="s">
        <v>17944</v>
      </c>
      <c r="E7795" s="4">
        <v>365260</v>
      </c>
    </row>
    <row r="7796" spans="1:6" ht="13.5" hidden="1" customHeight="1">
      <c r="A7796" s="4" t="s">
        <v>17945</v>
      </c>
      <c r="B7796" s="4" t="s">
        <v>17946</v>
      </c>
      <c r="C7796" s="4" t="str">
        <f ca="1">IFERROR(__xludf.DUMMYFUNCTION("GOOGLETRANSLATE(D:D,""auto"",""en"")"),"Chat wrong word embarrassing experience")</f>
        <v>Chat wrong word embarrassing experience</v>
      </c>
      <c r="D7796" s="5" t="s">
        <v>17947</v>
      </c>
      <c r="E7796" s="4">
        <v>358861</v>
      </c>
    </row>
    <row r="7797" spans="1:6" ht="13.5" hidden="1" customHeight="1">
      <c r="A7797" s="4" t="s">
        <v>17948</v>
      </c>
      <c r="B7797" s="4" t="s">
        <v>17949</v>
      </c>
      <c r="C7797" s="4" t="str">
        <f ca="1">IFERROR(__xludf.DUMMYFUNCTION("GOOGLETRANSLATE(D:D,""auto"",""en"")"),"Fahrenheit")</f>
        <v>Fahrenheit</v>
      </c>
      <c r="D7797" s="5" t="s">
        <v>17950</v>
      </c>
      <c r="E7797" s="4">
        <v>356201</v>
      </c>
    </row>
    <row r="7798" spans="1:6" ht="13.5" hidden="1" customHeight="1">
      <c r="A7798" s="4" t="s">
        <v>13737</v>
      </c>
      <c r="B7798" s="4" t="s">
        <v>13738</v>
      </c>
      <c r="C7798" s="4" t="str">
        <f ca="1">IFERROR(__xludf.DUMMYFUNCTION("GOOGLETRANSLATE(D:D,""auto"",""en"")"),"Dow Jones")</f>
        <v>Dow Jones</v>
      </c>
      <c r="D7798" s="5" t="s">
        <v>13739</v>
      </c>
      <c r="E7798" s="4">
        <v>327416</v>
      </c>
    </row>
    <row r="7799" spans="1:6" ht="13.5" hidden="1" customHeight="1">
      <c r="A7799" s="4" t="s">
        <v>17922</v>
      </c>
      <c r="B7799" s="4" t="s">
        <v>17951</v>
      </c>
      <c r="C7799" s="4" t="str">
        <f ca="1">IFERROR(__xludf.DUMMYFUNCTION("GOOGLETRANSLATE(D:D,""auto"",""en"")"),"I can not do in kindergarten")</f>
        <v>I can not do in kindergarten</v>
      </c>
      <c r="D7799" s="5" t="s">
        <v>17952</v>
      </c>
      <c r="E7799" s="4">
        <v>312787</v>
      </c>
    </row>
    <row r="7800" spans="1:6" ht="13.5" hidden="1" customHeight="1">
      <c r="A7800" s="4" t="s">
        <v>17953</v>
      </c>
      <c r="B7800" s="4" t="s">
        <v>17954</v>
      </c>
      <c r="C7800" s="4" t="str">
        <f ca="1">IFERROR(__xludf.DUMMYFUNCTION("GOOGLETRANSLATE(D:D,""auto"",""en"")"),"Shenzhen Metro")</f>
        <v>Shenzhen Metro</v>
      </c>
      <c r="D7800" s="5" t="s">
        <v>17955</v>
      </c>
      <c r="E7800" s="4">
        <v>283604</v>
      </c>
    </row>
    <row r="7801" spans="1:6" ht="13.5" customHeight="1">
      <c r="A7801" s="4" t="s">
        <v>17956</v>
      </c>
      <c r="B7801" s="4" t="s">
        <v>17957</v>
      </c>
      <c r="C7801" s="4" t="str">
        <f ca="1">IFERROR(__xludf.DUMMYFUNCTION("GOOGLETRANSLATE(D:D,""auto"",""en"")"),"The new recombinant vaccine approved to start clinical trials crown")</f>
        <v>The new recombinant vaccine approved to start clinical trials crown</v>
      </c>
      <c r="D7801" s="5" t="s">
        <v>17958</v>
      </c>
      <c r="E7801" s="4">
        <v>275461</v>
      </c>
      <c r="F7801">
        <v>1</v>
      </c>
    </row>
    <row r="7802" spans="1:6" ht="13.5" hidden="1" customHeight="1">
      <c r="A7802" s="4" t="s">
        <v>17948</v>
      </c>
      <c r="B7802" s="4" t="s">
        <v>17770</v>
      </c>
      <c r="C7802" s="4" t="str">
        <f ca="1">IFERROR(__xludf.DUMMYFUNCTION("GOOGLETRANSLATE(D:D,""auto"",""en"")"),"Facial skin look good but what is the difference between experience")</f>
        <v>Facial skin look good but what is the difference between experience</v>
      </c>
      <c r="D7802" s="5" t="s">
        <v>17959</v>
      </c>
      <c r="E7802" s="4">
        <v>275086</v>
      </c>
    </row>
    <row r="7803" spans="1:6" ht="13.5" hidden="1" customHeight="1">
      <c r="A7803" s="4" t="s">
        <v>17960</v>
      </c>
      <c r="B7803" s="4" t="s">
        <v>17961</v>
      </c>
      <c r="C7803" s="4" t="str">
        <f ca="1">IFERROR(__xludf.DUMMYFUNCTION("GOOGLETRANSLATE(D:D,""auto"",""en"")"),"Tom and Jerry Cheese Cake")</f>
        <v>Tom and Jerry Cheese Cake</v>
      </c>
      <c r="D7803" s="5" t="s">
        <v>17962</v>
      </c>
      <c r="E7803" s="4">
        <v>264357</v>
      </c>
    </row>
    <row r="7804" spans="1:6" ht="13.5" hidden="1" customHeight="1">
      <c r="A7804" s="4" t="s">
        <v>17963</v>
      </c>
      <c r="B7804" s="4" t="s">
        <v>17964</v>
      </c>
      <c r="C7804" s="4" t="str">
        <f ca="1">IFERROR(__xludf.DUMMYFUNCTION("GOOGLETRANSLATE(D:D,""auto"",""en"")"),"A cloud Ga beard")</f>
        <v>A cloud Ga beard</v>
      </c>
      <c r="D7804" s="5" t="s">
        <v>17965</v>
      </c>
      <c r="E7804" s="4">
        <v>257242</v>
      </c>
    </row>
    <row r="7805" spans="1:6" ht="13.5" hidden="1" customHeight="1">
      <c r="A7805" s="4" t="s">
        <v>17966</v>
      </c>
      <c r="B7805" s="4" t="s">
        <v>17967</v>
      </c>
      <c r="C7805" s="4" t="str">
        <f ca="1">IFERROR(__xludf.DUMMYFUNCTION("GOOGLETRANSLATE(D:D,""auto"",""en"")"),"Buffett's investment portfolio a month evaporated $ 80 billion")</f>
        <v>Buffett's investment portfolio a month evaporated $ 80 billion</v>
      </c>
      <c r="D7805" s="5" t="s">
        <v>17968</v>
      </c>
      <c r="E7805" s="4">
        <v>251996</v>
      </c>
    </row>
    <row r="7806" spans="1:6" ht="13.5" hidden="1" customHeight="1">
      <c r="A7806" s="4" t="s">
        <v>17969</v>
      </c>
      <c r="B7806" s="4" t="s">
        <v>17937</v>
      </c>
      <c r="C7806" s="4" t="str">
        <f ca="1">IFERROR(__xludf.DUMMYFUNCTION("GOOGLETRANSLATE(D:D,""auto"",""en"")"),"Comfort women system victims Zhuo sister died days")</f>
        <v>Comfort women system victims Zhuo sister died days</v>
      </c>
      <c r="D7806" s="5" t="s">
        <v>17970</v>
      </c>
      <c r="E7806" s="4">
        <v>251060</v>
      </c>
    </row>
    <row r="7807" spans="1:6" ht="13.5" hidden="1" customHeight="1">
      <c r="A7807" s="4" t="s">
        <v>17971</v>
      </c>
      <c r="B7807" s="4" t="s">
        <v>17972</v>
      </c>
      <c r="C7807" s="4" t="str">
        <f ca="1">IFERROR(__xludf.DUMMYFUNCTION("GOOGLETRANSLATE(D:D,""auto"",""en"")"),"Italian Embassy microblogging request support")</f>
        <v>Italian Embassy microblogging request support</v>
      </c>
      <c r="D7807" s="5" t="s">
        <v>17973</v>
      </c>
      <c r="E7807" s="4">
        <v>246649</v>
      </c>
    </row>
    <row r="7808" spans="1:6" ht="13.5" hidden="1" customHeight="1">
      <c r="A7808" s="4" t="s">
        <v>17974</v>
      </c>
      <c r="B7808" s="4" t="s">
        <v>17975</v>
      </c>
      <c r="C7808" s="4" t="str">
        <f ca="1">IFERROR(__xludf.DUMMYFUNCTION("GOOGLETRANSLATE(D:D,""auto"",""en"")"),"The more look down the temper")</f>
        <v>The more look down the temper</v>
      </c>
      <c r="D7808" s="5" t="s">
        <v>17976</v>
      </c>
      <c r="E7808" s="4">
        <v>231664</v>
      </c>
    </row>
    <row r="7809" spans="1:6" ht="13.5" hidden="1" customHeight="1">
      <c r="A7809" s="4" t="s">
        <v>17977</v>
      </c>
      <c r="B7809" s="4" t="s">
        <v>17978</v>
      </c>
      <c r="C7809" s="4" t="str">
        <f ca="1">IFERROR(__xludf.DUMMYFUNCTION("GOOGLETRANSLATE(D:D,""auto"",""en"")"),"Love in the end the outcome will be")</f>
        <v>Love in the end the outcome will be</v>
      </c>
      <c r="D7809" s="5" t="s">
        <v>17979</v>
      </c>
      <c r="E7809" s="4">
        <v>228894</v>
      </c>
    </row>
    <row r="7810" spans="1:6" ht="13.5" hidden="1" customHeight="1">
      <c r="A7810" s="4" t="s">
        <v>17969</v>
      </c>
      <c r="B7810" s="4" t="s">
        <v>17980</v>
      </c>
      <c r="C7810" s="4" t="str">
        <f ca="1">IFERROR(__xludf.DUMMYFUNCTION("GOOGLETRANSLATE(D:D,""auto"",""en"")"),"My language is not good cause")</f>
        <v>My language is not good cause</v>
      </c>
      <c r="D7810" s="5" t="s">
        <v>17981</v>
      </c>
      <c r="E7810" s="4">
        <v>225348</v>
      </c>
    </row>
    <row r="7811" spans="1:6" ht="13.5" hidden="1" customHeight="1">
      <c r="A7811" s="4" t="s">
        <v>17982</v>
      </c>
      <c r="B7811" s="4" t="s">
        <v>17983</v>
      </c>
      <c r="C7811" s="4" t="str">
        <f ca="1">IFERROR(__xludf.DUMMYFUNCTION("GOOGLETRANSLATE(D:D,""auto"",""en"")"),"Ren Jialun COSMO cover electronic publication notice")</f>
        <v>Ren Jialun COSMO cover electronic publication notice</v>
      </c>
      <c r="D7811" s="5" t="s">
        <v>17984</v>
      </c>
      <c r="E7811" s="4">
        <v>217860</v>
      </c>
    </row>
    <row r="7812" spans="1:6" ht="13.5" customHeight="1">
      <c r="A7812" s="4" t="s">
        <v>17985</v>
      </c>
      <c r="B7812" s="4" t="s">
        <v>17986</v>
      </c>
      <c r="C7812" s="4" t="str">
        <f ca="1">IFERROR(__xludf.DUMMYFUNCTION("GOOGLETRANSLATE(D:D,""auto"",""en"")"),"Austrian Archduke confirmed infected with the new virus crown")</f>
        <v>Austrian Archduke confirmed infected with the new virus crown</v>
      </c>
      <c r="D7812" s="5" t="s">
        <v>17987</v>
      </c>
      <c r="E7812" s="4">
        <v>213870</v>
      </c>
      <c r="F7812">
        <v>1</v>
      </c>
    </row>
    <row r="7813" spans="1:6" ht="13.5" hidden="1" customHeight="1">
      <c r="A7813" s="4" t="s">
        <v>17982</v>
      </c>
      <c r="B7813" s="4" t="s">
        <v>17988</v>
      </c>
      <c r="C7813" s="4" t="str">
        <f ca="1">IFERROR(__xludf.DUMMYFUNCTION("GOOGLETRANSLATE(D:D,""auto"",""en"")"),"Oil prices return to five yuan era")</f>
        <v>Oil prices return to five yuan era</v>
      </c>
      <c r="D7813" s="5" t="s">
        <v>17989</v>
      </c>
      <c r="E7813" s="4">
        <v>203070</v>
      </c>
    </row>
    <row r="7814" spans="1:6" ht="13.5" customHeight="1">
      <c r="A7814" s="4" t="s">
        <v>17990</v>
      </c>
      <c r="B7814" s="4" t="s">
        <v>17991</v>
      </c>
      <c r="C7814" s="4" t="str">
        <f ca="1">IFERROR(__xludf.DUMMYFUNCTION("GOOGLETRANSLATE(D:D,""auto"",""en"")"),"Enter the United States confirmed cases are diagnosed Limou husband")</f>
        <v>Enter the United States confirmed cases are diagnosed Limou husband</v>
      </c>
      <c r="D7814" s="5" t="s">
        <v>17992</v>
      </c>
      <c r="E7814" s="4">
        <v>188658</v>
      </c>
      <c r="F7814">
        <v>1</v>
      </c>
    </row>
    <row r="7815" spans="1:6" ht="13.5" hidden="1" customHeight="1">
      <c r="A7815" s="4" t="s">
        <v>17993</v>
      </c>
      <c r="B7815" s="4" t="s">
        <v>17994</v>
      </c>
      <c r="C7815" s="4" t="str">
        <f ca="1">IFERROR(__xludf.DUMMYFUNCTION("GOOGLETRANSLATE(D:D,""auto"",""en"")"),"Aquarium penguin was let out to visit the other animals")</f>
        <v>Aquarium penguin was let out to visit the other animals</v>
      </c>
      <c r="D7815" s="5" t="s">
        <v>17995</v>
      </c>
      <c r="E7815" s="4">
        <v>176698</v>
      </c>
    </row>
    <row r="7816" spans="1:6" ht="13.5" hidden="1" customHeight="1">
      <c r="A7816" s="4" t="s">
        <v>17996</v>
      </c>
      <c r="B7816" s="4" t="s">
        <v>17872</v>
      </c>
      <c r="C7816" s="4" t="str">
        <f ca="1">IFERROR(__xludf.DUMMYFUNCTION("GOOGLETRANSLATE(D:D,""auto"",""en"")"),"President of Ukraine said it would study Chinese measures")</f>
        <v>President of Ukraine said it would study Chinese measures</v>
      </c>
      <c r="D7816" s="5" t="s">
        <v>17997</v>
      </c>
      <c r="E7816" s="4">
        <v>164541</v>
      </c>
    </row>
    <row r="7817" spans="1:6" ht="13.5" customHeight="1">
      <c r="A7817" s="4" t="s">
        <v>17982</v>
      </c>
      <c r="B7817" s="4" t="s">
        <v>17998</v>
      </c>
      <c r="C7817" s="4" t="str">
        <f ca="1">IFERROR(__xludf.DUMMYFUNCTION("GOOGLETRANSLATE(D:D,""auto"",""en"")"),"US CDC first case of the new crown with HIV")</f>
        <v>US CDC first case of the new crown with HIV</v>
      </c>
      <c r="D7817" s="5" t="s">
        <v>17999</v>
      </c>
      <c r="E7817" s="4">
        <v>156480</v>
      </c>
      <c r="F7817">
        <v>1</v>
      </c>
    </row>
    <row r="7818" spans="1:6" ht="13.5" hidden="1" customHeight="1">
      <c r="C7818" s="4" t="str">
        <f ca="1">IFERROR(__xludf.DUMMYFUNCTION("GOOGLETRANSLATE(D:D,""auto"",""en"")"),"#VALUE!")</f>
        <v>#VALUE!</v>
      </c>
    </row>
    <row r="7819" spans="1:6" ht="13.5" customHeight="1">
      <c r="A7819" s="4" t="s">
        <v>18000</v>
      </c>
      <c r="B7819" s="4" t="s">
        <v>18001</v>
      </c>
      <c r="C7819" s="4" t="str">
        <f ca="1">IFERROR(__xludf.DUMMYFUNCTION("GOOGLETRANSLATE(D:D,""auto"",""en"")"),"NASA confirmed cases appear")</f>
        <v>NASA confirmed cases appear</v>
      </c>
      <c r="D7819" s="4" t="s">
        <v>18002</v>
      </c>
      <c r="E7819" s="4">
        <v>3900147</v>
      </c>
      <c r="F7819">
        <v>1</v>
      </c>
    </row>
    <row r="7820" spans="1:6" ht="13.5" hidden="1" customHeight="1">
      <c r="A7820" s="4" t="s">
        <v>18003</v>
      </c>
      <c r="B7820" s="4" t="s">
        <v>18004</v>
      </c>
      <c r="C7820" s="4" t="str">
        <f ca="1">IFERROR(__xludf.DUMMYFUNCTION("GOOGLETRANSLATE(D:D,""auto"",""en"")"),"Zhang Meng Zhang Meng response")</f>
        <v>Zhang Meng Zhang Meng response</v>
      </c>
      <c r="D7820" s="5" t="s">
        <v>18005</v>
      </c>
      <c r="E7820" s="4">
        <v>1933737</v>
      </c>
    </row>
    <row r="7821" spans="1:6" ht="13.5" customHeight="1">
      <c r="A7821" s="4" t="s">
        <v>18006</v>
      </c>
      <c r="B7821" s="4" t="s">
        <v>17919</v>
      </c>
      <c r="C7821" s="4" t="str">
        <f ca="1">IFERROR(__xludf.DUMMYFUNCTION("GOOGLETRANSLATE(D:D,""auto"",""en"")"),"Japanese men diagnosed with colleagues isolation caused by one thousand")</f>
        <v>Japanese men diagnosed with colleagues isolation caused by one thousand</v>
      </c>
      <c r="D7821" s="5" t="s">
        <v>18007</v>
      </c>
      <c r="E7821" s="4">
        <v>1789729</v>
      </c>
      <c r="F7821">
        <v>1</v>
      </c>
    </row>
    <row r="7822" spans="1:6" ht="13.5" hidden="1" customHeight="1">
      <c r="A7822" s="4" t="s">
        <v>18008</v>
      </c>
      <c r="B7822" s="4" t="s">
        <v>17871</v>
      </c>
      <c r="C7822" s="4" t="str">
        <f ca="1">IFERROR(__xludf.DUMMYFUNCTION("GOOGLETRANSLATE(D:D,""auto"",""en"")"),"Facebook paid $ 1,000 to each employee")</f>
        <v>Facebook paid $ 1,000 to each employee</v>
      </c>
      <c r="D7822" s="5" t="s">
        <v>18009</v>
      </c>
      <c r="E7822" s="4">
        <v>1699184</v>
      </c>
    </row>
    <row r="7823" spans="1:6" ht="13.5" customHeight="1">
      <c r="A7823" s="4" t="s">
        <v>18010</v>
      </c>
      <c r="B7823" s="4" t="s">
        <v>18011</v>
      </c>
      <c r="C7823" s="4" t="str">
        <f ca="1">IFERROR(__xludf.DUMMYFUNCTION("GOOGLETRANSLATE(D:D,""auto"",""en"")"),"Wearing masks special hairstyle")</f>
        <v>Wearing masks special hairstyle</v>
      </c>
      <c r="D7823" s="5" t="s">
        <v>18012</v>
      </c>
      <c r="E7823" s="4">
        <v>1610070</v>
      </c>
      <c r="F7823">
        <v>1</v>
      </c>
    </row>
    <row r="7824" spans="1:6" ht="13.5" customHeight="1">
      <c r="A7824" s="4" t="s">
        <v>18013</v>
      </c>
      <c r="B7824" s="4" t="s">
        <v>18014</v>
      </c>
      <c r="C7824" s="4" t="str">
        <f ca="1">IFERROR(__xludf.DUMMYFUNCTION("GOOGLETRANSLATE(D:D,""auto"",""en"")"),"Shaanxi school time")</f>
        <v>Shaanxi school time</v>
      </c>
      <c r="D7824" s="5" t="s">
        <v>18015</v>
      </c>
      <c r="E7824" s="4">
        <v>1299963</v>
      </c>
      <c r="F7824">
        <v>1</v>
      </c>
    </row>
    <row r="7825" spans="1:6" ht="13.5" hidden="1" customHeight="1">
      <c r="A7825" s="4" t="s">
        <v>18016</v>
      </c>
      <c r="B7825" s="4" t="s">
        <v>18017</v>
      </c>
      <c r="C7825" s="4" t="str">
        <f ca="1">IFERROR(__xludf.DUMMYFUNCTION("GOOGLETRANSLATE(D:D,""auto"",""en"")"),"The official response to a large number of returnees from Hong Kong into Shenzhen")</f>
        <v>The official response to a large number of returnees from Hong Kong into Shenzhen</v>
      </c>
      <c r="D7825" s="5" t="s">
        <v>18018</v>
      </c>
      <c r="E7825" s="4">
        <v>1272023</v>
      </c>
    </row>
    <row r="7826" spans="1:6" ht="13.5" hidden="1" customHeight="1">
      <c r="A7826" s="4" t="s">
        <v>18019</v>
      </c>
      <c r="B7826" s="4" t="s">
        <v>18020</v>
      </c>
      <c r="C7826" s="4" t="str">
        <f ca="1">IFERROR(__xludf.DUMMYFUNCTION("GOOGLETRANSLATE(D:D,""auto"",""en"")"),"WU Zun imported cases will not cause a big epidemic")</f>
        <v>WU Zun imported cases will not cause a big epidemic</v>
      </c>
      <c r="D7826" s="5" t="s">
        <v>18021</v>
      </c>
      <c r="E7826" s="4">
        <v>1148606</v>
      </c>
    </row>
    <row r="7827" spans="1:6" ht="13.5" customHeight="1">
      <c r="A7827" s="4" t="s">
        <v>18022</v>
      </c>
      <c r="B7827" s="4" t="s">
        <v>18023</v>
      </c>
      <c r="C7827" s="4" t="str">
        <f ca="1">IFERROR(__xludf.DUMMYFUNCTION("GOOGLETRANSLATE(D:D,""auto"",""en"")"),"The country's first train departure times, Hubei employment")</f>
        <v>The country's first train departure times, Hubei employment</v>
      </c>
      <c r="D7827" s="5" t="s">
        <v>18024</v>
      </c>
      <c r="E7827" s="4">
        <v>1079201</v>
      </c>
      <c r="F7827">
        <v>1</v>
      </c>
    </row>
    <row r="7828" spans="1:6" ht="13.5" customHeight="1">
      <c r="A7828" s="4" t="s">
        <v>18025</v>
      </c>
      <c r="B7828" s="4" t="s">
        <v>18023</v>
      </c>
      <c r="C7828" s="4" t="str">
        <f ca="1">IFERROR(__xludf.DUMMYFUNCTION("GOOGLETRANSLATE(D:D,""auto"",""en"")"),"Daegu, South Korea a convalescent hospital diagnosed 60 people")</f>
        <v>Daegu, South Korea a convalescent hospital diagnosed 60 people</v>
      </c>
      <c r="D7828" s="5" t="s">
        <v>18026</v>
      </c>
      <c r="E7828" s="4">
        <v>1017502</v>
      </c>
      <c r="F7828">
        <v>1</v>
      </c>
    </row>
    <row r="7829" spans="1:6" ht="13.5" customHeight="1">
      <c r="A7829" s="4" t="s">
        <v>18027</v>
      </c>
      <c r="B7829" s="4" t="s">
        <v>18028</v>
      </c>
      <c r="C7829" s="4" t="str">
        <f ca="1">IFERROR(__xludf.DUMMYFUNCTION("GOOGLETRANSLATE(D:D,""auto"",""en"")"),"Students return to isolation of response to questions")</f>
        <v>Students return to isolation of response to questions</v>
      </c>
      <c r="D7829" s="5" t="s">
        <v>18029</v>
      </c>
      <c r="E7829" s="4">
        <v>938124</v>
      </c>
      <c r="F7829">
        <v>1</v>
      </c>
    </row>
    <row r="7830" spans="1:6" ht="13.5" customHeight="1">
      <c r="A7830" s="4" t="s">
        <v>18030</v>
      </c>
      <c r="B7830" s="4" t="s">
        <v>18031</v>
      </c>
      <c r="C7830" s="4" t="str">
        <f ca="1">IFERROR(__xludf.DUMMYFUNCTION("GOOGLETRANSLATE(D:D,""auto"",""en"")"),"America's epidemic under")</f>
        <v>America's epidemic under</v>
      </c>
      <c r="D7830" s="5" t="s">
        <v>18032</v>
      </c>
      <c r="E7830" s="4">
        <v>903619</v>
      </c>
      <c r="F7830">
        <v>1</v>
      </c>
    </row>
    <row r="7831" spans="1:6" ht="13.5" hidden="1" customHeight="1">
      <c r="A7831" s="4" t="s">
        <v>18033</v>
      </c>
      <c r="B7831" s="4" t="s">
        <v>18028</v>
      </c>
      <c r="C7831" s="4" t="str">
        <f ca="1">IFERROR(__xludf.DUMMYFUNCTION("GOOGLETRANSLATE(D:D,""auto"",""en"")"),"Shenzhen Weather")</f>
        <v>Shenzhen Weather</v>
      </c>
      <c r="D7831" s="5" t="s">
        <v>18034</v>
      </c>
      <c r="E7831" s="4">
        <v>874166</v>
      </c>
    </row>
    <row r="7832" spans="1:6" ht="13.5" customHeight="1">
      <c r="A7832" s="4" t="s">
        <v>18035</v>
      </c>
      <c r="B7832" s="4" t="s">
        <v>18036</v>
      </c>
      <c r="C7832" s="4" t="str">
        <f ca="1">IFERROR(__xludf.DUMMYFUNCTION("GOOGLETRANSLATE(D:D,""auto"",""en"")"),"Durant tested positive for the new virus crown")</f>
        <v>Durant tested positive for the new virus crown</v>
      </c>
      <c r="D7832" s="5" t="s">
        <v>18037</v>
      </c>
      <c r="E7832" s="4">
        <v>755741</v>
      </c>
      <c r="F7832">
        <v>1</v>
      </c>
    </row>
    <row r="7833" spans="1:6" ht="13.5" hidden="1" customHeight="1">
      <c r="A7833" s="4" t="s">
        <v>18038</v>
      </c>
      <c r="B7833" s="4" t="s">
        <v>18028</v>
      </c>
      <c r="C7833" s="4" t="str">
        <f ca="1">IFERROR(__xludf.DUMMYFUNCTION("GOOGLETRANSLATE(D:D,""auto"",""en"")"),"Fruit sister appeal is successful")</f>
        <v>Fruit sister appeal is successful</v>
      </c>
      <c r="D7833" s="5" t="s">
        <v>18039</v>
      </c>
      <c r="E7833" s="4">
        <v>735822</v>
      </c>
    </row>
    <row r="7834" spans="1:6" ht="13.5" hidden="1" customHeight="1">
      <c r="A7834" s="4" t="s">
        <v>18040</v>
      </c>
      <c r="B7834" s="4" t="s">
        <v>18041</v>
      </c>
      <c r="C7834" s="4" t="str">
        <f ca="1">IFERROR(__xludf.DUMMYFUNCTION("GOOGLETRANSLATE(D:D,""auto"",""en"")"),"Kim Woo-bin")</f>
        <v>Kim Woo-bin</v>
      </c>
      <c r="D7834" s="5" t="s">
        <v>18042</v>
      </c>
      <c r="E7834" s="4">
        <v>730743</v>
      </c>
    </row>
    <row r="7835" spans="1:6" ht="13.5" hidden="1" customHeight="1">
      <c r="A7835" s="4" t="s">
        <v>18043</v>
      </c>
      <c r="B7835" s="4" t="s">
        <v>17956</v>
      </c>
      <c r="C7835" s="4" t="str">
        <f ca="1">IFERROR(__xludf.DUMMYFUNCTION("GOOGLETRANSLATE(D:D,""auto"",""en"")"),"Liu Yuxin")</f>
        <v>Liu Yuxin</v>
      </c>
      <c r="D7835" s="5" t="s">
        <v>18044</v>
      </c>
      <c r="E7835" s="4">
        <v>721825</v>
      </c>
    </row>
    <row r="7836" spans="1:6" ht="13.5" hidden="1" customHeight="1">
      <c r="A7836" s="4" t="s">
        <v>18045</v>
      </c>
      <c r="B7836" s="4" t="s">
        <v>18046</v>
      </c>
      <c r="C7836" s="4" t="str">
        <f ca="1">IFERROR(__xludf.DUMMYFUNCTION("GOOGLETRANSLATE(D:D,""auto"",""en"")"),"Pierced more pain")</f>
        <v>Pierced more pain</v>
      </c>
      <c r="D7836" s="5" t="s">
        <v>18047</v>
      </c>
      <c r="E7836" s="4">
        <v>710210</v>
      </c>
    </row>
    <row r="7837" spans="1:6" ht="13.5" hidden="1" customHeight="1">
      <c r="A7837" s="4" t="s">
        <v>18008</v>
      </c>
      <c r="B7837" s="4" t="s">
        <v>18017</v>
      </c>
      <c r="C7837" s="4" t="str">
        <f ca="1">IFERROR(__xludf.DUMMYFUNCTION("GOOGLETRANSLATE(D:D,""auto"",""en"")"),"Italy district Laser Pointer concert")</f>
        <v>Italy district Laser Pointer concert</v>
      </c>
      <c r="D7837" s="5" t="s">
        <v>18048</v>
      </c>
      <c r="E7837" s="4">
        <v>698129</v>
      </c>
    </row>
    <row r="7838" spans="1:6" ht="13.5" hidden="1" customHeight="1">
      <c r="A7838" s="4" t="s">
        <v>18049</v>
      </c>
      <c r="B7838" s="4" t="s">
        <v>18050</v>
      </c>
      <c r="C7838" s="4" t="str">
        <f ca="1">IFERROR(__xludf.DUMMYFUNCTION("GOOGLETRANSLATE(D:D,""auto"",""en"")"),"US $ 50 billion Air Division for help")</f>
        <v>US $ 50 billion Air Division for help</v>
      </c>
      <c r="D7838" s="5" t="s">
        <v>18051</v>
      </c>
      <c r="E7838" s="4">
        <v>691849</v>
      </c>
    </row>
    <row r="7839" spans="1:6" ht="13.5" hidden="1" customHeight="1">
      <c r="A7839" s="4" t="s">
        <v>18052</v>
      </c>
      <c r="B7839" s="4" t="s">
        <v>18053</v>
      </c>
      <c r="C7839" s="4" t="str">
        <f ca="1">IFERROR(__xludf.DUMMYFUNCTION("GOOGLETRANSLATE(D:D,""auto"",""en"")"),"In 2020 pairs of captive giant panda twins born")</f>
        <v>In 2020 pairs of captive giant panda twins born</v>
      </c>
      <c r="D7839" s="5" t="s">
        <v>18054</v>
      </c>
      <c r="E7839" s="4">
        <v>656673</v>
      </c>
    </row>
    <row r="7840" spans="1:6" ht="13.5" hidden="1" customHeight="1">
      <c r="A7840" s="4" t="s">
        <v>18030</v>
      </c>
      <c r="B7840" s="4" t="s">
        <v>18055</v>
      </c>
      <c r="C7840" s="4" t="str">
        <f ca="1">IFERROR(__xludf.DUMMYFUNCTION("GOOGLETRANSLATE(D:D,""auto"",""en"")"),"Three thousand crow kill theme song")</f>
        <v>Three thousand crow kill theme song</v>
      </c>
      <c r="D7840" s="5" t="s">
        <v>18056</v>
      </c>
      <c r="E7840" s="4">
        <v>649087</v>
      </c>
    </row>
    <row r="7841" spans="1:6" ht="13.5" customHeight="1">
      <c r="A7841" s="4" t="s">
        <v>18057</v>
      </c>
      <c r="B7841" s="4" t="s">
        <v>18058</v>
      </c>
      <c r="C7841" s="4" t="str">
        <f ca="1">IFERROR(__xludf.DUMMYFUNCTION("GOOGLETRANSLATE(D:D,""auto"",""en"")"),"Shaanxi direct medical infirmaries")</f>
        <v>Shaanxi direct medical infirmaries</v>
      </c>
      <c r="D7841" s="5" t="s">
        <v>18059</v>
      </c>
      <c r="E7841" s="4">
        <v>625360</v>
      </c>
      <c r="F7841">
        <v>1</v>
      </c>
    </row>
    <row r="7842" spans="1:6" ht="13.5" hidden="1" customHeight="1">
      <c r="A7842" s="4" t="s">
        <v>18060</v>
      </c>
      <c r="B7842" s="4" t="s">
        <v>18061</v>
      </c>
      <c r="C7842" s="4" t="str">
        <f ca="1">IFERROR(__xludf.DUMMYFUNCTION("GOOGLETRANSLATE(D:D,""auto"",""en"")"),"Hair most poke your costume drama")</f>
        <v>Hair most poke your costume drama</v>
      </c>
      <c r="D7842" s="5" t="s">
        <v>18062</v>
      </c>
      <c r="E7842" s="4">
        <v>568959</v>
      </c>
    </row>
    <row r="7843" spans="1:6" ht="13.5" customHeight="1">
      <c r="A7843" s="4" t="s">
        <v>18063</v>
      </c>
      <c r="B7843" s="4" t="s">
        <v>18064</v>
      </c>
      <c r="C7843" s="4" t="str">
        <f ca="1">IFERROR(__xludf.DUMMYFUNCTION("GOOGLETRANSLATE(D:D,""auto"",""en"")"),"Australia confirmed a total of over 500 cases of pneumonia new crown")</f>
        <v>Australia confirmed a total of over 500 cases of pneumonia new crown</v>
      </c>
      <c r="D7843" s="5" t="s">
        <v>18065</v>
      </c>
      <c r="E7843" s="4">
        <v>465506</v>
      </c>
      <c r="F7843">
        <v>1</v>
      </c>
    </row>
    <row r="7844" spans="1:6" ht="13.5" customHeight="1">
      <c r="A7844" s="4" t="s">
        <v>18066</v>
      </c>
      <c r="B7844" s="4" t="s">
        <v>17913</v>
      </c>
      <c r="C7844" s="4" t="str">
        <f ca="1">IFERROR(__xludf.DUMMYFUNCTION("GOOGLETRANSLATE(D:D,""auto"",""en"")"),"马图 ISusumu infection Niikappu")</f>
        <v>马图 ISusumu infection Niikappu</v>
      </c>
      <c r="D7844" s="5" t="s">
        <v>18067</v>
      </c>
      <c r="E7844" s="4">
        <v>405199</v>
      </c>
      <c r="F7844">
        <v>1</v>
      </c>
    </row>
    <row r="7845" spans="1:6" ht="13.5" hidden="1" customHeight="1">
      <c r="A7845" s="4" t="s">
        <v>18068</v>
      </c>
      <c r="B7845" s="4" t="s">
        <v>18069</v>
      </c>
      <c r="C7845" s="4" t="str">
        <f ca="1">IFERROR(__xludf.DUMMYFUNCTION("GOOGLETRANSLATE(D:D,""auto"",""en"")"),"Before and after you Starchaser")</f>
        <v>Before and after you Starchaser</v>
      </c>
      <c r="D7845" s="5" t="s">
        <v>18070</v>
      </c>
      <c r="E7845" s="4">
        <v>403758</v>
      </c>
    </row>
    <row r="7846" spans="1:6" ht="13.5" customHeight="1">
      <c r="A7846" s="4" t="s">
        <v>18071</v>
      </c>
      <c r="B7846" s="4" t="s">
        <v>18050</v>
      </c>
      <c r="C7846" s="4" t="str">
        <f ca="1">IFERROR(__xludf.DUMMYFUNCTION("GOOGLETRANSLATE(D:D,""auto"",""en"")"),"Nets four players tested positive for the new virus crown")</f>
        <v>Nets four players tested positive for the new virus crown</v>
      </c>
      <c r="D7846" s="5" t="s">
        <v>18072</v>
      </c>
      <c r="E7846" s="4">
        <v>401788</v>
      </c>
      <c r="F7846">
        <v>1</v>
      </c>
    </row>
    <row r="7847" spans="1:6" ht="13.5" customHeight="1">
      <c r="A7847" s="4" t="s">
        <v>18073</v>
      </c>
      <c r="B7847" s="4" t="s">
        <v>18074</v>
      </c>
      <c r="C7847" s="4" t="str">
        <f ca="1">IFERROR(__xludf.DUMMYFUNCTION("GOOGLETRANSLATE(D:D,""auto"",""en"")"),"Tokyo Olympic organizing committee will cancel the trip to Greece")</f>
        <v>Tokyo Olympic organizing committee will cancel the trip to Greece</v>
      </c>
      <c r="D7847" s="5" t="s">
        <v>18075</v>
      </c>
      <c r="E7847" s="4">
        <v>399617</v>
      </c>
      <c r="F7847">
        <v>1</v>
      </c>
    </row>
    <row r="7848" spans="1:6" ht="13.5" customHeight="1">
      <c r="A7848" s="4" t="s">
        <v>18076</v>
      </c>
      <c r="B7848" s="4" t="s">
        <v>18077</v>
      </c>
      <c r="C7848" s="4" t="str">
        <f ca="1">IFERROR(__xludf.DUMMYFUNCTION("GOOGLETRANSLATE(D:D,""auto"",""en"")"),"Wuhan Tianhe Airport ready 50000 Memorial boarding pass")</f>
        <v>Wuhan Tianhe Airport ready 50000 Memorial boarding pass</v>
      </c>
      <c r="D7848" s="5" t="s">
        <v>18078</v>
      </c>
      <c r="E7848" s="4">
        <v>398184</v>
      </c>
      <c r="F7848">
        <v>1</v>
      </c>
    </row>
    <row r="7849" spans="1:6" ht="13.5" customHeight="1">
      <c r="A7849" s="4" t="s">
        <v>18079</v>
      </c>
      <c r="B7849" s="4" t="s">
        <v>18080</v>
      </c>
      <c r="C7849" s="4" t="str">
        <f ca="1">IFERROR(__xludf.DUMMYFUNCTION("GOOGLETRANSLATE(D:D,""auto"",""en"")"),"Wuhan new confirmed cases 1 case")</f>
        <v>Wuhan new confirmed cases 1 case</v>
      </c>
      <c r="D7849" s="5" t="s">
        <v>18081</v>
      </c>
      <c r="E7849" s="4">
        <v>392808</v>
      </c>
      <c r="F7849">
        <v>1</v>
      </c>
    </row>
    <row r="7850" spans="1:6" ht="13.5" customHeight="1">
      <c r="A7850" s="4" t="s">
        <v>18082</v>
      </c>
      <c r="B7850" s="4" t="s">
        <v>17933</v>
      </c>
      <c r="C7850" s="4" t="str">
        <f ca="1">IFERROR(__xludf.DUMMYFUNCTION("GOOGLETRANSLATE(D:D,""auto"",""en"")"),"Airport over the Watergate meet with the highest courtesy medical aid Hubei")</f>
        <v>Airport over the Watergate meet with the highest courtesy medical aid Hubei</v>
      </c>
      <c r="D7850" s="5" t="s">
        <v>18083</v>
      </c>
      <c r="E7850" s="4">
        <v>370741</v>
      </c>
      <c r="F7850">
        <v>1</v>
      </c>
    </row>
    <row r="7851" spans="1:6" ht="13.5" hidden="1" customHeight="1">
      <c r="A7851" s="4" t="s">
        <v>18084</v>
      </c>
      <c r="B7851" s="4" t="s">
        <v>18085</v>
      </c>
      <c r="C7851" s="4" t="str">
        <f ca="1">IFERROR(__xludf.DUMMYFUNCTION("GOOGLETRANSLATE(D:D,""auto"",""en"")"),"Beijing Subway Line 10")</f>
        <v>Beijing Subway Line 10</v>
      </c>
      <c r="D7851" s="5" t="s">
        <v>18086</v>
      </c>
      <c r="E7851" s="4">
        <v>325548</v>
      </c>
    </row>
    <row r="7852" spans="1:6" ht="13.5" customHeight="1">
      <c r="A7852" s="4" t="s">
        <v>18087</v>
      </c>
      <c r="B7852" s="4" t="s">
        <v>18088</v>
      </c>
      <c r="C7852" s="4" t="str">
        <f ca="1">IFERROR(__xludf.DUMMYFUNCTION("GOOGLETRANSLATE(D:D,""auto"",""en"")"),"Sweden will be temporarily closed its borders to prevent and control the epidemic")</f>
        <v>Sweden will be temporarily closed its borders to prevent and control the epidemic</v>
      </c>
      <c r="D7852" s="5" t="s">
        <v>18089</v>
      </c>
      <c r="E7852" s="4">
        <v>319131</v>
      </c>
      <c r="F7852">
        <v>1</v>
      </c>
    </row>
    <row r="7853" spans="1:6" ht="13.5" hidden="1" customHeight="1">
      <c r="A7853" s="4" t="s">
        <v>18090</v>
      </c>
      <c r="B7853" s="4" t="s">
        <v>17960</v>
      </c>
      <c r="C7853" s="4" t="str">
        <f ca="1">IFERROR(__xludf.DUMMYFUNCTION("GOOGLETRANSLATE(D:D,""auto"",""en"")"),"Xi'an police net")</f>
        <v>Xi'an police net</v>
      </c>
      <c r="D7853" s="5" t="s">
        <v>18091</v>
      </c>
      <c r="E7853" s="4">
        <v>318291</v>
      </c>
    </row>
    <row r="7854" spans="1:6" ht="13.5" hidden="1" customHeight="1">
      <c r="A7854" s="4" t="s">
        <v>18092</v>
      </c>
      <c r="B7854" s="4" t="s">
        <v>18093</v>
      </c>
      <c r="C7854" s="4" t="str">
        <f ca="1">IFERROR(__xludf.DUMMYFUNCTION("GOOGLETRANSLATE(D:D,""auto"",""en"")"),"Wang Junkai Cover")</f>
        <v>Wang Junkai Cover</v>
      </c>
      <c r="D7854" s="5" t="s">
        <v>18094</v>
      </c>
      <c r="E7854" s="4">
        <v>307848</v>
      </c>
    </row>
    <row r="7855" spans="1:6" ht="13.5" customHeight="1">
      <c r="A7855" s="4" t="s">
        <v>18082</v>
      </c>
      <c r="B7855" s="4" t="s">
        <v>18095</v>
      </c>
      <c r="C7855" s="4" t="str">
        <f ca="1">IFERROR(__xludf.DUMMYFUNCTION("GOOGLETRANSLATE(D:D,""auto"",""en"")"),"Yangtze ropeway opened")</f>
        <v>Yangtze ropeway opened</v>
      </c>
      <c r="D7855" s="5" t="s">
        <v>18096</v>
      </c>
      <c r="E7855" s="4">
        <v>279224</v>
      </c>
      <c r="F7855">
        <v>1</v>
      </c>
    </row>
    <row r="7856" spans="1:6" ht="13.5" hidden="1" customHeight="1">
      <c r="A7856" s="4" t="s">
        <v>18097</v>
      </c>
      <c r="B7856" s="4" t="s">
        <v>18046</v>
      </c>
      <c r="C7856" s="4" t="str">
        <f ca="1">IFERROR(__xludf.DUMMYFUNCTION("GOOGLETRANSLATE(D:D,""auto"",""en"")"),"It is rhyme and made out of a sentence")</f>
        <v>It is rhyme and made out of a sentence</v>
      </c>
      <c r="D7856" s="5" t="s">
        <v>18098</v>
      </c>
      <c r="E7856" s="4">
        <v>268307</v>
      </c>
    </row>
    <row r="7857" spans="1:6" ht="13.5" customHeight="1">
      <c r="A7857" s="4" t="s">
        <v>18099</v>
      </c>
      <c r="B7857" s="4" t="s">
        <v>18100</v>
      </c>
      <c r="C7857" s="4" t="str">
        <f ca="1">IFERROR(__xludf.DUMMYFUNCTION("GOOGLETRANSLATE(D:D,""auto"",""en"")"),"Raytheon Hill Hospital has treated a total of 1961 patients who")</f>
        <v>Raytheon Hill Hospital has treated a total of 1961 patients who</v>
      </c>
      <c r="D7857" s="5" t="s">
        <v>18101</v>
      </c>
      <c r="E7857" s="4">
        <v>260778</v>
      </c>
      <c r="F7857">
        <v>1</v>
      </c>
    </row>
    <row r="7858" spans="1:6" ht="13.5" hidden="1" customHeight="1">
      <c r="A7858" s="4" t="s">
        <v>18102</v>
      </c>
      <c r="B7858" s="4" t="s">
        <v>18100</v>
      </c>
      <c r="C7858" s="4" t="str">
        <f ca="1">IFERROR(__xludf.DUMMYFUNCTION("GOOGLETRANSLATE(D:D,""auto"",""en"")"),"Qilian snow melting ice")</f>
        <v>Qilian snow melting ice</v>
      </c>
      <c r="D7858" s="5" t="s">
        <v>18103</v>
      </c>
      <c r="E7858" s="4">
        <v>256651</v>
      </c>
    </row>
    <row r="7859" spans="1:6" ht="13.5" customHeight="1">
      <c r="A7859" s="4" t="s">
        <v>18104</v>
      </c>
      <c r="B7859" s="4" t="s">
        <v>17969</v>
      </c>
      <c r="C7859" s="4" t="str">
        <f ca="1">IFERROR(__xludf.DUMMYFUNCTION("GOOGLETRANSLATE(D:D,""auto"",""en"")"),"The new crown outside China amounted to 97,996 cases of confirmed cases of pneumonia")</f>
        <v>The new crown outside China amounted to 97,996 cases of confirmed cases of pneumonia</v>
      </c>
      <c r="D7859" s="5" t="s">
        <v>18105</v>
      </c>
      <c r="E7859" s="4">
        <v>253479</v>
      </c>
      <c r="F7859">
        <v>1</v>
      </c>
    </row>
    <row r="7860" spans="1:6" ht="13.5" hidden="1" customHeight="1">
      <c r="A7860" s="4" t="s">
        <v>18106</v>
      </c>
      <c r="B7860" s="4" t="s">
        <v>18107</v>
      </c>
      <c r="C7860" s="4" t="str">
        <f ca="1">IFERROR(__xludf.DUMMYFUNCTION("GOOGLETRANSLATE(D:D,""auto"",""en"")"),"Youth have your 2 Theme Song")</f>
        <v>Youth have your 2 Theme Song</v>
      </c>
      <c r="D7860" s="5" t="s">
        <v>18108</v>
      </c>
      <c r="E7860" s="4">
        <v>253460</v>
      </c>
    </row>
    <row r="7861" spans="1:6" ht="13.5" customHeight="1">
      <c r="A7861" s="4" t="s">
        <v>18109</v>
      </c>
      <c r="B7861" s="4" t="s">
        <v>18110</v>
      </c>
      <c r="C7861" s="4" t="str">
        <f ca="1">IFERROR(__xludf.DUMMYFUNCTION("GOOGLETRANSLATE(D:D,""auto"",""en"")"),"Tom Hanks in isolation at home")</f>
        <v>Tom Hanks in isolation at home</v>
      </c>
      <c r="D7861" s="5" t="s">
        <v>18111</v>
      </c>
      <c r="E7861" s="4">
        <v>253093</v>
      </c>
      <c r="F7861">
        <v>1</v>
      </c>
    </row>
    <row r="7862" spans="1:6" ht="13.5" hidden="1" customHeight="1">
      <c r="A7862" s="4" t="s">
        <v>18019</v>
      </c>
      <c r="B7862" s="4" t="s">
        <v>18107</v>
      </c>
      <c r="C7862" s="4" t="str">
        <f ca="1">IFERROR(__xludf.DUMMYFUNCTION("GOOGLETRANSLATE(D:D,""auto"",""en"")"),"Noodles towel")</f>
        <v>Noodles towel</v>
      </c>
      <c r="D7862" s="5" t="s">
        <v>18112</v>
      </c>
      <c r="E7862" s="4">
        <v>252616</v>
      </c>
    </row>
    <row r="7863" spans="1:6" ht="13.5" hidden="1" customHeight="1">
      <c r="A7863" s="4" t="s">
        <v>18113</v>
      </c>
      <c r="B7863" s="4" t="s">
        <v>18114</v>
      </c>
      <c r="C7863" s="4" t="str">
        <f ca="1">IFERROR(__xludf.DUMMYFUNCTION("GOOGLETRANSLATE(D:D,""auto"",""en"")"),"Yi Genting outer hand travel service on the line")</f>
        <v>Yi Genting outer hand travel service on the line</v>
      </c>
      <c r="D7863" s="5" t="s">
        <v>18115</v>
      </c>
      <c r="E7863" s="4">
        <v>252420</v>
      </c>
    </row>
    <row r="7864" spans="1:6" ht="13.5" customHeight="1">
      <c r="A7864" s="4" t="s">
        <v>18099</v>
      </c>
      <c r="B7864" s="4" t="s">
        <v>17974</v>
      </c>
      <c r="C7864" s="4" t="str">
        <f ca="1">IFERROR(__xludf.DUMMYFUNCTION("GOOGLETRANSLATE(D:D,""auto"",""en"")"),"The new crown new 3526 cases of pneumonia Italy")</f>
        <v>The new crown new 3526 cases of pneumonia Italy</v>
      </c>
      <c r="D7864" s="5" t="s">
        <v>18116</v>
      </c>
      <c r="E7864" s="4">
        <v>252258</v>
      </c>
      <c r="F7864">
        <v>1</v>
      </c>
    </row>
    <row r="7865" spans="1:6" ht="13.5" customHeight="1">
      <c r="A7865" s="4" t="s">
        <v>18104</v>
      </c>
      <c r="B7865" s="4" t="s">
        <v>18117</v>
      </c>
      <c r="C7865" s="4" t="str">
        <f ca="1">IFERROR(__xludf.DUMMYFUNCTION("GOOGLETRANSLATE(D:D,""auto"",""en"")"),"Wuhan, Hubei lights farewell medical aid")</f>
        <v>Wuhan, Hubei lights farewell medical aid</v>
      </c>
      <c r="D7865" s="5" t="s">
        <v>18118</v>
      </c>
      <c r="E7865" s="4">
        <v>251193</v>
      </c>
      <c r="F7865">
        <v>1</v>
      </c>
    </row>
    <row r="7866" spans="1:6" ht="13.5" hidden="1" customHeight="1">
      <c r="A7866" s="4" t="s">
        <v>18119</v>
      </c>
      <c r="B7866" s="4" t="s">
        <v>18120</v>
      </c>
      <c r="C7866" s="4" t="str">
        <f ca="1">IFERROR(__xludf.DUMMYFUNCTION("GOOGLETRANSLATE(D:D,""auto"",""en"")"),"Beijing college students graduate may be appropriate to postpone")</f>
        <v>Beijing college students graduate may be appropriate to postpone</v>
      </c>
      <c r="D7866" s="5" t="s">
        <v>18121</v>
      </c>
      <c r="E7866" s="4">
        <v>232546</v>
      </c>
    </row>
    <row r="7867" spans="1:6" ht="13.5" hidden="1" customHeight="1">
      <c r="A7867" s="4" t="s">
        <v>18122</v>
      </c>
      <c r="B7867" s="4" t="s">
        <v>18058</v>
      </c>
      <c r="C7867" s="4" t="str">
        <f ca="1">IFERROR(__xludf.DUMMYFUNCTION("GOOGLETRANSLATE(D:D,""auto"",""en"")"),"Hengqin Port Macau Macau delivery port area")</f>
        <v>Hengqin Port Macau Macau delivery port area</v>
      </c>
      <c r="D7867" s="5" t="s">
        <v>18123</v>
      </c>
      <c r="E7867" s="4">
        <v>206416</v>
      </c>
    </row>
    <row r="7868" spans="1:6" ht="13.5" hidden="1" customHeight="1">
      <c r="A7868" s="4" t="s">
        <v>18122</v>
      </c>
      <c r="B7868" s="4" t="s">
        <v>18046</v>
      </c>
      <c r="C7868" s="4" t="str">
        <f ca="1">IFERROR(__xludf.DUMMYFUNCTION("GOOGLETRANSLATE(D:D,""auto"",""en"")"),"Tom Brady joined the Tampa Bay Buccaneers")</f>
        <v>Tom Brady joined the Tampa Bay Buccaneers</v>
      </c>
      <c r="D7868" s="5" t="s">
        <v>18124</v>
      </c>
      <c r="E7868" s="4">
        <v>194800</v>
      </c>
    </row>
    <row r="7869" spans="1:6" ht="13.5" hidden="1" customHeight="1">
      <c r="C7869" s="4" t="str">
        <f ca="1">IFERROR(__xludf.DUMMYFUNCTION("GOOGLETRANSLATE(D:D,""auto"",""en"")"),"#VALUE!")</f>
        <v>#VALUE!</v>
      </c>
    </row>
    <row r="7870" spans="1:6" ht="13.5" hidden="1" customHeight="1">
      <c r="A7870" s="4" t="s">
        <v>18125</v>
      </c>
      <c r="B7870" s="4" t="s">
        <v>18126</v>
      </c>
      <c r="C7870" s="4" t="str">
        <f ca="1">IFERROR(__xludf.DUMMYFUNCTION("GOOGLETRANSLATE(D:D,""auto"",""en"")"),"Geng Shuang told the United States that all options are on the table China")</f>
        <v>Geng Shuang told the United States that all options are on the table China</v>
      </c>
      <c r="D7870" s="4" t="s">
        <v>18127</v>
      </c>
      <c r="E7870" s="4">
        <v>2907495</v>
      </c>
    </row>
    <row r="7871" spans="1:6" ht="13.5" customHeight="1">
      <c r="A7871" s="4" t="s">
        <v>18128</v>
      </c>
      <c r="B7871" s="4" t="s">
        <v>18129</v>
      </c>
      <c r="C7871" s="4" t="str">
        <f ca="1">IFERROR(__xludf.DUMMYFUNCTION("GOOGLETRANSLATE(D:D,""auto"",""en"")"),"British Prime Minister father went to the bar despite vaccination ban")</f>
        <v>British Prime Minister father went to the bar despite vaccination ban</v>
      </c>
      <c r="D7871" s="5" t="s">
        <v>18130</v>
      </c>
      <c r="E7871" s="4">
        <v>1709642</v>
      </c>
      <c r="F7871">
        <v>1</v>
      </c>
    </row>
    <row r="7872" spans="1:6" ht="13.5" hidden="1" customHeight="1">
      <c r="A7872" s="4" t="s">
        <v>18131</v>
      </c>
      <c r="B7872" s="4" t="s">
        <v>18132</v>
      </c>
      <c r="C7872" s="4" t="str">
        <f ca="1">IFERROR(__xludf.DUMMYFUNCTION("GOOGLETRANSLATE(D:D,""auto"",""en"")"),"Ning Xin single jump")</f>
        <v>Ning Xin single jump</v>
      </c>
      <c r="D7872" s="5" t="s">
        <v>18133</v>
      </c>
      <c r="E7872" s="4">
        <v>1453107</v>
      </c>
    </row>
    <row r="7873" spans="1:6" ht="13.5" hidden="1" customHeight="1">
      <c r="A7873" s="4" t="s">
        <v>18134</v>
      </c>
      <c r="B7873" s="4" t="s">
        <v>18135</v>
      </c>
      <c r="C7873" s="4" t="str">
        <f ca="1">IFERROR(__xludf.DUMMYFUNCTION("GOOGLETRANSLATE(D:D,""auto"",""en"")"),"The new iPad Pro")</f>
        <v>The new iPad Pro</v>
      </c>
      <c r="D7873" s="5" t="s">
        <v>18136</v>
      </c>
      <c r="E7873" s="4">
        <v>1380488</v>
      </c>
    </row>
    <row r="7874" spans="1:6" ht="13.5" hidden="1" customHeight="1">
      <c r="A7874" s="4" t="s">
        <v>18137</v>
      </c>
      <c r="B7874" s="4" t="s">
        <v>18138</v>
      </c>
      <c r="C7874" s="4" t="str">
        <f ca="1">IFERROR(__xludf.DUMMYFUNCTION("GOOGLETRANSLATE(D:D,""auto"",""en"")"),"An Australian woman out jogging residential security response")</f>
        <v>An Australian woman out jogging residential security response</v>
      </c>
      <c r="D7874" s="5" t="s">
        <v>18139</v>
      </c>
      <c r="E7874" s="4">
        <v>1247709</v>
      </c>
    </row>
    <row r="7875" spans="1:6" ht="13.5" customHeight="1">
      <c r="A7875" s="4" t="s">
        <v>18140</v>
      </c>
      <c r="B7875" s="4" t="s">
        <v>18141</v>
      </c>
      <c r="C7875" s="4" t="str">
        <f ca="1">IFERROR(__xludf.DUMMYFUNCTION("GOOGLETRANSLATE(D:D,""auto"",""en"")"),"Trump announced that it will close the Canada-US border")</f>
        <v>Trump announced that it will close the Canada-US border</v>
      </c>
      <c r="D7875" s="5" t="s">
        <v>18142</v>
      </c>
      <c r="E7875" s="4">
        <v>1198909</v>
      </c>
      <c r="F7875">
        <v>1</v>
      </c>
    </row>
    <row r="7876" spans="1:6" ht="13.5" hidden="1" customHeight="1">
      <c r="A7876" s="4" t="s">
        <v>18143</v>
      </c>
      <c r="B7876" s="4" t="s">
        <v>18135</v>
      </c>
      <c r="C7876" s="4" t="str">
        <f ca="1">IFERROR(__xludf.DUMMYFUNCTION("GOOGLETRANSLATE(D:D,""auto"",""en"")"),"Small building was expelled")</f>
        <v>Small building was expelled</v>
      </c>
      <c r="D7876" s="5" t="s">
        <v>18144</v>
      </c>
      <c r="E7876" s="4">
        <v>1147131</v>
      </c>
    </row>
    <row r="7877" spans="1:6" ht="13.5" customHeight="1">
      <c r="A7877" s="4" t="s">
        <v>18145</v>
      </c>
      <c r="B7877" s="4" t="s">
        <v>18146</v>
      </c>
      <c r="C7877" s="4" t="str">
        <f ca="1">IFERROR(__xludf.DUMMYFUNCTION("GOOGLETRANSLATE(D:D,""auto"",""en"")"),"Wu students Code knocked cherry tree blooms")</f>
        <v>Wu students Code knocked cherry tree blooms</v>
      </c>
      <c r="D7877" s="5" t="s">
        <v>18147</v>
      </c>
      <c r="E7877" s="4">
        <v>1087770</v>
      </c>
      <c r="F7877">
        <v>1</v>
      </c>
    </row>
    <row r="7878" spans="1:6" ht="13.5" hidden="1" customHeight="1">
      <c r="A7878" s="4" t="s">
        <v>18148</v>
      </c>
      <c r="B7878" s="4" t="s">
        <v>18146</v>
      </c>
      <c r="C7878" s="4" t="str">
        <f ca="1">IFERROR(__xludf.DUMMYFUNCTION("GOOGLETRANSLATE(D:D,""auto"",""en"")"),"Kid and never interact")</f>
        <v>Kid and never interact</v>
      </c>
      <c r="D7878" s="5" t="s">
        <v>18149</v>
      </c>
      <c r="E7878" s="4">
        <v>912353</v>
      </c>
    </row>
    <row r="7879" spans="1:6" ht="13.5" customHeight="1">
      <c r="A7879" s="4" t="s">
        <v>18150</v>
      </c>
      <c r="B7879" s="4" t="s">
        <v>18151</v>
      </c>
      <c r="C7879" s="4" t="str">
        <f ca="1">IFERROR(__xludf.DUMMYFUNCTION("GOOGLETRANSLATE(D:D,""auto"",""en"")"),"Zhong Nanshan respond to the source of the new crown pneumonia")</f>
        <v>Zhong Nanshan respond to the source of the new crown pneumonia</v>
      </c>
      <c r="D7879" s="5" t="s">
        <v>18152</v>
      </c>
      <c r="E7879" s="4">
        <v>775408</v>
      </c>
      <c r="F7879">
        <v>1</v>
      </c>
    </row>
    <row r="7880" spans="1:6" ht="13.5" hidden="1" customHeight="1">
      <c r="A7880" s="4" t="s">
        <v>18153</v>
      </c>
      <c r="B7880" s="4" t="s">
        <v>18154</v>
      </c>
      <c r="C7880" s="4" t="str">
        <f ca="1">IFERROR(__xludf.DUMMYFUNCTION("GOOGLETRANSLATE(D:D,""auto"",""en"")"),"Tianjin fire")</f>
        <v>Tianjin fire</v>
      </c>
      <c r="D7880" s="5" t="s">
        <v>18155</v>
      </c>
      <c r="E7880" s="4">
        <v>768254</v>
      </c>
    </row>
    <row r="7881" spans="1:6" ht="13.5" hidden="1" customHeight="1">
      <c r="A7881" s="4" t="s">
        <v>18156</v>
      </c>
      <c r="B7881" s="4" t="s">
        <v>18157</v>
      </c>
      <c r="C7881" s="4" t="str">
        <f ca="1">IFERROR(__xludf.DUMMYFUNCTION("GOOGLETRANSLATE(D:D,""auto"",""en"")"),"Please listen to good friend Guo Kirin Taichi")</f>
        <v>Please listen to good friend Guo Kirin Taichi</v>
      </c>
      <c r="D7881" s="5" t="s">
        <v>18158</v>
      </c>
      <c r="E7881" s="4">
        <v>743164</v>
      </c>
    </row>
    <row r="7882" spans="1:6" ht="13.5" customHeight="1">
      <c r="A7882" s="4" t="s">
        <v>18159</v>
      </c>
      <c r="B7882" s="4" t="s">
        <v>18160</v>
      </c>
      <c r="C7882" s="4" t="str">
        <f ca="1">IFERROR(__xludf.DUMMYFUNCTION("GOOGLETRANSLATE(D:D,""auto"",""en"")"),"And more specifically school time")</f>
        <v>And more specifically school time</v>
      </c>
      <c r="D7882" s="5" t="s">
        <v>18161</v>
      </c>
      <c r="E7882" s="4">
        <v>705355</v>
      </c>
      <c r="F7882">
        <v>1</v>
      </c>
    </row>
    <row r="7883" spans="1:6" ht="13.5" customHeight="1">
      <c r="A7883" s="4" t="s">
        <v>18162</v>
      </c>
      <c r="B7883" s="4" t="s">
        <v>18129</v>
      </c>
      <c r="C7883" s="4" t="str">
        <f ca="1">IFERROR(__xludf.DUMMYFUNCTION("GOOGLETRANSLATE(D:D,""auto"",""en"")"),"Zhong Nanshan said the Chinese prevention and control methods can be applied in other countries")</f>
        <v>Zhong Nanshan said the Chinese prevention and control methods can be applied in other countries</v>
      </c>
      <c r="D7883" s="5" t="s">
        <v>18163</v>
      </c>
      <c r="E7883" s="4">
        <v>694402</v>
      </c>
      <c r="F7883">
        <v>1</v>
      </c>
    </row>
    <row r="7884" spans="1:6" ht="13.5" customHeight="1">
      <c r="A7884" s="4" t="s">
        <v>18164</v>
      </c>
      <c r="B7884" s="4" t="s">
        <v>18165</v>
      </c>
      <c r="C7884" s="4" t="str">
        <f ca="1">IFERROR(__xludf.DUMMYFUNCTION("GOOGLETRANSLATE(D:D,""auto"",""en"")"),"Anhui released closed-end management")</f>
        <v>Anhui released closed-end management</v>
      </c>
      <c r="D7884" s="5" t="s">
        <v>18166</v>
      </c>
      <c r="E7884" s="4">
        <v>624062</v>
      </c>
      <c r="F7884">
        <v>1</v>
      </c>
    </row>
    <row r="7885" spans="1:6" ht="13.5" hidden="1" customHeight="1">
      <c r="A7885" s="4" t="s">
        <v>14609</v>
      </c>
      <c r="B7885" s="4" t="s">
        <v>14610</v>
      </c>
      <c r="C7885" s="4" t="str">
        <f ca="1">IFERROR(__xludf.DUMMYFUNCTION("GOOGLETRANSLATE(D:D,""auto"",""en"")"),"Li Jiaqi studio")</f>
        <v>Li Jiaqi studio</v>
      </c>
      <c r="D7885" s="5" t="s">
        <v>14611</v>
      </c>
      <c r="E7885" s="4">
        <v>623459</v>
      </c>
    </row>
    <row r="7886" spans="1:6" ht="13.5" hidden="1" customHeight="1">
      <c r="A7886" s="4" t="s">
        <v>18167</v>
      </c>
      <c r="B7886" s="4" t="s">
        <v>18168</v>
      </c>
      <c r="C7886" s="4" t="str">
        <f ca="1">IFERROR(__xludf.DUMMYFUNCTION("GOOGLETRANSLATE(D:D,""auto"",""en"")"),"Denmark")</f>
        <v>Denmark</v>
      </c>
      <c r="D7886" s="5" t="s">
        <v>18169</v>
      </c>
      <c r="E7886" s="4">
        <v>620395</v>
      </c>
    </row>
    <row r="7887" spans="1:6" ht="13.5" customHeight="1">
      <c r="A7887" s="4" t="s">
        <v>18170</v>
      </c>
      <c r="B7887" s="4" t="s">
        <v>18171</v>
      </c>
      <c r="C7887" s="4" t="str">
        <f ca="1">IFERROR(__xludf.DUMMYFUNCTION("GOOGLETRANSLATE(D:D,""auto"",""en"")"),"After returning women to resist isolation hospital row")</f>
        <v>After returning women to resist isolation hospital row</v>
      </c>
      <c r="D7887" s="5" t="s">
        <v>18172</v>
      </c>
      <c r="E7887" s="4">
        <v>620003</v>
      </c>
      <c r="F7887">
        <v>1</v>
      </c>
    </row>
    <row r="7888" spans="1:6" ht="13.5" hidden="1" customHeight="1">
      <c r="A7888" s="4" t="s">
        <v>18173</v>
      </c>
      <c r="B7888" s="4" t="s">
        <v>18174</v>
      </c>
      <c r="C7888" s="4" t="str">
        <f ca="1">IFERROR(__xludf.DUMMYFUNCTION("GOOGLETRANSLATE(D:D,""auto"",""en"")"),"Pfizer")</f>
        <v>Pfizer</v>
      </c>
      <c r="D7888" s="5" t="s">
        <v>18175</v>
      </c>
      <c r="E7888" s="4">
        <v>616629</v>
      </c>
    </row>
    <row r="7889" spans="1:6" ht="13.5" hidden="1" customHeight="1">
      <c r="A7889" s="4" t="s">
        <v>18176</v>
      </c>
      <c r="B7889" s="4" t="s">
        <v>18177</v>
      </c>
      <c r="C7889" s="4" t="str">
        <f ca="1">IFERROR(__xludf.DUMMYFUNCTION("GOOGLETRANSLATE(D:D,""auto"",""en"")"),"apple")</f>
        <v>apple</v>
      </c>
      <c r="D7889" s="5" t="s">
        <v>18178</v>
      </c>
      <c r="E7889" s="4">
        <v>616262</v>
      </c>
    </row>
    <row r="7890" spans="1:6" ht="13.5" hidden="1" customHeight="1">
      <c r="A7890" s="4" t="s">
        <v>18179</v>
      </c>
      <c r="B7890" s="4" t="s">
        <v>18180</v>
      </c>
      <c r="C7890" s="4" t="str">
        <f ca="1">IFERROR(__xludf.DUMMYFUNCTION("GOOGLETRANSLATE(D:D,""auto"",""en"")"),"China will be flexible US media reporters to leave")</f>
        <v>China will be flexible US media reporters to leave</v>
      </c>
      <c r="D7890" s="5" t="s">
        <v>18181</v>
      </c>
      <c r="E7890" s="4">
        <v>536073</v>
      </c>
    </row>
    <row r="7891" spans="1:6" ht="13.5" customHeight="1">
      <c r="A7891" s="4" t="s">
        <v>18182</v>
      </c>
      <c r="B7891" s="4" t="s">
        <v>18183</v>
      </c>
      <c r="C7891" s="4" t="str">
        <f ca="1">IFERROR(__xludf.DUMMYFUNCTION("GOOGLETRANSLATE(D:D,""auto"",""en"")"),"The new European crown pneumonia deaths over Asia")</f>
        <v>The new European crown pneumonia deaths over Asia</v>
      </c>
      <c r="D7891" s="5" t="s">
        <v>18184</v>
      </c>
      <c r="E7891" s="4">
        <v>526030</v>
      </c>
      <c r="F7891">
        <v>1</v>
      </c>
    </row>
    <row r="7892" spans="1:6" ht="13.5" hidden="1" customHeight="1">
      <c r="A7892" s="4" t="s">
        <v>18131</v>
      </c>
      <c r="B7892" s="4" t="s">
        <v>18171</v>
      </c>
      <c r="C7892" s="4" t="str">
        <f ca="1">IFERROR(__xludf.DUMMYFUNCTION("GOOGLETRANSLATE(D:D,""auto"",""en"")"),"Net poles knocked off campaign hand risk to miss game")</f>
        <v>Net poles knocked off campaign hand risk to miss game</v>
      </c>
      <c r="D7892" s="5" t="s">
        <v>18185</v>
      </c>
      <c r="E7892" s="4">
        <v>493878</v>
      </c>
    </row>
    <row r="7893" spans="1:6" ht="13.5" hidden="1" customHeight="1">
      <c r="A7893" s="4" t="s">
        <v>18140</v>
      </c>
      <c r="B7893" s="4" t="s">
        <v>18186</v>
      </c>
      <c r="C7893" s="4" t="str">
        <f ca="1">IFERROR(__xludf.DUMMYFUNCTION("GOOGLETRANSLATE(D:D,""auto"",""en"")"),"Look gap from the ground water way")</f>
        <v>Look gap from the ground water way</v>
      </c>
      <c r="D7893" s="5" t="s">
        <v>18187</v>
      </c>
      <c r="E7893" s="4">
        <v>480579</v>
      </c>
    </row>
    <row r="7894" spans="1:6" ht="13.5" hidden="1" customHeight="1">
      <c r="A7894" s="4" t="s">
        <v>17691</v>
      </c>
      <c r="B7894" s="4" t="s">
        <v>17663</v>
      </c>
      <c r="C7894" s="4" t="str">
        <f ca="1">IFERROR(__xludf.DUMMYFUNCTION("GOOGLETRANSLATE(D:D,""auto"",""en"")"),"A50")</f>
        <v>A50</v>
      </c>
      <c r="D7894" s="5" t="s">
        <v>17692</v>
      </c>
      <c r="E7894" s="4">
        <v>463824</v>
      </c>
    </row>
    <row r="7895" spans="1:6" ht="13.5" hidden="1" customHeight="1">
      <c r="A7895" s="4" t="s">
        <v>18188</v>
      </c>
      <c r="B7895" s="4" t="s">
        <v>18189</v>
      </c>
      <c r="C7895" s="4" t="str">
        <f ca="1">IFERROR(__xludf.DUMMYFUNCTION("GOOGLETRANSLATE(D:D,""auto"",""en"")"),"British epidemiologist cough fever")</f>
        <v>British epidemiologist cough fever</v>
      </c>
      <c r="D7895" s="5" t="s">
        <v>18190</v>
      </c>
      <c r="E7895" s="4">
        <v>448850</v>
      </c>
    </row>
    <row r="7896" spans="1:6" ht="13.5" hidden="1" customHeight="1">
      <c r="A7896" s="4" t="s">
        <v>18191</v>
      </c>
      <c r="B7896" s="4" t="s">
        <v>18192</v>
      </c>
      <c r="C7896" s="4" t="str">
        <f ca="1">IFERROR(__xludf.DUMMYFUNCTION("GOOGLETRANSLATE(D:D,""auto"",""en"")"),"Beijing Yanqing forest fire fire under control")</f>
        <v>Beijing Yanqing forest fire fire under control</v>
      </c>
      <c r="D7896" s="5" t="s">
        <v>18193</v>
      </c>
      <c r="E7896" s="4">
        <v>426264</v>
      </c>
    </row>
    <row r="7897" spans="1:6" ht="13.5" hidden="1" customHeight="1">
      <c r="A7897" s="4" t="s">
        <v>18176</v>
      </c>
      <c r="B7897" s="4" t="s">
        <v>18194</v>
      </c>
      <c r="C7897" s="4" t="str">
        <f ca="1">IFERROR(__xludf.DUMMYFUNCTION("GOOGLETRANSLATE(D:D,""auto"",""en"")"),"More than dissatisfaction with the IOC Athletes")</f>
        <v>More than dissatisfaction with the IOC Athletes</v>
      </c>
      <c r="D7897" s="5" t="s">
        <v>18195</v>
      </c>
      <c r="E7897" s="4">
        <v>398769</v>
      </c>
    </row>
    <row r="7898" spans="1:6" ht="13.5" hidden="1" customHeight="1">
      <c r="A7898" s="4" t="s">
        <v>18196</v>
      </c>
      <c r="B7898" s="4" t="s">
        <v>18197</v>
      </c>
      <c r="C7898" s="4" t="str">
        <f ca="1">IFERROR(__xludf.DUMMYFUNCTION("GOOGLETRANSLATE(D:D,""auto"",""en"")"),"Yi Xi smelt one thousand Laughed")</f>
        <v>Yi Xi smelt one thousand Laughed</v>
      </c>
      <c r="D7898" s="5" t="s">
        <v>18198</v>
      </c>
      <c r="E7898" s="4">
        <v>385379</v>
      </c>
    </row>
    <row r="7899" spans="1:6" ht="13.5" hidden="1" customHeight="1">
      <c r="A7899" s="4" t="s">
        <v>18199</v>
      </c>
      <c r="B7899" s="4" t="s">
        <v>18040</v>
      </c>
      <c r="C7899" s="4" t="str">
        <f ca="1">IFERROR(__xludf.DUMMYFUNCTION("GOOGLETRANSLATE(D:D,""auto"",""en"")"),"The reason the couple to complementary character")</f>
        <v>The reason the couple to complementary character</v>
      </c>
      <c r="D7899" s="5" t="s">
        <v>18200</v>
      </c>
      <c r="E7899" s="4">
        <v>355164</v>
      </c>
    </row>
    <row r="7900" spans="1:6" ht="13.5" hidden="1" customHeight="1">
      <c r="A7900" s="4" t="s">
        <v>18201</v>
      </c>
      <c r="B7900" s="4" t="s">
        <v>18202</v>
      </c>
      <c r="C7900" s="4" t="str">
        <f ca="1">IFERROR(__xludf.DUMMYFUNCTION("GOOGLETRANSLATE(D:D,""auto"",""en"")"),"Perfect relationship finale")</f>
        <v>Perfect relationship finale</v>
      </c>
      <c r="D7900" s="5" t="s">
        <v>18203</v>
      </c>
      <c r="E7900" s="4">
        <v>351492</v>
      </c>
    </row>
    <row r="7901" spans="1:6" ht="13.5" hidden="1" customHeight="1">
      <c r="A7901" s="4" t="s">
        <v>18204</v>
      </c>
      <c r="B7901" s="4" t="s">
        <v>18205</v>
      </c>
      <c r="C7901" s="4" t="str">
        <f ca="1">IFERROR(__xludf.DUMMYFUNCTION("GOOGLETRANSLATE(D:D,""auto"",""en"")"),"Ren Jialun live")</f>
        <v>Ren Jialun live</v>
      </c>
      <c r="D7901" s="5" t="s">
        <v>18206</v>
      </c>
      <c r="E7901" s="4">
        <v>347748</v>
      </c>
    </row>
    <row r="7902" spans="1:6" ht="13.5" hidden="1" customHeight="1">
      <c r="A7902" s="4" t="s">
        <v>18207</v>
      </c>
      <c r="B7902" s="4" t="s">
        <v>18208</v>
      </c>
      <c r="C7902" s="4" t="str">
        <f ca="1">IFERROR(__xludf.DUMMYFUNCTION("GOOGLETRANSLATE(D:D,""auto"",""en"")"),"Canola flower pictures")</f>
        <v>Canola flower pictures</v>
      </c>
      <c r="D7902" s="5" t="s">
        <v>18209</v>
      </c>
      <c r="E7902" s="4">
        <v>308035</v>
      </c>
    </row>
    <row r="7903" spans="1:6" ht="13.5" hidden="1" customHeight="1">
      <c r="A7903" s="4" t="s">
        <v>18210</v>
      </c>
      <c r="B7903" s="4" t="s">
        <v>18211</v>
      </c>
      <c r="C7903" s="4" t="str">
        <f ca="1">IFERROR(__xludf.DUMMYFUNCTION("GOOGLETRANSLATE(D:D,""auto"",""en"")"),"Jiangsu many tulip flowers")</f>
        <v>Jiangsu many tulip flowers</v>
      </c>
      <c r="D7903" s="5" t="s">
        <v>18212</v>
      </c>
      <c r="E7903" s="4">
        <v>305790</v>
      </c>
    </row>
    <row r="7904" spans="1:6" ht="13.5" customHeight="1">
      <c r="A7904" s="4" t="s">
        <v>18182</v>
      </c>
      <c r="B7904" s="4" t="s">
        <v>18213</v>
      </c>
      <c r="C7904" s="4" t="str">
        <f ca="1">IFERROR(__xludf.DUMMYFUNCTION("GOOGLETRANSLATE(D:D,""auto"",""en"")"),"Chinese aid medical supplies arrived in Paris, France")</f>
        <v>Chinese aid medical supplies arrived in Paris, France</v>
      </c>
      <c r="D7904" s="5" t="s">
        <v>18214</v>
      </c>
      <c r="E7904" s="4">
        <v>300185</v>
      </c>
      <c r="F7904">
        <v>1</v>
      </c>
    </row>
    <row r="7905" spans="1:6" ht="13.5" customHeight="1">
      <c r="A7905" s="4" t="s">
        <v>18215</v>
      </c>
      <c r="B7905" s="4" t="s">
        <v>18216</v>
      </c>
      <c r="C7905" s="4" t="str">
        <f ca="1">IFERROR(__xludf.DUMMYFUNCTION("GOOGLETRANSLATE(D:D,""auto"",""en"")"),"Britain to send doctors expired masks")</f>
        <v>Britain to send doctors expired masks</v>
      </c>
      <c r="D7905" s="5" t="s">
        <v>18217</v>
      </c>
      <c r="E7905" s="4">
        <v>283819</v>
      </c>
      <c r="F7905">
        <v>1</v>
      </c>
    </row>
    <row r="7906" spans="1:6" ht="13.5" hidden="1" customHeight="1">
      <c r="A7906" s="4" t="s">
        <v>14434</v>
      </c>
      <c r="B7906" s="4" t="s">
        <v>14435</v>
      </c>
      <c r="C7906" s="4" t="str">
        <f ca="1">IFERROR(__xludf.DUMMYFUNCTION("GOOGLETRANSLATE(D:D,""auto"",""en"")"),"US stocks")</f>
        <v>US stocks</v>
      </c>
      <c r="D7906" s="5" t="s">
        <v>14436</v>
      </c>
      <c r="E7906" s="4">
        <v>272327</v>
      </c>
    </row>
    <row r="7907" spans="1:6" ht="13.5" customHeight="1">
      <c r="A7907" s="4" t="s">
        <v>18218</v>
      </c>
      <c r="B7907" s="4" t="s">
        <v>18106</v>
      </c>
      <c r="C7907" s="4" t="str">
        <f ca="1">IFERROR(__xludf.DUMMYFUNCTION("GOOGLETRANSLATE(D:D,""auto"",""en"")"),"Beijing is not recommended students must return home should be suspended")</f>
        <v>Beijing is not recommended students must return home should be suspended</v>
      </c>
      <c r="D7907" s="5" t="s">
        <v>18219</v>
      </c>
      <c r="E7907" s="4">
        <v>252436</v>
      </c>
      <c r="F7907">
        <v>1</v>
      </c>
    </row>
    <row r="7908" spans="1:6" ht="13.5" customHeight="1">
      <c r="A7908" s="4" t="s">
        <v>18220</v>
      </c>
      <c r="B7908" s="4" t="s">
        <v>18221</v>
      </c>
      <c r="C7908" s="4" t="str">
        <f ca="1">IFERROR(__xludf.DUMMYFUNCTION("GOOGLETRANSLATE(D:D,""auto"",""en"")"),"US Vaccine")</f>
        <v>US Vaccine</v>
      </c>
      <c r="D7908" s="5" t="s">
        <v>18222</v>
      </c>
      <c r="E7908" s="4">
        <v>250117</v>
      </c>
      <c r="F7908">
        <v>1</v>
      </c>
    </row>
    <row r="7909" spans="1:6" ht="13.5" customHeight="1">
      <c r="A7909" s="4" t="s">
        <v>18223</v>
      </c>
      <c r="B7909" s="4" t="s">
        <v>18224</v>
      </c>
      <c r="C7909" s="4" t="str">
        <f ca="1">IFERROR(__xludf.DUMMYFUNCTION("GOOGLETRANSLATE(D:D,""auto"",""en"")"),"Beijing Xiaotangshan Hospital to receive the first batch of overseas workers")</f>
        <v>Beijing Xiaotangshan Hospital to receive the first batch of overseas workers</v>
      </c>
      <c r="D7909" s="5" t="s">
        <v>18225</v>
      </c>
      <c r="E7909" s="4">
        <v>245367</v>
      </c>
      <c r="F7909">
        <v>1</v>
      </c>
    </row>
    <row r="7910" spans="1:6" ht="13.5" customHeight="1">
      <c r="A7910" s="4" t="s">
        <v>18226</v>
      </c>
      <c r="B7910" s="4" t="s">
        <v>18227</v>
      </c>
      <c r="C7910" s="4" t="str">
        <f ca="1">IFERROR(__xludf.DUMMYFUNCTION("GOOGLETRANSLATE(D:D,""auto"",""en"")"),"Is there a cure pneumonia sequelae new crown")</f>
        <v>Is there a cure pneumonia sequelae new crown</v>
      </c>
      <c r="D7910" s="5" t="s">
        <v>18228</v>
      </c>
      <c r="E7910" s="4">
        <v>234201</v>
      </c>
      <c r="F7910">
        <v>1</v>
      </c>
    </row>
    <row r="7911" spans="1:6" ht="13.5" hidden="1" customHeight="1">
      <c r="A7911" s="4" t="s">
        <v>18229</v>
      </c>
      <c r="B7911" s="4" t="s">
        <v>18230</v>
      </c>
      <c r="C7911" s="4" t="str">
        <f ca="1">IFERROR(__xludf.DUMMYFUNCTION("GOOGLETRANSLATE(D:D,""auto"",""en"")"),"Summer Palace peach")</f>
        <v>Summer Palace peach</v>
      </c>
      <c r="D7911" s="5" t="s">
        <v>18231</v>
      </c>
      <c r="E7911" s="4">
        <v>232971</v>
      </c>
    </row>
    <row r="7912" spans="1:6" ht="13.5" hidden="1" customHeight="1">
      <c r="A7912" s="4" t="s">
        <v>18204</v>
      </c>
      <c r="B7912" s="4" t="s">
        <v>18183</v>
      </c>
      <c r="C7912" s="4" t="str">
        <f ca="1">IFERROR(__xludf.DUMMYFUNCTION("GOOGLETRANSLATE(D:D,""auto"",""en"")"),"Spain through the window a couple wedding")</f>
        <v>Spain through the window a couple wedding</v>
      </c>
      <c r="D7912" s="5" t="s">
        <v>18232</v>
      </c>
      <c r="E7912" s="4">
        <v>226936</v>
      </c>
    </row>
    <row r="7913" spans="1:6" ht="13.5" hidden="1" customHeight="1">
      <c r="A7913" s="4" t="s">
        <v>18233</v>
      </c>
      <c r="B7913" s="4" t="s">
        <v>18234</v>
      </c>
      <c r="C7913" s="4" t="str">
        <f ca="1">IFERROR(__xludf.DUMMYFUNCTION("GOOGLETRANSLATE(D:D,""auto"",""en"")"),"Jinan winds")</f>
        <v>Jinan winds</v>
      </c>
      <c r="D7913" s="5" t="s">
        <v>18235</v>
      </c>
      <c r="E7913" s="4">
        <v>209299</v>
      </c>
    </row>
    <row r="7914" spans="1:6" ht="13.5" hidden="1" customHeight="1">
      <c r="A7914" s="4" t="s">
        <v>18236</v>
      </c>
      <c r="B7914" s="4" t="s">
        <v>18213</v>
      </c>
      <c r="C7914" s="4" t="str">
        <f ca="1">IFERROR(__xludf.DUMMYFUNCTION("GOOGLETRANSLATE(D:D,""auto"",""en"")"),"Chen Yingjie Shu Ching accompany find the truth")</f>
        <v>Chen Yingjie Shu Ching accompany find the truth</v>
      </c>
      <c r="D7914" s="5" t="s">
        <v>18237</v>
      </c>
      <c r="E7914" s="4">
        <v>206588</v>
      </c>
    </row>
    <row r="7915" spans="1:6" ht="13.5" hidden="1" customHeight="1">
      <c r="A7915" s="4" t="s">
        <v>18238</v>
      </c>
      <c r="B7915" s="4" t="s">
        <v>18239</v>
      </c>
      <c r="C7915" s="4" t="str">
        <f ca="1">IFERROR(__xludf.DUMMYFUNCTION("GOOGLETRANSLATE(D:D,""auto"",""en"")"),"Pinggu fire")</f>
        <v>Pinggu fire</v>
      </c>
      <c r="D7915" s="5" t="s">
        <v>18240</v>
      </c>
      <c r="E7915" s="4">
        <v>188041</v>
      </c>
    </row>
    <row r="7916" spans="1:6" ht="13.5" customHeight="1">
      <c r="A7916" s="4" t="s">
        <v>18241</v>
      </c>
      <c r="B7916" s="4" t="s">
        <v>18242</v>
      </c>
      <c r="C7916" s="4" t="str">
        <f ca="1">IFERROR(__xludf.DUMMYFUNCTION("GOOGLETRANSLATE(D:D,""auto"",""en"")"),"Zhong Nanshan gifts for the children")</f>
        <v>Zhong Nanshan gifts for the children</v>
      </c>
      <c r="D7916" s="5" t="s">
        <v>18243</v>
      </c>
      <c r="E7916" s="4">
        <v>184581</v>
      </c>
      <c r="F7916">
        <v>1</v>
      </c>
    </row>
    <row r="7917" spans="1:6" ht="13.5" hidden="1" customHeight="1">
      <c r="A7917" s="4" t="s">
        <v>3745</v>
      </c>
      <c r="B7917" s="4" t="s">
        <v>3746</v>
      </c>
      <c r="C7917" s="4" t="str">
        <f ca="1">IFERROR(__xludf.DUMMYFUNCTION("GOOGLETRANSLATE(D:D,""auto"",""en"")"),"Please listen to good friend")</f>
        <v>Please listen to good friend</v>
      </c>
      <c r="D7917" s="5" t="s">
        <v>3747</v>
      </c>
      <c r="E7917" s="4">
        <v>169584</v>
      </c>
    </row>
    <row r="7918" spans="1:6" ht="13.5" hidden="1" customHeight="1">
      <c r="A7918" s="4" t="s">
        <v>18244</v>
      </c>
      <c r="B7918" s="4" t="s">
        <v>18245</v>
      </c>
      <c r="C7918" s="4" t="str">
        <f ca="1">IFERROR(__xludf.DUMMYFUNCTION("GOOGLETRANSLATE(D:D,""auto"",""en"")"),"GBP")</f>
        <v>GBP</v>
      </c>
      <c r="D7918" s="5" t="s">
        <v>18246</v>
      </c>
      <c r="E7918" s="4">
        <v>149272</v>
      </c>
    </row>
    <row r="7919" spans="1:6" ht="13.5" hidden="1" customHeight="1">
      <c r="A7919" s="4" t="s">
        <v>18247</v>
      </c>
      <c r="B7919" s="4" t="s">
        <v>18248</v>
      </c>
      <c r="C7919" s="4" t="str">
        <f ca="1">IFERROR(__xludf.DUMMYFUNCTION("GOOGLETRANSLATE(D:D,""auto"",""en"")"),"Bridge Water Fund to respond warehouse explosion")</f>
        <v>Bridge Water Fund to respond warehouse explosion</v>
      </c>
      <c r="D7919" s="5" t="s">
        <v>18249</v>
      </c>
      <c r="E7919" s="4">
        <v>98961</v>
      </c>
    </row>
    <row r="7920" spans="1:6" ht="13.5" hidden="1" customHeight="1">
      <c r="C7920" s="4" t="str">
        <f ca="1">IFERROR(__xludf.DUMMYFUNCTION("GOOGLETRANSLATE(D:D,""auto"",""en"")"),"#VALUE!")</f>
        <v>#VALUE!</v>
      </c>
    </row>
    <row r="7921" spans="1:6" ht="13.5" hidden="1" customHeight="1">
      <c r="A7921" s="4" t="s">
        <v>18250</v>
      </c>
      <c r="B7921" s="4" t="s">
        <v>18251</v>
      </c>
      <c r="C7921" s="4" t="str">
        <f ca="1">IFERROR(__xludf.DUMMYFUNCTION("GOOGLETRANSLATE(D:D,""auto"",""en"")"),"Zhang Meng King St. announcement romance")</f>
        <v>Zhang Meng King St. announcement romance</v>
      </c>
      <c r="D7921" s="4" t="s">
        <v>18252</v>
      </c>
      <c r="E7921" s="4">
        <v>6120211</v>
      </c>
    </row>
    <row r="7922" spans="1:6" ht="13.5" customHeight="1">
      <c r="A7922" s="4" t="s">
        <v>18253</v>
      </c>
      <c r="B7922" s="4" t="s">
        <v>18254</v>
      </c>
      <c r="C7922" s="4" t="str">
        <f ca="1">IFERROR(__xludf.DUMMYFUNCTION("GOOGLETRANSLATE(D:D,""auto"",""en"")"),"Americans are free to detect new viruses crown")</f>
        <v>Americans are free to detect new viruses crown</v>
      </c>
      <c r="D7922" s="5" t="s">
        <v>18255</v>
      </c>
      <c r="E7922" s="4">
        <v>2625720</v>
      </c>
      <c r="F7922">
        <v>1</v>
      </c>
    </row>
    <row r="7923" spans="1:6" ht="13.5" hidden="1" customHeight="1">
      <c r="A7923" s="4" t="s">
        <v>18256</v>
      </c>
      <c r="B7923" s="4" t="s">
        <v>18257</v>
      </c>
      <c r="C7923" s="4" t="str">
        <f ca="1">IFERROR(__xludf.DUMMYFUNCTION("GOOGLETRANSLATE(D:D,""auto"",""en"")"),"High Yunxiang alleged sexual assault sentencing")</f>
        <v>High Yunxiang alleged sexual assault sentencing</v>
      </c>
      <c r="D7923" s="5" t="s">
        <v>18258</v>
      </c>
      <c r="E7923" s="4">
        <v>2624982</v>
      </c>
    </row>
    <row r="7924" spans="1:6" ht="13.5" hidden="1" customHeight="1">
      <c r="A7924" s="4" t="s">
        <v>18259</v>
      </c>
      <c r="B7924" s="4" t="s">
        <v>18260</v>
      </c>
      <c r="C7924" s="4" t="str">
        <f ca="1">IFERROR(__xludf.DUMMYFUNCTION("GOOGLETRANSLATE(D:D,""auto"",""en"")"),"Yu Zheng Jasmine")</f>
        <v>Yu Zheng Jasmine</v>
      </c>
      <c r="D7924" s="5" t="s">
        <v>18261</v>
      </c>
      <c r="E7924" s="4">
        <v>2578410</v>
      </c>
    </row>
    <row r="7925" spans="1:6" ht="13.5" hidden="1" customHeight="1">
      <c r="A7925" s="4" t="s">
        <v>18262</v>
      </c>
      <c r="B7925" s="4" t="s">
        <v>18263</v>
      </c>
      <c r="C7925" s="4" t="str">
        <f ca="1">IFERROR(__xludf.DUMMYFUNCTION("GOOGLETRANSLATE(D:D,""auto"",""en"")"),"Wu Yu Xuan")</f>
        <v>Wu Yu Xuan</v>
      </c>
      <c r="D7925" s="5" t="s">
        <v>18264</v>
      </c>
      <c r="E7925" s="4">
        <v>2334399</v>
      </c>
    </row>
    <row r="7926" spans="1:6" ht="13.5" hidden="1" customHeight="1">
      <c r="A7926" s="4" t="s">
        <v>18256</v>
      </c>
      <c r="B7926" s="4" t="s">
        <v>18128</v>
      </c>
      <c r="C7926" s="4" t="str">
        <f ca="1">IFERROR(__xludf.DUMMYFUNCTION("GOOGLETRANSLATE(D:D,""auto"",""en"")"),"Vegetable stall into a forest")</f>
        <v>Vegetable stall into a forest</v>
      </c>
      <c r="D7926" s="5" t="s">
        <v>18265</v>
      </c>
      <c r="E7926" s="4">
        <v>1644507</v>
      </c>
    </row>
    <row r="7927" spans="1:6" ht="13.5" customHeight="1">
      <c r="A7927" s="4" t="s">
        <v>18266</v>
      </c>
      <c r="B7927" s="4" t="s">
        <v>18267</v>
      </c>
      <c r="C7927" s="4" t="str">
        <f ca="1">IFERROR(__xludf.DUMMYFUNCTION("GOOGLETRANSLATE(D:D,""auto"",""en"")"),"Hubei province's provincial health code approved")</f>
        <v>Hubei province's provincial health code approved</v>
      </c>
      <c r="D7927" s="5" t="s">
        <v>18268</v>
      </c>
      <c r="E7927" s="4">
        <v>1206004</v>
      </c>
      <c r="F7927">
        <v>1</v>
      </c>
    </row>
    <row r="7928" spans="1:6" ht="13.5" customHeight="1">
      <c r="A7928" s="4" t="s">
        <v>18269</v>
      </c>
      <c r="B7928" s="4" t="s">
        <v>18270</v>
      </c>
      <c r="C7928" s="4" t="str">
        <f ca="1">IFERROR(__xludf.DUMMYFUNCTION("GOOGLETRANSLATE(D:D,""auto"",""en"")"),"Beijing no longer accept immigrants who apply for home quarantine")</f>
        <v>Beijing no longer accept immigrants who apply for home quarantine</v>
      </c>
      <c r="D7928" s="5" t="s">
        <v>18271</v>
      </c>
      <c r="E7928" s="4">
        <v>1138441</v>
      </c>
      <c r="F7928">
        <v>1</v>
      </c>
    </row>
    <row r="7929" spans="1:6" ht="13.5" hidden="1" customHeight="1">
      <c r="A7929" s="4" t="s">
        <v>18272</v>
      </c>
      <c r="B7929" s="4" t="s">
        <v>18176</v>
      </c>
      <c r="C7929" s="4" t="str">
        <f ca="1">IFERROR(__xludf.DUMMYFUNCTION("GOOGLETRANSLATE(D:D,""auto"",""en"")"),"Wu net red fox foraging down")</f>
        <v>Wu net red fox foraging down</v>
      </c>
      <c r="D7929" s="5" t="s">
        <v>18273</v>
      </c>
      <c r="E7929" s="4">
        <v>992953</v>
      </c>
    </row>
    <row r="7930" spans="1:6" ht="13.5" hidden="1" customHeight="1">
      <c r="A7930" s="4" t="s">
        <v>18274</v>
      </c>
      <c r="B7930" s="4" t="s">
        <v>18275</v>
      </c>
      <c r="C7930" s="4" t="str">
        <f ca="1">IFERROR(__xludf.DUMMYFUNCTION("GOOGLETRANSLATE(D:D,""auto"",""en"")"),"Gansu 5 public officials abroad to return home and private access line is arrested")</f>
        <v>Gansu 5 public officials abroad to return home and private access line is arrested</v>
      </c>
      <c r="D7930" s="5" t="s">
        <v>18276</v>
      </c>
      <c r="E7930" s="4">
        <v>859323</v>
      </c>
    </row>
    <row r="7931" spans="1:6" ht="13.5" customHeight="1">
      <c r="A7931" s="4" t="s">
        <v>18277</v>
      </c>
      <c r="B7931" s="4" t="s">
        <v>18140</v>
      </c>
      <c r="C7931" s="4" t="str">
        <f ca="1">IFERROR(__xludf.DUMMYFUNCTION("GOOGLETRANSLATE(D:D,""auto"",""en"")"),"Add all 34 cases diagnosed yesterday for foreign input")</f>
        <v>Add all 34 cases diagnosed yesterday for foreign input</v>
      </c>
      <c r="D7931" s="5" t="s">
        <v>18278</v>
      </c>
      <c r="E7931" s="4">
        <v>761216</v>
      </c>
      <c r="F7931">
        <v>1</v>
      </c>
    </row>
    <row r="7932" spans="1:6" ht="13.5" customHeight="1">
      <c r="A7932" s="4" t="s">
        <v>18272</v>
      </c>
      <c r="B7932" s="4" t="s">
        <v>18279</v>
      </c>
      <c r="C7932" s="4" t="str">
        <f ca="1">IFERROR(__xludf.DUMMYFUNCTION("GOOGLETRANSLATE(D:D,""auto"",""en"")"),"The second batch of Chinese aid medical expert group arrived in Milan, Italy")</f>
        <v>The second batch of Chinese aid medical expert group arrived in Milan, Italy</v>
      </c>
      <c r="D7932" s="5" t="s">
        <v>18280</v>
      </c>
      <c r="E7932" s="4">
        <v>713262</v>
      </c>
      <c r="F7932">
        <v>1</v>
      </c>
    </row>
    <row r="7933" spans="1:6" ht="13.5" hidden="1" customHeight="1">
      <c r="A7933" s="4" t="s">
        <v>18281</v>
      </c>
      <c r="B7933" s="4" t="s">
        <v>18282</v>
      </c>
      <c r="C7933" s="4" t="str">
        <f ca="1">IFERROR(__xludf.DUMMYFUNCTION("GOOGLETRANSLATE(D:D,""auto"",""en"")"),"US stocks fifth blown")</f>
        <v>US stocks fifth blown</v>
      </c>
      <c r="D7933" s="5" t="s">
        <v>18283</v>
      </c>
      <c r="E7933" s="4">
        <v>688797</v>
      </c>
    </row>
    <row r="7934" spans="1:6" ht="13.5" customHeight="1">
      <c r="A7934" s="4" t="s">
        <v>18284</v>
      </c>
      <c r="B7934" s="4" t="s">
        <v>18285</v>
      </c>
      <c r="C7934" s="4" t="str">
        <f ca="1">IFERROR(__xludf.DUMMYFUNCTION("GOOGLETRANSLATE(D:D,""auto"",""en"")"),"Guangxi school time")</f>
        <v>Guangxi school time</v>
      </c>
      <c r="D7934" s="5" t="s">
        <v>18286</v>
      </c>
      <c r="E7934" s="4">
        <v>685278</v>
      </c>
      <c r="F7934">
        <v>1</v>
      </c>
    </row>
    <row r="7935" spans="1:6" ht="13.5" customHeight="1">
      <c r="A7935" s="4" t="s">
        <v>18287</v>
      </c>
      <c r="B7935" s="4" t="s">
        <v>18288</v>
      </c>
      <c r="C7935" s="4" t="str">
        <f ca="1">IFERROR(__xludf.DUMMYFUNCTION("GOOGLETRANSLATE(D:D,""auto"",""en"")"),"Italy has a mayor died of pneumonia because of the new crown")</f>
        <v>Italy has a mayor died of pneumonia because of the new crown</v>
      </c>
      <c r="D7935" s="5" t="s">
        <v>18289</v>
      </c>
      <c r="E7935" s="4">
        <v>684950</v>
      </c>
      <c r="F7935">
        <v>1</v>
      </c>
    </row>
    <row r="7936" spans="1:6" ht="13.5" hidden="1" customHeight="1">
      <c r="A7936" s="4" t="s">
        <v>18290</v>
      </c>
      <c r="B7936" s="4" t="s">
        <v>18291</v>
      </c>
      <c r="C7936" s="4" t="str">
        <f ca="1">IFERROR(__xludf.DUMMYFUNCTION("GOOGLETRANSLATE(D:D,""auto"",""en"")"),"Chanel announced the shutdown")</f>
        <v>Chanel announced the shutdown</v>
      </c>
      <c r="D7936" s="5" t="s">
        <v>18292</v>
      </c>
      <c r="E7936" s="4">
        <v>671457</v>
      </c>
    </row>
    <row r="7937" spans="1:6" ht="13.5" hidden="1" customHeight="1">
      <c r="A7937" s="4" t="s">
        <v>18293</v>
      </c>
      <c r="B7937" s="4" t="s">
        <v>18294</v>
      </c>
      <c r="C7937" s="4" t="str">
        <f ca="1">IFERROR(__xludf.DUMMYFUNCTION("GOOGLETRANSLATE(D:D,""auto"",""en"")"),"Rabbit zone collapse")</f>
        <v>Rabbit zone collapse</v>
      </c>
      <c r="D7937" s="5" t="s">
        <v>18295</v>
      </c>
      <c r="E7937" s="4">
        <v>661862</v>
      </c>
    </row>
    <row r="7938" spans="1:6" ht="13.5" hidden="1" customHeight="1">
      <c r="A7938" s="4" t="s">
        <v>18296</v>
      </c>
      <c r="B7938" s="4" t="s">
        <v>18297</v>
      </c>
      <c r="C7938" s="4" t="str">
        <f ca="1">IFERROR(__xludf.DUMMYFUNCTION("GOOGLETRANSLATE(D:D,""auto"",""en"")"),"Kimura Kokorobi Mitsuki Kimura GoTeru")</f>
        <v>Kimura Kokorobi Mitsuki Kimura GoTeru</v>
      </c>
      <c r="D7938" s="5" t="s">
        <v>18298</v>
      </c>
      <c r="E7938" s="4">
        <v>647750</v>
      </c>
    </row>
    <row r="7939" spans="1:6" ht="13.5" hidden="1" customHeight="1">
      <c r="A7939" s="4" t="s">
        <v>18296</v>
      </c>
      <c r="B7939" s="4" t="s">
        <v>18267</v>
      </c>
      <c r="C7939" s="4" t="str">
        <f ca="1">IFERROR(__xludf.DUMMYFUNCTION("GOOGLETRANSLATE(D:D,""auto"",""en"")"),"Spanish men stroll by the police command fake dog home")</f>
        <v>Spanish men stroll by the police command fake dog home</v>
      </c>
      <c r="D7939" s="5" t="s">
        <v>18299</v>
      </c>
      <c r="E7939" s="4">
        <v>618159</v>
      </c>
    </row>
    <row r="7940" spans="1:6" ht="13.5" hidden="1" customHeight="1">
      <c r="A7940" s="4" t="s">
        <v>18300</v>
      </c>
      <c r="B7940" s="4" t="s">
        <v>18301</v>
      </c>
      <c r="C7940" s="4" t="str">
        <f ca="1">IFERROR(__xludf.DUMMYFUNCTION("GOOGLETRANSLATE(D:D,""auto"",""en"")"),"It has 100 million migrant workers migrant workers")</f>
        <v>It has 100 million migrant workers migrant workers</v>
      </c>
      <c r="D7940" s="5" t="s">
        <v>18302</v>
      </c>
      <c r="E7940" s="4">
        <v>612437</v>
      </c>
    </row>
    <row r="7941" spans="1:6" ht="13.5" customHeight="1">
      <c r="A7941" s="4" t="s">
        <v>18303</v>
      </c>
      <c r="B7941" s="4" t="s">
        <v>18218</v>
      </c>
      <c r="C7941" s="4" t="str">
        <f ca="1">IFERROR(__xludf.DUMMYFUNCTION("GOOGLETRANSLATE(D:D,""auto"",""en"")"),"WHO responded Trump said the new virus is China virus crown")</f>
        <v>WHO responded Trump said the new virus is China virus crown</v>
      </c>
      <c r="D7941" s="5" t="s">
        <v>18304</v>
      </c>
      <c r="E7941" s="4">
        <v>602291</v>
      </c>
      <c r="F7941">
        <v>1</v>
      </c>
    </row>
    <row r="7942" spans="1:6" ht="13.5" customHeight="1">
      <c r="A7942" s="4" t="s">
        <v>18305</v>
      </c>
      <c r="B7942" s="4" t="s">
        <v>18306</v>
      </c>
      <c r="C7942" s="4" t="str">
        <f ca="1">IFERROR(__xludf.DUMMYFUNCTION("GOOGLETRANSLATE(D:D,""auto"",""en"")"),"Wuhan, a cell line to prevent the nurses home")</f>
        <v>Wuhan, a cell line to prevent the nurses home</v>
      </c>
      <c r="D7942" s="5" t="s">
        <v>18307</v>
      </c>
      <c r="E7942" s="4">
        <v>589970</v>
      </c>
      <c r="F7942">
        <v>1</v>
      </c>
    </row>
    <row r="7943" spans="1:6" ht="13.5" hidden="1" customHeight="1">
      <c r="A7943" s="4" t="s">
        <v>18308</v>
      </c>
      <c r="B7943" s="4" t="s">
        <v>18179</v>
      </c>
      <c r="C7943" s="4" t="str">
        <f ca="1">IFERROR(__xludf.DUMMYFUNCTION("GOOGLETRANSLATE(D:D,""auto"",""en"")"),"Norway")</f>
        <v>Norway</v>
      </c>
      <c r="D7943" s="5" t="s">
        <v>18309</v>
      </c>
      <c r="E7943" s="4">
        <v>589439</v>
      </c>
    </row>
    <row r="7944" spans="1:6" ht="13.5" hidden="1" customHeight="1">
      <c r="A7944" s="4" t="s">
        <v>18310</v>
      </c>
      <c r="B7944" s="4" t="s">
        <v>18311</v>
      </c>
      <c r="C7944" s="4" t="str">
        <f ca="1">IFERROR(__xludf.DUMMYFUNCTION("GOOGLETRANSLATE(D:D,""auto"",""en"")"),"Kimura Heart of America Debut")</f>
        <v>Kimura Heart of America Debut</v>
      </c>
      <c r="D7944" s="5" t="s">
        <v>18312</v>
      </c>
      <c r="E7944" s="4">
        <v>563040</v>
      </c>
    </row>
    <row r="7945" spans="1:6" ht="13.5" hidden="1" customHeight="1">
      <c r="A7945" s="4" t="s">
        <v>18313</v>
      </c>
      <c r="B7945" s="4" t="s">
        <v>18162</v>
      </c>
      <c r="C7945" s="4" t="str">
        <f ca="1">IFERROR(__xludf.DUMMYFUNCTION("GOOGLETRANSLATE(D:D,""auto"",""en"")"),"Face is not good enough for the body what kind of experience")</f>
        <v>Face is not good enough for the body what kind of experience</v>
      </c>
      <c r="D7945" s="5" t="s">
        <v>18314</v>
      </c>
      <c r="E7945" s="4">
        <v>523474</v>
      </c>
    </row>
    <row r="7946" spans="1:6" ht="13.5" customHeight="1">
      <c r="A7946" s="4" t="s">
        <v>18315</v>
      </c>
      <c r="B7946" s="4" t="s">
        <v>18316</v>
      </c>
      <c r="C7946" s="4" t="str">
        <f ca="1">IFERROR(__xludf.DUMMYFUNCTION("GOOGLETRANSLATE(D:D,""auto"",""en"")"),"Dutch health minister fainted when his report")</f>
        <v>Dutch health minister fainted when his report</v>
      </c>
      <c r="D7946" s="5" t="s">
        <v>18317</v>
      </c>
      <c r="E7946" s="4">
        <v>504890</v>
      </c>
      <c r="F7946">
        <v>1</v>
      </c>
    </row>
    <row r="7947" spans="1:6" ht="13.5" hidden="1" customHeight="1">
      <c r="A7947" s="4" t="s">
        <v>9371</v>
      </c>
      <c r="B7947" s="4" t="s">
        <v>9372</v>
      </c>
      <c r="C7947" s="4" t="str">
        <f ca="1">IFERROR(__xludf.DUMMYFUNCTION("GOOGLETRANSLATE(D:D,""auto"",""en"")"),"stock market")</f>
        <v>stock market</v>
      </c>
      <c r="D7947" s="5" t="s">
        <v>9373</v>
      </c>
      <c r="E7947" s="4">
        <v>497540</v>
      </c>
    </row>
    <row r="7948" spans="1:6" ht="13.5" hidden="1" customHeight="1">
      <c r="A7948" s="4" t="s">
        <v>18318</v>
      </c>
      <c r="B7948" s="4" t="s">
        <v>18319</v>
      </c>
      <c r="C7948" s="4" t="str">
        <f ca="1">IFERROR(__xludf.DUMMYFUNCTION("GOOGLETRANSLATE(D:D,""auto"",""en"")"),"Harry Potter and the Sorcerer's Stone Mainland Remapping")</f>
        <v>Harry Potter and the Sorcerer's Stone Mainland Remapping</v>
      </c>
      <c r="D7948" s="5" t="s">
        <v>18320</v>
      </c>
      <c r="E7948" s="4">
        <v>497323</v>
      </c>
    </row>
    <row r="7949" spans="1:6" ht="13.5" customHeight="1">
      <c r="A7949" s="4" t="s">
        <v>18321</v>
      </c>
      <c r="B7949" s="4" t="s">
        <v>18322</v>
      </c>
      <c r="C7949" s="4" t="str">
        <f ca="1">IFERROR(__xludf.DUMMYFUNCTION("GOOGLETRANSLATE(D:D,""auto"",""en"")"),"US new crown the number of cases of pneumonia break 9000")</f>
        <v>US new crown the number of cases of pneumonia break 9000</v>
      </c>
      <c r="D7949" s="5" t="s">
        <v>18323</v>
      </c>
      <c r="E7949" s="4">
        <v>435906</v>
      </c>
      <c r="F7949">
        <v>1</v>
      </c>
    </row>
    <row r="7950" spans="1:6" ht="13.5" hidden="1" customHeight="1">
      <c r="A7950" s="4" t="s">
        <v>18324</v>
      </c>
      <c r="B7950" s="4" t="s">
        <v>18325</v>
      </c>
      <c r="C7950" s="4" t="str">
        <f ca="1">IFERROR(__xludf.DUMMYFUNCTION("GOOGLETRANSLATE(D:D,""auto"",""en"")"),"AUD")</f>
        <v>AUD</v>
      </c>
      <c r="D7950" s="5" t="s">
        <v>18326</v>
      </c>
      <c r="E7950" s="4">
        <v>428638</v>
      </c>
    </row>
    <row r="7951" spans="1:6" ht="13.5" hidden="1" customHeight="1">
      <c r="A7951" s="4" t="s">
        <v>18327</v>
      </c>
      <c r="B7951" s="4" t="s">
        <v>18328</v>
      </c>
      <c r="C7951" s="4" t="str">
        <f ca="1">IFERROR(__xludf.DUMMYFUNCTION("GOOGLETRANSLATE(D:D,""auto"",""en"")"),"Japanese Deputy Prime Minister said that the Olympic Games are cursed")</f>
        <v>Japanese Deputy Prime Minister said that the Olympic Games are cursed</v>
      </c>
      <c r="D7951" s="5" t="s">
        <v>18329</v>
      </c>
      <c r="E7951" s="4">
        <v>427547</v>
      </c>
    </row>
    <row r="7952" spans="1:6" ht="13.5" customHeight="1">
      <c r="A7952" s="4" t="s">
        <v>18330</v>
      </c>
      <c r="B7952" s="4" t="s">
        <v>18331</v>
      </c>
      <c r="C7952" s="4" t="str">
        <f ca="1">IFERROR(__xludf.DUMMYFUNCTION("GOOGLETRANSLATE(D:D,""auto"",""en"")"),"Hubei clears the data reported by member cried")</f>
        <v>Hubei clears the data reported by member cried</v>
      </c>
      <c r="D7952" s="5" t="s">
        <v>18332</v>
      </c>
      <c r="E7952" s="4">
        <v>389876</v>
      </c>
      <c r="F7952">
        <v>1</v>
      </c>
    </row>
    <row r="7953" spans="1:6" ht="13.5" hidden="1" customHeight="1">
      <c r="A7953" s="4" t="s">
        <v>18333</v>
      </c>
      <c r="B7953" s="4" t="s">
        <v>18334</v>
      </c>
      <c r="C7953" s="4" t="str">
        <f ca="1">IFERROR(__xludf.DUMMYFUNCTION("GOOGLETRANSLATE(D:D,""auto"",""en"")"),"Geng Shuang references vote for me to peach trees quoted by Qiong Yao")</f>
        <v>Geng Shuang references vote for me to peach trees quoted by Qiong Yao</v>
      </c>
      <c r="D7953" s="5" t="s">
        <v>18335</v>
      </c>
      <c r="E7953" s="4">
        <v>366497</v>
      </c>
    </row>
    <row r="7954" spans="1:6" ht="13.5" hidden="1" customHeight="1">
      <c r="A7954" s="4" t="s">
        <v>18336</v>
      </c>
      <c r="B7954" s="4" t="s">
        <v>18337</v>
      </c>
      <c r="C7954" s="4" t="str">
        <f ca="1">IFERROR(__xludf.DUMMYFUNCTION("GOOGLETRANSLATE(D:D,""auto"",""en"")"),"Hokkaido declared the state of emergency 19")</f>
        <v>Hokkaido declared the state of emergency 19</v>
      </c>
      <c r="D7954" s="5" t="s">
        <v>18338</v>
      </c>
      <c r="E7954" s="4">
        <v>344717</v>
      </c>
    </row>
    <row r="7955" spans="1:6" ht="13.5" hidden="1" customHeight="1">
      <c r="A7955" s="4" t="s">
        <v>16737</v>
      </c>
      <c r="B7955" s="4" t="s">
        <v>16738</v>
      </c>
      <c r="C7955" s="4" t="str">
        <f ca="1">IFERROR(__xludf.DUMMYFUNCTION("GOOGLETRANSLATE(D:D,""auto"",""en"")"),"Buffett")</f>
        <v>Buffett</v>
      </c>
      <c r="D7955" s="5" t="s">
        <v>16739</v>
      </c>
      <c r="E7955" s="4">
        <v>338316</v>
      </c>
    </row>
    <row r="7956" spans="1:6" ht="13.5" customHeight="1">
      <c r="A7956" s="4" t="s">
        <v>18339</v>
      </c>
      <c r="B7956" s="4" t="s">
        <v>18282</v>
      </c>
      <c r="C7956" s="4" t="str">
        <f ca="1">IFERROR(__xludf.DUMMYFUNCTION("GOOGLETRANSLATE(D:D,""auto"",""en"")"),"A nurse aid E glasses")</f>
        <v>A nurse aid E glasses</v>
      </c>
      <c r="D7956" s="5" t="s">
        <v>18340</v>
      </c>
      <c r="E7956" s="4">
        <v>338001</v>
      </c>
      <c r="F7956">
        <v>1</v>
      </c>
    </row>
    <row r="7957" spans="1:6" ht="13.5" hidden="1" customHeight="1">
      <c r="A7957" s="4" t="s">
        <v>18341</v>
      </c>
      <c r="B7957" s="4" t="s">
        <v>18342</v>
      </c>
      <c r="C7957" s="4" t="str">
        <f ca="1">IFERROR(__xludf.DUMMYFUNCTION("GOOGLETRANSLATE(D:D,""auto"",""en"")"),"The new iPad Pro camera equipped with Yuba")</f>
        <v>The new iPad Pro camera equipped with Yuba</v>
      </c>
      <c r="D7957" s="5" t="s">
        <v>18343</v>
      </c>
      <c r="E7957" s="4">
        <v>335295</v>
      </c>
    </row>
    <row r="7958" spans="1:6" ht="13.5" hidden="1" customHeight="1">
      <c r="A7958" s="4" t="s">
        <v>18344</v>
      </c>
      <c r="B7958" s="4" t="s">
        <v>18263</v>
      </c>
      <c r="C7958" s="4" t="str">
        <f ca="1">IFERROR(__xludf.DUMMYFUNCTION("GOOGLETRANSLATE(D:D,""auto"",""en"")"),"Forbidden City Donghuamen damaged parts have been repaired")</f>
        <v>Forbidden City Donghuamen damaged parts have been repaired</v>
      </c>
      <c r="D7958" s="5" t="s">
        <v>18345</v>
      </c>
      <c r="E7958" s="4">
        <v>325147</v>
      </c>
    </row>
    <row r="7959" spans="1:6" ht="13.5" hidden="1" customHeight="1">
      <c r="A7959" s="4" t="s">
        <v>18346</v>
      </c>
      <c r="B7959" s="4" t="s">
        <v>18342</v>
      </c>
      <c r="C7959" s="4" t="str">
        <f ca="1">IFERROR(__xludf.DUMMYFUNCTION("GOOGLETRANSLATE(D:D,""auto"",""en"")"),"Hebei 2 people deliberately concealed Korea living history is arrested row")</f>
        <v>Hebei 2 people deliberately concealed Korea living history is arrested row</v>
      </c>
      <c r="D7959" s="5" t="s">
        <v>18347</v>
      </c>
      <c r="E7959" s="4">
        <v>324525</v>
      </c>
    </row>
    <row r="7960" spans="1:6" ht="13.5" hidden="1" customHeight="1">
      <c r="A7960" s="4" t="s">
        <v>18348</v>
      </c>
      <c r="B7960" s="4" t="s">
        <v>18218</v>
      </c>
      <c r="C7960" s="4" t="str">
        <f ca="1">IFERROR(__xludf.DUMMYFUNCTION("GOOGLETRANSLATE(D:D,""auto"",""en"")"),"Discovery of large oil field in Bohai")</f>
        <v>Discovery of large oil field in Bohai</v>
      </c>
      <c r="D7960" s="5" t="s">
        <v>18349</v>
      </c>
      <c r="E7960" s="4">
        <v>315928</v>
      </c>
    </row>
    <row r="7961" spans="1:6" ht="13.5" customHeight="1">
      <c r="A7961" s="4" t="s">
        <v>18346</v>
      </c>
      <c r="B7961" s="4" t="s">
        <v>18350</v>
      </c>
      <c r="C7961" s="4" t="str">
        <f ca="1">IFERROR(__xludf.DUMMYFUNCTION("GOOGLETRANSLATE(D:D,""auto"",""en"")"),"Diagnosed outside of China's new crown over 130,000 cases of pneumonia")</f>
        <v>Diagnosed outside of China's new crown over 130,000 cases of pneumonia</v>
      </c>
      <c r="D7961" s="5" t="s">
        <v>18351</v>
      </c>
      <c r="E7961" s="4">
        <v>304596</v>
      </c>
      <c r="F7961">
        <v>1</v>
      </c>
    </row>
    <row r="7962" spans="1:6" ht="13.5" hidden="1" customHeight="1">
      <c r="A7962" s="4" t="s">
        <v>18352</v>
      </c>
      <c r="B7962" s="4" t="s">
        <v>18353</v>
      </c>
      <c r="C7962" s="4" t="str">
        <f ca="1">IFERROR(__xludf.DUMMYFUNCTION("GOOGLETRANSLATE(D:D,""auto"",""en"")"),"The difference between me and other people laugh")</f>
        <v>The difference between me and other people laugh</v>
      </c>
      <c r="D7962" s="5" t="s">
        <v>18354</v>
      </c>
      <c r="E7962" s="4">
        <v>304200</v>
      </c>
    </row>
    <row r="7963" spans="1:6" ht="13.5" customHeight="1">
      <c r="A7963" s="4" t="s">
        <v>18355</v>
      </c>
      <c r="B7963" s="4" t="s">
        <v>18331</v>
      </c>
      <c r="C7963" s="4" t="str">
        <f ca="1">IFERROR(__xludf.DUMMYFUNCTION("GOOGLETRANSLATE(D:D,""auto"",""en"")"),"Traffic police motorcycle team to meet the health care little sister scream")</f>
        <v>Traffic police motorcycle team to meet the health care little sister scream</v>
      </c>
      <c r="D7963" s="5" t="s">
        <v>18356</v>
      </c>
      <c r="E7963" s="4">
        <v>301439</v>
      </c>
      <c r="F7963">
        <v>1</v>
      </c>
    </row>
    <row r="7964" spans="1:6" ht="13.5" customHeight="1">
      <c r="A7964" s="4" t="s">
        <v>18357</v>
      </c>
      <c r="B7964" s="4" t="s">
        <v>18358</v>
      </c>
      <c r="C7964" s="4" t="str">
        <f ca="1">IFERROR(__xludf.DUMMYFUNCTION("GOOGLETRANSLATE(D:D,""auto"",""en"")"),"Stewardess cry broadcast teams take home")</f>
        <v>Stewardess cry broadcast teams take home</v>
      </c>
      <c r="D7964" s="5" t="s">
        <v>18359</v>
      </c>
      <c r="E7964" s="4">
        <v>298304</v>
      </c>
      <c r="F7964">
        <v>1</v>
      </c>
    </row>
    <row r="7965" spans="1:6" ht="13.5" hidden="1" customHeight="1">
      <c r="A7965" s="4" t="s">
        <v>18360</v>
      </c>
      <c r="B7965" s="4" t="s">
        <v>18361</v>
      </c>
      <c r="C7965" s="4" t="str">
        <f ca="1">IFERROR(__xludf.DUMMYFUNCTION("GOOGLETRANSLATE(D:D,""auto"",""en"")"),"Owen")</f>
        <v>Owen</v>
      </c>
      <c r="D7965" s="5" t="s">
        <v>18362</v>
      </c>
      <c r="E7965" s="4">
        <v>295793</v>
      </c>
    </row>
    <row r="7966" spans="1:6" ht="13.5" customHeight="1">
      <c r="A7966" s="4" t="s">
        <v>18363</v>
      </c>
      <c r="B7966" s="4" t="s">
        <v>18364</v>
      </c>
      <c r="C7966" s="4" t="str">
        <f ca="1">IFERROR(__xludf.DUMMYFUNCTION("GOOGLETRANSLATE(D:D,""auto"",""en"")"),"US lawmakers appear first confirmed infection")</f>
        <v>US lawmakers appear first confirmed infection</v>
      </c>
      <c r="D7966" s="5" t="s">
        <v>18365</v>
      </c>
      <c r="E7966" s="4">
        <v>295533</v>
      </c>
      <c r="F7966">
        <v>1</v>
      </c>
    </row>
    <row r="7967" spans="1:6" ht="13.5" customHeight="1">
      <c r="A7967" s="4" t="s">
        <v>18366</v>
      </c>
      <c r="B7967" s="4" t="s">
        <v>18367</v>
      </c>
      <c r="C7967" s="4" t="str">
        <f ca="1">IFERROR(__xludf.DUMMYFUNCTION("GOOGLETRANSLATE(D:D,""auto"",""en"")"),"Spain all private medical institutions will be privatization")</f>
        <v>Spain all private medical institutions will be privatization</v>
      </c>
      <c r="D7967" s="5" t="s">
        <v>18368</v>
      </c>
      <c r="E7967" s="4">
        <v>259176</v>
      </c>
      <c r="F7967">
        <v>1</v>
      </c>
    </row>
    <row r="7968" spans="1:6" ht="13.5" customHeight="1">
      <c r="A7968" s="4" t="s">
        <v>18366</v>
      </c>
      <c r="B7968" s="4" t="s">
        <v>18270</v>
      </c>
      <c r="C7968" s="4" t="str">
        <f ca="1">IFERROR(__xludf.DUMMYFUNCTION("GOOGLETRANSLATE(D:D,""auto"",""en"")"),"Wuhan four times the minimum standard by the issuance of temporary assistance payments")</f>
        <v>Wuhan four times the minimum standard by the issuance of temporary assistance payments</v>
      </c>
      <c r="D7968" s="5" t="s">
        <v>18369</v>
      </c>
      <c r="E7968" s="4">
        <v>254037</v>
      </c>
      <c r="F7968">
        <v>1</v>
      </c>
    </row>
    <row r="7969" spans="1:6" ht="13.5" hidden="1" customHeight="1">
      <c r="A7969" s="4" t="s">
        <v>18366</v>
      </c>
      <c r="B7969" s="4" t="s">
        <v>18285</v>
      </c>
      <c r="C7969" s="4" t="str">
        <f ca="1">IFERROR(__xludf.DUMMYFUNCTION("GOOGLETRANSLATE(D:D,""auto"",""en"")"),"Small is how much longer significant kind of experience")</f>
        <v>Small is how much longer significant kind of experience</v>
      </c>
      <c r="D7969" s="5" t="s">
        <v>18370</v>
      </c>
      <c r="E7969" s="4">
        <v>244533</v>
      </c>
    </row>
    <row r="7970" spans="1:6" ht="13.5" customHeight="1">
      <c r="A7970" s="4" t="s">
        <v>18371</v>
      </c>
      <c r="B7970" s="4" t="s">
        <v>18322</v>
      </c>
      <c r="C7970" s="4" t="str">
        <f ca="1">IFERROR(__xludf.DUMMYFUNCTION("GOOGLETRANSLATE(D:D,""auto"",""en"")"),"The delegation visited the United States, Brazil, 16 people diagnosed")</f>
        <v>The delegation visited the United States, Brazil, 16 people diagnosed</v>
      </c>
      <c r="D7970" s="5" t="s">
        <v>18372</v>
      </c>
      <c r="E7970" s="4">
        <v>238337</v>
      </c>
      <c r="F7970">
        <v>1</v>
      </c>
    </row>
    <row r="7971" spans="1:6" ht="13.5" hidden="1" customHeight="1">
      <c r="C7971" s="4" t="str">
        <f ca="1">IFERROR(__xludf.DUMMYFUNCTION("GOOGLETRANSLATE(D:D,""auto"",""en"")"),"#VALUE!")</f>
        <v>#VALUE!</v>
      </c>
    </row>
    <row r="7972" spans="1:6" ht="13.5" customHeight="1">
      <c r="A7972" s="4" t="s">
        <v>18373</v>
      </c>
      <c r="B7972" s="4" t="s">
        <v>18374</v>
      </c>
      <c r="C7972" s="4" t="str">
        <f ca="1">IFERROR(__xludf.DUMMYFUNCTION("GOOGLETRANSLATE(D:D,""auto"",""en"")"),"Rare cases of new crown Korea")</f>
        <v>Rare cases of new crown Korea</v>
      </c>
      <c r="D7972" s="4" t="s">
        <v>18375</v>
      </c>
      <c r="E7972" s="4">
        <v>3068362</v>
      </c>
      <c r="F7972">
        <v>1</v>
      </c>
    </row>
    <row r="7973" spans="1:6" ht="13.5" hidden="1" customHeight="1">
      <c r="A7973" s="4" t="s">
        <v>18376</v>
      </c>
      <c r="B7973" s="4" t="s">
        <v>18377</v>
      </c>
      <c r="C7973" s="4" t="str">
        <f ca="1">IFERROR(__xludf.DUMMYFUNCTION("GOOGLETRANSLATE(D:D,""auto"",""en"")"),"One person said that this year, everyone's favorite number is 0")</f>
        <v>One person said that this year, everyone's favorite number is 0</v>
      </c>
      <c r="D7973" s="5" t="s">
        <v>18378</v>
      </c>
      <c r="E7973" s="4">
        <v>1966096</v>
      </c>
    </row>
    <row r="7974" spans="1:6" ht="13.5" hidden="1" customHeight="1">
      <c r="A7974" s="4" t="s">
        <v>18379</v>
      </c>
      <c r="B7974" s="4" t="s">
        <v>18380</v>
      </c>
      <c r="C7974" s="4" t="str">
        <f ca="1">IFERROR(__xludf.DUMMYFUNCTION("GOOGLETRANSLATE(D:D,""auto"",""en"")"),"The country's first crested ibis mouthpiece surgery")</f>
        <v>The country's first crested ibis mouthpiece surgery</v>
      </c>
      <c r="D7974" s="5" t="s">
        <v>18381</v>
      </c>
      <c r="E7974" s="4">
        <v>1542077</v>
      </c>
    </row>
    <row r="7975" spans="1:6" ht="13.5" hidden="1" customHeight="1">
      <c r="A7975" s="4" t="s">
        <v>18382</v>
      </c>
      <c r="B7975" s="4" t="s">
        <v>18383</v>
      </c>
      <c r="C7975" s="4" t="str">
        <f ca="1">IFERROR(__xludf.DUMMYFUNCTION("GOOGLETRANSLATE(D:D,""auto"",""en"")"),"Qin cattle Granville poetry recitation")</f>
        <v>Qin cattle Granville poetry recitation</v>
      </c>
      <c r="D7975" s="5" t="s">
        <v>18384</v>
      </c>
      <c r="E7975" s="4">
        <v>1521746</v>
      </c>
    </row>
    <row r="7976" spans="1:6" ht="13.5" customHeight="1">
      <c r="A7976" s="4" t="s">
        <v>18385</v>
      </c>
      <c r="B7976" s="4" t="s">
        <v>18386</v>
      </c>
      <c r="C7976" s="4" t="str">
        <f ca="1">IFERROR(__xludf.DUMMYFUNCTION("GOOGLETRANSLATE(D:D,""auto"",""en"")"),"The number of new US crown pneumonia diagnosed over 10,000")</f>
        <v>The number of new US crown pneumonia diagnosed over 10,000</v>
      </c>
      <c r="D7976" s="5" t="s">
        <v>18387</v>
      </c>
      <c r="E7976" s="4">
        <v>1435004</v>
      </c>
      <c r="F7976">
        <v>1</v>
      </c>
    </row>
    <row r="7977" spans="1:6" ht="13.5" hidden="1" customHeight="1">
      <c r="A7977" s="4" t="s">
        <v>18388</v>
      </c>
      <c r="B7977" s="4" t="s">
        <v>18389</v>
      </c>
      <c r="C7977" s="4" t="str">
        <f ca="1">IFERROR(__xludf.DUMMYFUNCTION("GOOGLETRANSLATE(D:D,""auto"",""en"")"),"Fear 书欣 debut")</f>
        <v>Fear 书欣 debut</v>
      </c>
      <c r="D7977" s="5" t="s">
        <v>18390</v>
      </c>
      <c r="E7977" s="4">
        <v>1264843</v>
      </c>
    </row>
    <row r="7978" spans="1:6" ht="13.5" hidden="1" customHeight="1">
      <c r="A7978" s="4" t="s">
        <v>18391</v>
      </c>
      <c r="B7978" s="4" t="s">
        <v>18389</v>
      </c>
      <c r="C7978" s="4" t="str">
        <f ca="1">IFERROR(__xludf.DUMMYFUNCTION("GOOGLETRANSLATE(D:D,""auto"",""en"")"),"Take A section Wei")</f>
        <v>Take A section Wei</v>
      </c>
      <c r="D7978" s="5" t="s">
        <v>18392</v>
      </c>
      <c r="E7978" s="4">
        <v>1048854</v>
      </c>
    </row>
    <row r="7979" spans="1:6" ht="13.5" customHeight="1">
      <c r="A7979" s="4" t="s">
        <v>18393</v>
      </c>
      <c r="B7979" s="4" t="s">
        <v>18394</v>
      </c>
      <c r="C7979" s="4" t="str">
        <f ca="1">IFERROR(__xludf.DUMMYFUNCTION("GOOGLETRANSLATE(D:D,""auto"",""en"")"),"Wuhan Public Security Bureau decided to withdraw the book admonition Li Wenliang")</f>
        <v>Wuhan Public Security Bureau decided to withdraw the book admonition Li Wenliang</v>
      </c>
      <c r="D7979" s="5" t="s">
        <v>18395</v>
      </c>
      <c r="E7979" s="4">
        <v>907043</v>
      </c>
      <c r="F7979">
        <v>1</v>
      </c>
    </row>
    <row r="7980" spans="1:6" ht="13.5" hidden="1" customHeight="1">
      <c r="A7980" s="4" t="s">
        <v>18396</v>
      </c>
      <c r="B7980" s="4" t="s">
        <v>18310</v>
      </c>
      <c r="C7980" s="4" t="str">
        <f ca="1">IFERROR(__xludf.DUMMYFUNCTION("GOOGLETRANSLATE(D:D,""auto"",""en"")"),"Pakistani President said that thought go backward when help China")</f>
        <v>Pakistani President said that thought go backward when help China</v>
      </c>
      <c r="D7980" s="5" t="s">
        <v>18397</v>
      </c>
      <c r="E7980" s="4">
        <v>809109</v>
      </c>
    </row>
    <row r="7981" spans="1:6" ht="13.5" customHeight="1">
      <c r="A7981" s="4" t="s">
        <v>18398</v>
      </c>
      <c r="B7981" s="4" t="s">
        <v>18399</v>
      </c>
      <c r="C7981" s="4" t="str">
        <f ca="1">IFERROR(__xludf.DUMMYFUNCTION("GOOGLETRANSLATE(D:D,""auto"",""en"")"),"Doctor Li Wenliang informed about the survey")</f>
        <v>Doctor Li Wenliang informed about the survey</v>
      </c>
      <c r="D7981" s="5" t="s">
        <v>18400</v>
      </c>
      <c r="E7981" s="4">
        <v>766429</v>
      </c>
      <c r="F7981">
        <v>1</v>
      </c>
    </row>
    <row r="7982" spans="1:6" ht="13.5" hidden="1" customHeight="1">
      <c r="A7982" s="4" t="s">
        <v>18401</v>
      </c>
      <c r="B7982" s="4" t="s">
        <v>18402</v>
      </c>
      <c r="C7982" s="4" t="str">
        <f ca="1">IFERROR(__xludf.DUMMYFUNCTION("GOOGLETRANSLATE(D:D,""auto"",""en"")"),"Class group has overturned")</f>
        <v>Class group has overturned</v>
      </c>
      <c r="D7982" s="5" t="s">
        <v>18403</v>
      </c>
      <c r="E7982" s="4">
        <v>765122</v>
      </c>
    </row>
    <row r="7983" spans="1:6" ht="13.5" hidden="1" customHeight="1">
      <c r="A7983" s="4" t="s">
        <v>18404</v>
      </c>
      <c r="B7983" s="4" t="s">
        <v>18405</v>
      </c>
      <c r="C7983" s="4" t="str">
        <f ca="1">IFERROR(__xludf.DUMMYFUNCTION("GOOGLETRANSLATE(D:D,""auto"",""en"")"),"ZHANG Wen-hong talk about what ordinary people can do to prevent input")</f>
        <v>ZHANG Wen-hong talk about what ordinary people can do to prevent input</v>
      </c>
      <c r="D7983" s="5" t="s">
        <v>18406</v>
      </c>
      <c r="E7983" s="4">
        <v>606522</v>
      </c>
    </row>
    <row r="7984" spans="1:6" ht="13.5" hidden="1" customHeight="1">
      <c r="A7984" s="4" t="s">
        <v>18407</v>
      </c>
      <c r="B7984" s="4" t="s">
        <v>18408</v>
      </c>
      <c r="C7984" s="4" t="str">
        <f ca="1">IFERROR(__xludf.DUMMYFUNCTION("GOOGLETRANSLATE(D:D,""auto"",""en"")"),"Buffett eight days lost over $ 24 billion")</f>
        <v>Buffett eight days lost over $ 24 billion</v>
      </c>
      <c r="D7984" s="5" t="s">
        <v>18409</v>
      </c>
      <c r="E7984" s="4">
        <v>589046</v>
      </c>
    </row>
    <row r="7985" spans="1:6" ht="13.5" hidden="1" customHeight="1">
      <c r="A7985" s="4" t="s">
        <v>18410</v>
      </c>
      <c r="B7985" s="4" t="s">
        <v>18411</v>
      </c>
      <c r="C7985" s="4" t="str">
        <f ca="1">IFERROR(__xludf.DUMMYFUNCTION("GOOGLETRANSLATE(D:D,""auto"",""en"")"),"Fujian Pingtan blue tears wonders")</f>
        <v>Fujian Pingtan blue tears wonders</v>
      </c>
      <c r="D7985" s="5" t="s">
        <v>18412</v>
      </c>
      <c r="E7985" s="4">
        <v>547685</v>
      </c>
    </row>
    <row r="7986" spans="1:6" ht="13.5" hidden="1" customHeight="1">
      <c r="A7986" s="4" t="s">
        <v>18413</v>
      </c>
      <c r="B7986" s="4" t="s">
        <v>18414</v>
      </c>
      <c r="C7986" s="4" t="str">
        <f ca="1">IFERROR(__xludf.DUMMYFUNCTION("GOOGLETRANSLATE(D:D,""auto"",""en"")"),"Xu aunt bright room resign")</f>
        <v>Xu aunt bright room resign</v>
      </c>
      <c r="D7986" s="5" t="s">
        <v>18415</v>
      </c>
      <c r="E7986" s="4">
        <v>538849</v>
      </c>
    </row>
    <row r="7987" spans="1:6" ht="13.5" hidden="1" customHeight="1">
      <c r="A7987" s="4" t="s">
        <v>18416</v>
      </c>
      <c r="B7987" s="4" t="s">
        <v>18394</v>
      </c>
      <c r="C7987" s="4" t="str">
        <f ca="1">IFERROR(__xludf.DUMMYFUNCTION("GOOGLETRANSLATE(D:D,""auto"",""en"")"),"Wu Qian cute")</f>
        <v>Wu Qian cute</v>
      </c>
      <c r="D7987" s="5" t="s">
        <v>18417</v>
      </c>
      <c r="E7987" s="4">
        <v>535887</v>
      </c>
    </row>
    <row r="7988" spans="1:6" ht="13.5" hidden="1" customHeight="1">
      <c r="A7988" s="4" t="s">
        <v>15592</v>
      </c>
      <c r="B7988" s="4" t="s">
        <v>15593</v>
      </c>
      <c r="C7988" s="4" t="str">
        <f ca="1">IFERROR(__xludf.DUMMYFUNCTION("GOOGLETRANSLATE(D:D,""auto"",""en"")"),"Rebirth")</f>
        <v>Rebirth</v>
      </c>
      <c r="D7988" s="5" t="s">
        <v>15594</v>
      </c>
      <c r="E7988" s="4">
        <v>528573</v>
      </c>
    </row>
    <row r="7989" spans="1:6" ht="13.5" customHeight="1">
      <c r="A7989" s="4" t="s">
        <v>18418</v>
      </c>
      <c r="B7989" s="4" t="s">
        <v>18419</v>
      </c>
      <c r="C7989" s="4" t="str">
        <f ca="1">IFERROR(__xludf.DUMMYFUNCTION("GOOGLETRANSLATE(D:D,""auto"",""en"")"),"The new crown prince of Monaco confirmed")</f>
        <v>The new crown prince of Monaco confirmed</v>
      </c>
      <c r="D7989" s="5" t="s">
        <v>18420</v>
      </c>
      <c r="E7989" s="4">
        <v>511832</v>
      </c>
      <c r="F7989">
        <v>1</v>
      </c>
    </row>
    <row r="7990" spans="1:6" ht="13.5" hidden="1" customHeight="1">
      <c r="A7990" s="4" t="s">
        <v>18379</v>
      </c>
      <c r="B7990" s="4" t="s">
        <v>18421</v>
      </c>
      <c r="C7990" s="4" t="str">
        <f ca="1">IFERROR(__xludf.DUMMYFUNCTION("GOOGLETRANSLATE(D:D,""auto"",""en"")"),"Shuang Cheng Airport modeling")</f>
        <v>Shuang Cheng Airport modeling</v>
      </c>
      <c r="D7990" s="5" t="s">
        <v>18422</v>
      </c>
      <c r="E7990" s="4">
        <v>504097</v>
      </c>
    </row>
    <row r="7991" spans="1:6" ht="13.5" hidden="1" customHeight="1">
      <c r="A7991" s="4" t="s">
        <v>18423</v>
      </c>
      <c r="B7991" s="4" t="s">
        <v>18424</v>
      </c>
      <c r="C7991" s="4" t="str">
        <f ca="1">IFERROR(__xludf.DUMMYFUNCTION("GOOGLETRANSLATE(D:D,""auto"",""en"")"),"The first plane is what kind of experience")</f>
        <v>The first plane is what kind of experience</v>
      </c>
      <c r="D7991" s="5" t="s">
        <v>18425</v>
      </c>
      <c r="E7991" s="4">
        <v>495691</v>
      </c>
    </row>
    <row r="7992" spans="1:6" ht="13.5" hidden="1" customHeight="1">
      <c r="A7992" s="4" t="s">
        <v>18426</v>
      </c>
      <c r="B7992" s="4" t="s">
        <v>18427</v>
      </c>
      <c r="C7992" s="4" t="str">
        <f ca="1">IFERROR(__xludf.DUMMYFUNCTION("GOOGLETRANSLATE(D:D,""auto"",""en"")"),"Liu Yu Xin strength")</f>
        <v>Liu Yu Xin strength</v>
      </c>
      <c r="D7992" s="5" t="s">
        <v>18428</v>
      </c>
      <c r="E7992" s="4">
        <v>481248</v>
      </c>
    </row>
    <row r="7993" spans="1:6" ht="13.5" hidden="1" customHeight="1">
      <c r="A7993" s="4" t="s">
        <v>18429</v>
      </c>
      <c r="B7993" s="4" t="s">
        <v>18430</v>
      </c>
      <c r="C7993" s="4" t="str">
        <f ca="1">IFERROR(__xludf.DUMMYFUNCTION("GOOGLETRANSLATE(D:D,""auto"",""en"")"),"Settle finale trailer")</f>
        <v>Settle finale trailer</v>
      </c>
      <c r="D7993" s="5" t="s">
        <v>18431</v>
      </c>
      <c r="E7993" s="4">
        <v>475658</v>
      </c>
    </row>
    <row r="7994" spans="1:6" ht="13.5" customHeight="1">
      <c r="A7994" s="4" t="s">
        <v>18432</v>
      </c>
      <c r="B7994" s="4" t="s">
        <v>18433</v>
      </c>
      <c r="C7994" s="4" t="str">
        <f ca="1">IFERROR(__xludf.DUMMYFUNCTION("GOOGLETRANSLATE(D:D,""auto"",""en"")"),"Li Wenliang two cases were admonished those responsible to be processed")</f>
        <v>Li Wenliang two cases were admonished those responsible to be processed</v>
      </c>
      <c r="D7994" s="5" t="s">
        <v>18434</v>
      </c>
      <c r="E7994" s="4">
        <v>470445</v>
      </c>
      <c r="F7994">
        <v>1</v>
      </c>
    </row>
    <row r="7995" spans="1:6" ht="13.5" hidden="1" customHeight="1">
      <c r="A7995" s="4" t="s">
        <v>18435</v>
      </c>
      <c r="B7995" s="4" t="s">
        <v>18436</v>
      </c>
      <c r="C7995" s="4" t="str">
        <f ca="1">IFERROR(__xludf.DUMMYFUNCTION("GOOGLETRANSLATE(D:D,""auto"",""en"")"),"Three thousand crow kill")</f>
        <v>Three thousand crow kill</v>
      </c>
      <c r="D7995" s="5" t="s">
        <v>18437</v>
      </c>
      <c r="E7995" s="4">
        <v>442845</v>
      </c>
    </row>
    <row r="7996" spans="1:6" ht="13.5" hidden="1" customHeight="1">
      <c r="A7996" s="4" t="s">
        <v>18438</v>
      </c>
      <c r="B7996" s="4" t="s">
        <v>18380</v>
      </c>
      <c r="C7996" s="4" t="str">
        <f ca="1">IFERROR(__xludf.DUMMYFUNCTION("GOOGLETRANSLATE(D:D,""auto"",""en"")"),"An experience the strongest self-esteem")</f>
        <v>An experience the strongest self-esteem</v>
      </c>
      <c r="D7996" s="5" t="s">
        <v>18439</v>
      </c>
      <c r="E7996" s="4">
        <v>423713</v>
      </c>
    </row>
    <row r="7997" spans="1:6" ht="13.5" hidden="1" customHeight="1">
      <c r="A7997" s="4" t="s">
        <v>18440</v>
      </c>
      <c r="B7997" s="4" t="s">
        <v>18441</v>
      </c>
      <c r="C7997" s="4" t="str">
        <f ca="1">IFERROR(__xludf.DUMMYFUNCTION("GOOGLETRANSLATE(D:D,""auto"",""en"")"),"Wu Lei winds at")</f>
        <v>Wu Lei winds at</v>
      </c>
      <c r="D7997" s="5" t="s">
        <v>18442</v>
      </c>
      <c r="E7997" s="4">
        <v>419579</v>
      </c>
    </row>
    <row r="7998" spans="1:6" ht="13.5" hidden="1" customHeight="1">
      <c r="A7998" s="4" t="s">
        <v>18443</v>
      </c>
      <c r="B7998" s="4" t="s">
        <v>18419</v>
      </c>
      <c r="C7998" s="4" t="str">
        <f ca="1">IFERROR(__xludf.DUMMYFUNCTION("GOOGLETRANSLATE(D:D,""auto"",""en"")"),"Wangjun Kai Deng purple chess Chorus")</f>
        <v>Wangjun Kai Deng purple chess Chorus</v>
      </c>
      <c r="D7998" s="5" t="s">
        <v>18444</v>
      </c>
      <c r="E7998" s="4">
        <v>419312</v>
      </c>
    </row>
    <row r="7999" spans="1:6" ht="13.5" hidden="1" customHeight="1">
      <c r="A7999" s="4" t="s">
        <v>18445</v>
      </c>
      <c r="B7999" s="4" t="s">
        <v>18389</v>
      </c>
      <c r="C7999" s="4" t="str">
        <f ca="1">IFERROR(__xludf.DUMMYFUNCTION("GOOGLETRANSLATE(D:D,""auto"",""en"")"),"Zhu shining bright season break")</f>
        <v>Zhu shining bright season break</v>
      </c>
      <c r="D7999" s="5" t="s">
        <v>18446</v>
      </c>
      <c r="E7999" s="4">
        <v>413184</v>
      </c>
    </row>
    <row r="8000" spans="1:6" ht="13.5" hidden="1" customHeight="1">
      <c r="A8000" s="4" t="s">
        <v>18447</v>
      </c>
      <c r="B8000" s="4" t="s">
        <v>18448</v>
      </c>
      <c r="C8000" s="4" t="str">
        <f ca="1">IFERROR(__xludf.DUMMYFUNCTION("GOOGLETRANSLATE(D:D,""auto"",""en"")"),"Gong Zheng, deputy secretary of the Shanghai")</f>
        <v>Gong Zheng, deputy secretary of the Shanghai</v>
      </c>
      <c r="D8000" s="5" t="s">
        <v>18449</v>
      </c>
      <c r="E8000" s="4">
        <v>401570</v>
      </c>
    </row>
    <row r="8001" spans="1:6" ht="13.5" hidden="1" customHeight="1">
      <c r="A8001" s="4" t="s">
        <v>18447</v>
      </c>
      <c r="B8001" s="4" t="s">
        <v>18450</v>
      </c>
      <c r="C8001" s="4" t="str">
        <f ca="1">IFERROR(__xludf.DUMMYFUNCTION("GOOGLETRANSLATE(D:D,""auto"",""en"")"),"I figure before and after repair")</f>
        <v>I figure before and after repair</v>
      </c>
      <c r="D8001" s="5" t="s">
        <v>18451</v>
      </c>
      <c r="E8001" s="4">
        <v>397676</v>
      </c>
    </row>
    <row r="8002" spans="1:6" ht="13.5" hidden="1" customHeight="1">
      <c r="A8002" s="4" t="s">
        <v>18452</v>
      </c>
      <c r="B8002" s="4" t="s">
        <v>18453</v>
      </c>
      <c r="C8002" s="4" t="str">
        <f ca="1">IFERROR(__xludf.DUMMYFUNCTION("GOOGLETRANSLATE(D:D,""auto"",""en"")"),"Lee Hom")</f>
        <v>Lee Hom</v>
      </c>
      <c r="D8002" s="5" t="s">
        <v>18454</v>
      </c>
      <c r="E8002" s="4">
        <v>396222</v>
      </c>
    </row>
    <row r="8003" spans="1:6" ht="13.5" hidden="1" customHeight="1">
      <c r="A8003" s="4" t="s">
        <v>18455</v>
      </c>
      <c r="B8003" s="4" t="s">
        <v>18456</v>
      </c>
      <c r="C8003" s="4" t="str">
        <f ca="1">IFERROR(__xludf.DUMMYFUNCTION("GOOGLETRANSLATE(D:D,""auto"",""en"")"),"Lin returned to China")</f>
        <v>Lin returned to China</v>
      </c>
      <c r="D8003" s="5" t="s">
        <v>18457</v>
      </c>
      <c r="E8003" s="4">
        <v>394660</v>
      </c>
    </row>
    <row r="8004" spans="1:6" ht="13.5" customHeight="1">
      <c r="A8004" s="4" t="s">
        <v>18373</v>
      </c>
      <c r="B8004" s="4" t="s">
        <v>18394</v>
      </c>
      <c r="C8004" s="4" t="str">
        <f ca="1">IFERROR(__xludf.DUMMYFUNCTION("GOOGLETRANSLATE(D:D,""auto"",""en"")"),"State students before school starts")</f>
        <v>State students before school starts</v>
      </c>
      <c r="D8004" s="5" t="s">
        <v>18458</v>
      </c>
      <c r="E8004" s="4">
        <v>347714</v>
      </c>
      <c r="F8004">
        <v>1</v>
      </c>
    </row>
    <row r="8005" spans="1:6" ht="13.5" hidden="1" customHeight="1">
      <c r="A8005" s="4" t="s">
        <v>18459</v>
      </c>
      <c r="B8005" s="4" t="s">
        <v>18460</v>
      </c>
      <c r="C8005" s="4" t="str">
        <f ca="1">IFERROR(__xludf.DUMMYFUNCTION("GOOGLETRANSLATE(D:D,""auto"",""en"")"),"Mexican President to carry amulets")</f>
        <v>Mexican President to carry amulets</v>
      </c>
      <c r="D8005" s="5" t="s">
        <v>18461</v>
      </c>
      <c r="E8005" s="4">
        <v>332453</v>
      </c>
    </row>
    <row r="8006" spans="1:6" ht="13.5" hidden="1" customHeight="1">
      <c r="A8006" s="4" t="s">
        <v>14434</v>
      </c>
      <c r="B8006" s="4" t="s">
        <v>14435</v>
      </c>
      <c r="C8006" s="4" t="str">
        <f ca="1">IFERROR(__xludf.DUMMYFUNCTION("GOOGLETRANSLATE(D:D,""auto"",""en"")"),"US stocks")</f>
        <v>US stocks</v>
      </c>
      <c r="D8006" s="5" t="s">
        <v>14436</v>
      </c>
      <c r="E8006" s="4">
        <v>322023</v>
      </c>
    </row>
    <row r="8007" spans="1:6" ht="13.5" hidden="1" customHeight="1">
      <c r="A8007" s="4" t="s">
        <v>18462</v>
      </c>
      <c r="B8007" s="4" t="s">
        <v>18463</v>
      </c>
      <c r="C8007" s="4" t="str">
        <f ca="1">IFERROR(__xludf.DUMMYFUNCTION("GOOGLETRANSLATE(D:D,""auto"",""en"")"),"Rock candy stew Sydney")</f>
        <v>Rock candy stew Sydney</v>
      </c>
      <c r="D8007" s="5" t="s">
        <v>18464</v>
      </c>
      <c r="E8007" s="4">
        <v>310802</v>
      </c>
    </row>
    <row r="8008" spans="1:6" ht="13.5" hidden="1" customHeight="1">
      <c r="A8008" s="4" t="s">
        <v>18465</v>
      </c>
      <c r="B8008" s="4" t="s">
        <v>18427</v>
      </c>
      <c r="C8008" s="4" t="str">
        <f ca="1">IFERROR(__xludf.DUMMYFUNCTION("GOOGLETRANSLATE(D:D,""auto"",""en"")"),"Yiyangqianxi sound")</f>
        <v>Yiyangqianxi sound</v>
      </c>
      <c r="D8008" s="5" t="s">
        <v>18466</v>
      </c>
      <c r="E8008" s="4">
        <v>293123</v>
      </c>
    </row>
    <row r="8009" spans="1:6" ht="13.5" hidden="1" customHeight="1">
      <c r="A8009" s="4" t="s">
        <v>18459</v>
      </c>
      <c r="B8009" s="4" t="s">
        <v>18467</v>
      </c>
      <c r="C8009" s="4" t="str">
        <f ca="1">IFERROR(__xludf.DUMMYFUNCTION("GOOGLETRANSLATE(D:D,""auto"",""en"")"),"Melaleuca strawberry cake pans")</f>
        <v>Melaleuca strawberry cake pans</v>
      </c>
      <c r="D8009" s="5" t="s">
        <v>18468</v>
      </c>
      <c r="E8009" s="4">
        <v>276936</v>
      </c>
    </row>
    <row r="8010" spans="1:6" ht="13.5" hidden="1" customHeight="1">
      <c r="A8010" s="4" t="s">
        <v>18469</v>
      </c>
      <c r="B8010" s="4" t="s">
        <v>18470</v>
      </c>
      <c r="C8010" s="4" t="str">
        <f ca="1">IFERROR(__xludf.DUMMYFUNCTION("GOOGLETRANSLATE(D:D,""auto"",""en"")"),"Ecuador mayor sent a fleet of aircraft stopped on the runway")</f>
        <v>Ecuador mayor sent a fleet of aircraft stopped on the runway</v>
      </c>
      <c r="D8010" s="5" t="s">
        <v>18471</v>
      </c>
      <c r="E8010" s="4">
        <v>257080</v>
      </c>
    </row>
    <row r="8011" spans="1:6" ht="13.5" hidden="1" customHeight="1">
      <c r="A8011" s="4" t="s">
        <v>18472</v>
      </c>
      <c r="B8011" s="4" t="s">
        <v>18473</v>
      </c>
      <c r="C8011" s="4" t="str">
        <f ca="1">IFERROR(__xludf.DUMMYFUNCTION("GOOGLETRANSLATE(D:D,""auto"",""en"")"),"Beijing police have asked an Australian woman jogging required to leave")</f>
        <v>Beijing police have asked an Australian woman jogging required to leave</v>
      </c>
      <c r="D8011" s="5" t="s">
        <v>18474</v>
      </c>
      <c r="E8011" s="4">
        <v>233241</v>
      </c>
    </row>
    <row r="8012" spans="1:6" ht="13.5" hidden="1" customHeight="1">
      <c r="A8012" s="4" t="s">
        <v>18475</v>
      </c>
      <c r="B8012" s="4" t="s">
        <v>18476</v>
      </c>
      <c r="C8012" s="4" t="str">
        <f ca="1">IFERROR(__xludf.DUMMYFUNCTION("GOOGLETRANSLATE(D:D,""auto"",""en"")"),"Guangzhou is now building a continuous drop objects from high altitude")</f>
        <v>Guangzhou is now building a continuous drop objects from high altitude</v>
      </c>
      <c r="D8012" s="5" t="s">
        <v>18477</v>
      </c>
      <c r="E8012" s="4">
        <v>213110</v>
      </c>
    </row>
    <row r="8013" spans="1:6" ht="13.5" hidden="1" customHeight="1">
      <c r="A8013" s="4" t="s">
        <v>18465</v>
      </c>
      <c r="B8013" s="4" t="s">
        <v>18478</v>
      </c>
      <c r="C8013" s="4" t="str">
        <f ca="1">IFERROR(__xludf.DUMMYFUNCTION("GOOGLETRANSLATE(D:D,""auto"",""en"")"),"Yu Shuxin mother fee Qinyuan vote")</f>
        <v>Yu Shuxin mother fee Qinyuan vote</v>
      </c>
      <c r="D8013" s="5" t="s">
        <v>18479</v>
      </c>
      <c r="E8013" s="4">
        <v>210218</v>
      </c>
    </row>
    <row r="8014" spans="1:6" ht="13.5" hidden="1" customHeight="1">
      <c r="A8014" s="4" t="s">
        <v>18465</v>
      </c>
      <c r="B8014" s="4" t="s">
        <v>18480</v>
      </c>
      <c r="C8014" s="4" t="str">
        <f ca="1">IFERROR(__xludf.DUMMYFUNCTION("GOOGLETRANSLATE(D:D,""auto"",""en"")"),"Liu Huiyuan victory")</f>
        <v>Liu Huiyuan victory</v>
      </c>
      <c r="D8014" s="5" t="s">
        <v>18481</v>
      </c>
      <c r="E8014" s="4">
        <v>207127</v>
      </c>
    </row>
    <row r="8015" spans="1:6" ht="13.5" hidden="1" customHeight="1">
      <c r="A8015" s="4" t="s">
        <v>18465</v>
      </c>
      <c r="B8015" s="4" t="s">
        <v>18482</v>
      </c>
      <c r="C8015" s="4" t="str">
        <f ca="1">IFERROR(__xludf.DUMMYFUNCTION("GOOGLETRANSLATE(D:D,""auto"",""en"")"),"My mother always sang songs are rollover")</f>
        <v>My mother always sang songs are rollover</v>
      </c>
      <c r="D8015" s="5" t="s">
        <v>18483</v>
      </c>
      <c r="E8015" s="4">
        <v>195981</v>
      </c>
    </row>
    <row r="8016" spans="1:6" ht="13.5" hidden="1" customHeight="1">
      <c r="A8016" s="4" t="s">
        <v>18484</v>
      </c>
      <c r="B8016" s="4" t="s">
        <v>18485</v>
      </c>
      <c r="C8016" s="4" t="str">
        <f ca="1">IFERROR(__xludf.DUMMYFUNCTION("GOOGLETRANSLATE(D:D,""auto"",""en"")"),"New Peach Blossom Fan")</f>
        <v>New Peach Blossom Fan</v>
      </c>
      <c r="D8016" s="5" t="s">
        <v>18486</v>
      </c>
      <c r="E8016" s="4">
        <v>176976</v>
      </c>
    </row>
    <row r="8017" spans="1:6" ht="13.5" hidden="1" customHeight="1">
      <c r="A8017" s="4" t="s">
        <v>18398</v>
      </c>
      <c r="B8017" s="4" t="s">
        <v>18487</v>
      </c>
      <c r="C8017" s="4" t="str">
        <f ca="1">IFERROR(__xludf.DUMMYFUNCTION("GOOGLETRANSLATE(D:D,""auto"",""en"")"),"Overseas arrivals must wear tracking strap")</f>
        <v>Overseas arrivals must wear tracking strap</v>
      </c>
      <c r="D8017" s="5" t="s">
        <v>18488</v>
      </c>
      <c r="E8017" s="4">
        <v>174781</v>
      </c>
    </row>
    <row r="8018" spans="1:6" ht="13.5" customHeight="1">
      <c r="A8018" s="4" t="s">
        <v>18489</v>
      </c>
      <c r="B8018" s="4" t="s">
        <v>18490</v>
      </c>
      <c r="C8018" s="4" t="str">
        <f ca="1">IFERROR(__xludf.DUMMYFUNCTION("GOOGLETRANSLATE(D:D,""auto"",""en"")"),"Hubei's first scenic park opened to return to work")</f>
        <v>Hubei's first scenic park opened to return to work</v>
      </c>
      <c r="D8018" s="5" t="s">
        <v>18491</v>
      </c>
      <c r="E8018" s="4">
        <v>173028</v>
      </c>
      <c r="F8018">
        <v>1</v>
      </c>
    </row>
    <row r="8019" spans="1:6" ht="13.5" hidden="1" customHeight="1">
      <c r="A8019" s="4" t="s">
        <v>12063</v>
      </c>
      <c r="B8019" s="4" t="s">
        <v>12051</v>
      </c>
      <c r="C8019" s="4" t="str">
        <f ca="1">IFERROR(__xludf.DUMMYFUNCTION("GOOGLETRANSLATE(D:D,""auto"",""en"")"),"settle down")</f>
        <v>settle down</v>
      </c>
      <c r="D8019" s="5" t="s">
        <v>12064</v>
      </c>
      <c r="E8019" s="4">
        <v>146236</v>
      </c>
    </row>
    <row r="8020" spans="1:6" ht="13.5" customHeight="1">
      <c r="A8020" s="4" t="s">
        <v>18492</v>
      </c>
      <c r="B8020" s="4" t="s">
        <v>18470</v>
      </c>
      <c r="C8020" s="4" t="str">
        <f ca="1">IFERROR(__xludf.DUMMYFUNCTION("GOOGLETRANSLATE(D:D,""auto"",""en"")"),"Thailand's new diagnosed cases of pneumonia, 60 cases of the new crown")</f>
        <v>Thailand's new diagnosed cases of pneumonia, 60 cases of the new crown</v>
      </c>
      <c r="D8020" s="5" t="s">
        <v>18493</v>
      </c>
      <c r="E8020" s="4">
        <v>106010</v>
      </c>
      <c r="F8020">
        <v>1</v>
      </c>
    </row>
    <row r="8021" spans="1:6" ht="13.5" hidden="1" customHeight="1">
      <c r="C8021" s="4" t="str">
        <f ca="1">IFERROR(__xludf.DUMMYFUNCTION("GOOGLETRANSLATE(D:D,""auto"",""en"")"),"#VALUE!")</f>
        <v>#VALUE!</v>
      </c>
    </row>
    <row r="8022" spans="1:6" ht="13.5" customHeight="1">
      <c r="A8022" s="4" t="s">
        <v>18494</v>
      </c>
      <c r="B8022" s="4" t="s">
        <v>18495</v>
      </c>
      <c r="C8022" s="4" t="str">
        <f ca="1">IFERROR(__xludf.DUMMYFUNCTION("GOOGLETRANSLATE(D:D,""auto"",""en"")"),"Beijing woman diagnosed with a family to be dismissed US companies")</f>
        <v>Beijing woman diagnosed with a family to be dismissed US companies</v>
      </c>
      <c r="D8022" s="4" t="s">
        <v>18496</v>
      </c>
      <c r="E8022" s="4">
        <v>4544223</v>
      </c>
      <c r="F8022">
        <v>1</v>
      </c>
    </row>
    <row r="8023" spans="1:6" ht="13.5" customHeight="1">
      <c r="A8023" s="4" t="s">
        <v>18497</v>
      </c>
      <c r="B8023" s="4" t="s">
        <v>18498</v>
      </c>
      <c r="C8023" s="4" t="str">
        <f ca="1">IFERROR(__xludf.DUMMYFUNCTION("GOOGLETRANSLATE(D:D,""auto"",""en"")"),"Trump said the new crown had known pneumonia is the pandemic")</f>
        <v>Trump said the new crown had known pneumonia is the pandemic</v>
      </c>
      <c r="D8023" s="5" t="s">
        <v>18499</v>
      </c>
      <c r="E8023" s="4">
        <v>1509573</v>
      </c>
      <c r="F8023">
        <v>1</v>
      </c>
    </row>
    <row r="8024" spans="1:6" ht="13.5" customHeight="1">
      <c r="A8024" s="4" t="s">
        <v>18500</v>
      </c>
      <c r="B8024" s="4" t="s">
        <v>18501</v>
      </c>
      <c r="C8024" s="4" t="str">
        <f ca="1">IFERROR(__xludf.DUMMYFUNCTION("GOOGLETRANSLATE(D:D,""auto"",""en"")"),"Beijing put an end to short term way to avoid centralized medical observation")</f>
        <v>Beijing put an end to short term way to avoid centralized medical observation</v>
      </c>
      <c r="D8024" s="5" t="s">
        <v>18502</v>
      </c>
      <c r="E8024" s="4">
        <v>1488779</v>
      </c>
      <c r="F8024">
        <v>1</v>
      </c>
    </row>
    <row r="8025" spans="1:6" ht="13.5" hidden="1" customHeight="1">
      <c r="A8025" s="4" t="s">
        <v>18503</v>
      </c>
      <c r="B8025" s="4" t="s">
        <v>18504</v>
      </c>
      <c r="C8025" s="4" t="str">
        <f ca="1">IFERROR(__xludf.DUMMYFUNCTION("GOOGLETRANSLATE(D:D,""auto"",""en"")"),"There Firenze")</f>
        <v>There Firenze</v>
      </c>
      <c r="D8025" s="5" t="s">
        <v>18505</v>
      </c>
      <c r="E8025" s="4">
        <v>1476518</v>
      </c>
    </row>
    <row r="8026" spans="1:6" ht="13.5" hidden="1" customHeight="1">
      <c r="A8026" s="4" t="s">
        <v>18506</v>
      </c>
      <c r="B8026" s="4" t="s">
        <v>18507</v>
      </c>
      <c r="C8026" s="4" t="str">
        <f ca="1">IFERROR(__xludf.DUMMYFUNCTION("GOOGLETRANSLATE(D:D,""auto"",""en"")"),"Masaki Suda Nana Komatsu romance")</f>
        <v>Masaki Suda Nana Komatsu romance</v>
      </c>
      <c r="D8026" s="5" t="s">
        <v>18508</v>
      </c>
      <c r="E8026" s="4">
        <v>1430847</v>
      </c>
    </row>
    <row r="8027" spans="1:6" ht="13.5" customHeight="1">
      <c r="A8027" s="4" t="s">
        <v>18506</v>
      </c>
      <c r="B8027" s="4" t="s">
        <v>18509</v>
      </c>
      <c r="C8027" s="4" t="str">
        <f ca="1">IFERROR(__xludf.DUMMYFUNCTION("GOOGLETRANSLATE(D:D,""auto"",""en"")"),"Chinese fencing team confirmed three new crown pneumonia")</f>
        <v>Chinese fencing team confirmed three new crown pneumonia</v>
      </c>
      <c r="D8027" s="5" t="s">
        <v>18510</v>
      </c>
      <c r="E8027" s="4">
        <v>1049619</v>
      </c>
      <c r="F8027">
        <v>1</v>
      </c>
    </row>
    <row r="8028" spans="1:6" ht="13.5" customHeight="1">
      <c r="A8028" s="4" t="s">
        <v>18511</v>
      </c>
      <c r="B8028" s="4" t="s">
        <v>18512</v>
      </c>
      <c r="C8028" s="4" t="str">
        <f ca="1">IFERROR(__xludf.DUMMYFUNCTION("GOOGLETRANSLATE(D:D,""auto"",""en"")"),"WHO said China's new crown 0 New is a remarkable achievement")</f>
        <v>WHO said China's new crown 0 New is a remarkable achievement</v>
      </c>
      <c r="D8028" s="5" t="s">
        <v>18513</v>
      </c>
      <c r="E8028" s="4">
        <v>885883</v>
      </c>
      <c r="F8028">
        <v>1</v>
      </c>
    </row>
    <row r="8029" spans="1:6" ht="13.5" customHeight="1">
      <c r="A8029" s="4" t="s">
        <v>18497</v>
      </c>
      <c r="B8029" s="4" t="s">
        <v>18391</v>
      </c>
      <c r="C8029" s="4" t="str">
        <f ca="1">IFERROR(__xludf.DUMMYFUNCTION("GOOGLETRANSLATE(D:D,""auto"",""en"")"),"China for the first time no new cases is an amazing achievement")</f>
        <v>China for the first time no new cases is an amazing achievement</v>
      </c>
      <c r="D8029" s="5" t="s">
        <v>18514</v>
      </c>
      <c r="E8029" s="4">
        <v>883380</v>
      </c>
      <c r="F8029">
        <v>1</v>
      </c>
    </row>
    <row r="8030" spans="1:6" ht="13.5" customHeight="1">
      <c r="A8030" s="4" t="s">
        <v>18515</v>
      </c>
      <c r="B8030" s="4" t="s">
        <v>18516</v>
      </c>
      <c r="C8030" s="4" t="str">
        <f ca="1">IFERROR(__xludf.DUMMYFUNCTION("GOOGLETRANSLATE(D:D,""auto"",""en"")"),"In addition to all cities and counties in Hubei Wuhan epidemic are low risk")</f>
        <v>In addition to all cities and counties in Hubei Wuhan epidemic are low risk</v>
      </c>
      <c r="D8030" s="5" t="s">
        <v>18517</v>
      </c>
      <c r="E8030" s="4">
        <v>828658</v>
      </c>
      <c r="F8030">
        <v>1</v>
      </c>
    </row>
    <row r="8031" spans="1:6" ht="13.5" hidden="1" customHeight="1">
      <c r="A8031" s="4" t="s">
        <v>18511</v>
      </c>
      <c r="B8031" s="4" t="s">
        <v>18518</v>
      </c>
      <c r="C8031" s="4" t="str">
        <f ca="1">IFERROR(__xludf.DUMMYFUNCTION("GOOGLETRANSLATE(D:D,""auto"",""en"")"),"Cai Yu Shuxin said Xu Kun was dizzy")</f>
        <v>Cai Yu Shuxin said Xu Kun was dizzy</v>
      </c>
      <c r="D8031" s="5" t="s">
        <v>18519</v>
      </c>
      <c r="E8031" s="4">
        <v>811125</v>
      </c>
    </row>
    <row r="8032" spans="1:6" ht="13.5" customHeight="1">
      <c r="A8032" s="4" t="s">
        <v>18520</v>
      </c>
      <c r="B8032" s="4" t="s">
        <v>18521</v>
      </c>
      <c r="C8032" s="4" t="str">
        <f ca="1">IFERROR(__xludf.DUMMYFUNCTION("GOOGLETRANSLATE(D:D,""auto"",""en"")"),"The new global crown of 209,839 cases of pneumonia confirmed cases")</f>
        <v>The new global crown of 209,839 cases of pneumonia confirmed cases</v>
      </c>
      <c r="D8032" s="5" t="s">
        <v>18522</v>
      </c>
      <c r="E8032" s="4">
        <v>801661</v>
      </c>
      <c r="F8032">
        <v>1</v>
      </c>
    </row>
    <row r="8033" spans="1:6" ht="13.5" hidden="1" customHeight="1">
      <c r="A8033" s="4" t="s">
        <v>18523</v>
      </c>
      <c r="B8033" s="4" t="s">
        <v>18524</v>
      </c>
      <c r="C8033" s="4" t="str">
        <f ca="1">IFERROR(__xludf.DUMMYFUNCTION("GOOGLETRANSLATE(D:D,""auto"",""en"")"),"Cadres and workers to study their children back to Beijing to take the lead concentrate observed")</f>
        <v>Cadres and workers to study their children back to Beijing to take the lead concentrate observed</v>
      </c>
      <c r="D8033" s="5" t="s">
        <v>18525</v>
      </c>
      <c r="E8033" s="4">
        <v>741796</v>
      </c>
    </row>
    <row r="8034" spans="1:6" ht="13.5" customHeight="1">
      <c r="A8034" s="4" t="s">
        <v>18526</v>
      </c>
      <c r="B8034" s="4" t="s">
        <v>18426</v>
      </c>
      <c r="C8034" s="4" t="str">
        <f ca="1">IFERROR(__xludf.DUMMYFUNCTION("GOOGLETRANSLATE(D:D,""auto"",""en"")"),"A total of six countries have confirmed cases worldwide over a million")</f>
        <v>A total of six countries have confirmed cases worldwide over a million</v>
      </c>
      <c r="D8034" s="5" t="s">
        <v>18527</v>
      </c>
      <c r="E8034" s="4">
        <v>740910</v>
      </c>
      <c r="F8034">
        <v>1</v>
      </c>
    </row>
    <row r="8035" spans="1:6" ht="13.5" customHeight="1">
      <c r="A8035" s="4" t="s">
        <v>18528</v>
      </c>
      <c r="B8035" s="4" t="s">
        <v>18529</v>
      </c>
      <c r="C8035" s="4" t="str">
        <f ca="1">IFERROR(__xludf.DUMMYFUNCTION("GOOGLETRANSLATE(D:D,""auto"",""en"")"),"Lakers two players diagnosed with pneumonia new crown")</f>
        <v>Lakers two players diagnosed with pneumonia new crown</v>
      </c>
      <c r="D8035" s="5" t="s">
        <v>18530</v>
      </c>
      <c r="E8035" s="4">
        <v>740330</v>
      </c>
      <c r="F8035">
        <v>1</v>
      </c>
    </row>
    <row r="8036" spans="1:6" ht="13.5" hidden="1" customHeight="1">
      <c r="A8036" s="4" t="s">
        <v>18531</v>
      </c>
      <c r="B8036" s="4" t="s">
        <v>18398</v>
      </c>
      <c r="C8036" s="4" t="str">
        <f ca="1">IFERROR(__xludf.DUMMYFUNCTION("GOOGLETRANSLATE(D:D,""auto"",""en"")"),"Iran's 1.5 million people have fever")</f>
        <v>Iran's 1.5 million people have fever</v>
      </c>
      <c r="D8036" s="5" t="s">
        <v>18532</v>
      </c>
      <c r="E8036" s="4">
        <v>738983</v>
      </c>
    </row>
    <row r="8037" spans="1:6" ht="13.5" customHeight="1">
      <c r="A8037" s="4" t="s">
        <v>18533</v>
      </c>
      <c r="B8037" s="4" t="s">
        <v>18534</v>
      </c>
      <c r="C8037" s="4" t="str">
        <f ca="1">IFERROR(__xludf.DUMMYFUNCTION("GOOGLETRANSLATE(D:D,""auto"",""en"")"),"N95 masks tea")</f>
        <v>N95 masks tea</v>
      </c>
      <c r="D8037" s="5" t="s">
        <v>18535</v>
      </c>
      <c r="E8037" s="4">
        <v>737879</v>
      </c>
      <c r="F8037">
        <v>1</v>
      </c>
    </row>
    <row r="8038" spans="1:6" ht="13.5" hidden="1" customHeight="1">
      <c r="A8038" s="4" t="s">
        <v>18536</v>
      </c>
      <c r="B8038" s="4" t="s">
        <v>18440</v>
      </c>
      <c r="C8038" s="4" t="str">
        <f ca="1">IFERROR(__xludf.DUMMYFUNCTION("GOOGLETRANSLATE(D:D,""auto"",""en"")"),"Rocket Girl Peace elite")</f>
        <v>Rocket Girl Peace elite</v>
      </c>
      <c r="D8038" s="5" t="s">
        <v>18537</v>
      </c>
      <c r="E8038" s="4">
        <v>737027</v>
      </c>
    </row>
    <row r="8039" spans="1:6" ht="13.5" hidden="1" customHeight="1">
      <c r="A8039" s="4" t="s">
        <v>18538</v>
      </c>
      <c r="B8039" s="4" t="s">
        <v>18539</v>
      </c>
      <c r="C8039" s="4" t="str">
        <f ca="1">IFERROR(__xludf.DUMMYFUNCTION("GOOGLETRANSLATE(D:D,""auto"",""en"")"),"Dutch Prime Minister in the case of the supermarket people hoard toilet paper")</f>
        <v>Dutch Prime Minister in the case of the supermarket people hoard toilet paper</v>
      </c>
      <c r="D8039" s="5" t="s">
        <v>18540</v>
      </c>
      <c r="E8039" s="4">
        <v>736753</v>
      </c>
    </row>
    <row r="8040" spans="1:6" ht="13.5" customHeight="1">
      <c r="A8040" s="4" t="s">
        <v>18541</v>
      </c>
      <c r="B8040" s="4" t="s">
        <v>18542</v>
      </c>
      <c r="C8040" s="4" t="str">
        <f ca="1">IFERROR(__xludf.DUMMYFUNCTION("GOOGLETRANSLATE(D:D,""auto"",""en"")"),"Gold large Ken infection Niikappu")</f>
        <v>Gold large Ken infection Niikappu</v>
      </c>
      <c r="D8040" s="5" t="s">
        <v>18543</v>
      </c>
      <c r="E8040" s="4">
        <v>735794</v>
      </c>
      <c r="F8040">
        <v>1</v>
      </c>
    </row>
    <row r="8041" spans="1:6" ht="13.5" hidden="1" customHeight="1">
      <c r="A8041" s="4" t="s">
        <v>18544</v>
      </c>
      <c r="B8041" s="4" t="s">
        <v>18545</v>
      </c>
      <c r="C8041" s="4" t="str">
        <f ca="1">IFERROR(__xludf.DUMMYFUNCTION("GOOGLETRANSLATE(D:D,""auto"",""en"")"),"Failing ladies")</f>
        <v>Failing ladies</v>
      </c>
      <c r="D8041" s="5" t="s">
        <v>18546</v>
      </c>
      <c r="E8041" s="4">
        <v>733980</v>
      </c>
    </row>
    <row r="8042" spans="1:6" ht="13.5" hidden="1" customHeight="1">
      <c r="A8042" s="4" t="s">
        <v>18547</v>
      </c>
      <c r="B8042" s="4" t="s">
        <v>18548</v>
      </c>
      <c r="C8042" s="4" t="str">
        <f ca="1">IFERROR(__xludf.DUMMYFUNCTION("GOOGLETRANSLATE(D:D,""auto"",""en"")"),"Apple's Chinese official website of each person may purchase two iPhone")</f>
        <v>Apple's Chinese official website of each person may purchase two iPhone</v>
      </c>
      <c r="D8042" s="5" t="s">
        <v>18549</v>
      </c>
      <c r="E8042" s="4">
        <v>733886</v>
      </c>
    </row>
    <row r="8043" spans="1:6" ht="13.5" customHeight="1">
      <c r="A8043" s="4" t="s">
        <v>18550</v>
      </c>
      <c r="B8043" s="4" t="s">
        <v>18373</v>
      </c>
      <c r="C8043" s="4" t="str">
        <f ca="1">IFERROR(__xludf.DUMMYFUNCTION("GOOGLETRANSLATE(D:D,""auto"",""en"")"),"Italian mayor closed a love hate people running the")</f>
        <v>Italian mayor closed a love hate people running the</v>
      </c>
      <c r="D8043" s="5" t="s">
        <v>18551</v>
      </c>
      <c r="E8043" s="4">
        <v>732904</v>
      </c>
      <c r="F8043">
        <v>1</v>
      </c>
    </row>
    <row r="8044" spans="1:6" ht="13.5" hidden="1" customHeight="1">
      <c r="A8044" s="4" t="s">
        <v>18552</v>
      </c>
      <c r="B8044" s="4" t="s">
        <v>18553</v>
      </c>
      <c r="C8044" s="4" t="str">
        <f ca="1">IFERROR(__xludf.DUMMYFUNCTION("GOOGLETRANSLATE(D:D,""auto"",""en"")"),"The RMB against the US dollar fell below 7.1")</f>
        <v>The RMB against the US dollar fell below 7.1</v>
      </c>
      <c r="D8044" s="5" t="s">
        <v>18554</v>
      </c>
      <c r="E8044" s="4">
        <v>707260</v>
      </c>
    </row>
    <row r="8045" spans="1:6" ht="13.5" hidden="1" customHeight="1">
      <c r="A8045" s="4" t="s">
        <v>18555</v>
      </c>
      <c r="B8045" s="4" t="s">
        <v>18556</v>
      </c>
      <c r="C8045" s="4" t="str">
        <f ca="1">IFERROR(__xludf.DUMMYFUNCTION("GOOGLETRANSLATE(D:D,""auto"",""en"")"),"Argentina meet young woman sweetheart")</f>
        <v>Argentina meet young woman sweetheart</v>
      </c>
      <c r="D8045" s="5" t="s">
        <v>18557</v>
      </c>
      <c r="E8045" s="4">
        <v>702754</v>
      </c>
    </row>
    <row r="8046" spans="1:6" ht="13.5" hidden="1" customHeight="1">
      <c r="A8046" s="4" t="s">
        <v>18552</v>
      </c>
      <c r="B8046" s="4" t="s">
        <v>18393</v>
      </c>
      <c r="C8046" s="4" t="str">
        <f ca="1">IFERROR(__xludf.DUMMYFUNCTION("GOOGLETRANSLATE(D:D,""auto"",""en"")"),"Leo Ku son frontal")</f>
        <v>Leo Ku son frontal</v>
      </c>
      <c r="D8046" s="5" t="s">
        <v>18558</v>
      </c>
      <c r="E8046" s="4">
        <v>682500</v>
      </c>
    </row>
    <row r="8047" spans="1:6" ht="13.5" customHeight="1">
      <c r="A8047" s="4" t="s">
        <v>18559</v>
      </c>
      <c r="B8047" s="4" t="s">
        <v>18560</v>
      </c>
      <c r="C8047" s="4" t="str">
        <f ca="1">IFERROR(__xludf.DUMMYFUNCTION("GOOGLETRANSLATE(D:D,""auto"",""en"")"),"Trump said it would treat pneumonia with chloroquine new crown")</f>
        <v>Trump said it would treat pneumonia with chloroquine new crown</v>
      </c>
      <c r="D8047" s="5" t="s">
        <v>18561</v>
      </c>
      <c r="E8047" s="4">
        <v>603848</v>
      </c>
      <c r="F8047">
        <v>1</v>
      </c>
    </row>
    <row r="8048" spans="1:6" ht="13.5" hidden="1" customHeight="1">
      <c r="A8048" s="4" t="s">
        <v>18562</v>
      </c>
      <c r="B8048" s="4" t="s">
        <v>18563</v>
      </c>
      <c r="C8048" s="4" t="str">
        <f ca="1">IFERROR(__xludf.DUMMYFUNCTION("GOOGLETRANSLATE(D:D,""auto"",""en"")"),"Serbian village sky")</f>
        <v>Serbian village sky</v>
      </c>
      <c r="D8048" s="5" t="s">
        <v>18564</v>
      </c>
      <c r="E8048" s="4">
        <v>536156</v>
      </c>
    </row>
    <row r="8049" spans="1:6" ht="13.5" customHeight="1">
      <c r="A8049" s="4" t="s">
        <v>18565</v>
      </c>
      <c r="B8049" s="4" t="s">
        <v>18566</v>
      </c>
      <c r="C8049" s="4" t="str">
        <f ca="1">IFERROR(__xludf.DUMMYFUNCTION("GOOGLETRANSLATE(D:D,""auto"",""en"")"),"Why athletes susceptible to the new virus crown")</f>
        <v>Why athletes susceptible to the new virus crown</v>
      </c>
      <c r="D8049" s="5" t="s">
        <v>18567</v>
      </c>
      <c r="E8049" s="4">
        <v>523797</v>
      </c>
      <c r="F8049">
        <v>1</v>
      </c>
    </row>
    <row r="8050" spans="1:6" ht="13.5" hidden="1" customHeight="1">
      <c r="A8050" s="4" t="s">
        <v>18568</v>
      </c>
      <c r="B8050" s="4" t="s">
        <v>18569</v>
      </c>
      <c r="C8050" s="4" t="str">
        <f ca="1">IFERROR(__xludf.DUMMYFUNCTION("GOOGLETRANSLATE(D:D,""auto"",""en"")"),"Chinese data recovery in night lights")</f>
        <v>Chinese data recovery in night lights</v>
      </c>
      <c r="D8050" s="5" t="s">
        <v>18570</v>
      </c>
      <c r="E8050" s="4">
        <v>486727</v>
      </c>
    </row>
    <row r="8051" spans="1:6" ht="13.5" customHeight="1">
      <c r="A8051" s="4" t="s">
        <v>18571</v>
      </c>
      <c r="B8051" s="4" t="s">
        <v>18572</v>
      </c>
      <c r="C8051" s="4" t="str">
        <f ca="1">IFERROR(__xludf.DUMMYFUNCTION("GOOGLETRANSLATE(D:D,""auto"",""en"")"),"76 members of the new crown three tested positive")</f>
        <v>76 members of the new crown three tested positive</v>
      </c>
      <c r="D8051" s="5" t="s">
        <v>18573</v>
      </c>
      <c r="E8051" s="4">
        <v>433883</v>
      </c>
      <c r="F8051">
        <v>1</v>
      </c>
    </row>
    <row r="8052" spans="1:6" ht="13.5" customHeight="1">
      <c r="A8052" s="4" t="s">
        <v>18511</v>
      </c>
      <c r="B8052" s="4" t="s">
        <v>18574</v>
      </c>
      <c r="C8052" s="4" t="str">
        <f ca="1">IFERROR(__xludf.DUMMYFUNCTION("GOOGLETRANSLATE(D:D,""auto"",""en"")"),"US holidaymakers despite the epidemic persist carnival")</f>
        <v>US holidaymakers despite the epidemic persist carnival</v>
      </c>
      <c r="D8052" s="5" t="s">
        <v>18575</v>
      </c>
      <c r="E8052" s="4">
        <v>427374</v>
      </c>
      <c r="F8052">
        <v>1</v>
      </c>
    </row>
    <row r="8053" spans="1:6" ht="13.5" hidden="1" customHeight="1">
      <c r="A8053" s="4" t="s">
        <v>11617</v>
      </c>
      <c r="B8053" s="4" t="s">
        <v>11618</v>
      </c>
      <c r="C8053" s="4" t="str">
        <f ca="1">IFERROR(__xludf.DUMMYFUNCTION("GOOGLETRANSLATE(D:D,""auto"",""en"")"),"PubMed state line")</f>
        <v>PubMed state line</v>
      </c>
      <c r="D8053" s="5" t="s">
        <v>11619</v>
      </c>
      <c r="E8053" s="4">
        <v>375120</v>
      </c>
    </row>
    <row r="8054" spans="1:6" ht="13.5" customHeight="1">
      <c r="A8054" s="4" t="s">
        <v>18526</v>
      </c>
      <c r="B8054" s="4" t="s">
        <v>18553</v>
      </c>
      <c r="C8054" s="4" t="str">
        <f ca="1">IFERROR(__xludf.DUMMYFUNCTION("GOOGLETRANSLATE(D:D,""auto"",""en"")"),"Shanghai Metro put Contagion hero photo")</f>
        <v>Shanghai Metro put Contagion hero photo</v>
      </c>
      <c r="D8054" s="5" t="s">
        <v>18576</v>
      </c>
      <c r="E8054" s="4">
        <v>369135</v>
      </c>
      <c r="F8054">
        <v>1</v>
      </c>
    </row>
    <row r="8055" spans="1:6" ht="13.5" hidden="1" customHeight="1">
      <c r="A8055" s="4" t="s">
        <v>18511</v>
      </c>
      <c r="B8055" s="4" t="s">
        <v>18577</v>
      </c>
      <c r="C8055" s="4" t="str">
        <f ca="1">IFERROR(__xludf.DUMMYFUNCTION("GOOGLETRANSLATE(D:D,""auto"",""en"")"),"Members aunt immediately wipe clean finished talking tables")</f>
        <v>Members aunt immediately wipe clean finished talking tables</v>
      </c>
      <c r="D8055" s="5" t="s">
        <v>18578</v>
      </c>
      <c r="E8055" s="4">
        <v>326758</v>
      </c>
    </row>
    <row r="8056" spans="1:6" ht="13.5" hidden="1" customHeight="1">
      <c r="A8056" s="4" t="s">
        <v>18579</v>
      </c>
      <c r="B8056" s="4" t="s">
        <v>18580</v>
      </c>
      <c r="C8056" s="4" t="str">
        <f ca="1">IFERROR(__xludf.DUMMYFUNCTION("GOOGLETRANSLATE(D:D,""auto"",""en"")"),"James supports the closed city of Los Angeles")</f>
        <v>James supports the closed city of Los Angeles</v>
      </c>
      <c r="D8056" s="5" t="s">
        <v>18581</v>
      </c>
      <c r="E8056" s="4">
        <v>326243</v>
      </c>
    </row>
    <row r="8057" spans="1:6" ht="13.5" customHeight="1">
      <c r="A8057" s="4" t="s">
        <v>18582</v>
      </c>
      <c r="B8057" s="4" t="s">
        <v>18583</v>
      </c>
      <c r="C8057" s="4" t="str">
        <f ca="1">IFERROR(__xludf.DUMMYFUNCTION("GOOGLETRANSLATE(D:D,""auto"",""en"")"),"Guangdong inform new foreign input 14 cases")</f>
        <v>Guangdong inform new foreign input 14 cases</v>
      </c>
      <c r="D8057" s="5" t="s">
        <v>18584</v>
      </c>
      <c r="E8057" s="4">
        <v>325323</v>
      </c>
      <c r="F8057">
        <v>1</v>
      </c>
    </row>
    <row r="8058" spans="1:6" ht="13.5" hidden="1" customHeight="1">
      <c r="A8058" s="4" t="s">
        <v>18585</v>
      </c>
      <c r="B8058" s="4" t="s">
        <v>18586</v>
      </c>
      <c r="C8058" s="4" t="str">
        <f ca="1">IFERROR(__xludf.DUMMYFUNCTION("GOOGLETRANSLATE(D:D,""auto"",""en"")"),"Vision China to resume operations")</f>
        <v>Vision China to resume operations</v>
      </c>
      <c r="D8058" s="5" t="s">
        <v>18587</v>
      </c>
      <c r="E8058" s="4">
        <v>315230</v>
      </c>
    </row>
    <row r="8059" spans="1:6" ht="13.5" hidden="1" customHeight="1">
      <c r="A8059" s="4" t="s">
        <v>18531</v>
      </c>
      <c r="B8059" s="4" t="s">
        <v>18382</v>
      </c>
      <c r="C8059" s="4" t="str">
        <f ca="1">IFERROR(__xludf.DUMMYFUNCTION("GOOGLETRANSLATE(D:D,""auto"",""en"")"),"Beijing cadres and workers required to master the situation of children returning from overseas")</f>
        <v>Beijing cadres and workers required to master the situation of children returning from overseas</v>
      </c>
      <c r="D8059" s="5" t="s">
        <v>18588</v>
      </c>
      <c r="E8059" s="4">
        <v>308090</v>
      </c>
    </row>
    <row r="8060" spans="1:6" ht="13.5" hidden="1" customHeight="1">
      <c r="A8060" s="4" t="s">
        <v>11617</v>
      </c>
      <c r="B8060" s="4" t="s">
        <v>18572</v>
      </c>
      <c r="C8060" s="4" t="str">
        <f ca="1">IFERROR(__xludf.DUMMYFUNCTION("GOOGLETRANSLATE(D:D,""auto"",""en"")"),"Rescue team members Wang Lei")</f>
        <v>Rescue team members Wang Lei</v>
      </c>
      <c r="D8060" s="5" t="s">
        <v>18589</v>
      </c>
      <c r="E8060" s="4">
        <v>297945</v>
      </c>
    </row>
    <row r="8061" spans="1:6" ht="13.5" hidden="1" customHeight="1">
      <c r="A8061" s="4" t="s">
        <v>18590</v>
      </c>
      <c r="B8061" s="4" t="s">
        <v>18591</v>
      </c>
      <c r="C8061" s="4" t="str">
        <f ca="1">IFERROR(__xludf.DUMMYFUNCTION("GOOGLETRANSLATE(D:D,""auto"",""en"")"),"Small Hua Xian")</f>
        <v>Small Hua Xian</v>
      </c>
      <c r="D8061" s="5" t="s">
        <v>18592</v>
      </c>
      <c r="E8061" s="4">
        <v>296969</v>
      </c>
    </row>
    <row r="8062" spans="1:6" ht="13.5" customHeight="1">
      <c r="A8062" s="4" t="s">
        <v>18593</v>
      </c>
      <c r="B8062" s="4" t="s">
        <v>18591</v>
      </c>
      <c r="C8062" s="4" t="str">
        <f ca="1">IFERROR(__xludf.DUMMYFUNCTION("GOOGLETRANSLATE(D:D,""auto"",""en"")"),"British Prime Minister said it would reverse the epidemic in 12 weeks")</f>
        <v>British Prime Minister said it would reverse the epidemic in 12 weeks</v>
      </c>
      <c r="D8062" s="5" t="s">
        <v>18594</v>
      </c>
      <c r="E8062" s="4">
        <v>296700</v>
      </c>
      <c r="F8062">
        <v>1</v>
      </c>
    </row>
    <row r="8063" spans="1:6" ht="13.5" hidden="1" customHeight="1">
      <c r="A8063" s="4" t="s">
        <v>18528</v>
      </c>
      <c r="B8063" s="4" t="s">
        <v>18595</v>
      </c>
      <c r="C8063" s="4" t="str">
        <f ca="1">IFERROR(__xludf.DUMMYFUNCTION("GOOGLETRANSLATE(D:D,""auto"",""en"")"),"5.9 earthquake occurred in Mongolia")</f>
        <v>5.9 earthquake occurred in Mongolia</v>
      </c>
      <c r="D8063" s="5" t="s">
        <v>18596</v>
      </c>
      <c r="E8063" s="4">
        <v>295063</v>
      </c>
    </row>
    <row r="8064" spans="1:6" ht="13.5" hidden="1" customHeight="1">
      <c r="A8064" s="4" t="s">
        <v>18552</v>
      </c>
      <c r="B8064" s="4" t="s">
        <v>18591</v>
      </c>
      <c r="C8064" s="4" t="str">
        <f ca="1">IFERROR(__xludf.DUMMYFUNCTION("GOOGLETRANSLATE(D:D,""auto"",""en"")"),"Tokyo Olympic flame arrives in Japan")</f>
        <v>Tokyo Olympic flame arrives in Japan</v>
      </c>
      <c r="D8064" s="5" t="s">
        <v>18597</v>
      </c>
      <c r="E8064" s="4">
        <v>294461</v>
      </c>
    </row>
    <row r="8065" spans="1:6" ht="13.5" hidden="1" customHeight="1">
      <c r="A8065" s="4" t="s">
        <v>18598</v>
      </c>
      <c r="B8065" s="4" t="s">
        <v>18599</v>
      </c>
      <c r="C8065" s="4" t="str">
        <f ca="1">IFERROR(__xludf.DUMMYFUNCTION("GOOGLETRANSLATE(D:D,""auto"",""en"")"),"Ink soul")</f>
        <v>Ink soul</v>
      </c>
      <c r="D8065" s="5" t="s">
        <v>18600</v>
      </c>
      <c r="E8065" s="4">
        <v>293642</v>
      </c>
    </row>
    <row r="8066" spans="1:6" ht="13.5" hidden="1" customHeight="1">
      <c r="A8066" s="4" t="s">
        <v>18601</v>
      </c>
      <c r="B8066" s="4" t="s">
        <v>18591</v>
      </c>
      <c r="C8066" s="4" t="str">
        <f ca="1">IFERROR(__xludf.DUMMYFUNCTION("GOOGLETRANSLATE(D:D,""auto"",""en"")"),"Jacket bag")</f>
        <v>Jacket bag</v>
      </c>
      <c r="D8066" s="5" t="s">
        <v>18602</v>
      </c>
      <c r="E8066" s="4">
        <v>292821</v>
      </c>
    </row>
    <row r="8067" spans="1:6" ht="13.5" hidden="1" customHeight="1">
      <c r="A8067" s="4" t="s">
        <v>18603</v>
      </c>
      <c r="B8067" s="4" t="s">
        <v>18604</v>
      </c>
      <c r="C8067" s="4" t="str">
        <f ca="1">IFERROR(__xludf.DUMMYFUNCTION("GOOGLETRANSLATE(D:D,""auto"",""en"")"),"Rabbit II working days and mileage dual four hundred")</f>
        <v>Rabbit II working days and mileage dual four hundred</v>
      </c>
      <c r="D8067" s="5" t="s">
        <v>18605</v>
      </c>
      <c r="E8067" s="4">
        <v>291378</v>
      </c>
    </row>
    <row r="8068" spans="1:6" ht="13.5" customHeight="1">
      <c r="A8068" s="4" t="s">
        <v>18606</v>
      </c>
      <c r="B8068" s="4" t="s">
        <v>18560</v>
      </c>
      <c r="C8068" s="4" t="str">
        <f ca="1">IFERROR(__xludf.DUMMYFUNCTION("GOOGLETRANSLATE(D:D,""auto"",""en"")"),"Wuhan Red Cross Hospital will temporarily shut down")</f>
        <v>Wuhan Red Cross Hospital will temporarily shut down</v>
      </c>
      <c r="D8068" s="5" t="s">
        <v>18607</v>
      </c>
      <c r="E8068" s="4">
        <v>290958</v>
      </c>
      <c r="F8068">
        <v>1</v>
      </c>
    </row>
    <row r="8069" spans="1:6" ht="13.5" hidden="1" customHeight="1">
      <c r="A8069" s="4" t="s">
        <v>18608</v>
      </c>
      <c r="B8069" s="4" t="s">
        <v>18609</v>
      </c>
      <c r="C8069" s="4" t="str">
        <f ca="1">IFERROR(__xludf.DUMMYFUNCTION("GOOGLETRANSLATE(D:D,""auto"",""en"")"),"Summer research vocals")</f>
        <v>Summer research vocals</v>
      </c>
      <c r="D8069" s="5" t="s">
        <v>18610</v>
      </c>
      <c r="E8069" s="4">
        <v>278643</v>
      </c>
    </row>
    <row r="8070" spans="1:6" ht="13.5" hidden="1" customHeight="1">
      <c r="A8070" s="4" t="s">
        <v>18611</v>
      </c>
      <c r="B8070" s="4" t="s">
        <v>18572</v>
      </c>
      <c r="C8070" s="4" t="str">
        <f ca="1">IFERROR(__xludf.DUMMYFUNCTION("GOOGLETRANSLATE(D:D,""auto"",""en"")"),"California closed city")</f>
        <v>California closed city</v>
      </c>
      <c r="D8070" s="5" t="s">
        <v>18612</v>
      </c>
      <c r="E8070" s="4">
        <v>269408</v>
      </c>
    </row>
    <row r="8071" spans="1:6" ht="13.5" hidden="1" customHeight="1">
      <c r="C8071" s="4" t="str">
        <f ca="1">IFERROR(__xludf.DUMMYFUNCTION("GOOGLETRANSLATE(D:D,""auto"",""en"")"),"#VALUE!")</f>
        <v>#VALUE!</v>
      </c>
    </row>
    <row r="8072" spans="1:6" ht="13.5" hidden="1" customHeight="1">
      <c r="A8072" s="4" t="s">
        <v>18613</v>
      </c>
      <c r="B8072" s="4" t="s">
        <v>18614</v>
      </c>
      <c r="C8072" s="4" t="str">
        <f ca="1">IFERROR(__xludf.DUMMYFUNCTION("GOOGLETRANSLATE(D:D,""auto"",""en"")"),"Lin Yun Zhang Xincheng Naicha")</f>
        <v>Lin Yun Zhang Xincheng Naicha</v>
      </c>
      <c r="D8072" s="4" t="s">
        <v>18615</v>
      </c>
      <c r="E8072" s="4">
        <v>3249590</v>
      </c>
    </row>
    <row r="8073" spans="1:6" ht="13.5" customHeight="1">
      <c r="A8073" s="4" t="s">
        <v>18616</v>
      </c>
      <c r="B8073" s="4" t="s">
        <v>18617</v>
      </c>
      <c r="C8073" s="4" t="str">
        <f ca="1">IFERROR(__xludf.DUMMYFUNCTION("GOOGLETRANSLATE(D:D,""auto"",""en"")"),"Italian hospital internal screen")</f>
        <v>Italian hospital internal screen</v>
      </c>
      <c r="D8073" s="5" t="s">
        <v>18618</v>
      </c>
      <c r="E8073" s="4">
        <v>1318480</v>
      </c>
      <c r="F8073">
        <v>1</v>
      </c>
    </row>
    <row r="8074" spans="1:6" ht="13.5" hidden="1" customHeight="1">
      <c r="A8074" s="4" t="s">
        <v>18619</v>
      </c>
      <c r="B8074" s="4" t="s">
        <v>18620</v>
      </c>
      <c r="C8074" s="4" t="str">
        <f ca="1">IFERROR(__xludf.DUMMYFUNCTION("GOOGLETRANSLATE(D:D,""auto"",""en"")"),"InTadashi acting")</f>
        <v>InTadashi acting</v>
      </c>
      <c r="D8074" s="5" t="s">
        <v>18621</v>
      </c>
      <c r="E8074" s="4">
        <v>1292737</v>
      </c>
    </row>
    <row r="8075" spans="1:6" ht="13.5" customHeight="1">
      <c r="A8075" s="4" t="s">
        <v>18622</v>
      </c>
      <c r="B8075" s="4" t="s">
        <v>18623</v>
      </c>
      <c r="C8075" s="4" t="str">
        <f ca="1">IFERROR(__xludf.DUMMYFUNCTION("GOOGLETRANSLATE(D:D,""auto"",""en"")"),"Trump epidemic briefing doze")</f>
        <v>Trump epidemic briefing doze</v>
      </c>
      <c r="D8075" s="5" t="s">
        <v>18624</v>
      </c>
      <c r="E8075" s="4">
        <v>1276825</v>
      </c>
      <c r="F8075">
        <v>1</v>
      </c>
    </row>
    <row r="8076" spans="1:6" ht="13.5" hidden="1" customHeight="1">
      <c r="A8076" s="4" t="s">
        <v>18625</v>
      </c>
      <c r="B8076" s="4" t="s">
        <v>7298</v>
      </c>
      <c r="C8076" s="4" t="str">
        <f ca="1">IFERROR(__xludf.DUMMYFUNCTION("GOOGLETRANSLATE(D:D,""auto"",""en"")"),"Han letter of thanks")</f>
        <v>Han letter of thanks</v>
      </c>
      <c r="D8076" s="5" t="s">
        <v>18626</v>
      </c>
      <c r="E8076" s="4">
        <v>1228754</v>
      </c>
    </row>
    <row r="8077" spans="1:6" ht="13.5" customHeight="1">
      <c r="A8077" s="4" t="s">
        <v>18627</v>
      </c>
      <c r="B8077" s="4" t="s">
        <v>18628</v>
      </c>
      <c r="C8077" s="4" t="str">
        <f ca="1">IFERROR(__xludf.DUMMYFUNCTION("GOOGLETRANSLATE(D:D,""auto"",""en"")"),"Glass kiss every female nurse with her boyfriend licensing")</f>
        <v>Glass kiss every female nurse with her boyfriend licensing</v>
      </c>
      <c r="D8077" s="5" t="s">
        <v>18629</v>
      </c>
      <c r="E8077" s="4">
        <v>1049124</v>
      </c>
      <c r="F8077">
        <v>1</v>
      </c>
    </row>
    <row r="8078" spans="1:6" ht="13.5" hidden="1" customHeight="1">
      <c r="A8078" s="4" t="s">
        <v>18630</v>
      </c>
      <c r="B8078" s="4" t="s">
        <v>18631</v>
      </c>
      <c r="C8078" s="4" t="str">
        <f ca="1">IFERROR(__xludf.DUMMYFUNCTION("GOOGLETRANSLATE(D:D,""auto"",""en"")"),"Xu aunt father for his son to do pretenders")</f>
        <v>Xu aunt father for his son to do pretenders</v>
      </c>
      <c r="D8078" s="5" t="s">
        <v>18632</v>
      </c>
      <c r="E8078" s="4">
        <v>1019226</v>
      </c>
    </row>
    <row r="8079" spans="1:6" ht="13.5" customHeight="1">
      <c r="A8079" s="4" t="s">
        <v>18633</v>
      </c>
      <c r="B8079" s="4" t="s">
        <v>18634</v>
      </c>
      <c r="C8079" s="4" t="str">
        <f ca="1">IFERROR(__xludf.DUMMYFUNCTION("GOOGLETRANSLATE(D:D,""auto"",""en"")"),"A German school five Chinese students diagnosed")</f>
        <v>A German school five Chinese students diagnosed</v>
      </c>
      <c r="D8079" s="5" t="s">
        <v>18635</v>
      </c>
      <c r="E8079" s="4">
        <v>761126</v>
      </c>
      <c r="F8079">
        <v>1</v>
      </c>
    </row>
    <row r="8080" spans="1:6" ht="13.5" hidden="1" customHeight="1">
      <c r="A8080" s="4" t="s">
        <v>18636</v>
      </c>
      <c r="B8080" s="4" t="s">
        <v>18637</v>
      </c>
      <c r="C8080" s="4" t="str">
        <f ca="1">IFERROR(__xludf.DUMMYFUNCTION("GOOGLETRANSLATE(D:D,""auto"",""en"")"),"Stankovic's death")</f>
        <v>Stankovic's death</v>
      </c>
      <c r="D8080" s="5" t="s">
        <v>18638</v>
      </c>
      <c r="E8080" s="4">
        <v>755528</v>
      </c>
    </row>
    <row r="8081" spans="1:6" ht="13.5" hidden="1" customHeight="1">
      <c r="A8081" s="4" t="s">
        <v>18639</v>
      </c>
      <c r="B8081" s="4" t="s">
        <v>18640</v>
      </c>
      <c r="C8081" s="4" t="str">
        <f ca="1">IFERROR(__xludf.DUMMYFUNCTION("GOOGLETRANSLATE(D:D,""auto"",""en"")"),"ID card may redeem at maturity Living")</f>
        <v>ID card may redeem at maturity Living</v>
      </c>
      <c r="D8081" s="5" t="s">
        <v>18641</v>
      </c>
      <c r="E8081" s="4">
        <v>751969</v>
      </c>
    </row>
    <row r="8082" spans="1:6" ht="13.5" hidden="1" customHeight="1">
      <c r="A8082" s="4" t="s">
        <v>18630</v>
      </c>
      <c r="B8082" s="4" t="s">
        <v>18642</v>
      </c>
      <c r="C8082" s="4" t="str">
        <f ca="1">IFERROR(__xludf.DUMMYFUNCTION("GOOGLETRANSLATE(D:D,""auto"",""en"")"),"Ambassador to the United Kingdom in response to students return")</f>
        <v>Ambassador to the United Kingdom in response to students return</v>
      </c>
      <c r="D8082" s="5" t="s">
        <v>18643</v>
      </c>
      <c r="E8082" s="4">
        <v>729512</v>
      </c>
    </row>
    <row r="8083" spans="1:6" ht="13.5" hidden="1" customHeight="1">
      <c r="A8083" s="4" t="s">
        <v>18644</v>
      </c>
      <c r="B8083" s="4" t="s">
        <v>18620</v>
      </c>
      <c r="C8083" s="4" t="str">
        <f ca="1">IFERROR(__xludf.DUMMYFUNCTION("GOOGLETRANSLATE(D:D,""auto"",""en"")"),"Silvia Cheer Song Weilong")</f>
        <v>Silvia Cheer Song Weilong</v>
      </c>
      <c r="D8083" s="5" t="s">
        <v>18645</v>
      </c>
      <c r="E8083" s="4">
        <v>703991</v>
      </c>
    </row>
    <row r="8084" spans="1:6" ht="13.5" hidden="1" customHeight="1">
      <c r="A8084" s="4" t="s">
        <v>2917</v>
      </c>
      <c r="B8084" s="4" t="s">
        <v>2918</v>
      </c>
      <c r="C8084" s="4" t="str">
        <f ca="1">IFERROR(__xludf.DUMMYFUNCTION("GOOGLETRANSLATE(D:D,""auto"",""en"")"),"Negotiator")</f>
        <v>Negotiator</v>
      </c>
      <c r="D8084" s="5" t="s">
        <v>2919</v>
      </c>
      <c r="E8084" s="4">
        <v>676949</v>
      </c>
    </row>
    <row r="8085" spans="1:6" ht="13.5" hidden="1" customHeight="1">
      <c r="A8085" s="4" t="s">
        <v>18646</v>
      </c>
      <c r="B8085" s="4" t="s">
        <v>18647</v>
      </c>
      <c r="C8085" s="4" t="str">
        <f ca="1">IFERROR(__xludf.DUMMYFUNCTION("GOOGLETRANSLATE(D:D,""auto"",""en"")"),"985 Guage emotions")</f>
        <v>985 Guage emotions</v>
      </c>
      <c r="D8085" s="5" t="s">
        <v>18648</v>
      </c>
      <c r="E8085" s="4">
        <v>571483</v>
      </c>
    </row>
    <row r="8086" spans="1:6" ht="13.5" customHeight="1">
      <c r="A8086" s="4" t="s">
        <v>18649</v>
      </c>
      <c r="B8086" s="4" t="s">
        <v>18650</v>
      </c>
      <c r="C8086" s="4" t="str">
        <f ca="1">IFERROR(__xludf.DUMMYFUNCTION("GOOGLETRANSLATE(D:D,""auto"",""en"")"),"Italian Chinese house to house to send masks")</f>
        <v>Italian Chinese house to house to send masks</v>
      </c>
      <c r="D8086" s="5" t="s">
        <v>18651</v>
      </c>
      <c r="E8086" s="4">
        <v>525310</v>
      </c>
      <c r="F8086">
        <v>1</v>
      </c>
    </row>
    <row r="8087" spans="1:6" ht="13.5" hidden="1" customHeight="1">
      <c r="A8087" s="4" t="s">
        <v>18652</v>
      </c>
      <c r="B8087" s="4" t="s">
        <v>18653</v>
      </c>
      <c r="C8087" s="4" t="str">
        <f ca="1">IFERROR(__xludf.DUMMYFUNCTION("GOOGLETRANSLATE(D:D,""auto"",""en"")"),"Guangzhou Duwang")</f>
        <v>Guangzhou Duwang</v>
      </c>
      <c r="D8087" s="5" t="s">
        <v>18654</v>
      </c>
      <c r="E8087" s="4">
        <v>525236</v>
      </c>
    </row>
    <row r="8088" spans="1:6" ht="13.5" hidden="1" customHeight="1">
      <c r="A8088" s="4" t="s">
        <v>18655</v>
      </c>
      <c r="B8088" s="4" t="s">
        <v>18656</v>
      </c>
      <c r="C8088" s="4" t="str">
        <f ca="1">IFERROR(__xludf.DUMMYFUNCTION("GOOGLETRANSLATE(D:D,""auto"",""en"")"),"Itaewon Class")</f>
        <v>Itaewon Class</v>
      </c>
      <c r="D8088" s="5" t="s">
        <v>18657</v>
      </c>
      <c r="E8088" s="4">
        <v>525051</v>
      </c>
    </row>
    <row r="8089" spans="1:6" ht="13.5" customHeight="1">
      <c r="A8089" s="4" t="s">
        <v>18658</v>
      </c>
      <c r="B8089" s="4" t="s">
        <v>18659</v>
      </c>
      <c r="C8089" s="4" t="str">
        <f ca="1">IFERROR(__xludf.DUMMYFUNCTION("GOOGLETRANSLATE(D:D,""auto"",""en"")"),"The official response to community nurses were driven")</f>
        <v>The official response to community nurses were driven</v>
      </c>
      <c r="D8089" s="5" t="s">
        <v>18660</v>
      </c>
      <c r="E8089" s="4">
        <v>524689</v>
      </c>
      <c r="F8089">
        <v>1</v>
      </c>
    </row>
    <row r="8090" spans="1:6" ht="13.5" hidden="1" customHeight="1">
      <c r="A8090" s="4" t="s">
        <v>13737</v>
      </c>
      <c r="B8090" s="4" t="s">
        <v>13738</v>
      </c>
      <c r="C8090" s="4" t="str">
        <f ca="1">IFERROR(__xludf.DUMMYFUNCTION("GOOGLETRANSLATE(D:D,""auto"",""en"")"),"Dow Jones")</f>
        <v>Dow Jones</v>
      </c>
      <c r="D8090" s="5" t="s">
        <v>13739</v>
      </c>
      <c r="E8090" s="4">
        <v>524440</v>
      </c>
    </row>
    <row r="8091" spans="1:6" ht="13.5" hidden="1" customHeight="1">
      <c r="A8091" s="4" t="s">
        <v>18661</v>
      </c>
      <c r="B8091" s="4" t="s">
        <v>18662</v>
      </c>
      <c r="C8091" s="4" t="str">
        <f ca="1">IFERROR(__xludf.DUMMYFUNCTION("GOOGLETRANSLATE(D:D,""auto"",""en"")"),"Guan Xiaotong Liu Yan jump Mangzhong")</f>
        <v>Guan Xiaotong Liu Yan jump Mangzhong</v>
      </c>
      <c r="D8091" s="5" t="s">
        <v>18663</v>
      </c>
      <c r="E8091" s="4">
        <v>524196</v>
      </c>
    </row>
    <row r="8092" spans="1:6" ht="13.5" hidden="1" customHeight="1">
      <c r="A8092" s="4" t="s">
        <v>18664</v>
      </c>
      <c r="B8092" s="4" t="s">
        <v>18665</v>
      </c>
      <c r="C8092" s="4" t="str">
        <f ca="1">IFERROR(__xludf.DUMMYFUNCTION("GOOGLETRANSLATE(D:D,""auto"",""en"")"),"Fengtai Cheng Huang Xiaoming play")</f>
        <v>Fengtai Cheng Huang Xiaoming play</v>
      </c>
      <c r="D8092" s="5" t="s">
        <v>18666</v>
      </c>
      <c r="E8092" s="4">
        <v>524004</v>
      </c>
    </row>
    <row r="8093" spans="1:6" ht="13.5" hidden="1" customHeight="1">
      <c r="A8093" s="4" t="s">
        <v>18667</v>
      </c>
      <c r="B8093" s="4" t="s">
        <v>18668</v>
      </c>
      <c r="C8093" s="4" t="str">
        <f ca="1">IFERROR(__xludf.DUMMYFUNCTION("GOOGLETRANSLATE(D:D,""auto"",""en"")"),"Geng Shuang said the United States did not receive the so-called 100 million aid")</f>
        <v>Geng Shuang said the United States did not receive the so-called 100 million aid</v>
      </c>
      <c r="D8093" s="5" t="s">
        <v>18669</v>
      </c>
      <c r="E8093" s="4">
        <v>523915</v>
      </c>
    </row>
    <row r="8094" spans="1:6" ht="13.5" hidden="1" customHeight="1">
      <c r="A8094" s="4" t="s">
        <v>18670</v>
      </c>
      <c r="B8094" s="4" t="s">
        <v>18671</v>
      </c>
      <c r="C8094" s="4" t="str">
        <f ca="1">IFERROR(__xludf.DUMMYFUNCTION("GOOGLETRANSLATE(D:D,""auto"",""en"")"),"Binbian not Begonia Red")</f>
        <v>Binbian not Begonia Red</v>
      </c>
      <c r="D8094" s="5" t="s">
        <v>18672</v>
      </c>
      <c r="E8094" s="4">
        <v>516180</v>
      </c>
    </row>
    <row r="8095" spans="1:6" ht="13.5" customHeight="1">
      <c r="A8095" s="4" t="s">
        <v>18673</v>
      </c>
      <c r="B8095" s="4" t="s">
        <v>18674</v>
      </c>
      <c r="C8095" s="4" t="str">
        <f ca="1">IFERROR(__xludf.DUMMYFUNCTION("GOOGLETRANSLATE(D:D,""auto"",""en"")"),"Foreign embassies and consulates in the diagnosis can be reported to China")</f>
        <v>Foreign embassies and consulates in the diagnosis can be reported to China</v>
      </c>
      <c r="D8095" s="5" t="s">
        <v>18675</v>
      </c>
      <c r="E8095" s="4">
        <v>454295</v>
      </c>
      <c r="F8095">
        <v>1</v>
      </c>
    </row>
    <row r="8096" spans="1:6" ht="13.5" hidden="1" customHeight="1">
      <c r="A8096" s="4" t="s">
        <v>18676</v>
      </c>
      <c r="B8096" s="4" t="s">
        <v>18677</v>
      </c>
      <c r="C8096" s="4" t="str">
        <f ca="1">IFERROR(__xludf.DUMMYFUNCTION("GOOGLETRANSLATE(D:D,""auto"",""en"")"),"Wang Zijian marry Zhu sparkle")</f>
        <v>Wang Zijian marry Zhu sparkle</v>
      </c>
      <c r="D8096" s="5" t="s">
        <v>18678</v>
      </c>
      <c r="E8096" s="4">
        <v>418147</v>
      </c>
    </row>
    <row r="8097" spans="1:6" ht="13.5" hidden="1" customHeight="1">
      <c r="A8097" s="4" t="s">
        <v>18679</v>
      </c>
      <c r="B8097" s="4" t="s">
        <v>18680</v>
      </c>
      <c r="C8097" s="4" t="str">
        <f ca="1">IFERROR(__xludf.DUMMYFUNCTION("GOOGLETRANSLATE(D:D,""auto"",""en"")"),"Yi Xi smelt one thousand good sister Chorus")</f>
        <v>Yi Xi smelt one thousand good sister Chorus</v>
      </c>
      <c r="D8097" s="5" t="s">
        <v>18681</v>
      </c>
      <c r="E8097" s="4">
        <v>417988</v>
      </c>
    </row>
    <row r="8098" spans="1:6" ht="13.5" customHeight="1">
      <c r="A8098" s="4" t="s">
        <v>18682</v>
      </c>
      <c r="B8098" s="4" t="s">
        <v>18683</v>
      </c>
      <c r="C8098" s="4" t="str">
        <f ca="1">IFERROR(__xludf.DUMMYFUNCTION("GOOGLETRANSLATE(D:D,""auto"",""en"")"),"Hornets actress refused to self-isolation")</f>
        <v>Hornets actress refused to self-isolation</v>
      </c>
      <c r="D8098" s="5" t="s">
        <v>18684</v>
      </c>
      <c r="E8098" s="4">
        <v>417460</v>
      </c>
      <c r="F8098">
        <v>1</v>
      </c>
    </row>
    <row r="8099" spans="1:6" ht="13.5" hidden="1" customHeight="1">
      <c r="A8099" s="4" t="s">
        <v>18676</v>
      </c>
      <c r="B8099" s="4" t="s">
        <v>18685</v>
      </c>
      <c r="C8099" s="4" t="str">
        <f ca="1">IFERROR(__xludf.DUMMYFUNCTION("GOOGLETRANSLATE(D:D,""auto"",""en"")"),"The Olympic flame, strong winds blew")</f>
        <v>The Olympic flame, strong winds blew</v>
      </c>
      <c r="D8099" s="5" t="s">
        <v>18686</v>
      </c>
      <c r="E8099" s="4">
        <v>355143</v>
      </c>
    </row>
    <row r="8100" spans="1:6" ht="13.5" customHeight="1">
      <c r="A8100" s="4" t="s">
        <v>18687</v>
      </c>
      <c r="B8100" s="4" t="s">
        <v>18674</v>
      </c>
      <c r="C8100" s="4" t="str">
        <f ca="1">IFERROR(__xludf.DUMMYFUNCTION("GOOGLETRANSLATE(D:D,""auto"",""en"")"),"United States suspended all regular visa services")</f>
        <v>United States suspended all regular visa services</v>
      </c>
      <c r="D8100" s="5" t="s">
        <v>18688</v>
      </c>
      <c r="E8100" s="4">
        <v>313707</v>
      </c>
      <c r="F8100">
        <v>1</v>
      </c>
    </row>
    <row r="8101" spans="1:6" ht="13.5" hidden="1" customHeight="1">
      <c r="A8101" s="4" t="s">
        <v>18633</v>
      </c>
      <c r="B8101" s="4" t="s">
        <v>18689</v>
      </c>
      <c r="C8101" s="4" t="str">
        <f ca="1">IFERROR(__xludf.DUMMYFUNCTION("GOOGLETRANSLATE(D:D,""auto"",""en"")"),"Variety show in the atmosphere play")</f>
        <v>Variety show in the atmosphere play</v>
      </c>
      <c r="D8101" s="5" t="s">
        <v>18690</v>
      </c>
      <c r="E8101" s="4">
        <v>311670</v>
      </c>
    </row>
    <row r="8102" spans="1:6" ht="13.5" hidden="1" customHeight="1">
      <c r="A8102" s="4" t="s">
        <v>18691</v>
      </c>
      <c r="B8102" s="4" t="s">
        <v>18692</v>
      </c>
      <c r="C8102" s="4" t="str">
        <f ca="1">IFERROR(__xludf.DUMMYFUNCTION("GOOGLETRANSLATE(D:D,""auto"",""en"")"),"Mountain forest fires")</f>
        <v>Mountain forest fires</v>
      </c>
      <c r="D8102" s="5" t="s">
        <v>18693</v>
      </c>
      <c r="E8102" s="4">
        <v>298256</v>
      </c>
    </row>
    <row r="8103" spans="1:6" ht="13.5" hidden="1" customHeight="1">
      <c r="A8103" s="4" t="s">
        <v>18676</v>
      </c>
      <c r="B8103" s="4" t="s">
        <v>18694</v>
      </c>
      <c r="C8103" s="4" t="str">
        <f ca="1">IFERROR(__xludf.DUMMYFUNCTION("GOOGLETRANSLATE(D:D,""auto"",""en"")"),"Candy sweater for spring")</f>
        <v>Candy sweater for spring</v>
      </c>
      <c r="D8103" s="5" t="s">
        <v>18695</v>
      </c>
      <c r="E8103" s="4">
        <v>292921</v>
      </c>
    </row>
    <row r="8104" spans="1:6" ht="13.5" hidden="1" customHeight="1">
      <c r="A8104" s="4" t="s">
        <v>18696</v>
      </c>
      <c r="B8104" s="4" t="s">
        <v>18697</v>
      </c>
      <c r="C8104" s="4" t="str">
        <f ca="1">IFERROR(__xludf.DUMMYFUNCTION("GOOGLETRANSLATE(D:D,""auto"",""en"")"),"One person dialogue Chinese Ambassador to the UK")</f>
        <v>One person dialogue Chinese Ambassador to the UK</v>
      </c>
      <c r="D8104" s="5" t="s">
        <v>18698</v>
      </c>
      <c r="E8104" s="4">
        <v>288116</v>
      </c>
    </row>
    <row r="8105" spans="1:6" ht="13.5" customHeight="1">
      <c r="A8105" s="4" t="s">
        <v>18699</v>
      </c>
      <c r="B8105" s="4" t="s">
        <v>18700</v>
      </c>
      <c r="C8105" s="4" t="str">
        <f ca="1">IFERROR(__xludf.DUMMYFUNCTION("GOOGLETRANSLATE(D:D,""auto"",""en"")"),"Trump responded elite preferential access to nucleic acid testing")</f>
        <v>Trump responded elite preferential access to nucleic acid testing</v>
      </c>
      <c r="D8105" s="5" t="s">
        <v>18701</v>
      </c>
      <c r="E8105" s="4">
        <v>287160</v>
      </c>
      <c r="F8105">
        <v>1</v>
      </c>
    </row>
    <row r="8106" spans="1:6" ht="13.5" hidden="1" customHeight="1">
      <c r="A8106" s="4" t="s">
        <v>18702</v>
      </c>
      <c r="B8106" s="4" t="s">
        <v>18703</v>
      </c>
      <c r="C8106" s="4" t="str">
        <f ca="1">IFERROR(__xludf.DUMMYFUNCTION("GOOGLETRANSLATE(D:D,""auto"",""en"")"),"Serbia in the end how beautiful")</f>
        <v>Serbia in the end how beautiful</v>
      </c>
      <c r="D8106" s="5" t="s">
        <v>18704</v>
      </c>
      <c r="E8106" s="4">
        <v>286752</v>
      </c>
    </row>
    <row r="8107" spans="1:6" ht="13.5" hidden="1" customHeight="1">
      <c r="A8107" s="4" t="s">
        <v>18687</v>
      </c>
      <c r="B8107" s="4" t="s">
        <v>18705</v>
      </c>
      <c r="C8107" s="4" t="str">
        <f ca="1">IFERROR(__xludf.DUMMYFUNCTION("GOOGLETRANSLATE(D:D,""auto"",""en"")"),"Fans pick Zhouzhen Nan Zhang Yan Qi")</f>
        <v>Fans pick Zhouzhen Nan Zhang Yan Qi</v>
      </c>
      <c r="D8107" s="5" t="s">
        <v>18706</v>
      </c>
      <c r="E8107" s="4">
        <v>285363</v>
      </c>
    </row>
    <row r="8108" spans="1:6" ht="13.5" customHeight="1">
      <c r="A8108" s="4" t="s">
        <v>18676</v>
      </c>
      <c r="B8108" s="4" t="s">
        <v>18707</v>
      </c>
      <c r="C8108" s="4" t="str">
        <f ca="1">IFERROR(__xludf.DUMMYFUNCTION("GOOGLETRANSLATE(D:D,""auto"",""en"")"),"Wuhan Central Hospital, another employee died infect new crown")</f>
        <v>Wuhan Central Hospital, another employee died infect new crown</v>
      </c>
      <c r="D8108" s="5" t="s">
        <v>18708</v>
      </c>
      <c r="E8108" s="4">
        <v>280488</v>
      </c>
      <c r="F8108">
        <v>1</v>
      </c>
    </row>
    <row r="8109" spans="1:6" ht="13.5" hidden="1" customHeight="1">
      <c r="A8109" s="4" t="s">
        <v>18709</v>
      </c>
      <c r="B8109" s="4" t="s">
        <v>18710</v>
      </c>
      <c r="C8109" s="4" t="str">
        <f ca="1">IFERROR(__xludf.DUMMYFUNCTION("GOOGLETRANSLATE(D:D,""auto"",""en"")"),"Multinational announced a ban on cruise ship docked")</f>
        <v>Multinational announced a ban on cruise ship docked</v>
      </c>
      <c r="D8109" s="5" t="s">
        <v>18711</v>
      </c>
      <c r="E8109" s="4">
        <v>268362</v>
      </c>
    </row>
    <row r="8110" spans="1:6" ht="13.5" customHeight="1">
      <c r="A8110" s="4" t="s">
        <v>11803</v>
      </c>
      <c r="B8110" s="4" t="s">
        <v>11804</v>
      </c>
      <c r="C8110" s="4" t="str">
        <f ca="1">IFERROR(__xludf.DUMMYFUNCTION("GOOGLETRANSLATE(D:D,""auto"",""en"")"),"Good night SMS Hubei plan")</f>
        <v>Good night SMS Hubei plan</v>
      </c>
      <c r="D8110" s="5" t="s">
        <v>11805</v>
      </c>
      <c r="E8110" s="4">
        <v>261822</v>
      </c>
      <c r="F8110">
        <v>1</v>
      </c>
    </row>
    <row r="8111" spans="1:6" ht="13.5" customHeight="1">
      <c r="A8111" s="4" t="s">
        <v>18667</v>
      </c>
      <c r="B8111" s="4" t="s">
        <v>18712</v>
      </c>
      <c r="C8111" s="4" t="str">
        <f ca="1">IFERROR(__xludf.DUMMYFUNCTION("GOOGLETRANSLATE(D:D,""auto"",""en"")"),"Add 48 cases of new confirmed cases of pneumonia in Hong Kong crown")</f>
        <v>Add 48 cases of new confirmed cases of pneumonia in Hong Kong crown</v>
      </c>
      <c r="D8111" s="5" t="s">
        <v>18713</v>
      </c>
      <c r="E8111" s="4">
        <v>261676</v>
      </c>
      <c r="F8111">
        <v>1</v>
      </c>
    </row>
    <row r="8112" spans="1:6" ht="13.5" hidden="1" customHeight="1">
      <c r="A8112" s="4" t="s">
        <v>18714</v>
      </c>
      <c r="B8112" s="4" t="s">
        <v>18715</v>
      </c>
      <c r="C8112" s="4" t="str">
        <f ca="1">IFERROR(__xludf.DUMMYFUNCTION("GOOGLETRANSLATE(D:D,""auto"",""en"")"),"SEVEN plums")</f>
        <v>SEVEN plums</v>
      </c>
      <c r="D8112" s="5" t="s">
        <v>18716</v>
      </c>
      <c r="E8112" s="4">
        <v>259159</v>
      </c>
    </row>
    <row r="8113" spans="1:6" ht="13.5" hidden="1" customHeight="1">
      <c r="A8113" s="4" t="s">
        <v>18717</v>
      </c>
      <c r="B8113" s="4" t="s">
        <v>18718</v>
      </c>
      <c r="C8113" s="4" t="str">
        <f ca="1">IFERROR(__xludf.DUMMYFUNCTION("GOOGLETRANSLATE(D:D,""auto"",""en"")"),"RNG lost")</f>
        <v>RNG lost</v>
      </c>
      <c r="D8113" s="5" t="s">
        <v>18719</v>
      </c>
      <c r="E8113" s="4">
        <v>244252</v>
      </c>
    </row>
    <row r="8114" spans="1:6" ht="13.5" hidden="1" customHeight="1">
      <c r="A8114" s="4" t="s">
        <v>18649</v>
      </c>
      <c r="B8114" s="4" t="s">
        <v>18720</v>
      </c>
      <c r="C8114" s="4" t="str">
        <f ca="1">IFERROR(__xludf.DUMMYFUNCTION("GOOGLETRANSLATE(D:D,""auto"",""en"")"),"Menghe Tang live")</f>
        <v>Menghe Tang live</v>
      </c>
      <c r="D8114" s="5" t="s">
        <v>18721</v>
      </c>
      <c r="E8114" s="4">
        <v>239082</v>
      </c>
    </row>
    <row r="8115" spans="1:6" ht="13.5" hidden="1" customHeight="1">
      <c r="A8115" s="4" t="s">
        <v>18722</v>
      </c>
      <c r="B8115" s="4" t="s">
        <v>18723</v>
      </c>
      <c r="C8115" s="4" t="str">
        <f ca="1">IFERROR(__xludf.DUMMYFUNCTION("GOOGLETRANSLATE(D:D,""auto"",""en"")"),"Shenjun Liang renamed for his son")</f>
        <v>Shenjun Liang renamed for his son</v>
      </c>
      <c r="D8115" s="5" t="s">
        <v>18724</v>
      </c>
      <c r="E8115" s="4">
        <v>222529</v>
      </c>
    </row>
    <row r="8116" spans="1:6" ht="13.5" customHeight="1">
      <c r="A8116" s="4" t="s">
        <v>18725</v>
      </c>
      <c r="B8116" s="4" t="s">
        <v>18726</v>
      </c>
      <c r="C8116" s="4" t="str">
        <f ca="1">IFERROR(__xludf.DUMMYFUNCTION("GOOGLETRANSLATE(D:D,""auto"",""en"")"),"Malaysia confirmed a total of over one thousand cases of pneumonia new crown")</f>
        <v>Malaysia confirmed a total of over one thousand cases of pneumonia new crown</v>
      </c>
      <c r="D8116" s="5" t="s">
        <v>18727</v>
      </c>
      <c r="E8116" s="4">
        <v>214687</v>
      </c>
      <c r="F8116">
        <v>1</v>
      </c>
    </row>
    <row r="8117" spans="1:6" ht="13.5" hidden="1" customHeight="1">
      <c r="A8117" s="4" t="s">
        <v>18728</v>
      </c>
      <c r="B8117" s="4" t="s">
        <v>18729</v>
      </c>
      <c r="C8117" s="4" t="str">
        <f ca="1">IFERROR(__xludf.DUMMYFUNCTION("GOOGLETRANSLATE(D:D,""auto"",""en"")"),"Wang Yibo new style costume")</f>
        <v>Wang Yibo new style costume</v>
      </c>
      <c r="D8117" s="5" t="s">
        <v>18730</v>
      </c>
      <c r="E8117" s="4">
        <v>200871</v>
      </c>
    </row>
    <row r="8118" spans="1:6" ht="13.5" hidden="1" customHeight="1">
      <c r="A8118" s="4" t="s">
        <v>18731</v>
      </c>
      <c r="B8118" s="4" t="s">
        <v>18732</v>
      </c>
      <c r="C8118" s="4" t="str">
        <f ca="1">IFERROR(__xludf.DUMMYFUNCTION("GOOGLETRANSLATE(D:D,""auto"",""en"")"),"What experience heavy paper check")</f>
        <v>What experience heavy paper check</v>
      </c>
      <c r="D8118" s="5" t="s">
        <v>18733</v>
      </c>
      <c r="E8118" s="4">
        <v>198321</v>
      </c>
    </row>
    <row r="8119" spans="1:6" ht="13.5" hidden="1" customHeight="1">
      <c r="A8119" s="4" t="s">
        <v>18682</v>
      </c>
      <c r="B8119" s="4" t="s">
        <v>18734</v>
      </c>
      <c r="C8119" s="4" t="str">
        <f ca="1">IFERROR(__xludf.DUMMYFUNCTION("GOOGLETRANSLATE(D:D,""auto"",""en"")"),"New Zealand Prime Minister")</f>
        <v>New Zealand Prime Minister</v>
      </c>
      <c r="D8119" s="5" t="s">
        <v>18735</v>
      </c>
      <c r="E8119" s="4">
        <v>189850</v>
      </c>
    </row>
    <row r="8120" spans="1:6" ht="13.5" hidden="1" customHeight="1">
      <c r="A8120" s="4" t="s">
        <v>18699</v>
      </c>
      <c r="B8120" s="4" t="s">
        <v>18736</v>
      </c>
      <c r="C8120" s="4" t="str">
        <f ca="1">IFERROR(__xludf.DUMMYFUNCTION("GOOGLETRANSLATE(D:D,""auto"",""en"")"),"New York ventilator shortfall of 2 million units")</f>
        <v>New York ventilator shortfall of 2 million units</v>
      </c>
      <c r="D8120" s="5" t="s">
        <v>18737</v>
      </c>
      <c r="E8120" s="4">
        <v>140829</v>
      </c>
    </row>
    <row r="8121" spans="1:6" ht="13.5" hidden="1" customHeight="1">
      <c r="C8121" s="4" t="str">
        <f ca="1">IFERROR(__xludf.DUMMYFUNCTION("GOOGLETRANSLATE(D:D,""auto"",""en"")"),"#VALUE!")</f>
        <v>#VALUE!</v>
      </c>
    </row>
    <row r="8122" spans="1:6" ht="13.5" hidden="1" customHeight="1">
      <c r="A8122" s="4" t="s">
        <v>18738</v>
      </c>
      <c r="B8122" s="4" t="s">
        <v>18739</v>
      </c>
      <c r="C8122" s="4" t="str">
        <f ca="1">IFERROR(__xludf.DUMMYFUNCTION("GOOGLETRANSLATE(D:D,""auto"",""en"")"),"Huang Yali envy of life")</f>
        <v>Huang Yali envy of life</v>
      </c>
      <c r="D8122" s="4" t="s">
        <v>18740</v>
      </c>
      <c r="E8122" s="4">
        <v>2971324</v>
      </c>
    </row>
    <row r="8123" spans="1:6" ht="13.5" customHeight="1">
      <c r="A8123" s="4" t="s">
        <v>18741</v>
      </c>
      <c r="B8123" s="4" t="s">
        <v>18742</v>
      </c>
      <c r="C8123" s="4" t="str">
        <f ca="1">IFERROR(__xludf.DUMMYFUNCTION("GOOGLETRANSLATE(D:D,""auto"",""en"")"),"President of the Italian area for the Chinese methods kept nodding fight against SARS")</f>
        <v>President of the Italian area for the Chinese methods kept nodding fight against SARS</v>
      </c>
      <c r="D8123" s="5" t="s">
        <v>18743</v>
      </c>
      <c r="E8123" s="4">
        <v>2004843</v>
      </c>
      <c r="F8123">
        <v>1</v>
      </c>
    </row>
    <row r="8124" spans="1:6" ht="13.5" hidden="1" customHeight="1">
      <c r="A8124" s="4" t="s">
        <v>18744</v>
      </c>
      <c r="B8124" s="4" t="s">
        <v>18646</v>
      </c>
      <c r="C8124" s="4" t="str">
        <f ca="1">IFERROR(__xludf.DUMMYFUNCTION("GOOGLETRANSLATE(D:D,""auto"",""en"")"),"Jiang Yiyi grow up")</f>
        <v>Jiang Yiyi grow up</v>
      </c>
      <c r="D8124" s="5" t="s">
        <v>18745</v>
      </c>
      <c r="E8124" s="4">
        <v>1989169</v>
      </c>
    </row>
    <row r="8125" spans="1:6" ht="13.5" hidden="1" customHeight="1">
      <c r="A8125" s="4" t="s">
        <v>18746</v>
      </c>
      <c r="B8125" s="4" t="s">
        <v>18747</v>
      </c>
      <c r="C8125" s="4" t="str">
        <f ca="1">IFERROR(__xludf.DUMMYFUNCTION("GOOGLETRANSLATE(D:D,""auto"",""en"")"),"Beijing April not to extend Heating")</f>
        <v>Beijing April not to extend Heating</v>
      </c>
      <c r="D8125" s="5" t="s">
        <v>18748</v>
      </c>
      <c r="E8125" s="4">
        <v>1887543</v>
      </c>
    </row>
    <row r="8126" spans="1:6" ht="13.5" hidden="1" customHeight="1">
      <c r="A8126" s="4" t="s">
        <v>18749</v>
      </c>
      <c r="B8126" s="4" t="s">
        <v>18742</v>
      </c>
      <c r="C8126" s="4" t="str">
        <f ca="1">IFERROR(__xludf.DUMMYFUNCTION("GOOGLETRANSLATE(D:D,""auto"",""en"")"),"China has provided assistance to 82 countries and international organizations")</f>
        <v>China has provided assistance to 82 countries and international organizations</v>
      </c>
      <c r="D8126" s="5" t="s">
        <v>18750</v>
      </c>
      <c r="E8126" s="4">
        <v>1830155</v>
      </c>
    </row>
    <row r="8127" spans="1:6" ht="13.5" customHeight="1">
      <c r="A8127" s="4" t="s">
        <v>18751</v>
      </c>
      <c r="B8127" s="4" t="s">
        <v>18652</v>
      </c>
      <c r="C8127" s="4" t="str">
        <f ca="1">IFERROR(__xludf.DUMMYFUNCTION("GOOGLETRANSLATE(D:D,""auto"",""en"")"),"Shanghai Hongqiao Airport closed for passenger transport")</f>
        <v>Shanghai Hongqiao Airport closed for passenger transport</v>
      </c>
      <c r="D8127" s="5" t="s">
        <v>18752</v>
      </c>
      <c r="E8127" s="4">
        <v>1437964</v>
      </c>
      <c r="F8127">
        <v>1</v>
      </c>
    </row>
    <row r="8128" spans="1:6" ht="13.5" customHeight="1">
      <c r="A8128" s="4" t="s">
        <v>18753</v>
      </c>
      <c r="B8128" s="4" t="s">
        <v>18754</v>
      </c>
      <c r="C8128" s="4" t="str">
        <f ca="1">IFERROR(__xludf.DUMMYFUNCTION("GOOGLETRANSLATE(D:D,""auto"",""en"")"),"United States undetected cases may be diagnosed 11 times")</f>
        <v>United States undetected cases may be diagnosed 11 times</v>
      </c>
      <c r="D8128" s="5" t="s">
        <v>18755</v>
      </c>
      <c r="E8128" s="4">
        <v>1194684</v>
      </c>
      <c r="F8128">
        <v>1</v>
      </c>
    </row>
    <row r="8129" spans="1:6" ht="13.5" customHeight="1">
      <c r="A8129" s="4" t="s">
        <v>18756</v>
      </c>
      <c r="B8129" s="4" t="s">
        <v>18757</v>
      </c>
      <c r="C8129" s="4" t="str">
        <f ca="1">IFERROR(__xludf.DUMMYFUNCTION("GOOGLETRANSLATE(D:D,""auto"",""en"")"),"Yi Xi smelt one thousand porters had asked to go to Wuhan")</f>
        <v>Yi Xi smelt one thousand porters had asked to go to Wuhan</v>
      </c>
      <c r="D8129" s="5" t="s">
        <v>18758</v>
      </c>
      <c r="E8129" s="4">
        <v>1016432</v>
      </c>
      <c r="F8129">
        <v>1</v>
      </c>
    </row>
    <row r="8130" spans="1:6" ht="13.5" customHeight="1">
      <c r="A8130" s="4" t="s">
        <v>18759</v>
      </c>
      <c r="B8130" s="4" t="s">
        <v>18687</v>
      </c>
      <c r="C8130" s="4" t="str">
        <f ca="1">IFERROR(__xludf.DUMMYFUNCTION("GOOGLETRANSLATE(D:D,""auto"",""en"")"),"Western media said Wu Lei confirmed infection")</f>
        <v>Western media said Wu Lei confirmed infection</v>
      </c>
      <c r="D8130" s="5" t="s">
        <v>18760</v>
      </c>
      <c r="E8130" s="4">
        <v>962537</v>
      </c>
      <c r="F8130">
        <v>1</v>
      </c>
    </row>
    <row r="8131" spans="1:6" ht="13.5" customHeight="1">
      <c r="A8131" s="4" t="s">
        <v>18761</v>
      </c>
      <c r="B8131" s="4" t="s">
        <v>18762</v>
      </c>
      <c r="C8131" s="4" t="str">
        <f ca="1">IFERROR(__xludf.DUMMYFUNCTION("GOOGLETRANSLATE(D:D,""auto"",""en"")"),"Raytheon discharged to cross the mountains northeast, then eight")</f>
        <v>Raytheon discharged to cross the mountains northeast, then eight</v>
      </c>
      <c r="D8131" s="5" t="s">
        <v>18763</v>
      </c>
      <c r="E8131" s="4">
        <v>953784</v>
      </c>
      <c r="F8131">
        <v>1</v>
      </c>
    </row>
    <row r="8132" spans="1:6" ht="13.5" hidden="1" customHeight="1">
      <c r="A8132" s="4" t="s">
        <v>18764</v>
      </c>
      <c r="B8132" s="4" t="s">
        <v>18765</v>
      </c>
      <c r="C8132" s="4" t="str">
        <f ca="1">IFERROR(__xludf.DUMMYFUNCTION("GOOGLETRANSLATE(D:D,""auto"",""en"")"),"Zhang Bichen dress style")</f>
        <v>Zhang Bichen dress style</v>
      </c>
      <c r="D8132" s="5" t="s">
        <v>18766</v>
      </c>
      <c r="E8132" s="4">
        <v>876704</v>
      </c>
    </row>
    <row r="8133" spans="1:6" ht="13.5" customHeight="1">
      <c r="A8133" s="4" t="s">
        <v>18767</v>
      </c>
      <c r="B8133" s="4" t="s">
        <v>18768</v>
      </c>
      <c r="C8133" s="4" t="str">
        <f ca="1">IFERROR(__xludf.DUMMYFUNCTION("GOOGLETRANSLATE(D:D,""auto"",""en"")"),"Myopia wearing masks how painful")</f>
        <v>Myopia wearing masks how painful</v>
      </c>
      <c r="D8133" s="5" t="s">
        <v>18769</v>
      </c>
      <c r="E8133" s="4">
        <v>876100</v>
      </c>
      <c r="F8133">
        <v>1</v>
      </c>
    </row>
    <row r="8134" spans="1:6" ht="13.5" customHeight="1">
      <c r="A8134" s="4" t="s">
        <v>18770</v>
      </c>
      <c r="B8134" s="4" t="s">
        <v>18771</v>
      </c>
      <c r="C8134" s="4" t="str">
        <f ca="1">IFERROR(__xludf.DUMMYFUNCTION("GOOGLETRANSLATE(D:D,""auto"",""en"")"),"Trump announced that New York State is a major epidemic disaster area")</f>
        <v>Trump announced that New York State is a major epidemic disaster area</v>
      </c>
      <c r="D8134" s="5" t="s">
        <v>18772</v>
      </c>
      <c r="E8134" s="4">
        <v>760873</v>
      </c>
      <c r="F8134">
        <v>1</v>
      </c>
    </row>
    <row r="8135" spans="1:6" ht="13.5" customHeight="1">
      <c r="A8135" s="4" t="s">
        <v>18773</v>
      </c>
      <c r="B8135" s="4" t="s">
        <v>18774</v>
      </c>
      <c r="C8135" s="4" t="str">
        <f ca="1">IFERROR(__xludf.DUMMYFUNCTION("GOOGLETRANSLATE(D:D,""auto"",""en"")"),"The doctor said Wu Lei recovered well")</f>
        <v>The doctor said Wu Lei recovered well</v>
      </c>
      <c r="D8135" s="5" t="s">
        <v>18775</v>
      </c>
      <c r="E8135" s="4">
        <v>683759</v>
      </c>
      <c r="F8135">
        <v>1</v>
      </c>
    </row>
    <row r="8136" spans="1:6" ht="13.5" hidden="1" customHeight="1">
      <c r="A8136" s="4" t="s">
        <v>18776</v>
      </c>
      <c r="B8136" s="4" t="s">
        <v>18649</v>
      </c>
      <c r="C8136" s="4" t="str">
        <f ca="1">IFERROR(__xludf.DUMMYFUNCTION("GOOGLETRANSLATE(D:D,""auto"",""en"")"),"We can not change the fact that the United States changed its name to the prevention and control of ineffective")</f>
        <v>We can not change the fact that the United States changed its name to the prevention and control of ineffective</v>
      </c>
      <c r="D8136" s="5" t="s">
        <v>18777</v>
      </c>
      <c r="E8136" s="4">
        <v>647386</v>
      </c>
    </row>
    <row r="8137" spans="1:6" ht="13.5" customHeight="1">
      <c r="A8137" s="4" t="s">
        <v>18778</v>
      </c>
      <c r="B8137" s="4" t="s">
        <v>18664</v>
      </c>
      <c r="C8137" s="4" t="str">
        <f ca="1">IFERROR(__xludf.DUMMYFUNCTION("GOOGLETRANSLATE(D:D,""auto"",""en"")"),"Heilongjiang was identified as children of the martyrs of the medical college entrance examination 20 points")</f>
        <v>Heilongjiang was identified as children of the martyrs of the medical college entrance examination 20 points</v>
      </c>
      <c r="D8137" s="5" t="s">
        <v>18779</v>
      </c>
      <c r="E8137" s="4">
        <v>646923</v>
      </c>
      <c r="F8137">
        <v>1</v>
      </c>
    </row>
    <row r="8138" spans="1:6" ht="13.5" hidden="1" customHeight="1">
      <c r="A8138" s="4" t="s">
        <v>18780</v>
      </c>
      <c r="B8138" s="4" t="s">
        <v>18781</v>
      </c>
      <c r="C8138" s="4" t="str">
        <f ca="1">IFERROR(__xludf.DUMMYFUNCTION("GOOGLETRANSLATE(D:D,""auto"",""en"")"),"Nyingchi how beautiful")</f>
        <v>Nyingchi how beautiful</v>
      </c>
      <c r="D8138" s="5" t="s">
        <v>18782</v>
      </c>
      <c r="E8138" s="4">
        <v>639823</v>
      </c>
    </row>
    <row r="8139" spans="1:6" ht="13.5" hidden="1" customHeight="1">
      <c r="A8139" s="4" t="s">
        <v>18783</v>
      </c>
      <c r="B8139" s="4" t="s">
        <v>18784</v>
      </c>
      <c r="C8139" s="4" t="str">
        <f ca="1">IFERROR(__xludf.DUMMYFUNCTION("GOOGLETRANSLATE(D:D,""auto"",""en"")"),"About a third of the world's people suffering from sleeping problems afflict")</f>
        <v>About a third of the world's people suffering from sleeping problems afflict</v>
      </c>
      <c r="D8139" s="5" t="s">
        <v>18785</v>
      </c>
      <c r="E8139" s="4">
        <v>623956</v>
      </c>
    </row>
    <row r="8140" spans="1:6" ht="13.5" hidden="1" customHeight="1">
      <c r="A8140" s="4" t="s">
        <v>18786</v>
      </c>
      <c r="B8140" s="4" t="s">
        <v>18768</v>
      </c>
      <c r="C8140" s="4" t="str">
        <f ca="1">IFERROR(__xludf.DUMMYFUNCTION("GOOGLETRANSLATE(D:D,""auto"",""en"")"),"If you have a mole on his face")</f>
        <v>If you have a mole on his face</v>
      </c>
      <c r="D8140" s="5" t="s">
        <v>18787</v>
      </c>
      <c r="E8140" s="4">
        <v>614075</v>
      </c>
    </row>
    <row r="8141" spans="1:6" ht="13.5" hidden="1" customHeight="1">
      <c r="A8141" s="4" t="s">
        <v>18788</v>
      </c>
      <c r="B8141" s="4" t="s">
        <v>18789</v>
      </c>
      <c r="C8141" s="4" t="str">
        <f ca="1">IFERROR(__xludf.DUMMYFUNCTION("GOOGLETRANSLATE(D:D,""auto"",""en"")"),"Roadside puppy's name depends friend")</f>
        <v>Roadside puppy's name depends friend</v>
      </c>
      <c r="D8141" s="5" t="s">
        <v>18790</v>
      </c>
      <c r="E8141" s="4">
        <v>546783</v>
      </c>
    </row>
    <row r="8142" spans="1:6" ht="13.5" customHeight="1">
      <c r="A8142" s="4" t="s">
        <v>18791</v>
      </c>
      <c r="B8142" s="4" t="s">
        <v>18792</v>
      </c>
      <c r="C8142" s="4" t="str">
        <f ca="1">IFERROR(__xludf.DUMMYFUNCTION("GOOGLETRANSLATE(D:D,""auto"",""en"")"),"Stones sister called for the right to call new crown pneumonia")</f>
        <v>Stones sister called for the right to call new crown pneumonia</v>
      </c>
      <c r="D8142" s="5" t="s">
        <v>18793</v>
      </c>
      <c r="E8142" s="4">
        <v>484606</v>
      </c>
      <c r="F8142">
        <v>1</v>
      </c>
    </row>
    <row r="8143" spans="1:6" ht="13.5" customHeight="1">
      <c r="A8143" s="4" t="s">
        <v>18794</v>
      </c>
      <c r="B8143" s="4" t="s">
        <v>18795</v>
      </c>
      <c r="C8143" s="4" t="str">
        <f ca="1">IFERROR(__xludf.DUMMYFUNCTION("GOOGLETRANSLATE(D:D,""auto"",""en"")"),"Jiangxi village cancel all cells enclosed control")</f>
        <v>Jiangxi village cancel all cells enclosed control</v>
      </c>
      <c r="D8143" s="5" t="s">
        <v>18796</v>
      </c>
      <c r="E8143" s="4">
        <v>473845</v>
      </c>
      <c r="F8143">
        <v>1</v>
      </c>
    </row>
    <row r="8144" spans="1:6" ht="13.5" customHeight="1">
      <c r="A8144" s="4" t="s">
        <v>18797</v>
      </c>
      <c r="B8144" s="4" t="s">
        <v>18798</v>
      </c>
      <c r="C8144" s="4" t="str">
        <f ca="1">IFERROR(__xludf.DUMMYFUNCTION("GOOGLETRANSLATE(D:D,""auto"",""en"")"),"Cook the new virus were negative crown")</f>
        <v>Cook the new virus were negative crown</v>
      </c>
      <c r="D8144" s="5" t="s">
        <v>18799</v>
      </c>
      <c r="E8144" s="4">
        <v>467804</v>
      </c>
      <c r="F8144">
        <v>1</v>
      </c>
    </row>
    <row r="8145" spans="1:6" ht="13.5" customHeight="1">
      <c r="A8145" s="4" t="s">
        <v>18800</v>
      </c>
      <c r="B8145" s="4" t="s">
        <v>18801</v>
      </c>
      <c r="C8145" s="4" t="str">
        <f ca="1">IFERROR(__xludf.DUMMYFUNCTION("GOOGLETRANSLATE(D:D,""auto"",""en"")"),"One million European standard surgical masks to Italy")</f>
        <v>One million European standard surgical masks to Italy</v>
      </c>
      <c r="D8145" s="5" t="s">
        <v>18802</v>
      </c>
      <c r="E8145" s="4">
        <v>446888</v>
      </c>
      <c r="F8145">
        <v>1</v>
      </c>
    </row>
    <row r="8146" spans="1:6" ht="13.5" customHeight="1">
      <c r="A8146" s="4" t="s">
        <v>18803</v>
      </c>
      <c r="B8146" s="4" t="s">
        <v>18804</v>
      </c>
      <c r="C8146" s="4" t="str">
        <f ca="1">IFERROR(__xludf.DUMMYFUNCTION("GOOGLETRANSLATE(D:D,""auto"",""en"")"),"Aquarium of the epidemic is under what style")</f>
        <v>Aquarium of the epidemic is under what style</v>
      </c>
      <c r="D8146" s="5" t="s">
        <v>18805</v>
      </c>
      <c r="E8146" s="4">
        <v>409908</v>
      </c>
      <c r="F8146">
        <v>1</v>
      </c>
    </row>
    <row r="8147" spans="1:6" ht="13.5" customHeight="1">
      <c r="A8147" s="4" t="s">
        <v>18806</v>
      </c>
      <c r="B8147" s="4" t="s">
        <v>18652</v>
      </c>
      <c r="C8147" s="4" t="str">
        <f ca="1">IFERROR(__xludf.DUMMYFUNCTION("GOOGLETRANSLATE(D:D,""auto"",""en"")"),"Wuhan cherry blossoms are a good start")</f>
        <v>Wuhan cherry blossoms are a good start</v>
      </c>
      <c r="D8147" s="5" t="s">
        <v>18807</v>
      </c>
      <c r="E8147" s="4">
        <v>372043</v>
      </c>
      <c r="F8147">
        <v>1</v>
      </c>
    </row>
    <row r="8148" spans="1:6" ht="13.5" hidden="1" customHeight="1">
      <c r="A8148" s="4" t="s">
        <v>18803</v>
      </c>
      <c r="B8148" s="4" t="s">
        <v>18808</v>
      </c>
      <c r="C8148" s="4" t="str">
        <f ca="1">IFERROR(__xludf.DUMMYFUNCTION("GOOGLETRANSLATE(D:D,""auto"",""en"")"),"WHO Director-General Tan Desai thank Ma")</f>
        <v>WHO Director-General Tan Desai thank Ma</v>
      </c>
      <c r="D8148" s="5" t="s">
        <v>18809</v>
      </c>
      <c r="E8148" s="4">
        <v>370202</v>
      </c>
    </row>
    <row r="8149" spans="1:6" ht="13.5" customHeight="1">
      <c r="A8149" s="4" t="s">
        <v>18810</v>
      </c>
      <c r="B8149" s="4" t="s">
        <v>18811</v>
      </c>
      <c r="C8149" s="4" t="str">
        <f ca="1">IFERROR(__xludf.DUMMYFUNCTION("GOOGLETRANSLATE(D:D,""auto"",""en"")"),"Trump announced the closure of the US-Mexico border")</f>
        <v>Trump announced the closure of the US-Mexico border</v>
      </c>
      <c r="D8149" s="5" t="s">
        <v>18812</v>
      </c>
      <c r="E8149" s="4">
        <v>349200</v>
      </c>
      <c r="F8149">
        <v>1</v>
      </c>
    </row>
    <row r="8150" spans="1:6" ht="13.5" hidden="1" customHeight="1">
      <c r="A8150" s="4" t="s">
        <v>18800</v>
      </c>
      <c r="B8150" s="4" t="s">
        <v>18813</v>
      </c>
      <c r="C8150" s="4" t="str">
        <f ca="1">IFERROR(__xludf.DUMMYFUNCTION("GOOGLETRANSLATE(D:D,""auto"",""en"")"),"Stray cats accompany armed police stood guard every day")</f>
        <v>Stray cats accompany armed police stood guard every day</v>
      </c>
      <c r="D8150" s="5" t="s">
        <v>18814</v>
      </c>
      <c r="E8150" s="4">
        <v>338951</v>
      </c>
    </row>
    <row r="8151" spans="1:6" ht="13.5" customHeight="1">
      <c r="A8151" s="4" t="s">
        <v>18815</v>
      </c>
      <c r="B8151" s="4" t="s">
        <v>18717</v>
      </c>
      <c r="C8151" s="4" t="str">
        <f ca="1">IFERROR(__xludf.DUMMYFUNCTION("GOOGLETRANSLATE(D:D,""auto"",""en"")"),"US lawmakers while concealed epidemic while selling shares")</f>
        <v>US lawmakers while concealed epidemic while selling shares</v>
      </c>
      <c r="D8151" s="5" t="s">
        <v>18816</v>
      </c>
      <c r="E8151" s="4">
        <v>338826</v>
      </c>
      <c r="F8151">
        <v>1</v>
      </c>
    </row>
    <row r="8152" spans="1:6" ht="13.5" customHeight="1">
      <c r="A8152" s="4" t="s">
        <v>18817</v>
      </c>
      <c r="B8152" s="4" t="s">
        <v>18818</v>
      </c>
      <c r="C8152" s="4" t="str">
        <f ca="1">IFERROR(__xludf.DUMMYFUNCTION("GOOGLETRANSLATE(D:D,""auto"",""en"")"),"New York mayor said New York has become the epicenter of the US epidemic")</f>
        <v>New York mayor said New York has become the epicenter of the US epidemic</v>
      </c>
      <c r="D8152" s="5" t="s">
        <v>18819</v>
      </c>
      <c r="E8152" s="4">
        <v>335062</v>
      </c>
      <c r="F8152">
        <v>1</v>
      </c>
    </row>
    <row r="8153" spans="1:6" ht="13.5" customHeight="1">
      <c r="A8153" s="4" t="s">
        <v>18820</v>
      </c>
      <c r="B8153" s="4" t="s">
        <v>18616</v>
      </c>
      <c r="C8153" s="4" t="str">
        <f ca="1">IFERROR(__xludf.DUMMYFUNCTION("GOOGLETRANSLATE(D:D,""auto"",""en"")"),"US intelligence agencies warned in January on the new crown epidemic")</f>
        <v>US intelligence agencies warned in January on the new crown epidemic</v>
      </c>
      <c r="D8153" s="5" t="s">
        <v>18821</v>
      </c>
      <c r="E8153" s="4">
        <v>326792</v>
      </c>
      <c r="F8153">
        <v>1</v>
      </c>
    </row>
    <row r="8154" spans="1:6" ht="13.5" hidden="1" customHeight="1">
      <c r="A8154" s="4" t="s">
        <v>18655</v>
      </c>
      <c r="B8154" s="4" t="s">
        <v>18656</v>
      </c>
      <c r="C8154" s="4" t="str">
        <f ca="1">IFERROR(__xludf.DUMMYFUNCTION("GOOGLETRANSLATE(D:D,""auto"",""en"")"),"Itaewon Class")</f>
        <v>Itaewon Class</v>
      </c>
      <c r="D8154" s="5" t="s">
        <v>18657</v>
      </c>
      <c r="E8154" s="4">
        <v>302533</v>
      </c>
    </row>
    <row r="8155" spans="1:6" ht="13.5" hidden="1" customHeight="1">
      <c r="A8155" s="4" t="s">
        <v>18822</v>
      </c>
      <c r="B8155" s="4" t="s">
        <v>18823</v>
      </c>
      <c r="C8155" s="4" t="str">
        <f ca="1">IFERROR(__xludf.DUMMYFUNCTION("GOOGLETRANSLATE(D:D,""auto"",""en"")"),"Edge to your oath")</f>
        <v>Edge to your oath</v>
      </c>
      <c r="D8155" s="5" t="s">
        <v>18824</v>
      </c>
      <c r="E8155" s="4">
        <v>294962</v>
      </c>
    </row>
    <row r="8156" spans="1:6" ht="13.5" hidden="1" customHeight="1">
      <c r="A8156" s="4" t="s">
        <v>18825</v>
      </c>
      <c r="B8156" s="4" t="s">
        <v>18795</v>
      </c>
      <c r="C8156" s="4" t="str">
        <f ca="1">IFERROR(__xludf.DUMMYFUNCTION("GOOGLETRANSLATE(D:D,""auto"",""en"")"),"Satellite remote sensing display Chinese and radiant night")</f>
        <v>Satellite remote sensing display Chinese and radiant night</v>
      </c>
      <c r="D8156" s="5" t="s">
        <v>18826</v>
      </c>
      <c r="E8156" s="4">
        <v>270253</v>
      </c>
    </row>
    <row r="8157" spans="1:6" ht="13.5" customHeight="1">
      <c r="A8157" s="4" t="s">
        <v>18827</v>
      </c>
      <c r="B8157" s="4" t="s">
        <v>18644</v>
      </c>
      <c r="C8157" s="4" t="str">
        <f ca="1">IFERROR(__xludf.DUMMYFUNCTION("GOOGLETRANSLATE(D:D,""auto"",""en"")"),"Guangdong foreign personnel into their own expense shall be isolated 14 days")</f>
        <v>Guangdong foreign personnel into their own expense shall be isolated 14 days</v>
      </c>
      <c r="D8157" s="5" t="s">
        <v>18828</v>
      </c>
      <c r="E8157" s="4">
        <v>258126</v>
      </c>
      <c r="F8157">
        <v>1</v>
      </c>
    </row>
    <row r="8158" spans="1:6" ht="13.5" customHeight="1">
      <c r="A8158" s="4" t="s">
        <v>18829</v>
      </c>
      <c r="B8158" s="4" t="s">
        <v>18813</v>
      </c>
      <c r="C8158" s="4" t="str">
        <f ca="1">IFERROR(__xludf.DUMMYFUNCTION("GOOGLETRANSLATE(D:D,""auto"",""en"")"),"Hospital nurses about the status quo, Italy")</f>
        <v>Hospital nurses about the status quo, Italy</v>
      </c>
      <c r="D8158" s="5" t="s">
        <v>18830</v>
      </c>
      <c r="E8158" s="4">
        <v>255345</v>
      </c>
      <c r="F8158">
        <v>1</v>
      </c>
    </row>
    <row r="8159" spans="1:6" ht="13.5" customHeight="1">
      <c r="A8159" s="4" t="s">
        <v>18815</v>
      </c>
      <c r="B8159" s="4" t="s">
        <v>18831</v>
      </c>
      <c r="C8159" s="4" t="str">
        <f ca="1">IFERROR(__xludf.DUMMYFUNCTION("GOOGLETRANSLATE(D:D,""auto"",""en"")"),"Hangzhou adjustment epidemic prevention and control measures")</f>
        <v>Hangzhou adjustment epidemic prevention and control measures</v>
      </c>
      <c r="D8159" s="5" t="s">
        <v>18832</v>
      </c>
      <c r="E8159" s="4">
        <v>255269</v>
      </c>
      <c r="F8159">
        <v>1</v>
      </c>
    </row>
    <row r="8160" spans="1:6" ht="13.5" hidden="1" customHeight="1">
      <c r="A8160" s="4" t="s">
        <v>18810</v>
      </c>
      <c r="B8160" s="4" t="s">
        <v>18833</v>
      </c>
      <c r="C8160" s="4" t="str">
        <f ca="1">IFERROR(__xludf.DUMMYFUNCTION("GOOGLETRANSLATE(D:D,""auto"",""en"")"),"Police sent Gouzi home and found the owner and gambling")</f>
        <v>Police sent Gouzi home and found the owner and gambling</v>
      </c>
      <c r="D8160" s="5" t="s">
        <v>18834</v>
      </c>
      <c r="E8160" s="4">
        <v>224366</v>
      </c>
    </row>
    <row r="8161" spans="1:6" ht="13.5" customHeight="1">
      <c r="A8161" s="4" t="s">
        <v>18835</v>
      </c>
      <c r="B8161" s="4" t="s">
        <v>18836</v>
      </c>
      <c r="C8161" s="4" t="str">
        <f ca="1">IFERROR(__xludf.DUMMYFUNCTION("GOOGLETRANSLATE(D:D,""auto"",""en"")"),"Dean of Faculty of Medicine in Hong Kong Hong Kong outbreak warning")</f>
        <v>Dean of Faculty of Medicine in Hong Kong Hong Kong outbreak warning</v>
      </c>
      <c r="D8161" s="5" t="s">
        <v>18837</v>
      </c>
      <c r="E8161" s="4">
        <v>222117</v>
      </c>
      <c r="F8161">
        <v>1</v>
      </c>
    </row>
    <row r="8162" spans="1:6" ht="13.5" hidden="1" customHeight="1">
      <c r="A8162" s="4" t="s">
        <v>18838</v>
      </c>
      <c r="B8162" s="4" t="s">
        <v>18839</v>
      </c>
      <c r="C8162" s="4" t="str">
        <f ca="1">IFERROR(__xludf.DUMMYFUNCTION("GOOGLETRANSLATE(D:D,""auto"",""en"")"),"The three major US airlines in an emergency")</f>
        <v>The three major US airlines in an emergency</v>
      </c>
      <c r="D8162" s="5" t="s">
        <v>18840</v>
      </c>
      <c r="E8162" s="4">
        <v>219231</v>
      </c>
    </row>
    <row r="8163" spans="1:6" ht="13.5" hidden="1" customHeight="1">
      <c r="A8163" s="4" t="s">
        <v>18841</v>
      </c>
      <c r="B8163" s="4" t="s">
        <v>18842</v>
      </c>
      <c r="C8163" s="4" t="str">
        <f ca="1">IFERROR(__xludf.DUMMYFUNCTION("GOOGLETRANSLATE(D:D,""auto"",""en"")"),"Screeners wearing a helmet a smart batch temperature")</f>
        <v>Screeners wearing a helmet a smart batch temperature</v>
      </c>
      <c r="D8163" s="5" t="s">
        <v>18843</v>
      </c>
      <c r="E8163" s="4">
        <v>219089</v>
      </c>
    </row>
    <row r="8164" spans="1:6" ht="13.5" customHeight="1">
      <c r="A8164" s="4" t="s">
        <v>18844</v>
      </c>
      <c r="B8164" s="4" t="s">
        <v>18845</v>
      </c>
      <c r="C8164" s="4" t="str">
        <f ca="1">IFERROR(__xludf.DUMMYFUNCTION("GOOGLETRANSLATE(D:D,""auto"",""en"")"),"Tumbler girl wearing a mask performances")</f>
        <v>Tumbler girl wearing a mask performances</v>
      </c>
      <c r="D8164" s="5" t="s">
        <v>18846</v>
      </c>
      <c r="E8164" s="4">
        <v>218060</v>
      </c>
      <c r="F8164">
        <v>1</v>
      </c>
    </row>
    <row r="8165" spans="1:6" ht="13.5" hidden="1" customHeight="1">
      <c r="A8165" s="4" t="s">
        <v>18847</v>
      </c>
      <c r="B8165" s="4" t="s">
        <v>18848</v>
      </c>
      <c r="C8165" s="4" t="str">
        <f ca="1">IFERROR(__xludf.DUMMYFUNCTION("GOOGLETRANSLATE(D:D,""auto"",""en"")"),"Backhand lipstick challenge")</f>
        <v>Backhand lipstick challenge</v>
      </c>
      <c r="D8165" s="5" t="s">
        <v>18849</v>
      </c>
      <c r="E8165" s="4">
        <v>217585</v>
      </c>
    </row>
    <row r="8166" spans="1:6" ht="13.5" hidden="1" customHeight="1">
      <c r="A8166" s="4" t="s">
        <v>18850</v>
      </c>
      <c r="B8166" s="4" t="s">
        <v>18851</v>
      </c>
      <c r="C8166" s="4" t="str">
        <f ca="1">IFERROR(__xludf.DUMMYFUNCTION("GOOGLETRANSLATE(D:D,""auto"",""en"")"),"Best Transporting city")</f>
        <v>Best Transporting city</v>
      </c>
      <c r="D8166" s="5" t="s">
        <v>18852</v>
      </c>
      <c r="E8166" s="4">
        <v>216749</v>
      </c>
    </row>
    <row r="8167" spans="1:6" ht="13.5" hidden="1" customHeight="1">
      <c r="A8167" s="4" t="s">
        <v>18770</v>
      </c>
      <c r="B8167" s="4" t="s">
        <v>18853</v>
      </c>
      <c r="C8167" s="4" t="str">
        <f ca="1">IFERROR(__xludf.DUMMYFUNCTION("GOOGLETRANSLATE(D:D,""auto"",""en"")"),"Foreigners arriving relatives Shandong required to declare three days ahead")</f>
        <v>Foreigners arriving relatives Shandong required to declare three days ahead</v>
      </c>
      <c r="D8167" s="5" t="s">
        <v>18854</v>
      </c>
      <c r="E8167" s="4">
        <v>216299</v>
      </c>
    </row>
    <row r="8168" spans="1:6" ht="13.5" customHeight="1">
      <c r="A8168" s="4" t="s">
        <v>18855</v>
      </c>
      <c r="B8168" s="4" t="s">
        <v>18856</v>
      </c>
      <c r="C8168" s="4" t="str">
        <f ca="1">IFERROR(__xludf.DUMMYFUNCTION("GOOGLETRANSLATE(D:D,""auto"",""en"")"),"Xiaogan A-level scenic spots of filial piety medical aid free of charge for life")</f>
        <v>Xiaogan A-level scenic spots of filial piety medical aid free of charge for life</v>
      </c>
      <c r="D8168" s="5" t="s">
        <v>18857</v>
      </c>
      <c r="E8168" s="4">
        <v>215916</v>
      </c>
      <c r="F8168">
        <v>1</v>
      </c>
    </row>
    <row r="8169" spans="1:6" ht="13.5" customHeight="1">
      <c r="A8169" s="4" t="s">
        <v>18858</v>
      </c>
      <c r="B8169" s="4" t="s">
        <v>18652</v>
      </c>
      <c r="C8169" s="4" t="str">
        <f ca="1">IFERROR(__xludf.DUMMYFUNCTION("GOOGLETRANSLATE(D:D,""auto"",""en"")"),"Vulcan Mountain stagnation Han participating in the construction workers will return to the post to return home")</f>
        <v>Vulcan Mountain stagnation Han participating in the construction workers will return to the post to return home</v>
      </c>
      <c r="D8169" s="5" t="s">
        <v>18859</v>
      </c>
      <c r="E8169" s="4">
        <v>215394</v>
      </c>
      <c r="F8169">
        <v>1</v>
      </c>
    </row>
    <row r="8170" spans="1:6" ht="13.5" customHeight="1">
      <c r="A8170" s="4" t="s">
        <v>18855</v>
      </c>
      <c r="B8170" s="4" t="s">
        <v>18860</v>
      </c>
      <c r="C8170" s="4" t="str">
        <f ca="1">IFERROR(__xludf.DUMMYFUNCTION("GOOGLETRANSLATE(D:D,""auto"",""en"")"),"US health sector response Mou refused to do testing")</f>
        <v>US health sector response Mou refused to do testing</v>
      </c>
      <c r="D8170" s="5" t="s">
        <v>18861</v>
      </c>
      <c r="E8170" s="4">
        <v>207941</v>
      </c>
      <c r="F8170">
        <v>1</v>
      </c>
    </row>
    <row r="8171" spans="1:6" ht="13.5" customHeight="1">
      <c r="A8171" s="4" t="s">
        <v>18862</v>
      </c>
      <c r="B8171" s="4" t="s">
        <v>18863</v>
      </c>
      <c r="C8171" s="4" t="str">
        <f ca="1">IFERROR(__xludf.DUMMYFUNCTION("GOOGLETRANSLATE(D:D,""auto"",""en"")"),"New 5986 cases of confirmed cases in Italy")</f>
        <v>New 5986 cases of confirmed cases in Italy</v>
      </c>
      <c r="D8171" s="5" t="s">
        <v>18864</v>
      </c>
      <c r="E8171" s="4">
        <v>194368</v>
      </c>
      <c r="F8171">
        <v>1</v>
      </c>
    </row>
    <row r="8172" spans="1:6" ht="13.5" hidden="1" customHeight="1">
      <c r="C8172" s="4" t="str">
        <f ca="1">IFERROR(__xludf.DUMMYFUNCTION("GOOGLETRANSLATE(D:D,""auto"",""en"")"),"#VALUE!")</f>
        <v>#VALUE!</v>
      </c>
    </row>
    <row r="8173" spans="1:6" ht="13.5" hidden="1" customHeight="1">
      <c r="A8173" s="4" t="s">
        <v>18865</v>
      </c>
      <c r="B8173" s="4" t="s">
        <v>18866</v>
      </c>
      <c r="C8173" s="4" t="str">
        <f ca="1">IFERROR(__xludf.DUMMYFUNCTION("GOOGLETRANSLATE(D:D,""auto"",""en"")"),"Lin Kotaku take F")</f>
        <v>Lin Kotaku take F</v>
      </c>
      <c r="D8173" s="4" t="s">
        <v>18867</v>
      </c>
      <c r="E8173" s="4">
        <v>2844515</v>
      </c>
    </row>
    <row r="8174" spans="1:6" ht="13.5" hidden="1" customHeight="1">
      <c r="A8174" s="4" t="s">
        <v>18868</v>
      </c>
      <c r="B8174" s="4" t="s">
        <v>18869</v>
      </c>
      <c r="C8174" s="4" t="str">
        <f ca="1">IFERROR(__xludf.DUMMYFUNCTION("GOOGLETRANSLATE(D:D,""auto"",""en"")"),"After seeing the children involved with secret Huanggang volume")</f>
        <v>After seeing the children involved with secret Huanggang volume</v>
      </c>
      <c r="D8174" s="5" t="s">
        <v>18870</v>
      </c>
      <c r="E8174" s="4">
        <v>2728335</v>
      </c>
    </row>
    <row r="8175" spans="1:6" ht="13.5" hidden="1" customHeight="1">
      <c r="A8175" s="4" t="s">
        <v>18871</v>
      </c>
      <c r="B8175" s="4" t="s">
        <v>18872</v>
      </c>
      <c r="C8175" s="4" t="str">
        <f ca="1">IFERROR(__xludf.DUMMYFUNCTION("GOOGLETRANSLATE(D:D,""auto"",""en"")"),"Bingqingyujie quadruplets hold together")</f>
        <v>Bingqingyujie quadruplets hold together</v>
      </c>
      <c r="D8175" s="5" t="s">
        <v>18873</v>
      </c>
      <c r="E8175" s="4">
        <v>2724373</v>
      </c>
    </row>
    <row r="8176" spans="1:6" ht="13.5" hidden="1" customHeight="1">
      <c r="A8176" s="4" t="s">
        <v>18874</v>
      </c>
      <c r="B8176" s="4" t="s">
        <v>18875</v>
      </c>
      <c r="C8176" s="4" t="str">
        <f ca="1">IFERROR(__xludf.DUMMYFUNCTION("GOOGLETRANSLATE(D:D,""auto"",""en"")"),"Cheng Kai")</f>
        <v>Cheng Kai</v>
      </c>
      <c r="D8176" s="5" t="s">
        <v>18876</v>
      </c>
      <c r="E8176" s="4">
        <v>1532059</v>
      </c>
    </row>
    <row r="8177" spans="1:6" ht="13.5" hidden="1" customHeight="1">
      <c r="A8177" s="4" t="s">
        <v>18877</v>
      </c>
      <c r="B8177" s="4" t="s">
        <v>18878</v>
      </c>
      <c r="C8177" s="4" t="str">
        <f ca="1">IFERROR(__xludf.DUMMYFUNCTION("GOOGLETRANSLATE(D:D,""auto"",""en"")"),"Happy Star polyhedron")</f>
        <v>Happy Star polyhedron</v>
      </c>
      <c r="D8177" s="5" t="s">
        <v>18879</v>
      </c>
      <c r="E8177" s="4">
        <v>1238632</v>
      </c>
    </row>
    <row r="8178" spans="1:6" ht="13.5" hidden="1" customHeight="1">
      <c r="A8178" s="4" t="s">
        <v>18880</v>
      </c>
      <c r="B8178" s="4" t="s">
        <v>18881</v>
      </c>
      <c r="C8178" s="4" t="str">
        <f ca="1">IFERROR(__xludf.DUMMYFUNCTION("GOOGLETRANSLATE(D:D,""auto"",""en"")"),"Week Travels")</f>
        <v>Week Travels</v>
      </c>
      <c r="D8178" s="5" t="s">
        <v>18882</v>
      </c>
      <c r="E8178" s="4">
        <v>990044</v>
      </c>
    </row>
    <row r="8179" spans="1:6" ht="13.5" customHeight="1">
      <c r="A8179" s="4" t="s">
        <v>11563</v>
      </c>
      <c r="B8179" s="4" t="s">
        <v>18869</v>
      </c>
      <c r="C8179" s="4" t="str">
        <f ca="1">IFERROR(__xludf.DUMMYFUNCTION("GOOGLETRANSLATE(D:D,""auto"",""en"")"),"Daegu, South Korea reproduction collective infection")</f>
        <v>Daegu, South Korea reproduction collective infection</v>
      </c>
      <c r="D8179" s="5" t="s">
        <v>18883</v>
      </c>
      <c r="E8179" s="4">
        <v>943138</v>
      </c>
      <c r="F8179">
        <v>1</v>
      </c>
    </row>
    <row r="8180" spans="1:6" ht="13.5" hidden="1" customHeight="1">
      <c r="A8180" s="4" t="s">
        <v>1155</v>
      </c>
      <c r="B8180" s="4" t="s">
        <v>1156</v>
      </c>
      <c r="C8180" s="4" t="str">
        <f ca="1">IFERROR(__xludf.DUMMYFUNCTION("GOOGLETRANSLATE(D:D,""auto"",""en"")"),"Happy Camp")</f>
        <v>Happy Camp</v>
      </c>
      <c r="D8180" s="5" t="s">
        <v>1157</v>
      </c>
      <c r="E8180" s="4">
        <v>873993</v>
      </c>
    </row>
    <row r="8181" spans="1:6" ht="13.5" customHeight="1">
      <c r="A8181" s="4" t="s">
        <v>18884</v>
      </c>
      <c r="B8181" s="4" t="s">
        <v>18885</v>
      </c>
      <c r="C8181" s="4" t="str">
        <f ca="1">IFERROR(__xludf.DUMMYFUNCTION("GOOGLETRANSLATE(D:D,""auto"",""en"")"),"China other than Niikappu pneumonia 193,327 example")</f>
        <v>China other than Niikappu pneumonia 193,327 example</v>
      </c>
      <c r="D8181" s="5" t="s">
        <v>18886</v>
      </c>
      <c r="E8181" s="4">
        <v>783091</v>
      </c>
      <c r="F8181">
        <v>1</v>
      </c>
    </row>
    <row r="8182" spans="1:6" ht="13.5" hidden="1" customHeight="1">
      <c r="A8182" s="4" t="s">
        <v>18887</v>
      </c>
      <c r="B8182" s="4" t="s">
        <v>18888</v>
      </c>
      <c r="C8182" s="4" t="str">
        <f ca="1">IFERROR(__xludf.DUMMYFUNCTION("GOOGLETRANSLATE(D:D,""auto"",""en"")"),"Italian mayor turned Henan village public anger hate")</f>
        <v>Italian mayor turned Henan village public anger hate</v>
      </c>
      <c r="D8182" s="5" t="s">
        <v>18889</v>
      </c>
      <c r="E8182" s="4">
        <v>761445</v>
      </c>
    </row>
    <row r="8183" spans="1:6" ht="13.5" hidden="1" customHeight="1">
      <c r="A8183" s="4" t="s">
        <v>18890</v>
      </c>
      <c r="B8183" s="4" t="s">
        <v>18891</v>
      </c>
      <c r="C8183" s="4" t="str">
        <f ca="1">IFERROR(__xludf.DUMMYFUNCTION("GOOGLETRANSLATE(D:D,""auto"",""en"")"),"Yoon bite handkerchief")</f>
        <v>Yoon bite handkerchief</v>
      </c>
      <c r="D8183" s="5" t="s">
        <v>18892</v>
      </c>
      <c r="E8183" s="4">
        <v>717890</v>
      </c>
    </row>
    <row r="8184" spans="1:6" ht="13.5" customHeight="1">
      <c r="A8184" s="4" t="s">
        <v>18893</v>
      </c>
      <c r="B8184" s="4" t="s">
        <v>18894</v>
      </c>
      <c r="C8184" s="4" t="str">
        <f ca="1">IFERROR(__xludf.DUMMYFUNCTION("GOOGLETRANSLATE(D:D,""auto"",""en"")"),"Stabbed a doctor suspects have been taken coercive measures")</f>
        <v>Stabbed a doctor suspects have been taken coercive measures</v>
      </c>
      <c r="D8184" s="5" t="s">
        <v>18895</v>
      </c>
      <c r="E8184" s="4">
        <v>641839</v>
      </c>
      <c r="F8184">
        <v>1</v>
      </c>
    </row>
    <row r="8185" spans="1:6" ht="13.5" customHeight="1">
      <c r="A8185" s="4" t="s">
        <v>11563</v>
      </c>
      <c r="B8185" s="4" t="s">
        <v>11564</v>
      </c>
      <c r="C8185" s="4" t="str">
        <f ca="1">IFERROR(__xludf.DUMMYFUNCTION("GOOGLETRANSLATE(D:D,""auto"",""en"")"),"Jiangsu school time")</f>
        <v>Jiangsu school time</v>
      </c>
      <c r="D8185" s="5" t="s">
        <v>11565</v>
      </c>
      <c r="E8185" s="4">
        <v>622353</v>
      </c>
      <c r="F8185">
        <v>1</v>
      </c>
    </row>
    <row r="8186" spans="1:6" ht="13.5" customHeight="1">
      <c r="A8186" s="4" t="s">
        <v>18896</v>
      </c>
      <c r="B8186" s="4" t="s">
        <v>18897</v>
      </c>
      <c r="C8186" s="4" t="str">
        <f ca="1">IFERROR(__xludf.DUMMYFUNCTION("GOOGLETRANSLATE(D:D,""auto"",""en"")"),"Wu Lei infection after starting the sound of the new crown pneumonia")</f>
        <v>Wu Lei infection after starting the sound of the new crown pneumonia</v>
      </c>
      <c r="D8186" s="5" t="s">
        <v>18898</v>
      </c>
      <c r="E8186" s="4">
        <v>561392</v>
      </c>
      <c r="F8186">
        <v>1</v>
      </c>
    </row>
    <row r="8187" spans="1:6" ht="13.5" hidden="1" customHeight="1">
      <c r="A8187" s="4" t="s">
        <v>18899</v>
      </c>
      <c r="B8187" s="4" t="s">
        <v>18900</v>
      </c>
      <c r="C8187" s="4" t="str">
        <f ca="1">IFERROR(__xludf.DUMMYFUNCTION("GOOGLETRANSLATE(D:D,""auto"",""en"")"),"Serbian Embassy hair Bo for help")</f>
        <v>Serbian Embassy hair Bo for help</v>
      </c>
      <c r="D8187" s="5" t="s">
        <v>18901</v>
      </c>
      <c r="E8187" s="4">
        <v>544597</v>
      </c>
    </row>
    <row r="8188" spans="1:6" ht="13.5" hidden="1" customHeight="1">
      <c r="A8188" s="4" t="s">
        <v>13910</v>
      </c>
      <c r="B8188" s="4" t="s">
        <v>13911</v>
      </c>
      <c r="C8188" s="4" t="str">
        <f ca="1">IFERROR(__xludf.DUMMYFUNCTION("GOOGLETRANSLATE(D:D,""auto"",""en"")"),"Xiaozhan")</f>
        <v>Xiaozhan</v>
      </c>
      <c r="D8188" s="5" t="s">
        <v>13912</v>
      </c>
      <c r="E8188" s="4">
        <v>543887</v>
      </c>
    </row>
    <row r="8189" spans="1:6" ht="13.5" hidden="1" customHeight="1">
      <c r="A8189" s="4" t="s">
        <v>18902</v>
      </c>
      <c r="B8189" s="4" t="s">
        <v>18903</v>
      </c>
      <c r="C8189" s="4" t="str">
        <f ca="1">IFERROR(__xludf.DUMMYFUNCTION("GOOGLETRANSLATE(D:D,""auto"",""en"")"),"Do want to choose C bit cold")</f>
        <v>Do want to choose C bit cold</v>
      </c>
      <c r="D8189" s="5" t="s">
        <v>18904</v>
      </c>
      <c r="E8189" s="4">
        <v>537936</v>
      </c>
    </row>
    <row r="8190" spans="1:6" ht="13.5" customHeight="1">
      <c r="A8190" s="4" t="s">
        <v>18905</v>
      </c>
      <c r="B8190" s="4" t="s">
        <v>18906</v>
      </c>
      <c r="C8190" s="4" t="str">
        <f ca="1">IFERROR(__xludf.DUMMYFUNCTION("GOOGLETRANSLATE(D:D,""auto"",""en"")"),"The best school time")</f>
        <v>The best school time</v>
      </c>
      <c r="D8190" s="5" t="s">
        <v>18907</v>
      </c>
      <c r="E8190" s="4">
        <v>533411</v>
      </c>
      <c r="F8190">
        <v>1</v>
      </c>
    </row>
    <row r="8191" spans="1:6" ht="13.5" customHeight="1">
      <c r="A8191" s="4" t="s">
        <v>18908</v>
      </c>
      <c r="B8191" s="4" t="s">
        <v>18909</v>
      </c>
      <c r="C8191" s="4" t="str">
        <f ca="1">IFERROR(__xludf.DUMMYFUNCTION("GOOGLETRANSLATE(D:D,""auto"",""en"")"),"Italy, Spain and Iran confirmed the sum of over 900 million people")</f>
        <v>Italy, Spain and Iran confirmed the sum of over 900 million people</v>
      </c>
      <c r="D8191" s="5" t="s">
        <v>18910</v>
      </c>
      <c r="E8191" s="4">
        <v>530240</v>
      </c>
      <c r="F8191">
        <v>1</v>
      </c>
    </row>
    <row r="8192" spans="1:6" ht="13.5" customHeight="1">
      <c r="A8192" s="4" t="s">
        <v>18911</v>
      </c>
      <c r="B8192" s="4" t="s">
        <v>18912</v>
      </c>
      <c r="C8192" s="4" t="str">
        <f ca="1">IFERROR(__xludf.DUMMYFUNCTION("GOOGLETRANSLATE(D:D,""auto"",""en"")"),"Ezhou people kneeling to send a medical team Hubei, Guizhou aid")</f>
        <v>Ezhou people kneeling to send a medical team Hubei, Guizhou aid</v>
      </c>
      <c r="D8192" s="5" t="s">
        <v>18913</v>
      </c>
      <c r="E8192" s="4">
        <v>521638</v>
      </c>
      <c r="F8192">
        <v>1</v>
      </c>
    </row>
    <row r="8193" spans="1:6" ht="13.5" hidden="1" customHeight="1">
      <c r="A8193" s="4" t="s">
        <v>18914</v>
      </c>
      <c r="B8193" s="4" t="s">
        <v>18915</v>
      </c>
      <c r="C8193" s="4" t="str">
        <f ca="1">IFERROR(__xludf.DUMMYFUNCTION("GOOGLETRANSLATE(D:D,""auto"",""en"")"),"Leroy full C")</f>
        <v>Leroy full C</v>
      </c>
      <c r="D8193" s="5" t="s">
        <v>18916</v>
      </c>
      <c r="E8193" s="4">
        <v>516063</v>
      </c>
    </row>
    <row r="8194" spans="1:6" ht="13.5" hidden="1" customHeight="1">
      <c r="A8194" s="4" t="s">
        <v>18462</v>
      </c>
      <c r="B8194" s="4" t="s">
        <v>18463</v>
      </c>
      <c r="C8194" s="4" t="str">
        <f ca="1">IFERROR(__xludf.DUMMYFUNCTION("GOOGLETRANSLATE(D:D,""auto"",""en"")"),"Rock candy stew Sydney")</f>
        <v>Rock candy stew Sydney</v>
      </c>
      <c r="D8194" s="5" t="s">
        <v>18464</v>
      </c>
      <c r="E8194" s="4">
        <v>511984</v>
      </c>
    </row>
    <row r="8195" spans="1:6" ht="13.5" hidden="1" customHeight="1">
      <c r="A8195" s="4" t="s">
        <v>18917</v>
      </c>
      <c r="B8195" s="4" t="s">
        <v>18891</v>
      </c>
      <c r="C8195" s="4" t="str">
        <f ca="1">IFERROR(__xludf.DUMMYFUNCTION("GOOGLETRANSLATE(D:D,""auto"",""en"")"),"750,000 ratings C")</f>
        <v>750,000 ratings C</v>
      </c>
      <c r="D8195" s="5" t="s">
        <v>18918</v>
      </c>
      <c r="E8195" s="4">
        <v>509390</v>
      </c>
    </row>
    <row r="8196" spans="1:6" ht="13.5" hidden="1" customHeight="1">
      <c r="A8196" s="4" t="s">
        <v>18919</v>
      </c>
      <c r="B8196" s="4" t="s">
        <v>18920</v>
      </c>
      <c r="C8196" s="4" t="str">
        <f ca="1">IFERROR(__xludf.DUMMYFUNCTION("GOOGLETRANSLATE(D:D,""auto"",""en"")"),"Ke Jie live Landlords")</f>
        <v>Ke Jie live Landlords</v>
      </c>
      <c r="D8196" s="5" t="s">
        <v>18921</v>
      </c>
      <c r="E8196" s="4">
        <v>504384</v>
      </c>
    </row>
    <row r="8197" spans="1:6" ht="13.5" hidden="1" customHeight="1">
      <c r="A8197" s="4" t="s">
        <v>18922</v>
      </c>
      <c r="B8197" s="4" t="s">
        <v>18923</v>
      </c>
      <c r="C8197" s="4" t="str">
        <f ca="1">IFERROR(__xludf.DUMMYFUNCTION("GOOGLETRANSLATE(D:D,""auto"",""en"")"),"Your idea of ​​Korean TOP")</f>
        <v>Your idea of ​​Korean TOP</v>
      </c>
      <c r="D8197" s="5" t="s">
        <v>18924</v>
      </c>
      <c r="E8197" s="4">
        <v>501696</v>
      </c>
    </row>
    <row r="8198" spans="1:6" ht="13.5" hidden="1" customHeight="1">
      <c r="A8198" s="4" t="s">
        <v>18925</v>
      </c>
      <c r="B8198" s="4" t="s">
        <v>18926</v>
      </c>
      <c r="C8198" s="4" t="str">
        <f ca="1">IFERROR(__xludf.DUMMYFUNCTION("GOOGLETRANSLATE(D:D,""auto"",""en"")"),"Jay JJ size than the eye")</f>
        <v>Jay JJ size than the eye</v>
      </c>
      <c r="D8198" s="5" t="s">
        <v>18927</v>
      </c>
      <c r="E8198" s="4">
        <v>499202</v>
      </c>
    </row>
    <row r="8199" spans="1:6" ht="13.5" hidden="1" customHeight="1">
      <c r="A8199" s="4" t="s">
        <v>18877</v>
      </c>
      <c r="B8199" s="4" t="s">
        <v>18928</v>
      </c>
      <c r="C8199" s="4" t="str">
        <f ca="1">IFERROR(__xludf.DUMMYFUNCTION("GOOGLETRANSLATE(D:D,""auto"",""en"")"),"Yang Yang's sweet")</f>
        <v>Yang Yang's sweet</v>
      </c>
      <c r="D8199" s="5" t="s">
        <v>18929</v>
      </c>
      <c r="E8199" s="4">
        <v>495525</v>
      </c>
    </row>
    <row r="8200" spans="1:6" ht="13.5" customHeight="1">
      <c r="A8200" s="4" t="s">
        <v>18930</v>
      </c>
      <c r="B8200" s="4" t="s">
        <v>18931</v>
      </c>
      <c r="C8200" s="4" t="str">
        <f ca="1">IFERROR(__xludf.DUMMYFUNCTION("GOOGLETRANSLATE(D:D,""auto"",""en"")"),"Do not buy school clothes to die")</f>
        <v>Do not buy school clothes to die</v>
      </c>
      <c r="D8200" s="5" t="s">
        <v>18932</v>
      </c>
      <c r="E8200" s="4">
        <v>437910</v>
      </c>
      <c r="F8200">
        <v>1</v>
      </c>
    </row>
    <row r="8201" spans="1:6" ht="13.5" customHeight="1">
      <c r="A8201" s="4" t="s">
        <v>18933</v>
      </c>
      <c r="B8201" s="4" t="s">
        <v>18934</v>
      </c>
      <c r="C8201" s="4" t="str">
        <f ca="1">IFERROR(__xludf.DUMMYFUNCTION("GOOGLETRANSLATE(D:D,""auto"",""en"")"),"Enter the 10 days of overseas cases increased by 216%")</f>
        <v>Enter the 10 days of overseas cases increased by 216%</v>
      </c>
      <c r="D8201" s="5" t="s">
        <v>18935</v>
      </c>
      <c r="E8201" s="4">
        <v>363417</v>
      </c>
      <c r="F8201">
        <v>1</v>
      </c>
    </row>
    <row r="8202" spans="1:6" ht="13.5" customHeight="1">
      <c r="A8202" s="4" t="s">
        <v>18936</v>
      </c>
      <c r="B8202" s="4" t="s">
        <v>18937</v>
      </c>
      <c r="C8202" s="4" t="str">
        <f ca="1">IFERROR(__xludf.DUMMYFUNCTION("GOOGLETRANSLATE(D:D,""auto"",""en"")"),"After 90 nurses not to broadcast the name of the man named Luo Yao")</f>
        <v>After 90 nurses not to broadcast the name of the man named Luo Yao</v>
      </c>
      <c r="D8202" s="5" t="s">
        <v>18938</v>
      </c>
      <c r="E8202" s="4">
        <v>356675</v>
      </c>
      <c r="F8202">
        <v>1</v>
      </c>
    </row>
    <row r="8203" spans="1:6" ht="13.5" hidden="1" customHeight="1">
      <c r="A8203" s="4" t="s">
        <v>18939</v>
      </c>
      <c r="B8203" s="4" t="s">
        <v>18940</v>
      </c>
      <c r="C8203" s="4" t="str">
        <f ca="1">IFERROR(__xludf.DUMMYFUNCTION("GOOGLETRANSLATE(D:D,""auto"",""en"")"),"Angela Huang Yali kite lead the way")</f>
        <v>Angela Huang Yali kite lead the way</v>
      </c>
      <c r="D8203" s="5" t="s">
        <v>18941</v>
      </c>
      <c r="E8203" s="4">
        <v>343674</v>
      </c>
    </row>
    <row r="8204" spans="1:6" ht="13.5" customHeight="1">
      <c r="A8204" s="4" t="s">
        <v>11563</v>
      </c>
      <c r="B8204" s="4" t="s">
        <v>18942</v>
      </c>
      <c r="C8204" s="4" t="str">
        <f ca="1">IFERROR(__xludf.DUMMYFUNCTION("GOOGLETRANSLATE(D:D,""auto"",""en"")"),"CardiB praised the Chinese epidemic prevention measures")</f>
        <v>CardiB praised the Chinese epidemic prevention measures</v>
      </c>
      <c r="D8204" s="5" t="s">
        <v>18943</v>
      </c>
      <c r="E8204" s="4">
        <v>328364</v>
      </c>
      <c r="F8204">
        <v>1</v>
      </c>
    </row>
    <row r="8205" spans="1:6" ht="13.5" customHeight="1">
      <c r="A8205" s="4" t="s">
        <v>18944</v>
      </c>
      <c r="B8205" s="4" t="s">
        <v>18945</v>
      </c>
      <c r="C8205" s="4" t="str">
        <f ca="1">IFERROR(__xludf.DUMMYFUNCTION("GOOGLETRANSLATE(D:D,""auto"",""en"")"),"Los Angeles County proposed to abandon part of the virus detected in patients")</f>
        <v>Los Angeles County proposed to abandon part of the virus detected in patients</v>
      </c>
      <c r="D8205" s="5" t="s">
        <v>18946</v>
      </c>
      <c r="E8205" s="4">
        <v>321122</v>
      </c>
      <c r="F8205">
        <v>1</v>
      </c>
    </row>
    <row r="8206" spans="1:6" ht="13.5" hidden="1" customHeight="1">
      <c r="A8206" s="4" t="s">
        <v>18947</v>
      </c>
      <c r="B8206" s="4" t="s">
        <v>18948</v>
      </c>
      <c r="C8206" s="4" t="str">
        <f ca="1">IFERROR(__xludf.DUMMYFUNCTION("GOOGLETRANSLATE(D:D,""auto"",""en"")"),"Trump said the nation's home release order is not necessary")</f>
        <v>Trump said the nation's home release order is not necessary</v>
      </c>
      <c r="D8206" s="5" t="s">
        <v>18949</v>
      </c>
      <c r="E8206" s="4">
        <v>317123</v>
      </c>
    </row>
    <row r="8207" spans="1:6" ht="13.5" hidden="1" customHeight="1">
      <c r="A8207" s="4" t="s">
        <v>18950</v>
      </c>
      <c r="B8207" s="4" t="s">
        <v>18888</v>
      </c>
      <c r="C8207" s="4" t="str">
        <f ca="1">IFERROR(__xludf.DUMMYFUNCTION("GOOGLETRANSLATE(D:D,""auto"",""en"")"),"Japan leads the Olympic rings show failed gale")</f>
        <v>Japan leads the Olympic rings show failed gale</v>
      </c>
      <c r="D8207" s="5" t="s">
        <v>18951</v>
      </c>
      <c r="E8207" s="4">
        <v>315692</v>
      </c>
    </row>
    <row r="8208" spans="1:6" ht="13.5" hidden="1" customHeight="1">
      <c r="A8208" s="4" t="s">
        <v>18930</v>
      </c>
      <c r="B8208" s="4" t="s">
        <v>18923</v>
      </c>
      <c r="C8208" s="4" t="str">
        <f ca="1">IFERROR(__xludf.DUMMYFUNCTION("GOOGLETRANSLATE(D:D,""auto"",""en"")"),"I finally eat hot pot")</f>
        <v>I finally eat hot pot</v>
      </c>
      <c r="D8208" s="5" t="s">
        <v>18952</v>
      </c>
      <c r="E8208" s="4">
        <v>294088</v>
      </c>
    </row>
    <row r="8209" spans="1:6" ht="13.5" hidden="1" customHeight="1">
      <c r="A8209" s="4" t="s">
        <v>18953</v>
      </c>
      <c r="B8209" s="4" t="s">
        <v>18954</v>
      </c>
      <c r="C8209" s="4" t="str">
        <f ca="1">IFERROR(__xludf.DUMMYFUNCTION("GOOGLETRANSLATE(D:D,""auto"",""en"")"),"Yu Shuxin studio apology")</f>
        <v>Yu Shuxin studio apology</v>
      </c>
      <c r="D8209" s="5" t="s">
        <v>18955</v>
      </c>
      <c r="E8209" s="4">
        <v>289183</v>
      </c>
    </row>
    <row r="8210" spans="1:6" ht="13.5" hidden="1" customHeight="1">
      <c r="A8210" s="4" t="s">
        <v>18956</v>
      </c>
      <c r="B8210" s="4" t="s">
        <v>18957</v>
      </c>
      <c r="C8210" s="4" t="str">
        <f ca="1">IFERROR(__xludf.DUMMYFUNCTION("GOOGLETRANSLATE(D:D,""auto"",""en"")"),"Exploding concave honey cake")</f>
        <v>Exploding concave honey cake</v>
      </c>
      <c r="D8210" s="5" t="s">
        <v>18958</v>
      </c>
      <c r="E8210" s="4">
        <v>282065</v>
      </c>
    </row>
    <row r="8211" spans="1:6" ht="13.5" customHeight="1">
      <c r="A8211" s="4" t="s">
        <v>18959</v>
      </c>
      <c r="B8211" s="4" t="s">
        <v>18923</v>
      </c>
      <c r="C8211" s="4" t="str">
        <f ca="1">IFERROR(__xludf.DUMMYFUNCTION("GOOGLETRANSLATE(D:D,""auto"",""en"")"),"Japan Oita collective infection events occurred a hospital")</f>
        <v>Japan Oita collective infection events occurred a hospital</v>
      </c>
      <c r="D8211" s="5" t="s">
        <v>18960</v>
      </c>
      <c r="E8211" s="4">
        <v>267463</v>
      </c>
      <c r="F8211">
        <v>1</v>
      </c>
    </row>
    <row r="8212" spans="1:6" ht="13.5" hidden="1" customHeight="1">
      <c r="A8212" s="4" t="s">
        <v>18961</v>
      </c>
      <c r="B8212" s="4" t="s">
        <v>18962</v>
      </c>
      <c r="C8212" s="4" t="str">
        <f ca="1">IFERROR(__xludf.DUMMYFUNCTION("GOOGLETRANSLATE(D:D,""auto"",""en"")"),"Yunxiang Gao returned home")</f>
        <v>Yunxiang Gao returned home</v>
      </c>
      <c r="D8212" s="5" t="s">
        <v>18963</v>
      </c>
      <c r="E8212" s="4">
        <v>250911</v>
      </c>
    </row>
    <row r="8213" spans="1:6" ht="13.5" customHeight="1">
      <c r="A8213" s="4" t="s">
        <v>10629</v>
      </c>
      <c r="B8213" s="4" t="s">
        <v>18964</v>
      </c>
      <c r="C8213" s="4" t="str">
        <f ca="1">IFERROR(__xludf.DUMMYFUNCTION("GOOGLETRANSLATE(D:D,""auto"",""en"")"),"Inner Mongolia, a patient's doctor was stabbed with a knife")</f>
        <v>Inner Mongolia, a patient's doctor was stabbed with a knife</v>
      </c>
      <c r="D8213" s="5" t="s">
        <v>18965</v>
      </c>
      <c r="E8213" s="4">
        <v>243632</v>
      </c>
      <c r="F8213">
        <v>1</v>
      </c>
    </row>
    <row r="8214" spans="1:6" ht="13.5" customHeight="1">
      <c r="A8214" s="4" t="s">
        <v>18966</v>
      </c>
      <c r="B8214" s="4" t="s">
        <v>18967</v>
      </c>
      <c r="C8214" s="4" t="str">
        <f ca="1">IFERROR(__xludf.DUMMYFUNCTION("GOOGLETRANSLATE(D:D,""auto"",""en"")"),"Australia Bondi Beach is closed")</f>
        <v>Australia Bondi Beach is closed</v>
      </c>
      <c r="D8214" s="5" t="s">
        <v>18968</v>
      </c>
      <c r="E8214" s="4">
        <v>242668</v>
      </c>
      <c r="F8214">
        <v>1</v>
      </c>
    </row>
    <row r="8215" spans="1:6" ht="13.5" hidden="1" customHeight="1">
      <c r="A8215" s="4" t="s">
        <v>18969</v>
      </c>
      <c r="B8215" s="4" t="s">
        <v>18970</v>
      </c>
      <c r="C8215" s="4" t="str">
        <f ca="1">IFERROR(__xludf.DUMMYFUNCTION("GOOGLETRANSLATE(D:D,""auto"",""en"")"),"Argentina married woman")</f>
        <v>Argentina married woman</v>
      </c>
      <c r="D8215" s="5" t="s">
        <v>18971</v>
      </c>
      <c r="E8215" s="4">
        <v>240461</v>
      </c>
    </row>
    <row r="8216" spans="1:6" ht="13.5" hidden="1" customHeight="1">
      <c r="A8216" s="4" t="s">
        <v>18972</v>
      </c>
      <c r="B8216" s="4" t="s">
        <v>18967</v>
      </c>
      <c r="C8216" s="4" t="str">
        <f ca="1">IFERROR(__xludf.DUMMYFUNCTION("GOOGLETRANSLATE(D:D,""auto"",""en"")"),"Write your thesis")</f>
        <v>Write your thesis</v>
      </c>
      <c r="D8216" s="5" t="s">
        <v>18973</v>
      </c>
      <c r="E8216" s="4">
        <v>238768</v>
      </c>
    </row>
    <row r="8217" spans="1:6" ht="13.5" hidden="1" customHeight="1">
      <c r="A8217" s="4" t="s">
        <v>18974</v>
      </c>
      <c r="B8217" s="4" t="s">
        <v>18942</v>
      </c>
      <c r="C8217" s="4" t="str">
        <f ca="1">IFERROR(__xludf.DUMMYFUNCTION("GOOGLETRANSLATE(D:D,""auto"",""en"")"),"CCTV network")</f>
        <v>CCTV network</v>
      </c>
      <c r="D8217" s="5" t="s">
        <v>18975</v>
      </c>
      <c r="E8217" s="4">
        <v>237287</v>
      </c>
    </row>
    <row r="8218" spans="1:6" ht="13.5" hidden="1" customHeight="1">
      <c r="A8218" s="4" t="s">
        <v>10629</v>
      </c>
      <c r="B8218" s="4" t="s">
        <v>10630</v>
      </c>
      <c r="C8218" s="4" t="str">
        <f ca="1">IFERROR(__xludf.DUMMYFUNCTION("GOOGLETRANSLATE(D:D,""auto"",""en"")"),"Heaven-sent voice")</f>
        <v>Heaven-sent voice</v>
      </c>
      <c r="D8218" s="5" t="s">
        <v>10631</v>
      </c>
      <c r="E8218" s="4">
        <v>230695</v>
      </c>
    </row>
    <row r="8219" spans="1:6" ht="13.5" hidden="1" customHeight="1">
      <c r="A8219" s="4" t="s">
        <v>18961</v>
      </c>
      <c r="B8219" s="4" t="s">
        <v>18976</v>
      </c>
      <c r="C8219" s="4" t="str">
        <f ca="1">IFERROR(__xludf.DUMMYFUNCTION("GOOGLETRANSLATE(D:D,""auto"",""en"")"),"Zhang Qiang penicillin lemon")</f>
        <v>Zhang Qiang penicillin lemon</v>
      </c>
      <c r="D8219" s="5" t="s">
        <v>18977</v>
      </c>
      <c r="E8219" s="4">
        <v>219310</v>
      </c>
    </row>
    <row r="8220" spans="1:6" ht="13.5" hidden="1" customHeight="1">
      <c r="A8220" s="4" t="s">
        <v>18978</v>
      </c>
      <c r="B8220" s="4" t="s">
        <v>18962</v>
      </c>
      <c r="C8220" s="4" t="str">
        <f ca="1">IFERROR(__xludf.DUMMYFUNCTION("GOOGLETRANSLATE(D:D,""auto"",""en"")"),"Cute")</f>
        <v>Cute</v>
      </c>
      <c r="D8220" s="5" t="s">
        <v>18979</v>
      </c>
      <c r="E8220" s="4">
        <v>199537</v>
      </c>
    </row>
    <row r="8221" spans="1:6" ht="13.5" customHeight="1">
      <c r="A8221" s="4" t="s">
        <v>18966</v>
      </c>
      <c r="B8221" s="4" t="s">
        <v>18980</v>
      </c>
      <c r="C8221" s="4" t="str">
        <f ca="1">IFERROR(__xludf.DUMMYFUNCTION("GOOGLETRANSLATE(D:D,""auto"",""en"")"),"Shandong medical team to bring back the children Huanggang dense volumes")</f>
        <v>Shandong medical team to bring back the children Huanggang dense volumes</v>
      </c>
      <c r="D8221" s="5" t="s">
        <v>18981</v>
      </c>
      <c r="E8221" s="4">
        <v>177310</v>
      </c>
      <c r="F8221">
        <v>1</v>
      </c>
    </row>
    <row r="8222" spans="1:6" ht="13.5" hidden="1" customHeight="1">
      <c r="A8222" s="4" t="s">
        <v>18982</v>
      </c>
      <c r="B8222" s="4" t="s">
        <v>18983</v>
      </c>
      <c r="C8222" s="4" t="str">
        <f ca="1">IFERROR(__xludf.DUMMYFUNCTION("GOOGLETRANSLATE(D:D,""auto"",""en"")"),"Pearl milk tea is a Geda")</f>
        <v>Pearl milk tea is a Geda</v>
      </c>
      <c r="D8222" s="5" t="s">
        <v>18984</v>
      </c>
      <c r="E8222" s="4">
        <v>101103</v>
      </c>
    </row>
    <row r="8223" spans="1:6" ht="13.5" hidden="1" customHeight="1">
      <c r="C8223" s="4" t="str">
        <f ca="1">IFERROR(__xludf.DUMMYFUNCTION("GOOGLETRANSLATE(D:D,""auto"",""en"")"),"#VALUE!")</f>
        <v>#VALUE!</v>
      </c>
    </row>
    <row r="8224" spans="1:6" ht="13.5" hidden="1" customHeight="1">
      <c r="A8224" s="4" t="s">
        <v>18985</v>
      </c>
      <c r="B8224" s="4" t="s">
        <v>18986</v>
      </c>
      <c r="C8224" s="4" t="str">
        <f ca="1">IFERROR(__xludf.DUMMYFUNCTION("GOOGLETRANSLATE(D:D,""auto"",""en"")"),"Micro letter officially supports deep color mode")</f>
        <v>Micro letter officially supports deep color mode</v>
      </c>
      <c r="D8224" s="4" t="s">
        <v>18987</v>
      </c>
      <c r="E8224" s="4">
        <v>5122312</v>
      </c>
    </row>
    <row r="8225" spans="1:6" ht="13.5" customHeight="1">
      <c r="A8225" s="4" t="s">
        <v>18988</v>
      </c>
      <c r="B8225" s="4" t="s">
        <v>18989</v>
      </c>
      <c r="C8225" s="4" t="str">
        <f ca="1">IFERROR(__xludf.DUMMYFUNCTION("GOOGLETRANSLATE(D:D,""auto"",""en"")"),"Experts say the epidemic in November last year or has been popular in Italy")</f>
        <v>Experts say the epidemic in November last year or has been popular in Italy</v>
      </c>
      <c r="D8225" s="5" t="s">
        <v>18990</v>
      </c>
      <c r="E8225" s="4">
        <v>2426902</v>
      </c>
      <c r="F8225">
        <v>1</v>
      </c>
    </row>
    <row r="8226" spans="1:6" ht="13.5" hidden="1" customHeight="1">
      <c r="A8226" s="4" t="s">
        <v>18991</v>
      </c>
      <c r="B8226" s="4" t="s">
        <v>12620</v>
      </c>
      <c r="C8226" s="4" t="str">
        <f ca="1">IFERROR(__xludf.DUMMYFUNCTION("GOOGLETRANSLATE(D:D,""auto"",""en"")"),"Italy")</f>
        <v>Italy</v>
      </c>
      <c r="D8226" s="5" t="s">
        <v>18992</v>
      </c>
      <c r="E8226" s="4">
        <v>1943440</v>
      </c>
    </row>
    <row r="8227" spans="1:6" ht="13.5" customHeight="1">
      <c r="A8227" s="4" t="s">
        <v>18993</v>
      </c>
      <c r="B8227" s="4" t="s">
        <v>18877</v>
      </c>
      <c r="C8227" s="4" t="str">
        <f ca="1">IFERROR(__xludf.DUMMYFUNCTION("GOOGLETRANSLATE(D:D,""auto"",""en"")"),"Trump recommended masks reused without sterilization")</f>
        <v>Trump recommended masks reused without sterilization</v>
      </c>
      <c r="D8227" s="5" t="s">
        <v>18994</v>
      </c>
      <c r="E8227" s="4">
        <v>1551989</v>
      </c>
      <c r="F8227">
        <v>1</v>
      </c>
    </row>
    <row r="8228" spans="1:6" ht="13.5" customHeight="1">
      <c r="A8228" s="4" t="s">
        <v>18995</v>
      </c>
      <c r="B8228" s="4" t="s">
        <v>18919</v>
      </c>
      <c r="C8228" s="4" t="str">
        <f ca="1">IFERROR(__xludf.DUMMYFUNCTION("GOOGLETRANSLATE(D:D,""auto"",""en"")"),"Australian Prime Minister said the United States is the largest source of infections in Australia")</f>
        <v>Australian Prime Minister said the United States is the largest source of infections in Australia</v>
      </c>
      <c r="D8228" s="5" t="s">
        <v>18996</v>
      </c>
      <c r="E8228" s="4">
        <v>1190856</v>
      </c>
      <c r="F8228">
        <v>1</v>
      </c>
    </row>
    <row r="8229" spans="1:6" ht="13.5" customHeight="1">
      <c r="A8229" s="4" t="s">
        <v>18997</v>
      </c>
      <c r="B8229" s="4" t="s">
        <v>18998</v>
      </c>
      <c r="C8229" s="4" t="str">
        <f ca="1">IFERROR(__xludf.DUMMYFUNCTION("GOOGLETRANSLATE(D:D,""auto"",""en"")"),"United Kingdom 3 girlfriends grandmother pushing into isolation")</f>
        <v>United Kingdom 3 girlfriends grandmother pushing into isolation</v>
      </c>
      <c r="D8229" s="5" t="s">
        <v>18999</v>
      </c>
      <c r="E8229" s="4">
        <v>1084254</v>
      </c>
      <c r="F8229">
        <v>1</v>
      </c>
    </row>
    <row r="8230" spans="1:6" ht="13.5" customHeight="1">
      <c r="A8230" s="4" t="s">
        <v>19000</v>
      </c>
      <c r="B8230" s="4" t="s">
        <v>19001</v>
      </c>
      <c r="C8230" s="4" t="str">
        <f ca="1">IFERROR(__xludf.DUMMYFUNCTION("GOOGLETRANSLATE(D:D,""auto"",""en"")"),"Wuhan case of new confirmed cases of false")</f>
        <v>Wuhan case of new confirmed cases of false</v>
      </c>
      <c r="D8230" s="5" t="s">
        <v>19002</v>
      </c>
      <c r="E8230" s="4">
        <v>1019562</v>
      </c>
      <c r="F8230">
        <v>1</v>
      </c>
    </row>
    <row r="8231" spans="1:6" ht="13.5" hidden="1" customHeight="1">
      <c r="A8231" s="4" t="s">
        <v>19003</v>
      </c>
      <c r="B8231" s="4" t="s">
        <v>18944</v>
      </c>
      <c r="C8231" s="4" t="str">
        <f ca="1">IFERROR(__xludf.DUMMYFUNCTION("GOOGLETRANSLATE(D:D,""auto"",""en"")"),"President of Serbia kisses the flag")</f>
        <v>President of Serbia kisses the flag</v>
      </c>
      <c r="D8231" s="5" t="s">
        <v>19004</v>
      </c>
      <c r="E8231" s="4">
        <v>977641</v>
      </c>
    </row>
    <row r="8232" spans="1:6" ht="13.5" customHeight="1">
      <c r="A8232" s="4" t="s">
        <v>19005</v>
      </c>
      <c r="B8232" s="4" t="s">
        <v>19006</v>
      </c>
      <c r="C8232" s="4" t="str">
        <f ca="1">IFERROR(__xludf.DUMMYFUNCTION("GOOGLETRANSLATE(D:D,""auto"",""en"")"),"Di Bala confirmed infected with the new virus crown")</f>
        <v>Di Bala confirmed infected with the new virus crown</v>
      </c>
      <c r="D8232" s="5" t="s">
        <v>19007</v>
      </c>
      <c r="E8232" s="4">
        <v>848264</v>
      </c>
      <c r="F8232">
        <v>1</v>
      </c>
    </row>
    <row r="8233" spans="1:6" ht="13.5" hidden="1" customHeight="1">
      <c r="A8233" s="4" t="s">
        <v>19008</v>
      </c>
      <c r="B8233" s="4" t="s">
        <v>19009</v>
      </c>
      <c r="C8233" s="4" t="str">
        <f ca="1">IFERROR(__xludf.DUMMYFUNCTION("GOOGLETRANSLATE(D:D,""auto"",""en"")"),"Dad, I want to hug you")</f>
        <v>Dad, I want to hug you</v>
      </c>
      <c r="D8233" s="5" t="s">
        <v>19010</v>
      </c>
      <c r="E8233" s="4">
        <v>847697</v>
      </c>
    </row>
    <row r="8234" spans="1:6" ht="13.5" customHeight="1">
      <c r="A8234" s="4" t="s">
        <v>19011</v>
      </c>
      <c r="B8234" s="4" t="s">
        <v>19012</v>
      </c>
      <c r="C8234" s="4" t="str">
        <f ca="1">IFERROR(__xludf.DUMMYFUNCTION("GOOGLETRANSLATE(D:D,""auto"",""en"")"),"The new crown the first vaccine volunteers")</f>
        <v>The new crown the first vaccine volunteers</v>
      </c>
      <c r="D8234" s="5" t="s">
        <v>19013</v>
      </c>
      <c r="E8234" s="4">
        <v>843825</v>
      </c>
      <c r="F8234">
        <v>1</v>
      </c>
    </row>
    <row r="8235" spans="1:6" ht="13.5" customHeight="1">
      <c r="A8235" s="4" t="s">
        <v>19014</v>
      </c>
      <c r="B8235" s="4" t="s">
        <v>19015</v>
      </c>
      <c r="C8235" s="4" t="str">
        <f ca="1">IFERROR(__xludf.DUMMYFUNCTION("GOOGLETRANSLATE(D:D,""auto"",""en"")"),"Guangdong's first overseas cases associated with the local input")</f>
        <v>Guangdong's first overseas cases associated with the local input</v>
      </c>
      <c r="D8235" s="5" t="s">
        <v>19016</v>
      </c>
      <c r="E8235" s="4">
        <v>842328</v>
      </c>
      <c r="F8235">
        <v>1</v>
      </c>
    </row>
    <row r="8236" spans="1:6" ht="13.5" customHeight="1">
      <c r="A8236" s="4" t="s">
        <v>19017</v>
      </c>
      <c r="B8236" s="4" t="s">
        <v>19018</v>
      </c>
      <c r="C8236" s="4" t="str">
        <f ca="1">IFERROR(__xludf.DUMMYFUNCTION("GOOGLETRANSLATE(D:D,""auto"",""en"")"),"US federal prisons found that new cases of the first case of pneumonia crown")</f>
        <v>US federal prisons found that new cases of the first case of pneumonia crown</v>
      </c>
      <c r="D8236" s="5" t="s">
        <v>19019</v>
      </c>
      <c r="E8236" s="4">
        <v>840232</v>
      </c>
      <c r="F8236">
        <v>1</v>
      </c>
    </row>
    <row r="8237" spans="1:6" ht="13.5" hidden="1" customHeight="1">
      <c r="A8237" s="4" t="s">
        <v>18997</v>
      </c>
      <c r="B8237" s="4" t="s">
        <v>19020</v>
      </c>
      <c r="C8237" s="4" t="str">
        <f ca="1">IFERROR(__xludf.DUMMYFUNCTION("GOOGLETRANSLATE(D:D,""auto"",""en"")"),"Venetian canal clean in appearance Dolphins")</f>
        <v>Venetian canal clean in appearance Dolphins</v>
      </c>
      <c r="D8237" s="5" t="s">
        <v>19021</v>
      </c>
      <c r="E8237" s="4">
        <v>838145</v>
      </c>
    </row>
    <row r="8238" spans="1:6" ht="13.5" hidden="1" customHeight="1">
      <c r="A8238" s="4" t="s">
        <v>19022</v>
      </c>
      <c r="B8238" s="4" t="s">
        <v>11563</v>
      </c>
      <c r="C8238" s="4" t="str">
        <f ca="1">IFERROR(__xludf.DUMMYFUNCTION("GOOGLETRANSLATE(D:D,""auto"",""en"")"),"Park guest sword Itaewon Class")</f>
        <v>Park guest sword Itaewon Class</v>
      </c>
      <c r="D8238" s="5" t="s">
        <v>19023</v>
      </c>
      <c r="E8238" s="4">
        <v>836065</v>
      </c>
    </row>
    <row r="8239" spans="1:6" ht="13.5" hidden="1" customHeight="1">
      <c r="A8239" s="4" t="s">
        <v>3591</v>
      </c>
      <c r="B8239" s="4" t="s">
        <v>3592</v>
      </c>
      <c r="C8239" s="4" t="str">
        <f ca="1">IFERROR(__xludf.DUMMYFUNCTION("GOOGLETRANSLATE(D:D,""auto"",""en"")"),"Bingqingyujie")</f>
        <v>Bingqingyujie</v>
      </c>
      <c r="D8239" s="5" t="s">
        <v>3593</v>
      </c>
      <c r="E8239" s="4">
        <v>831629</v>
      </c>
    </row>
    <row r="8240" spans="1:6" ht="13.5" hidden="1" customHeight="1">
      <c r="A8240" s="4" t="s">
        <v>19024</v>
      </c>
      <c r="B8240" s="4" t="s">
        <v>19025</v>
      </c>
      <c r="C8240" s="4" t="str">
        <f ca="1">IFERROR(__xludf.DUMMYFUNCTION("GOOGLETRANSLATE(D:D,""auto"",""en"")"),"Forest house plagiarism")</f>
        <v>Forest house plagiarism</v>
      </c>
      <c r="D8240" s="5" t="s">
        <v>19026</v>
      </c>
      <c r="E8240" s="4">
        <v>829525</v>
      </c>
    </row>
    <row r="8241" spans="1:6" ht="13.5" customHeight="1">
      <c r="A8241" s="4" t="s">
        <v>19027</v>
      </c>
      <c r="B8241" s="4" t="s">
        <v>19028</v>
      </c>
      <c r="C8241" s="4" t="str">
        <f ca="1">IFERROR(__xludf.DUMMYFUNCTION("GOOGLETRANSLATE(D:D,""auto"",""en"")"),"Trump complained epidemic affecting their own business")</f>
        <v>Trump complained epidemic affecting their own business</v>
      </c>
      <c r="D8241" s="5" t="s">
        <v>19029</v>
      </c>
      <c r="E8241" s="4">
        <v>828733</v>
      </c>
      <c r="F8241">
        <v>1</v>
      </c>
    </row>
    <row r="8242" spans="1:6" ht="13.5" customHeight="1">
      <c r="A8242" s="4" t="s">
        <v>19030</v>
      </c>
      <c r="B8242" s="4" t="s">
        <v>18914</v>
      </c>
      <c r="C8242" s="4" t="str">
        <f ca="1">IFERROR(__xludf.DUMMYFUNCTION("GOOGLETRANSLATE(D:D,""auto"",""en"")"),"Apple will donate US European hospital masks")</f>
        <v>Apple will donate US European hospital masks</v>
      </c>
      <c r="D8242" s="5" t="s">
        <v>19031</v>
      </c>
      <c r="E8242" s="4">
        <v>826371</v>
      </c>
      <c r="F8242">
        <v>1</v>
      </c>
    </row>
    <row r="8243" spans="1:6" ht="13.5" hidden="1" customHeight="1">
      <c r="A8243" s="4" t="s">
        <v>19032</v>
      </c>
      <c r="B8243" s="4" t="s">
        <v>19033</v>
      </c>
      <c r="C8243" s="4" t="str">
        <f ca="1">IFERROR(__xludf.DUMMYFUNCTION("GOOGLETRANSLATE(D:D,""auto"",""en"")"),"闺蜜 Date")</f>
        <v>闺蜜 Date</v>
      </c>
      <c r="D8243" s="5" t="s">
        <v>19034</v>
      </c>
      <c r="E8243" s="4">
        <v>743726</v>
      </c>
    </row>
    <row r="8244" spans="1:6" ht="13.5" hidden="1" customHeight="1">
      <c r="A8244" s="4" t="s">
        <v>19014</v>
      </c>
      <c r="B8244" s="4" t="s">
        <v>18989</v>
      </c>
      <c r="C8244" s="4" t="str">
        <f ca="1">IFERROR(__xludf.DUMMYFUNCTION("GOOGLETRANSLATE(D:D,""auto"",""en"")"),"The central bank said now conclude that the global economic crisis is too early to enter")</f>
        <v>The central bank said now conclude that the global economic crisis is too early to enter</v>
      </c>
      <c r="D8244" s="5" t="s">
        <v>19035</v>
      </c>
      <c r="E8244" s="4">
        <v>712273</v>
      </c>
    </row>
    <row r="8245" spans="1:6" ht="13.5" hidden="1" customHeight="1">
      <c r="A8245" s="4" t="s">
        <v>19036</v>
      </c>
      <c r="B8245" s="4" t="s">
        <v>19037</v>
      </c>
      <c r="C8245" s="4" t="str">
        <f ca="1">IFERROR(__xludf.DUMMYFUNCTION("GOOGLETRANSLATE(D:D,""auto"",""en"")"),"UK law")</f>
        <v>UK law</v>
      </c>
      <c r="D8245" s="5" t="s">
        <v>19038</v>
      </c>
      <c r="E8245" s="4">
        <v>670876</v>
      </c>
    </row>
    <row r="8246" spans="1:6" ht="13.5" customHeight="1">
      <c r="A8246" s="4" t="s">
        <v>13910</v>
      </c>
      <c r="B8246" s="4" t="s">
        <v>19039</v>
      </c>
      <c r="C8246" s="4" t="str">
        <f ca="1">IFERROR(__xludf.DUMMYFUNCTION("GOOGLETRANSLATE(D:D,""auto"",""en"")"),"Financial system 1137 people infected and 42 died")</f>
        <v>Financial system 1137 people infected and 42 died</v>
      </c>
      <c r="D8246" s="5" t="s">
        <v>19040</v>
      </c>
      <c r="E8246" s="4">
        <v>661328</v>
      </c>
      <c r="F8246">
        <v>1</v>
      </c>
    </row>
    <row r="8247" spans="1:6" ht="13.5" hidden="1" customHeight="1">
      <c r="A8247" s="4" t="s">
        <v>19024</v>
      </c>
      <c r="B8247" s="4" t="s">
        <v>19041</v>
      </c>
      <c r="C8247" s="4" t="str">
        <f ca="1">IFERROR(__xludf.DUMMYFUNCTION("GOOGLETRANSLATE(D:D,""auto"",""en"")"),"Itaewon")</f>
        <v>Itaewon</v>
      </c>
      <c r="D8247" s="5" t="s">
        <v>19042</v>
      </c>
      <c r="E8247" s="4">
        <v>581409</v>
      </c>
    </row>
    <row r="8248" spans="1:6" ht="13.5" hidden="1" customHeight="1">
      <c r="A8248" s="4" t="s">
        <v>19043</v>
      </c>
      <c r="B8248" s="4" t="s">
        <v>18914</v>
      </c>
      <c r="C8248" s="4" t="str">
        <f ca="1">IFERROR(__xludf.DUMMYFUNCTION("GOOGLETRANSLATE(D:D,""auto"",""en"")"),"I'm a songwriter 2 lineup")</f>
        <v>I'm a songwriter 2 lineup</v>
      </c>
      <c r="D8248" s="5" t="s">
        <v>19044</v>
      </c>
      <c r="E8248" s="4">
        <v>563903</v>
      </c>
    </row>
    <row r="8249" spans="1:6" ht="13.5" hidden="1" customHeight="1">
      <c r="A8249" s="4" t="s">
        <v>13910</v>
      </c>
      <c r="B8249" s="4" t="s">
        <v>13911</v>
      </c>
      <c r="C8249" s="4" t="str">
        <f ca="1">IFERROR(__xludf.DUMMYFUNCTION("GOOGLETRANSLATE(D:D,""auto"",""en"")"),"Xiaozhan")</f>
        <v>Xiaozhan</v>
      </c>
      <c r="D8249" s="5" t="s">
        <v>13912</v>
      </c>
      <c r="E8249" s="4">
        <v>517527</v>
      </c>
    </row>
    <row r="8250" spans="1:6" ht="13.5" hidden="1" customHeight="1">
      <c r="A8250" s="4" t="s">
        <v>19045</v>
      </c>
      <c r="B8250" s="4" t="s">
        <v>19046</v>
      </c>
      <c r="C8250" s="4" t="str">
        <f ca="1">IFERROR(__xludf.DUMMYFUNCTION("GOOGLETRANSLATE(D:D,""auto"",""en"")"),"Manhole")</f>
        <v>Manhole</v>
      </c>
      <c r="D8250" s="5" t="s">
        <v>19047</v>
      </c>
      <c r="E8250" s="4">
        <v>444300</v>
      </c>
    </row>
    <row r="8251" spans="1:6" ht="13.5" hidden="1" customHeight="1">
      <c r="A8251" s="4" t="s">
        <v>19048</v>
      </c>
      <c r="B8251" s="4" t="s">
        <v>19049</v>
      </c>
      <c r="C8251" s="4" t="str">
        <f ca="1">IFERROR(__xludf.DUMMYFUNCTION("GOOGLETRANSLATE(D:D,""auto"",""en"")"),"Off the Great Wall Broadband Network")</f>
        <v>Off the Great Wall Broadband Network</v>
      </c>
      <c r="D8251" s="5" t="s">
        <v>19050</v>
      </c>
      <c r="E8251" s="4">
        <v>437823</v>
      </c>
    </row>
    <row r="8252" spans="1:6" ht="13.5" hidden="1" customHeight="1">
      <c r="A8252" s="4" t="s">
        <v>19008</v>
      </c>
      <c r="B8252" s="4" t="s">
        <v>18959</v>
      </c>
      <c r="C8252" s="4" t="str">
        <f ca="1">IFERROR(__xludf.DUMMYFUNCTION("GOOGLETRANSLATE(D:D,""auto"",""en"")"),"In the United States 20 Chinese hoarding guns in self-defense")</f>
        <v>In the United States 20 Chinese hoarding guns in self-defense</v>
      </c>
      <c r="D8252" s="5" t="s">
        <v>19051</v>
      </c>
      <c r="E8252" s="4">
        <v>436032</v>
      </c>
    </row>
    <row r="8253" spans="1:6" ht="13.5" hidden="1" customHeight="1">
      <c r="A8253" s="4" t="s">
        <v>19052</v>
      </c>
      <c r="B8253" s="4" t="s">
        <v>19025</v>
      </c>
      <c r="C8253" s="4" t="str">
        <f ca="1">IFERROR(__xludf.DUMMYFUNCTION("GOOGLETRANSLATE(D:D,""auto"",""en"")"),"Italian Prime Minister said that faced with the most serious crisis since World War II")</f>
        <v>Italian Prime Minister said that faced with the most serious crisis since World War II</v>
      </c>
      <c r="D8253" s="5" t="s">
        <v>19053</v>
      </c>
      <c r="E8253" s="4">
        <v>389743</v>
      </c>
    </row>
    <row r="8254" spans="1:6" ht="13.5" hidden="1" customHeight="1">
      <c r="A8254" s="4" t="s">
        <v>19054</v>
      </c>
      <c r="B8254" s="4" t="s">
        <v>18890</v>
      </c>
      <c r="C8254" s="4" t="str">
        <f ca="1">IFERROR(__xludf.DUMMYFUNCTION("GOOGLETRANSLATE(D:D,""auto"",""en"")"),"Bergamo, Italy crematorium 24-hour operation")</f>
        <v>Bergamo, Italy crematorium 24-hour operation</v>
      </c>
      <c r="D8254" s="5" t="s">
        <v>19055</v>
      </c>
      <c r="E8254" s="4">
        <v>367417</v>
      </c>
    </row>
    <row r="8255" spans="1:6" ht="13.5" hidden="1" customHeight="1">
      <c r="A8255" s="4" t="s">
        <v>19052</v>
      </c>
      <c r="B8255" s="4" t="s">
        <v>19056</v>
      </c>
      <c r="C8255" s="4" t="str">
        <f ca="1">IFERROR(__xludf.DUMMYFUNCTION("GOOGLETRANSLATE(D:D,""auto"",""en"")"),"C Lo Wu Lei concern")</f>
        <v>C Lo Wu Lei concern</v>
      </c>
      <c r="D8255" s="5" t="s">
        <v>19057</v>
      </c>
      <c r="E8255" s="4">
        <v>343850</v>
      </c>
    </row>
    <row r="8256" spans="1:6" ht="13.5" customHeight="1">
      <c r="A8256" s="4" t="s">
        <v>19058</v>
      </c>
      <c r="B8256" s="4" t="s">
        <v>19037</v>
      </c>
      <c r="C8256" s="4" t="str">
        <f ca="1">IFERROR(__xludf.DUMMYFUNCTION("GOOGLETRANSLATE(D:D,""auto"",""en"")"),"Wuhan said that the fight against SARS after 00 wearing jersey is not a baby")</f>
        <v>Wuhan said that the fight against SARS after 00 wearing jersey is not a baby</v>
      </c>
      <c r="D8256" s="5" t="s">
        <v>19059</v>
      </c>
      <c r="E8256" s="4">
        <v>310586</v>
      </c>
      <c r="F8256">
        <v>1</v>
      </c>
    </row>
    <row r="8257" spans="1:6" ht="13.5" customHeight="1">
      <c r="A8257" s="4" t="s">
        <v>19060</v>
      </c>
      <c r="B8257" s="4" t="s">
        <v>19061</v>
      </c>
      <c r="C8257" s="4" t="str">
        <f ca="1">IFERROR(__xludf.DUMMYFUNCTION("GOOGLETRANSLATE(D:D,""auto"",""en"")"),"New foreign imported cases 14 cases Shanghai")</f>
        <v>New foreign imported cases 14 cases Shanghai</v>
      </c>
      <c r="D8257" s="5" t="s">
        <v>19062</v>
      </c>
      <c r="E8257" s="4">
        <v>310267</v>
      </c>
      <c r="F8257">
        <v>1</v>
      </c>
    </row>
    <row r="8258" spans="1:6" ht="13.5" hidden="1" customHeight="1">
      <c r="A8258" s="4" t="s">
        <v>19063</v>
      </c>
      <c r="B8258" s="4" t="s">
        <v>19064</v>
      </c>
      <c r="C8258" s="4" t="str">
        <f ca="1">IFERROR(__xludf.DUMMYFUNCTION("GOOGLETRANSLATE(D:D,""auto"",""en"")"),"Used to describe Twitter ID emoji")</f>
        <v>Used to describe Twitter ID emoji</v>
      </c>
      <c r="D8258" s="5" t="s">
        <v>19065</v>
      </c>
      <c r="E8258" s="4">
        <v>307179</v>
      </c>
    </row>
    <row r="8259" spans="1:6" ht="13.5" customHeight="1">
      <c r="A8259" s="4" t="s">
        <v>18871</v>
      </c>
      <c r="B8259" s="4" t="s">
        <v>19066</v>
      </c>
      <c r="C8259" s="4" t="str">
        <f ca="1">IFERROR(__xludf.DUMMYFUNCTION("GOOGLETRANSLATE(D:D,""auto"",""en"")"),"Fellaini diagnosed with pneumonia new crown")</f>
        <v>Fellaini diagnosed with pneumonia new crown</v>
      </c>
      <c r="D8259" s="5" t="s">
        <v>19067</v>
      </c>
      <c r="E8259" s="4">
        <v>295849</v>
      </c>
      <c r="F8259">
        <v>1</v>
      </c>
    </row>
    <row r="8260" spans="1:6" ht="13.5" hidden="1" customHeight="1">
      <c r="A8260" s="4" t="s">
        <v>19068</v>
      </c>
      <c r="B8260" s="4" t="s">
        <v>18989</v>
      </c>
      <c r="C8260" s="4" t="str">
        <f ca="1">IFERROR(__xludf.DUMMYFUNCTION("GOOGLETRANSLATE(D:D,""auto"",""en"")"),"Chu rice cooker do the gods cuisine")</f>
        <v>Chu rice cooker do the gods cuisine</v>
      </c>
      <c r="D8260" s="5" t="s">
        <v>19069</v>
      </c>
      <c r="E8260" s="4">
        <v>294540</v>
      </c>
    </row>
    <row r="8261" spans="1:6" ht="13.5" customHeight="1">
      <c r="A8261" s="4" t="s">
        <v>19070</v>
      </c>
      <c r="B8261" s="4" t="s">
        <v>19056</v>
      </c>
      <c r="C8261" s="4" t="str">
        <f ca="1">IFERROR(__xludf.DUMMYFUNCTION("GOOGLETRANSLATE(D:D,""auto"",""en"")"),"Jiangsu new foreign imported cases 2 cases")</f>
        <v>Jiangsu new foreign imported cases 2 cases</v>
      </c>
      <c r="D8261" s="5" t="s">
        <v>19071</v>
      </c>
      <c r="E8261" s="4">
        <v>285828</v>
      </c>
      <c r="F8261">
        <v>1</v>
      </c>
    </row>
    <row r="8262" spans="1:6" ht="13.5" customHeight="1">
      <c r="A8262" s="4" t="s">
        <v>19060</v>
      </c>
      <c r="B8262" s="4" t="s">
        <v>19072</v>
      </c>
      <c r="C8262" s="4" t="str">
        <f ca="1">IFERROR(__xludf.DUMMYFUNCTION("GOOGLETRANSLATE(D:D,""auto"",""en"")"),"Italian students online courses at home")</f>
        <v>Italian students online courses at home</v>
      </c>
      <c r="D8262" s="5" t="s">
        <v>19073</v>
      </c>
      <c r="E8262" s="4">
        <v>280659</v>
      </c>
      <c r="F8262">
        <v>1</v>
      </c>
    </row>
    <row r="8263" spans="1:6" ht="13.5" customHeight="1">
      <c r="A8263" s="4" t="s">
        <v>19074</v>
      </c>
      <c r="B8263" s="4" t="s">
        <v>19075</v>
      </c>
      <c r="C8263" s="4" t="str">
        <f ca="1">IFERROR(__xludf.DUMMYFUNCTION("GOOGLETRANSLATE(D:D,""auto"",""en"")"),"Chinese aid medical team of Serbia by the most courteous welcome")</f>
        <v>Chinese aid medical team of Serbia by the most courteous welcome</v>
      </c>
      <c r="D8263" s="5" t="s">
        <v>19076</v>
      </c>
      <c r="E8263" s="4">
        <v>277767</v>
      </c>
      <c r="F8263">
        <v>1</v>
      </c>
    </row>
    <row r="8264" spans="1:6" ht="13.5" hidden="1" customHeight="1">
      <c r="A8264" s="4" t="s">
        <v>19077</v>
      </c>
      <c r="B8264" s="4" t="s">
        <v>19078</v>
      </c>
      <c r="C8264" s="4" t="str">
        <f ca="1">IFERROR(__xludf.DUMMYFUNCTION("GOOGLETRANSLATE(D:D,""auto"",""en"")"),"After the cats know things")</f>
        <v>After the cats know things</v>
      </c>
      <c r="D8264" s="5" t="s">
        <v>19079</v>
      </c>
      <c r="E8264" s="4">
        <v>252850</v>
      </c>
    </row>
    <row r="8265" spans="1:6" ht="13.5" customHeight="1">
      <c r="A8265" s="4" t="s">
        <v>19080</v>
      </c>
      <c r="B8265" s="4" t="s">
        <v>19081</v>
      </c>
      <c r="C8265" s="4" t="str">
        <f ca="1">IFERROR(__xludf.DUMMYFUNCTION("GOOGLETRANSLATE(D:D,""auto"",""en"")"),"One person who conceal travel alert for the next epidemic")</f>
        <v>One person who conceal travel alert for the next epidemic</v>
      </c>
      <c r="D8265" s="5" t="s">
        <v>19082</v>
      </c>
      <c r="E8265" s="4">
        <v>249523</v>
      </c>
      <c r="F8265">
        <v>1</v>
      </c>
    </row>
    <row r="8266" spans="1:6" ht="13.5" customHeight="1">
      <c r="A8266" s="4" t="s">
        <v>19083</v>
      </c>
      <c r="B8266" s="4" t="s">
        <v>19084</v>
      </c>
      <c r="C8266" s="4" t="str">
        <f ca="1">IFERROR(__xludf.DUMMYFUNCTION("GOOGLETRANSLATE(D:D,""auto"",""en"")"),"Short-term impact of the epidemic will continue on inflation")</f>
        <v>Short-term impact of the epidemic will continue on inflation</v>
      </c>
      <c r="D8266" s="5" t="s">
        <v>19085</v>
      </c>
      <c r="E8266" s="4">
        <v>249386</v>
      </c>
      <c r="F8266">
        <v>1</v>
      </c>
    </row>
    <row r="8267" spans="1:6" ht="13.5" hidden="1" customHeight="1">
      <c r="A8267" s="4" t="s">
        <v>19086</v>
      </c>
      <c r="B8267" s="4" t="s">
        <v>19087</v>
      </c>
      <c r="C8267" s="4" t="str">
        <f ca="1">IFERROR(__xludf.DUMMYFUNCTION("GOOGLETRANSLATE(D:D,""auto"",""en"")"),"Close contacts have been sitting Xi'an Metro bus taxi")</f>
        <v>Close contacts have been sitting Xi'an Metro bus taxi</v>
      </c>
      <c r="D8267" s="5" t="s">
        <v>19088</v>
      </c>
      <c r="E8267" s="4">
        <v>249311</v>
      </c>
    </row>
    <row r="8268" spans="1:6" ht="13.5" customHeight="1">
      <c r="A8268" s="4" t="s">
        <v>19089</v>
      </c>
      <c r="B8268" s="4" t="s">
        <v>19090</v>
      </c>
      <c r="C8268" s="4" t="str">
        <f ca="1">IFERROR(__xludf.DUMMYFUNCTION("GOOGLETRANSLATE(D:D,""auto"",""en"")"),"Add new French crown 1847 cases diagnosed with pneumonia")</f>
        <v>Add new French crown 1847 cases diagnosed with pneumonia</v>
      </c>
      <c r="D8268" s="5" t="s">
        <v>19091</v>
      </c>
      <c r="E8268" s="4">
        <v>240780</v>
      </c>
      <c r="F8268">
        <v>1</v>
      </c>
    </row>
    <row r="8269" spans="1:6" ht="13.5" hidden="1" customHeight="1">
      <c r="A8269" s="4" t="s">
        <v>19092</v>
      </c>
      <c r="B8269" s="4" t="s">
        <v>19049</v>
      </c>
      <c r="C8269" s="4" t="str">
        <f ca="1">IFERROR(__xludf.DUMMYFUNCTION("GOOGLETRANSLATE(D:D,""auto"",""en"")"),"Kadi Bi")</f>
        <v>Kadi Bi</v>
      </c>
      <c r="D8269" s="5" t="s">
        <v>19093</v>
      </c>
      <c r="E8269" s="4">
        <v>238379</v>
      </c>
    </row>
    <row r="8270" spans="1:6" ht="13.5" hidden="1" customHeight="1">
      <c r="A8270" s="4" t="s">
        <v>10721</v>
      </c>
      <c r="B8270" s="4" t="s">
        <v>10722</v>
      </c>
      <c r="C8270" s="4" t="str">
        <f ca="1">IFERROR(__xludf.DUMMYFUNCTION("GOOGLETRANSLATE(D:D,""auto"",""en"")"),"Chalk mold test")</f>
        <v>Chalk mold test</v>
      </c>
      <c r="D8270" s="5" t="s">
        <v>10723</v>
      </c>
      <c r="E8270" s="4">
        <v>238207</v>
      </c>
    </row>
    <row r="8271" spans="1:6" ht="13.5" customHeight="1">
      <c r="A8271" s="4" t="s">
        <v>18871</v>
      </c>
      <c r="B8271" s="4" t="s">
        <v>19094</v>
      </c>
      <c r="C8271" s="4" t="str">
        <f ca="1">IFERROR(__xludf.DUMMYFUNCTION("GOOGLETRANSLATE(D:D,""auto"",""en"")"),"Hangzhou canceled public places and transport temperature light code")</f>
        <v>Hangzhou canceled public places and transport temperature light code</v>
      </c>
      <c r="D8271" s="5" t="s">
        <v>19095</v>
      </c>
      <c r="E8271" s="4">
        <v>233423</v>
      </c>
      <c r="F8271">
        <v>1</v>
      </c>
    </row>
    <row r="8272" spans="1:6" ht="13.5" hidden="1" customHeight="1">
      <c r="A8272" s="4" t="s">
        <v>18871</v>
      </c>
      <c r="B8272" s="4" t="s">
        <v>18872</v>
      </c>
      <c r="C8272" s="4" t="str">
        <f ca="1">IFERROR(__xludf.DUMMYFUNCTION("GOOGLETRANSLATE(D:D,""auto"",""en"")"),"Bingqingyujie quadruplets hold together")</f>
        <v>Bingqingyujie quadruplets hold together</v>
      </c>
      <c r="D8272" s="5" t="s">
        <v>18873</v>
      </c>
      <c r="E8272" s="4">
        <v>223196</v>
      </c>
    </row>
    <row r="8273" spans="1:6" ht="13.5" hidden="1" customHeight="1">
      <c r="C8273" s="4" t="str">
        <f ca="1">IFERROR(__xludf.DUMMYFUNCTION("GOOGLETRANSLATE(D:D,""auto"",""en"")"),"#VALUE!")</f>
        <v>#VALUE!</v>
      </c>
    </row>
    <row r="8274" spans="1:6" ht="13.5" hidden="1" customHeight="1">
      <c r="A8274" s="4" t="s">
        <v>19096</v>
      </c>
      <c r="B8274" s="4" t="s">
        <v>19097</v>
      </c>
      <c r="C8274" s="4" t="str">
        <f ca="1">IFERROR(__xludf.DUMMYFUNCTION("GOOGLETRANSLATE(D:D,""auto"",""en"")"),"Li Jiaqi red eyes")</f>
        <v>Li Jiaqi red eyes</v>
      </c>
      <c r="D8274" s="4" t="s">
        <v>19098</v>
      </c>
      <c r="E8274" s="4">
        <v>2980732</v>
      </c>
    </row>
    <row r="8275" spans="1:6" ht="13.5" customHeight="1">
      <c r="A8275" s="4" t="s">
        <v>19099</v>
      </c>
      <c r="B8275" s="4" t="s">
        <v>19100</v>
      </c>
      <c r="C8275" s="4" t="str">
        <f ca="1">IFERROR(__xludf.DUMMYFUNCTION("GOOGLETRANSLATE(D:D,""auto"",""en"")"),"Poland seizure Italy 23000 masks")</f>
        <v>Poland seizure Italy 23000 masks</v>
      </c>
      <c r="D8275" s="5" t="s">
        <v>19101</v>
      </c>
      <c r="E8275" s="4">
        <v>1952599</v>
      </c>
      <c r="F8275">
        <v>1</v>
      </c>
    </row>
    <row r="8276" spans="1:6" ht="13.5" customHeight="1">
      <c r="A8276" s="4" t="s">
        <v>19102</v>
      </c>
      <c r="B8276" s="4" t="s">
        <v>19103</v>
      </c>
      <c r="C8276" s="4" t="str">
        <f ca="1">IFERROR(__xludf.DUMMYFUNCTION("GOOGLETRANSLATE(D:D,""auto"",""en"")"),"ZHANG Wen-hong said the epidemic could last one to two years")</f>
        <v>ZHANG Wen-hong said the epidemic could last one to two years</v>
      </c>
      <c r="D8276" s="5" t="s">
        <v>19104</v>
      </c>
      <c r="E8276" s="4">
        <v>1936217</v>
      </c>
      <c r="F8276">
        <v>1</v>
      </c>
    </row>
    <row r="8277" spans="1:6" ht="13.5" hidden="1" customHeight="1">
      <c r="A8277" s="4" t="s">
        <v>19105</v>
      </c>
      <c r="B8277" s="4" t="s">
        <v>19106</v>
      </c>
      <c r="C8277" s="4" t="str">
        <f ca="1">IFERROR(__xludf.DUMMYFUNCTION("GOOGLETRANSLATE(D:D,""auto"",""en"")"),"Serbia and more Chinese red lights")</f>
        <v>Serbia and more Chinese red lights</v>
      </c>
      <c r="D8277" s="5" t="s">
        <v>19107</v>
      </c>
      <c r="E8277" s="4">
        <v>1538371</v>
      </c>
    </row>
    <row r="8278" spans="1:6" ht="13.5" hidden="1" customHeight="1">
      <c r="A8278" s="4" t="s">
        <v>19108</v>
      </c>
      <c r="B8278" s="4" t="s">
        <v>19109</v>
      </c>
      <c r="C8278" s="4" t="str">
        <f ca="1">IFERROR(__xludf.DUMMYFUNCTION("GOOGLETRANSLATE(D:D,""auto"",""en"")"),"Italy to China almost accept all recommendations")</f>
        <v>Italy to China almost accept all recommendations</v>
      </c>
      <c r="D8278" s="5" t="s">
        <v>19110</v>
      </c>
      <c r="E8278" s="4">
        <v>1167685</v>
      </c>
    </row>
    <row r="8279" spans="1:6" ht="13.5" hidden="1" customHeight="1">
      <c r="A8279" s="4" t="s">
        <v>19111</v>
      </c>
      <c r="B8279" s="4" t="s">
        <v>19112</v>
      </c>
      <c r="C8279" s="4" t="str">
        <f ca="1">IFERROR(__xludf.DUMMYFUNCTION("GOOGLETRANSLATE(D:D,""auto"",""en"")"),"Wang Taili daughter")</f>
        <v>Wang Taili daughter</v>
      </c>
      <c r="D8279" s="5" t="s">
        <v>19113</v>
      </c>
      <c r="E8279" s="4">
        <v>1076874</v>
      </c>
    </row>
    <row r="8280" spans="1:6" ht="13.5" customHeight="1">
      <c r="A8280" s="4" t="s">
        <v>19114</v>
      </c>
      <c r="B8280" s="4" t="s">
        <v>19115</v>
      </c>
      <c r="C8280" s="4" t="str">
        <f ca="1">IFERROR(__xludf.DUMMYFUNCTION("GOOGLETRANSLATE(D:D,""auto"",""en"")"),"Wuhan street appears hundred meters long traffic jam")</f>
        <v>Wuhan street appears hundred meters long traffic jam</v>
      </c>
      <c r="D8280" s="5" t="s">
        <v>19116</v>
      </c>
      <c r="E8280" s="4">
        <v>1013809</v>
      </c>
      <c r="F8280">
        <v>1</v>
      </c>
    </row>
    <row r="8281" spans="1:6" ht="13.5" hidden="1" customHeight="1">
      <c r="A8281" s="4" t="s">
        <v>19117</v>
      </c>
      <c r="B8281" s="4" t="s">
        <v>19118</v>
      </c>
      <c r="C8281" s="4" t="str">
        <f ca="1">IFERROR(__xludf.DUMMYFUNCTION("GOOGLETRANSLATE(D:D,""auto"",""en"")"),"N Number of rooms")</f>
        <v>N Number of rooms</v>
      </c>
      <c r="D8281" s="5" t="s">
        <v>19119</v>
      </c>
      <c r="E8281" s="4">
        <v>953624</v>
      </c>
    </row>
    <row r="8282" spans="1:6" ht="13.5" hidden="1" customHeight="1">
      <c r="A8282" s="4" t="s">
        <v>19120</v>
      </c>
      <c r="B8282" s="4" t="s">
        <v>19121</v>
      </c>
      <c r="C8282" s="4" t="str">
        <f ca="1">IFERROR(__xludf.DUMMYFUNCTION("GOOGLETRANSLATE(D:D,""auto"",""en"")"),"Druid thanks Chinese aid to Serbia")</f>
        <v>Druid thanks Chinese aid to Serbia</v>
      </c>
      <c r="D8282" s="5" t="s">
        <v>19122</v>
      </c>
      <c r="E8282" s="4">
        <v>815410</v>
      </c>
    </row>
    <row r="8283" spans="1:6" ht="13.5" hidden="1" customHeight="1">
      <c r="A8283" s="4" t="s">
        <v>19123</v>
      </c>
      <c r="B8283" s="4" t="s">
        <v>19124</v>
      </c>
      <c r="C8283" s="4" t="str">
        <f ca="1">IFERROR(__xludf.DUMMYFUNCTION("GOOGLETRANSLATE(D:D,""auto"",""en"")"),"Russia will restrict air traffic with all countries")</f>
        <v>Russia will restrict air traffic with all countries</v>
      </c>
      <c r="D8283" s="5" t="s">
        <v>19125</v>
      </c>
      <c r="E8283" s="4">
        <v>790681</v>
      </c>
    </row>
    <row r="8284" spans="1:6" ht="13.5" hidden="1" customHeight="1">
      <c r="A8284" s="4" t="s">
        <v>19126</v>
      </c>
      <c r="B8284" s="4" t="s">
        <v>19127</v>
      </c>
      <c r="C8284" s="4" t="str">
        <f ca="1">IFERROR(__xludf.DUMMYFUNCTION("GOOGLETRANSLATE(D:D,""auto"",""en"")"),"Netherlands brother buy buy hen eggs")</f>
        <v>Netherlands brother buy buy hen eggs</v>
      </c>
      <c r="D8284" s="5" t="s">
        <v>19128</v>
      </c>
      <c r="E8284" s="4">
        <v>782709</v>
      </c>
    </row>
    <row r="8285" spans="1:6" ht="13.5" customHeight="1">
      <c r="A8285" s="4" t="s">
        <v>19129</v>
      </c>
      <c r="B8285" s="4" t="s">
        <v>19130</v>
      </c>
      <c r="C8285" s="4" t="str">
        <f ca="1">IFERROR(__xludf.DUMMYFUNCTION("GOOGLETRANSLATE(D:D,""auto"",""en"")"),"Spain to start building a large shelter hospital")</f>
        <v>Spain to start building a large shelter hospital</v>
      </c>
      <c r="D8285" s="5" t="s">
        <v>19131</v>
      </c>
      <c r="E8285" s="4">
        <v>701439</v>
      </c>
      <c r="F8285">
        <v>1</v>
      </c>
    </row>
    <row r="8286" spans="1:6" ht="13.5" hidden="1" customHeight="1">
      <c r="A8286" s="4" t="s">
        <v>19114</v>
      </c>
      <c r="B8286" s="4" t="s">
        <v>19132</v>
      </c>
      <c r="C8286" s="4" t="str">
        <f ca="1">IFERROR(__xludf.DUMMYFUNCTION("GOOGLETRANSLATE(D:D,""auto"",""en"")"),"What are the country faucet flow")</f>
        <v>What are the country faucet flow</v>
      </c>
      <c r="D8286" s="5" t="s">
        <v>19133</v>
      </c>
      <c r="E8286" s="4">
        <v>605437</v>
      </c>
    </row>
    <row r="8287" spans="1:6" ht="13.5" customHeight="1">
      <c r="A8287" s="4" t="s">
        <v>19134</v>
      </c>
      <c r="B8287" s="4" t="s">
        <v>19135</v>
      </c>
      <c r="C8287" s="4" t="str">
        <f ca="1">IFERROR(__xludf.DUMMYFUNCTION("GOOGLETRANSLATE(D:D,""auto"",""en"")"),"After wearing masks recognize reality")</f>
        <v>After wearing masks recognize reality</v>
      </c>
      <c r="D8287" s="5" t="s">
        <v>19136</v>
      </c>
      <c r="E8287" s="4">
        <v>573090</v>
      </c>
      <c r="F8287">
        <v>1</v>
      </c>
    </row>
    <row r="8288" spans="1:6" ht="13.5" customHeight="1">
      <c r="A8288" s="4" t="s">
        <v>19137</v>
      </c>
      <c r="B8288" s="4" t="s">
        <v>19121</v>
      </c>
      <c r="C8288" s="4" t="str">
        <f ca="1">IFERROR(__xludf.DUMMYFUNCTION("GOOGLETRANSLATE(D:D,""auto"",""en"")"),"Raytheon Hill Hospital patient was discharged the first case of pregnant women")</f>
        <v>Raytheon Hill Hospital patient was discharged the first case of pregnant women</v>
      </c>
      <c r="D8288" s="5" t="s">
        <v>19138</v>
      </c>
      <c r="E8288" s="4">
        <v>524374</v>
      </c>
      <c r="F8288">
        <v>1</v>
      </c>
    </row>
    <row r="8289" spans="1:6" ht="13.5" hidden="1" customHeight="1">
      <c r="A8289" s="4" t="s">
        <v>19139</v>
      </c>
      <c r="B8289" s="4" t="s">
        <v>19140</v>
      </c>
      <c r="C8289" s="4" t="str">
        <f ca="1">IFERROR(__xludf.DUMMYFUNCTION("GOOGLETRANSLATE(D:D,""auto"",""en"")"),"Pitaya murder scene")</f>
        <v>Pitaya murder scene</v>
      </c>
      <c r="D8289" s="5" t="s">
        <v>19141</v>
      </c>
      <c r="E8289" s="4">
        <v>523800</v>
      </c>
    </row>
    <row r="8290" spans="1:6" ht="13.5" hidden="1" customHeight="1">
      <c r="A8290" s="4" t="s">
        <v>19142</v>
      </c>
      <c r="B8290" s="4" t="s">
        <v>19143</v>
      </c>
      <c r="C8290" s="4" t="str">
        <f ca="1">IFERROR(__xludf.DUMMYFUNCTION("GOOGLETRANSLATE(D:D,""auto"",""en"")"),"Students decided to return hope to understand")</f>
        <v>Students decided to return hope to understand</v>
      </c>
      <c r="D8290" s="5" t="s">
        <v>19144</v>
      </c>
      <c r="E8290" s="4">
        <v>523289</v>
      </c>
    </row>
    <row r="8291" spans="1:6" ht="13.5" hidden="1" customHeight="1">
      <c r="A8291" s="4" t="s">
        <v>19145</v>
      </c>
      <c r="B8291" s="4" t="s">
        <v>19146</v>
      </c>
      <c r="C8291" s="4" t="str">
        <f ca="1">IFERROR(__xludf.DUMMYFUNCTION("GOOGLETRANSLATE(D:D,""auto"",""en"")"),"In the bedroom is often the feeling of getting up early")</f>
        <v>In the bedroom is often the feeling of getting up early</v>
      </c>
      <c r="D8291" s="5" t="s">
        <v>19147</v>
      </c>
      <c r="E8291" s="4">
        <v>522453</v>
      </c>
    </row>
    <row r="8292" spans="1:6" ht="13.5" customHeight="1">
      <c r="A8292" s="4" t="s">
        <v>19148</v>
      </c>
      <c r="B8292" s="4" t="s">
        <v>19100</v>
      </c>
      <c r="C8292" s="4" t="str">
        <f ca="1">IFERROR(__xludf.DUMMYFUNCTION("GOOGLETRANSLATE(D:D,""auto"",""en"")"),"The new crown Malaysia increased to 1306 cases of pneumonia cases")</f>
        <v>The new crown Malaysia increased to 1306 cases of pneumonia cases</v>
      </c>
      <c r="D8292" s="5" t="s">
        <v>19149</v>
      </c>
      <c r="E8292" s="4">
        <v>521897</v>
      </c>
      <c r="F8292">
        <v>1</v>
      </c>
    </row>
    <row r="8293" spans="1:6" ht="13.5" hidden="1" customHeight="1">
      <c r="A8293" s="4" t="s">
        <v>19150</v>
      </c>
      <c r="B8293" s="4" t="s">
        <v>19151</v>
      </c>
      <c r="C8293" s="4" t="str">
        <f ca="1">IFERROR(__xludf.DUMMYFUNCTION("GOOGLETRANSLATE(D:D,""auto"",""en"")"),"Chapter age of education")</f>
        <v>Chapter age of education</v>
      </c>
      <c r="D8293" s="5" t="s">
        <v>19152</v>
      </c>
      <c r="E8293" s="4">
        <v>520955</v>
      </c>
    </row>
    <row r="8294" spans="1:6" ht="13.5" hidden="1" customHeight="1">
      <c r="A8294" s="4" t="s">
        <v>1209</v>
      </c>
      <c r="B8294" s="4" t="s">
        <v>1210</v>
      </c>
      <c r="C8294" s="4" t="str">
        <f ca="1">IFERROR(__xludf.DUMMYFUNCTION("GOOGLETRANSLATE(D:D,""auto"",""en"")"),"Every day")</f>
        <v>Every day</v>
      </c>
      <c r="D8294" s="5" t="s">
        <v>1211</v>
      </c>
      <c r="E8294" s="4">
        <v>520780</v>
      </c>
    </row>
    <row r="8295" spans="1:6" ht="13.5" hidden="1" customHeight="1">
      <c r="A8295" s="4" t="s">
        <v>19153</v>
      </c>
      <c r="B8295" s="4" t="s">
        <v>19154</v>
      </c>
      <c r="C8295" s="4" t="str">
        <f ca="1">IFERROR(__xludf.DUMMYFUNCTION("GOOGLETRANSLATE(D:D,""auto"",""en"")"),"Look what kind of experience is the extra baggage")</f>
        <v>Look what kind of experience is the extra baggage</v>
      </c>
      <c r="D8295" s="5" t="s">
        <v>19155</v>
      </c>
      <c r="E8295" s="4">
        <v>520209</v>
      </c>
    </row>
    <row r="8296" spans="1:6" ht="13.5" customHeight="1">
      <c r="A8296" s="4" t="s">
        <v>19148</v>
      </c>
      <c r="B8296" s="4" t="s">
        <v>19156</v>
      </c>
      <c r="C8296" s="4" t="str">
        <f ca="1">IFERROR(__xludf.DUMMYFUNCTION("GOOGLETRANSLATE(D:D,""auto"",""en"")"),"Nanjing part of the park is no longer measured body temperature Mall")</f>
        <v>Nanjing part of the park is no longer measured body temperature Mall</v>
      </c>
      <c r="D8296" s="5" t="s">
        <v>19157</v>
      </c>
      <c r="E8296" s="4">
        <v>415085</v>
      </c>
      <c r="F8296">
        <v>1</v>
      </c>
    </row>
    <row r="8297" spans="1:6" ht="13.5" hidden="1" customHeight="1">
      <c r="A8297" s="4" t="s">
        <v>19129</v>
      </c>
      <c r="B8297" s="4" t="s">
        <v>19158</v>
      </c>
      <c r="C8297" s="4" t="str">
        <f ca="1">IFERROR(__xludf.DUMMYFUNCTION("GOOGLETRANSLATE(D:D,""auto"",""en"")"),"Russia sent transport aircraft to support Italy")</f>
        <v>Russia sent transport aircraft to support Italy</v>
      </c>
      <c r="D8297" s="5" t="s">
        <v>19159</v>
      </c>
      <c r="E8297" s="4">
        <v>399614</v>
      </c>
    </row>
    <row r="8298" spans="1:6" ht="13.5" hidden="1" customHeight="1">
      <c r="A8298" s="4" t="s">
        <v>19160</v>
      </c>
      <c r="B8298" s="4" t="s">
        <v>19161</v>
      </c>
      <c r="C8298" s="4" t="str">
        <f ca="1">IFERROR(__xludf.DUMMYFUNCTION("GOOGLETRANSLATE(D:D,""auto"",""en"")"),"Yiyangqianxi partner Lijun Hao")</f>
        <v>Yiyangqianxi partner Lijun Hao</v>
      </c>
      <c r="D8298" s="5" t="s">
        <v>19162</v>
      </c>
      <c r="E8298" s="4">
        <v>388868</v>
      </c>
    </row>
    <row r="8299" spans="1:6" ht="13.5" hidden="1" customHeight="1">
      <c r="A8299" s="4" t="s">
        <v>19108</v>
      </c>
      <c r="B8299" s="4" t="s">
        <v>19143</v>
      </c>
      <c r="C8299" s="4" t="str">
        <f ca="1">IFERROR(__xludf.DUMMYFUNCTION("GOOGLETRANSLATE(D:D,""auto"",""en"")"),"Training over a child who is not yet")</f>
        <v>Training over a child who is not yet</v>
      </c>
      <c r="D8299" s="5" t="s">
        <v>19163</v>
      </c>
      <c r="E8299" s="4">
        <v>372301</v>
      </c>
    </row>
    <row r="8300" spans="1:6" ht="13.5" hidden="1" customHeight="1">
      <c r="A8300" s="4" t="s">
        <v>19164</v>
      </c>
      <c r="B8300" s="4" t="s">
        <v>19165</v>
      </c>
      <c r="C8300" s="4" t="str">
        <f ca="1">IFERROR(__xludf.DUMMYFUNCTION("GOOGLETRANSLATE(D:D,""auto"",""en"")"),"Lanzhou residential building subsidence of 30 cm")</f>
        <v>Lanzhou residential building subsidence of 30 cm</v>
      </c>
      <c r="D8300" s="5" t="s">
        <v>19166</v>
      </c>
      <c r="E8300" s="4">
        <v>362230</v>
      </c>
    </row>
    <row r="8301" spans="1:6" ht="13.5" hidden="1" customHeight="1">
      <c r="A8301" s="4" t="s">
        <v>19111</v>
      </c>
      <c r="B8301" s="4" t="s">
        <v>19167</v>
      </c>
      <c r="C8301" s="4" t="str">
        <f ca="1">IFERROR(__xludf.DUMMYFUNCTION("GOOGLETRANSLATE(D:D,""auto"",""en"")"),"Huan two world finale")</f>
        <v>Huan two world finale</v>
      </c>
      <c r="D8301" s="5" t="s">
        <v>19168</v>
      </c>
      <c r="E8301" s="4">
        <v>343725</v>
      </c>
    </row>
    <row r="8302" spans="1:6" ht="13.5" hidden="1" customHeight="1">
      <c r="A8302" s="4" t="s">
        <v>19169</v>
      </c>
      <c r="B8302" s="4" t="s">
        <v>7374</v>
      </c>
      <c r="C8302" s="4" t="str">
        <f ca="1">IFERROR(__xludf.DUMMYFUNCTION("GOOGLETRANSLATE(D:D,""auto"",""en"")"),"paper clip")</f>
        <v>paper clip</v>
      </c>
      <c r="D8302" s="5" t="s">
        <v>19170</v>
      </c>
      <c r="E8302" s="4">
        <v>317730</v>
      </c>
    </row>
    <row r="8303" spans="1:6" ht="13.5" hidden="1" customHeight="1">
      <c r="A8303" s="4" t="s">
        <v>19171</v>
      </c>
      <c r="B8303" s="4" t="s">
        <v>19172</v>
      </c>
      <c r="C8303" s="4" t="str">
        <f ca="1">IFERROR(__xludf.DUMMYFUNCTION("GOOGLETRANSLATE(D:D,""auto"",""en"")"),"Kimura Heart of America kimono style")</f>
        <v>Kimura Heart of America kimono style</v>
      </c>
      <c r="D8303" s="5" t="s">
        <v>19173</v>
      </c>
      <c r="E8303" s="4">
        <v>311810</v>
      </c>
    </row>
    <row r="8304" spans="1:6" ht="13.5" customHeight="1">
      <c r="A8304" s="4" t="s">
        <v>19174</v>
      </c>
      <c r="B8304" s="4" t="s">
        <v>19127</v>
      </c>
      <c r="C8304" s="4" t="str">
        <f ca="1">IFERROR(__xludf.DUMMYFUNCTION("GOOGLETRANSLATE(D:D,""auto"",""en"")"),"Hubei confirmed the poor won grants 10,000 yuan per person")</f>
        <v>Hubei confirmed the poor won grants 10,000 yuan per person</v>
      </c>
      <c r="D8304" s="5" t="s">
        <v>19175</v>
      </c>
      <c r="E8304" s="4">
        <v>310612</v>
      </c>
      <c r="F8304">
        <v>1</v>
      </c>
    </row>
    <row r="8305" spans="1:6" ht="13.5" customHeight="1">
      <c r="A8305" s="4" t="s">
        <v>19176</v>
      </c>
      <c r="B8305" s="4" t="s">
        <v>19177</v>
      </c>
      <c r="C8305" s="4" t="str">
        <f ca="1">IFERROR(__xludf.DUMMYFUNCTION("GOOGLETRANSLATE(D:D,""auto"",""en"")"),"After-school classmates to see you")</f>
        <v>After-school classmates to see you</v>
      </c>
      <c r="D8305" s="5" t="s">
        <v>19178</v>
      </c>
      <c r="E8305" s="4">
        <v>286866</v>
      </c>
      <c r="F8305">
        <v>1</v>
      </c>
    </row>
    <row r="8306" spans="1:6" ht="13.5" hidden="1" customHeight="1">
      <c r="A8306" s="4" t="s">
        <v>19179</v>
      </c>
      <c r="B8306" s="4" t="s">
        <v>19180</v>
      </c>
      <c r="C8306" s="4" t="str">
        <f ca="1">IFERROR(__xludf.DUMMYFUNCTION("GOOGLETRANSLATE(D:D,""auto"",""en"")"),"Zhang Yan Qi sound")</f>
        <v>Zhang Yan Qi sound</v>
      </c>
      <c r="D8306" s="5" t="s">
        <v>19181</v>
      </c>
      <c r="E8306" s="4">
        <v>284217</v>
      </c>
    </row>
    <row r="8307" spans="1:6" ht="13.5" customHeight="1">
      <c r="A8307" s="4" t="s">
        <v>19182</v>
      </c>
      <c r="B8307" s="4" t="s">
        <v>19180</v>
      </c>
      <c r="C8307" s="4" t="str">
        <f ca="1">IFERROR(__xludf.DUMMYFUNCTION("GOOGLETRANSLATE(D:D,""auto"",""en"")"),"Hubei Province in the personnel policy came from the Han")</f>
        <v>Hubei Province in the personnel policy came from the Han</v>
      </c>
      <c r="D8307" s="5" t="s">
        <v>19183</v>
      </c>
      <c r="E8307" s="4">
        <v>277142</v>
      </c>
      <c r="F8307">
        <v>1</v>
      </c>
    </row>
    <row r="8308" spans="1:6" ht="13.5" hidden="1" customHeight="1">
      <c r="A8308" s="4" t="s">
        <v>19184</v>
      </c>
      <c r="B8308" s="4" t="s">
        <v>19185</v>
      </c>
      <c r="C8308" s="4" t="str">
        <f ca="1">IFERROR(__xludf.DUMMYFUNCTION("GOOGLETRANSLATE(D:D,""auto"",""en"")"),"Jue wheat education")</f>
        <v>Jue wheat education</v>
      </c>
      <c r="D8308" s="5" t="s">
        <v>19186</v>
      </c>
      <c r="E8308" s="4">
        <v>277011</v>
      </c>
    </row>
    <row r="8309" spans="1:6" ht="13.5" customHeight="1">
      <c r="A8309" s="4" t="s">
        <v>19187</v>
      </c>
      <c r="B8309" s="4" t="s">
        <v>19188</v>
      </c>
      <c r="C8309" s="4" t="str">
        <f ca="1">IFERROR(__xludf.DUMMYFUNCTION("GOOGLETRANSLATE(D:D,""auto"",""en"")"),"Navy developed Contagion wireless stethoscope")</f>
        <v>Navy developed Contagion wireless stethoscope</v>
      </c>
      <c r="D8309" s="5" t="s">
        <v>19189</v>
      </c>
      <c r="E8309" s="4">
        <v>276089</v>
      </c>
      <c r="F8309">
        <v>1</v>
      </c>
    </row>
    <row r="8310" spans="1:6" ht="13.5" hidden="1" customHeight="1">
      <c r="A8310" s="4" t="s">
        <v>19190</v>
      </c>
      <c r="B8310" s="4" t="s">
        <v>19191</v>
      </c>
      <c r="C8310" s="4" t="str">
        <f ca="1">IFERROR(__xludf.DUMMYFUNCTION("GOOGLETRANSLATE(D:D,""auto"",""en"")"),"Serbian national flag and the flag tied together")</f>
        <v>Serbian national flag and the flag tied together</v>
      </c>
      <c r="D8310" s="5" t="s">
        <v>19192</v>
      </c>
      <c r="E8310" s="4">
        <v>260914</v>
      </c>
    </row>
    <row r="8311" spans="1:6" ht="13.5" hidden="1" customHeight="1">
      <c r="A8311" s="4" t="s">
        <v>3745</v>
      </c>
      <c r="B8311" s="4" t="s">
        <v>3746</v>
      </c>
      <c r="C8311" s="4" t="str">
        <f ca="1">IFERROR(__xludf.DUMMYFUNCTION("GOOGLETRANSLATE(D:D,""auto"",""en"")"),"Please listen to good friend")</f>
        <v>Please listen to good friend</v>
      </c>
      <c r="D8311" s="5" t="s">
        <v>3747</v>
      </c>
      <c r="E8311" s="4">
        <v>254329</v>
      </c>
    </row>
    <row r="8312" spans="1:6" ht="13.5" hidden="1" customHeight="1">
      <c r="A8312" s="4" t="s">
        <v>19193</v>
      </c>
      <c r="B8312" s="4" t="s">
        <v>19140</v>
      </c>
      <c r="C8312" s="4" t="str">
        <f ca="1">IFERROR(__xludf.DUMMYFUNCTION("GOOGLETRANSLATE(D:D,""auto"",""en"")"),"Wuyuan acres of canola flower terraces")</f>
        <v>Wuyuan acres of canola flower terraces</v>
      </c>
      <c r="D8312" s="5" t="s">
        <v>19194</v>
      </c>
      <c r="E8312" s="4">
        <v>232994</v>
      </c>
    </row>
    <row r="8313" spans="1:6" ht="13.5" customHeight="1">
      <c r="A8313" s="4" t="s">
        <v>19137</v>
      </c>
      <c r="B8313" s="4" t="s">
        <v>19195</v>
      </c>
      <c r="C8313" s="4" t="str">
        <f ca="1">IFERROR(__xludf.DUMMYFUNCTION("GOOGLETRANSLATE(D:D,""auto"",""en"")"),"29-year-old front-line doctors fight the epidemic disease outbreaks death")</f>
        <v>29-year-old front-line doctors fight the epidemic disease outbreaks death</v>
      </c>
      <c r="D8313" s="5" t="s">
        <v>19196</v>
      </c>
      <c r="E8313" s="4">
        <v>227628</v>
      </c>
      <c r="F8313">
        <v>1</v>
      </c>
    </row>
    <row r="8314" spans="1:6" ht="13.5" hidden="1" customHeight="1">
      <c r="A8314" s="4" t="s">
        <v>19134</v>
      </c>
      <c r="B8314" s="4" t="s">
        <v>19030</v>
      </c>
      <c r="C8314" s="4" t="str">
        <f ca="1">IFERROR(__xludf.DUMMYFUNCTION("GOOGLETRANSLATE(D:D,""auto"",""en"")"),"India 7 percent tourism practitioners are facing unemployment")</f>
        <v>India 7 percent tourism practitioners are facing unemployment</v>
      </c>
      <c r="D8314" s="5" t="s">
        <v>19197</v>
      </c>
      <c r="E8314" s="4">
        <v>224899</v>
      </c>
    </row>
    <row r="8315" spans="1:6" ht="13.5" hidden="1" customHeight="1">
      <c r="A8315" s="4" t="s">
        <v>19198</v>
      </c>
      <c r="B8315" s="4" t="s">
        <v>19199</v>
      </c>
      <c r="C8315" s="4" t="str">
        <f ca="1">IFERROR(__xludf.DUMMYFUNCTION("GOOGLETRANSLATE(D:D,""auto"",""en"")"),"Shijiazhuang no longer restricted personnel access cell")</f>
        <v>Shijiazhuang no longer restricted personnel access cell</v>
      </c>
      <c r="D8315" s="5" t="s">
        <v>19200</v>
      </c>
      <c r="E8315" s="4">
        <v>222133</v>
      </c>
    </row>
    <row r="8316" spans="1:6" ht="13.5" customHeight="1">
      <c r="A8316" s="4" t="s">
        <v>19201</v>
      </c>
      <c r="B8316" s="4" t="s">
        <v>19202</v>
      </c>
      <c r="C8316" s="4" t="str">
        <f ca="1">IFERROR(__xludf.DUMMYFUNCTION("GOOGLETRANSLATE(D:D,""auto"",""en"")"),"A family of six arrived in Beijing confirmed four people from the United Kingdom")</f>
        <v>A family of six arrived in Beijing confirmed four people from the United Kingdom</v>
      </c>
      <c r="D8316" s="5" t="s">
        <v>19203</v>
      </c>
      <c r="E8316" s="4">
        <v>211893</v>
      </c>
      <c r="F8316">
        <v>1</v>
      </c>
    </row>
    <row r="8317" spans="1:6" ht="13.5" hidden="1" customHeight="1">
      <c r="A8317" s="4" t="s">
        <v>19179</v>
      </c>
      <c r="B8317" s="4" t="s">
        <v>19204</v>
      </c>
      <c r="C8317" s="4" t="str">
        <f ca="1">IFERROR(__xludf.DUMMYFUNCTION("GOOGLETRANSLATE(D:D,""auto"",""en"")"),"Qing Qing")</f>
        <v>Qing Qing</v>
      </c>
      <c r="D8317" s="5" t="s">
        <v>19205</v>
      </c>
      <c r="E8317" s="4">
        <v>211403</v>
      </c>
    </row>
    <row r="8318" spans="1:6" ht="13.5" hidden="1" customHeight="1">
      <c r="A8318" s="4" t="s">
        <v>19206</v>
      </c>
      <c r="B8318" s="4" t="s">
        <v>19207</v>
      </c>
      <c r="C8318" s="4" t="str">
        <f ca="1">IFERROR(__xludf.DUMMYFUNCTION("GOOGLETRANSLATE(D:D,""auto"",""en"")"),"Peach flavor sunset")</f>
        <v>Peach flavor sunset</v>
      </c>
      <c r="D8318" s="5" t="s">
        <v>19208</v>
      </c>
      <c r="E8318" s="4">
        <v>205831</v>
      </c>
    </row>
    <row r="8319" spans="1:6" ht="13.5" hidden="1" customHeight="1">
      <c r="A8319" s="4" t="s">
        <v>19209</v>
      </c>
      <c r="B8319" s="4" t="s">
        <v>19210</v>
      </c>
      <c r="C8319" s="4" t="str">
        <f ca="1">IFERROR(__xludf.DUMMYFUNCTION("GOOGLETRANSLATE(D:D,""auto"",""en"")"),"Menghe Tang Zhou Jiuliang live")</f>
        <v>Menghe Tang Zhou Jiuliang live</v>
      </c>
      <c r="D8319" s="5" t="s">
        <v>19211</v>
      </c>
      <c r="E8319" s="4">
        <v>195678</v>
      </c>
    </row>
    <row r="8320" spans="1:6" ht="13.5" hidden="1" customHeight="1">
      <c r="A8320" s="4" t="s">
        <v>19212</v>
      </c>
      <c r="B8320" s="4" t="s">
        <v>19213</v>
      </c>
      <c r="C8320" s="4" t="str">
        <f ca="1">IFERROR(__xludf.DUMMYFUNCTION("GOOGLETRANSLATE(D:D,""auto"",""en"")"),"Forest house choreographer apology")</f>
        <v>Forest house choreographer apology</v>
      </c>
      <c r="D8320" s="5" t="s">
        <v>19214</v>
      </c>
      <c r="E8320" s="4">
        <v>192930</v>
      </c>
    </row>
    <row r="8321" spans="1:6" ht="13.5" hidden="1" customHeight="1">
      <c r="A8321" s="4" t="s">
        <v>19215</v>
      </c>
      <c r="B8321" s="4" t="s">
        <v>19216</v>
      </c>
      <c r="C8321" s="4" t="str">
        <f ca="1">IFERROR(__xludf.DUMMYFUNCTION("GOOGLETRANSLATE(D:D,""auto"",""en"")"),"Yuyuantan cherry")</f>
        <v>Yuyuantan cherry</v>
      </c>
      <c r="D8321" s="5" t="s">
        <v>19217</v>
      </c>
      <c r="E8321" s="4">
        <v>186716</v>
      </c>
    </row>
    <row r="8322" spans="1:6" ht="13.5" customHeight="1">
      <c r="A8322" s="4" t="s">
        <v>19182</v>
      </c>
      <c r="B8322" s="4" t="s">
        <v>19121</v>
      </c>
      <c r="C8322" s="4" t="str">
        <f ca="1">IFERROR(__xludf.DUMMYFUNCTION("GOOGLETRANSLATE(D:D,""auto"",""en"")"),"Hubei police assistance to meet her husband embracing his wife Taking")</f>
        <v>Hubei police assistance to meet her husband embracing his wife Taking</v>
      </c>
      <c r="D8322" s="5" t="s">
        <v>19218</v>
      </c>
      <c r="E8322" s="4">
        <v>177091</v>
      </c>
      <c r="F8322">
        <v>1</v>
      </c>
    </row>
    <row r="8323" spans="1:6" ht="13.5" customHeight="1">
      <c r="A8323" s="4" t="s">
        <v>19171</v>
      </c>
      <c r="B8323" s="4" t="s">
        <v>19140</v>
      </c>
      <c r="C8323" s="4" t="str">
        <f ca="1">IFERROR(__xludf.DUMMYFUNCTION("GOOGLETRANSLATE(D:D,""auto"",""en"")"),"Zhang Boli academicians Wuhan tears off memories")</f>
        <v>Zhang Boli academicians Wuhan tears off memories</v>
      </c>
      <c r="D8323" s="5" t="s">
        <v>19219</v>
      </c>
      <c r="E8323" s="4">
        <v>130496</v>
      </c>
      <c r="F8323">
        <v>1</v>
      </c>
    </row>
    <row r="8324" spans="1:6" ht="13.5" hidden="1" customHeight="1">
      <c r="C8324" s="4" t="str">
        <f ca="1">IFERROR(__xludf.DUMMYFUNCTION("GOOGLETRANSLATE(D:D,""auto"",""en"")"),"#VALUE!")</f>
        <v>#VALUE!</v>
      </c>
    </row>
    <row r="8325" spans="1:6" ht="13.5" hidden="1" customHeight="1">
      <c r="A8325" s="4" t="s">
        <v>19220</v>
      </c>
      <c r="B8325" s="4" t="s">
        <v>19221</v>
      </c>
      <c r="C8325" s="4" t="str">
        <f ca="1">IFERROR(__xludf.DUMMYFUNCTION("GOOGLETRANSLATE(D:D,""auto"",""en"")"),"Liu Zhen died")</f>
        <v>Liu Zhen died</v>
      </c>
      <c r="D8325" s="4" t="s">
        <v>19222</v>
      </c>
      <c r="E8325" s="4">
        <v>6299136</v>
      </c>
    </row>
    <row r="8326" spans="1:6" ht="13.5" hidden="1" customHeight="1">
      <c r="A8326" s="4" t="s">
        <v>19223</v>
      </c>
      <c r="B8326" s="4" t="s">
        <v>19224</v>
      </c>
      <c r="C8326" s="4" t="str">
        <f ca="1">IFERROR(__xludf.DUMMYFUNCTION("GOOGLETRANSLATE(D:D,""auto"",""en"")"),"Australia Tokyo Olympic Games this summer exit")</f>
        <v>Australia Tokyo Olympic Games this summer exit</v>
      </c>
      <c r="D8326" s="5" t="s">
        <v>19225</v>
      </c>
      <c r="E8326" s="4">
        <v>2913694</v>
      </c>
    </row>
    <row r="8327" spans="1:6" ht="13.5" hidden="1" customHeight="1">
      <c r="A8327" s="4" t="s">
        <v>19223</v>
      </c>
      <c r="B8327" s="4" t="s">
        <v>19226</v>
      </c>
      <c r="C8327" s="4" t="str">
        <f ca="1">IFERROR(__xludf.DUMMYFUNCTION("GOOGLETRANSLATE(D:D,""auto"",""en"")"),"Canada withdraw from Tokyo Olympics")</f>
        <v>Canada withdraw from Tokyo Olympics</v>
      </c>
      <c r="D8327" s="5" t="s">
        <v>19227</v>
      </c>
      <c r="E8327" s="4">
        <v>1686441</v>
      </c>
    </row>
    <row r="8328" spans="1:6" ht="13.5" hidden="1" customHeight="1">
      <c r="A8328" s="4" t="s">
        <v>19228</v>
      </c>
      <c r="B8328" s="4" t="s">
        <v>19160</v>
      </c>
      <c r="C8328" s="4" t="str">
        <f ca="1">IFERROR(__xludf.DUMMYFUNCTION("GOOGLETRANSLATE(D:D,""auto"",""en"")"),"Guo and her husband live up fight")</f>
        <v>Guo and her husband live up fight</v>
      </c>
      <c r="D8328" s="5" t="s">
        <v>19229</v>
      </c>
      <c r="E8328" s="4">
        <v>1582983</v>
      </c>
    </row>
    <row r="8329" spans="1:6" ht="13.5" hidden="1" customHeight="1">
      <c r="A8329" s="4" t="s">
        <v>19230</v>
      </c>
      <c r="B8329" s="4" t="s">
        <v>19231</v>
      </c>
      <c r="C8329" s="4" t="str">
        <f ca="1">IFERROR(__xludf.DUMMYFUNCTION("GOOGLETRANSLATE(D:D,""auto"",""en"")"),"Never see Liu Zhen bicker small S and the")</f>
        <v>Never see Liu Zhen bicker small S and the</v>
      </c>
      <c r="D8329" s="5" t="s">
        <v>19232</v>
      </c>
      <c r="E8329" s="4">
        <v>1545280</v>
      </c>
    </row>
    <row r="8330" spans="1:6" ht="13.5" hidden="1" customHeight="1">
      <c r="A8330" s="4" t="s">
        <v>19233</v>
      </c>
      <c r="B8330" s="4" t="s">
        <v>12922</v>
      </c>
      <c r="C8330" s="4" t="str">
        <f ca="1">IFERROR(__xludf.DUMMYFUNCTION("GOOGLETRANSLATE(D:D,""auto"",""en"")"),"Multinational organizations emperor to abdicate the Olympic Extension")</f>
        <v>Multinational organizations emperor to abdicate the Olympic Extension</v>
      </c>
      <c r="D8330" s="5" t="s">
        <v>19234</v>
      </c>
      <c r="E8330" s="4">
        <v>1405453</v>
      </c>
    </row>
    <row r="8331" spans="1:6" ht="13.5" hidden="1" customHeight="1">
      <c r="A8331" s="4" t="s">
        <v>19235</v>
      </c>
      <c r="B8331" s="4" t="s">
        <v>19236</v>
      </c>
      <c r="C8331" s="4" t="str">
        <f ca="1">IFERROR(__xludf.DUMMYFUNCTION("GOOGLETRANSLATE(D:D,""auto"",""en"")"),"Abe said that if the Olympics will not be considered complete extension")</f>
        <v>Abe said that if the Olympics will not be considered complete extension</v>
      </c>
      <c r="D8331" s="5" t="s">
        <v>19237</v>
      </c>
      <c r="E8331" s="4">
        <v>1394495</v>
      </c>
    </row>
    <row r="8332" spans="1:6" ht="13.5" hidden="1" customHeight="1">
      <c r="A8332" s="4" t="s">
        <v>19238</v>
      </c>
      <c r="B8332" s="4" t="s">
        <v>19239</v>
      </c>
      <c r="C8332" s="4" t="str">
        <f ca="1">IFERROR(__xludf.DUMMYFUNCTION("GOOGLETRANSLATE(D:D,""auto"",""en"")"),"Italy is another mayor mad hate people")</f>
        <v>Italy is another mayor mad hate people</v>
      </c>
      <c r="D8332" s="5" t="s">
        <v>19240</v>
      </c>
      <c r="E8332" s="4">
        <v>1205490</v>
      </c>
    </row>
    <row r="8333" spans="1:6" ht="13.5" hidden="1" customHeight="1">
      <c r="A8333" s="4" t="s">
        <v>19241</v>
      </c>
      <c r="B8333" s="4" t="s">
        <v>19242</v>
      </c>
      <c r="C8333" s="4" t="str">
        <f ca="1">IFERROR(__xludf.DUMMYFUNCTION("GOOGLETRANSLATE(D:D,""auto"",""en"")"),"Acting Mayor of the Shanghai Gong Zheng")</f>
        <v>Acting Mayor of the Shanghai Gong Zheng</v>
      </c>
      <c r="D8333" s="5" t="s">
        <v>19243</v>
      </c>
      <c r="E8333" s="4">
        <v>1165786</v>
      </c>
    </row>
    <row r="8334" spans="1:6" ht="13.5" hidden="1" customHeight="1">
      <c r="A8334" s="4" t="s">
        <v>19244</v>
      </c>
      <c r="B8334" s="4" t="s">
        <v>19245</v>
      </c>
      <c r="C8334" s="4" t="str">
        <f ca="1">IFERROR(__xludf.DUMMYFUNCTION("GOOGLETRANSLATE(D:D,""auto"",""en"")"),"New York City Mayor said Trump did not act more people will be killed")</f>
        <v>New York City Mayor said Trump did not act more people will be killed</v>
      </c>
      <c r="D8334" s="5" t="s">
        <v>19246</v>
      </c>
      <c r="E8334" s="4">
        <v>1082863</v>
      </c>
    </row>
    <row r="8335" spans="1:6" ht="13.5" customHeight="1">
      <c r="A8335" s="4" t="s">
        <v>19247</v>
      </c>
      <c r="B8335" s="4" t="s">
        <v>19153</v>
      </c>
      <c r="C8335" s="4" t="str">
        <f ca="1">IFERROR(__xludf.DUMMYFUNCTION("GOOGLETRANSLATE(D:D,""auto"",""en"")"),"Italian answer why not wear a mask")</f>
        <v>Italian answer why not wear a mask</v>
      </c>
      <c r="D8335" s="5" t="s">
        <v>19248</v>
      </c>
      <c r="E8335" s="4">
        <v>1052024</v>
      </c>
      <c r="F8335">
        <v>1</v>
      </c>
    </row>
    <row r="8336" spans="1:6" ht="13.5" customHeight="1">
      <c r="A8336" s="4" t="s">
        <v>19249</v>
      </c>
      <c r="B8336" s="4" t="s">
        <v>19250</v>
      </c>
      <c r="C8336" s="4" t="str">
        <f ca="1">IFERROR(__xludf.DUMMYFUNCTION("GOOGLETRANSLATE(D:D,""auto"",""en"")"),"Shanghai emergency response level adjustment for the two")</f>
        <v>Shanghai emergency response level adjustment for the two</v>
      </c>
      <c r="D8336" s="5" t="s">
        <v>19251</v>
      </c>
      <c r="E8336" s="4">
        <v>934855</v>
      </c>
      <c r="F8336">
        <v>1</v>
      </c>
    </row>
    <row r="8337" spans="1:6" ht="13.5" customHeight="1">
      <c r="A8337" s="4" t="s">
        <v>19252</v>
      </c>
      <c r="B8337" s="4" t="s">
        <v>19253</v>
      </c>
      <c r="C8337" s="4" t="str">
        <f ca="1">IFERROR(__xludf.DUMMYFUNCTION("GOOGLETRANSLATE(D:D,""auto"",""en"")"),"McDonald's closed all UK stores")</f>
        <v>McDonald's closed all UK stores</v>
      </c>
      <c r="D8337" s="5" t="s">
        <v>19254</v>
      </c>
      <c r="E8337" s="4">
        <v>855734</v>
      </c>
      <c r="F8337">
        <v>1</v>
      </c>
    </row>
    <row r="8338" spans="1:6" ht="13.5" hidden="1" customHeight="1">
      <c r="A8338" s="4" t="s">
        <v>19255</v>
      </c>
      <c r="B8338" s="4" t="s">
        <v>12922</v>
      </c>
      <c r="C8338" s="4" t="str">
        <f ca="1">IFERROR(__xludf.DUMMYFUNCTION("GOOGLETRANSLATE(D:D,""auto"",""en"")"),"Hainan released the first batch of plastic ban list")</f>
        <v>Hainan released the first batch of plastic ban list</v>
      </c>
      <c r="D8338" s="5" t="s">
        <v>19256</v>
      </c>
      <c r="E8338" s="4">
        <v>835515</v>
      </c>
    </row>
    <row r="8339" spans="1:6" ht="13.5" hidden="1" customHeight="1">
      <c r="A8339" s="4" t="s">
        <v>19257</v>
      </c>
      <c r="B8339" s="4" t="s">
        <v>19258</v>
      </c>
      <c r="C8339" s="4" t="str">
        <f ca="1">IFERROR(__xludf.DUMMYFUNCTION("GOOGLETRANSLATE(D:D,""auto"",""en"")"),"Colombian prison riots caused 23 dead 90 injured")</f>
        <v>Colombian prison riots caused 23 dead 90 injured</v>
      </c>
      <c r="D8339" s="5" t="s">
        <v>19259</v>
      </c>
      <c r="E8339" s="4">
        <v>788047</v>
      </c>
    </row>
    <row r="8340" spans="1:6" ht="13.5" hidden="1" customHeight="1">
      <c r="A8340" s="4" t="s">
        <v>19260</v>
      </c>
      <c r="B8340" s="4" t="s">
        <v>19261</v>
      </c>
      <c r="C8340" s="4" t="str">
        <f ca="1">IFERROR(__xludf.DUMMYFUNCTION("GOOGLETRANSLATE(D:D,""auto"",""en"")"),"Chongqing Airport")</f>
        <v>Chongqing Airport</v>
      </c>
      <c r="D8340" s="5" t="s">
        <v>19262</v>
      </c>
      <c r="E8340" s="4">
        <v>775251</v>
      </c>
    </row>
    <row r="8341" spans="1:6" ht="13.5" hidden="1" customHeight="1">
      <c r="A8341" s="4" t="s">
        <v>19263</v>
      </c>
      <c r="B8341" s="4" t="s">
        <v>19264</v>
      </c>
      <c r="C8341" s="4" t="str">
        <f ca="1">IFERROR(__xludf.DUMMYFUNCTION("GOOGLETRANSLATE(D:D,""auto"",""en"")"),"Small S")</f>
        <v>Small S</v>
      </c>
      <c r="D8341" s="5" t="s">
        <v>19265</v>
      </c>
      <c r="E8341" s="4">
        <v>772098</v>
      </c>
    </row>
    <row r="8342" spans="1:6" ht="13.5" hidden="1" customHeight="1">
      <c r="A8342" s="4" t="s">
        <v>19241</v>
      </c>
      <c r="B8342" s="4" t="s">
        <v>19266</v>
      </c>
      <c r="C8342" s="4" t="str">
        <f ca="1">IFERROR(__xludf.DUMMYFUNCTION("GOOGLETRANSLATE(D:D,""auto"",""en"")"),"Goebel lose taste and smell")</f>
        <v>Goebel lose taste and smell</v>
      </c>
      <c r="D8342" s="5" t="s">
        <v>19267</v>
      </c>
      <c r="E8342" s="4">
        <v>753488</v>
      </c>
    </row>
    <row r="8343" spans="1:6" ht="13.5" customHeight="1">
      <c r="A8343" s="4" t="s">
        <v>19268</v>
      </c>
      <c r="B8343" s="4" t="s">
        <v>19269</v>
      </c>
      <c r="C8343" s="4" t="str">
        <f ca="1">IFERROR(__xludf.DUMMYFUNCTION("GOOGLETRANSLATE(D:D,""auto"",""en"")"),"After more than 20 air companies find employees return to work")</f>
        <v>After more than 20 air companies find employees return to work</v>
      </c>
      <c r="D8343" s="5" t="s">
        <v>19270</v>
      </c>
      <c r="E8343" s="4">
        <v>746596</v>
      </c>
      <c r="F8343">
        <v>1</v>
      </c>
    </row>
    <row r="8344" spans="1:6" ht="13.5" hidden="1" customHeight="1">
      <c r="A8344" s="4" t="s">
        <v>19271</v>
      </c>
      <c r="B8344" s="4" t="s">
        <v>19272</v>
      </c>
      <c r="C8344" s="4" t="str">
        <f ca="1">IFERROR(__xludf.DUMMYFUNCTION("GOOGLETRANSLATE(D:D,""auto"",""en"")"),"Dolphins show off the mouth of the fish to the seagulls")</f>
        <v>Dolphins show off the mouth of the fish to the seagulls</v>
      </c>
      <c r="D8344" s="5" t="s">
        <v>19273</v>
      </c>
      <c r="E8344" s="4">
        <v>720235</v>
      </c>
    </row>
    <row r="8345" spans="1:6" ht="13.5" customHeight="1">
      <c r="A8345" s="4" t="s">
        <v>19274</v>
      </c>
      <c r="B8345" s="4" t="s">
        <v>19275</v>
      </c>
      <c r="C8345" s="4" t="str">
        <f ca="1">IFERROR(__xludf.DUMMYFUNCTION("GOOGLETRANSLATE(D:D,""auto"",""en"")"),"Beijing donated 500 yuan medical card and a mask to blood donors")</f>
        <v>Beijing donated 500 yuan medical card and a mask to blood donors</v>
      </c>
      <c r="D8345" s="5" t="s">
        <v>19276</v>
      </c>
      <c r="E8345" s="4">
        <v>710856</v>
      </c>
      <c r="F8345">
        <v>1</v>
      </c>
    </row>
    <row r="8346" spans="1:6" ht="13.5" hidden="1" customHeight="1">
      <c r="A8346" s="4" t="s">
        <v>15932</v>
      </c>
      <c r="B8346" s="4" t="s">
        <v>15933</v>
      </c>
      <c r="C8346" s="4" t="str">
        <f ca="1">IFERROR(__xludf.DUMMYFUNCTION("GOOGLETRANSLATE(D:D,""auto"",""en"")"),"Different degrees invasion")</f>
        <v>Different degrees invasion</v>
      </c>
      <c r="D8346" s="5" t="s">
        <v>15934</v>
      </c>
      <c r="E8346" s="4">
        <v>705904</v>
      </c>
    </row>
    <row r="8347" spans="1:6" ht="13.5" hidden="1" customHeight="1">
      <c r="A8347" s="4" t="s">
        <v>19277</v>
      </c>
      <c r="B8347" s="4" t="s">
        <v>19278</v>
      </c>
      <c r="C8347" s="4" t="str">
        <f ca="1">IFERROR(__xludf.DUMMYFUNCTION("GOOGLETRANSLATE(D:D,""auto"",""en"")"),"Let your friends circle of friends shielded reasons")</f>
        <v>Let your friends circle of friends shielded reasons</v>
      </c>
      <c r="D8347" s="5" t="s">
        <v>19279</v>
      </c>
      <c r="E8347" s="4">
        <v>699431</v>
      </c>
    </row>
    <row r="8348" spans="1:6" ht="13.5" hidden="1" customHeight="1">
      <c r="A8348" s="4" t="s">
        <v>19280</v>
      </c>
      <c r="B8348" s="4" t="s">
        <v>19281</v>
      </c>
      <c r="C8348" s="4" t="str">
        <f ca="1">IFERROR(__xludf.DUMMYFUNCTION("GOOGLETRANSLATE(D:D,""auto"",""en"")"),"ZHANG Wen-hong said that normal life can be gradually restored")</f>
        <v>ZHANG Wen-hong said that normal life can be gradually restored</v>
      </c>
      <c r="D8348" s="5" t="s">
        <v>19282</v>
      </c>
      <c r="E8348" s="4">
        <v>695453</v>
      </c>
    </row>
    <row r="8349" spans="1:6" ht="13.5" hidden="1" customHeight="1">
      <c r="A8349" s="4" t="s">
        <v>19283</v>
      </c>
      <c r="B8349" s="4" t="s">
        <v>19284</v>
      </c>
      <c r="C8349" s="4" t="str">
        <f ca="1">IFERROR(__xludf.DUMMYFUNCTION("GOOGLETRANSLATE(D:D,""auto"",""en"")"),"Australian Prime Minister said that this year is the hardest year in Australia")</f>
        <v>Australian Prime Minister said that this year is the hardest year in Australia</v>
      </c>
      <c r="D8349" s="5" t="s">
        <v>19285</v>
      </c>
      <c r="E8349" s="4">
        <v>669024</v>
      </c>
    </row>
    <row r="8350" spans="1:6" ht="13.5" hidden="1" customHeight="1">
      <c r="A8350" s="4" t="s">
        <v>19286</v>
      </c>
      <c r="B8350" s="4" t="s">
        <v>19287</v>
      </c>
      <c r="C8350" s="4" t="str">
        <f ca="1">IFERROR(__xludf.DUMMYFUNCTION("GOOGLETRANSLATE(D:D,""auto"",""en"")"),"Monday morning peak Beijing has serious congestion")</f>
        <v>Monday morning peak Beijing has serious congestion</v>
      </c>
      <c r="D8350" s="5" t="s">
        <v>19288</v>
      </c>
      <c r="E8350" s="4">
        <v>646714</v>
      </c>
    </row>
    <row r="8351" spans="1:6" ht="13.5" hidden="1" customHeight="1">
      <c r="A8351" s="4" t="s">
        <v>12904</v>
      </c>
      <c r="B8351" s="4" t="s">
        <v>12905</v>
      </c>
      <c r="C8351" s="4" t="str">
        <f ca="1">IFERROR(__xludf.DUMMYFUNCTION("GOOGLETRANSLATE(D:D,""auto"",""en"")"),"A crotch")</f>
        <v>A crotch</v>
      </c>
      <c r="D8351" s="5" t="s">
        <v>12906</v>
      </c>
      <c r="E8351" s="4">
        <v>638340</v>
      </c>
    </row>
    <row r="8352" spans="1:6" ht="13.5" hidden="1" customHeight="1">
      <c r="A8352" s="4" t="s">
        <v>19289</v>
      </c>
      <c r="B8352" s="4" t="s">
        <v>12922</v>
      </c>
      <c r="C8352" s="4" t="str">
        <f ca="1">IFERROR(__xludf.DUMMYFUNCTION("GOOGLETRANSLATE(D:D,""auto"",""en"")"),"The first two months of physical goods online retail sales growth")</f>
        <v>The first two months of physical goods online retail sales growth</v>
      </c>
      <c r="D8352" s="5" t="s">
        <v>19290</v>
      </c>
      <c r="E8352" s="4">
        <v>536929</v>
      </c>
    </row>
    <row r="8353" spans="1:6" ht="13.5" hidden="1" customHeight="1">
      <c r="A8353" s="4" t="s">
        <v>19291</v>
      </c>
      <c r="B8353" s="4" t="s">
        <v>19171</v>
      </c>
      <c r="C8353" s="4" t="str">
        <f ca="1">IFERROR(__xludf.DUMMYFUNCTION("GOOGLETRANSLATE(D:D,""auto"",""en"")"),"What people do not fat fat face experience")</f>
        <v>What people do not fat fat face experience</v>
      </c>
      <c r="D8353" s="5" t="s">
        <v>19292</v>
      </c>
      <c r="E8353" s="4">
        <v>520409</v>
      </c>
    </row>
    <row r="8354" spans="1:6" ht="13.5" hidden="1" customHeight="1">
      <c r="A8354" s="4" t="s">
        <v>19293</v>
      </c>
      <c r="B8354" s="4" t="s">
        <v>19294</v>
      </c>
      <c r="C8354" s="4" t="str">
        <f ca="1">IFERROR(__xludf.DUMMYFUNCTION("GOOGLETRANSLATE(D:D,""auto"",""en"")"),"Cherry Road Cherry Luoyang side side willow")</f>
        <v>Cherry Road Cherry Luoyang side side willow</v>
      </c>
      <c r="D8354" s="5" t="s">
        <v>19295</v>
      </c>
      <c r="E8354" s="4">
        <v>490009</v>
      </c>
    </row>
    <row r="8355" spans="1:6" ht="13.5" customHeight="1">
      <c r="A8355" s="4" t="s">
        <v>15932</v>
      </c>
      <c r="B8355" s="4" t="s">
        <v>19145</v>
      </c>
      <c r="C8355" s="4" t="str">
        <f ca="1">IFERROR(__xludf.DUMMYFUNCTION("GOOGLETRANSLATE(D:D,""auto"",""en"")"),"Iran's supreme leader rejects US support for the fight against SARS")</f>
        <v>Iran's supreme leader rejects US support for the fight against SARS</v>
      </c>
      <c r="D8355" s="5" t="s">
        <v>19296</v>
      </c>
      <c r="E8355" s="4">
        <v>461895</v>
      </c>
      <c r="F8355">
        <v>1</v>
      </c>
    </row>
    <row r="8356" spans="1:6" ht="13.5" hidden="1" customHeight="1">
      <c r="A8356" s="4" t="s">
        <v>15932</v>
      </c>
      <c r="B8356" s="4" t="s">
        <v>19297</v>
      </c>
      <c r="C8356" s="4" t="str">
        <f ca="1">IFERROR(__xludf.DUMMYFUNCTION("GOOGLETRANSLATE(D:D,""auto"",""en"")"),"Germany will prohibit two or more people gather")</f>
        <v>Germany will prohibit two or more people gather</v>
      </c>
      <c r="D8356" s="5" t="s">
        <v>19298</v>
      </c>
      <c r="E8356" s="4">
        <v>457460</v>
      </c>
    </row>
    <row r="8357" spans="1:6" ht="13.5" customHeight="1">
      <c r="A8357" s="4" t="s">
        <v>19299</v>
      </c>
      <c r="B8357" s="4" t="s">
        <v>19300</v>
      </c>
      <c r="C8357" s="4" t="str">
        <f ca="1">IFERROR(__xludf.DUMMYFUNCTION("GOOGLETRANSLATE(D:D,""auto"",""en"")"),"Chinese crew asked Italy to take care of our doctors")</f>
        <v>Chinese crew asked Italy to take care of our doctors</v>
      </c>
      <c r="D8357" s="5" t="s">
        <v>19301</v>
      </c>
      <c r="E8357" s="4">
        <v>399009</v>
      </c>
      <c r="F8357">
        <v>1</v>
      </c>
    </row>
    <row r="8358" spans="1:6" ht="13.5" customHeight="1">
      <c r="A8358" s="4" t="s">
        <v>19249</v>
      </c>
      <c r="B8358" s="4" t="s">
        <v>19278</v>
      </c>
      <c r="C8358" s="4" t="str">
        <f ca="1">IFERROR(__xludf.DUMMYFUNCTION("GOOGLETRANSLATE(D:D,""auto"",""en"")"),"9 outside the new input case 39 cases")</f>
        <v>9 outside the new input case 39 cases</v>
      </c>
      <c r="D8358" s="5" t="s">
        <v>19302</v>
      </c>
      <c r="E8358" s="4">
        <v>391760</v>
      </c>
      <c r="F8358">
        <v>1</v>
      </c>
    </row>
    <row r="8359" spans="1:6" ht="13.5" hidden="1" customHeight="1">
      <c r="A8359" s="4" t="s">
        <v>14348</v>
      </c>
      <c r="B8359" s="4" t="s">
        <v>14349</v>
      </c>
      <c r="C8359" s="4" t="str">
        <f ca="1">IFERROR(__xludf.DUMMYFUNCTION("GOOGLETRANSLATE(D:D,""auto"",""en"")"),"Know almost collapse")</f>
        <v>Know almost collapse</v>
      </c>
      <c r="D8359" s="5" t="s">
        <v>14350</v>
      </c>
      <c r="E8359" s="4">
        <v>388326</v>
      </c>
    </row>
    <row r="8360" spans="1:6" ht="13.5" hidden="1" customHeight="1">
      <c r="A8360" s="4" t="s">
        <v>19299</v>
      </c>
      <c r="B8360" s="4" t="s">
        <v>19303</v>
      </c>
      <c r="C8360" s="4" t="str">
        <f ca="1">IFERROR(__xludf.DUMMYFUNCTION("GOOGLETRANSLATE(D:D,""auto"",""en"")"),"Find your parents is how to fall in love")</f>
        <v>Find your parents is how to fall in love</v>
      </c>
      <c r="D8360" s="5" t="s">
        <v>19304</v>
      </c>
      <c r="E8360" s="4">
        <v>383015</v>
      </c>
    </row>
    <row r="8361" spans="1:6" ht="13.5" customHeight="1">
      <c r="A8361" s="4" t="s">
        <v>19305</v>
      </c>
      <c r="B8361" s="4" t="s">
        <v>19306</v>
      </c>
      <c r="C8361" s="4" t="str">
        <f ca="1">IFERROR(__xludf.DUMMYFUNCTION("GOOGLETRANSLATE(D:D,""auto"",""en"")"),"For Huanggang girl painting two kilometers farewell teams")</f>
        <v>For Huanggang girl painting two kilometers farewell teams</v>
      </c>
      <c r="D8361" s="5" t="s">
        <v>19307</v>
      </c>
      <c r="E8361" s="4">
        <v>331953</v>
      </c>
      <c r="F8361">
        <v>1</v>
      </c>
    </row>
    <row r="8362" spans="1:6" ht="13.5" hidden="1" customHeight="1">
      <c r="A8362" s="4" t="s">
        <v>19305</v>
      </c>
      <c r="B8362" s="4" t="s">
        <v>19105</v>
      </c>
      <c r="C8362" s="4" t="str">
        <f ca="1">IFERROR(__xludf.DUMMYFUNCTION("GOOGLETRANSLATE(D:D,""auto"",""en"")"),"Trump denies selling shares")</f>
        <v>Trump denies selling shares</v>
      </c>
      <c r="D8362" s="5" t="s">
        <v>19308</v>
      </c>
      <c r="E8362" s="4">
        <v>319964</v>
      </c>
    </row>
    <row r="8363" spans="1:6" ht="13.5" hidden="1" customHeight="1">
      <c r="A8363" s="4" t="s">
        <v>19309</v>
      </c>
      <c r="B8363" s="4" t="s">
        <v>19215</v>
      </c>
      <c r="C8363" s="4" t="str">
        <f ca="1">IFERROR(__xludf.DUMMYFUNCTION("GOOGLETRANSLATE(D:D,""auto"",""en"")"),"Paperclip producer response")</f>
        <v>Paperclip producer response</v>
      </c>
      <c r="D8363" s="5" t="s">
        <v>19310</v>
      </c>
      <c r="E8363" s="4">
        <v>317364</v>
      </c>
    </row>
    <row r="8364" spans="1:6" ht="13.5" hidden="1" customHeight="1">
      <c r="A8364" s="4" t="s">
        <v>19263</v>
      </c>
      <c r="B8364" s="4" t="s">
        <v>19311</v>
      </c>
      <c r="C8364" s="4" t="str">
        <f ca="1">IFERROR(__xludf.DUMMYFUNCTION("GOOGLETRANSLATE(D:D,""auto"",""en"")"),"What does not look good writing experience")</f>
        <v>What does not look good writing experience</v>
      </c>
      <c r="D8364" s="5" t="s">
        <v>19312</v>
      </c>
      <c r="E8364" s="4">
        <v>300300</v>
      </c>
    </row>
    <row r="8365" spans="1:6" ht="13.5" hidden="1" customHeight="1">
      <c r="A8365" s="4" t="s">
        <v>19313</v>
      </c>
      <c r="B8365" s="4" t="s">
        <v>19314</v>
      </c>
      <c r="C8365" s="4" t="str">
        <f ca="1">IFERROR(__xludf.DUMMYFUNCTION("GOOGLETRANSLATE(D:D,""auto"",""en"")"),"Wang Yibo eye exercises to dub")</f>
        <v>Wang Yibo eye exercises to dub</v>
      </c>
      <c r="D8365" s="5" t="s">
        <v>19315</v>
      </c>
      <c r="E8365" s="4">
        <v>294632</v>
      </c>
    </row>
    <row r="8366" spans="1:6" ht="13.5" hidden="1" customHeight="1">
      <c r="A8366" s="4" t="s">
        <v>19316</v>
      </c>
      <c r="B8366" s="4" t="s">
        <v>19284</v>
      </c>
      <c r="C8366" s="4" t="str">
        <f ca="1">IFERROR(__xludf.DUMMYFUNCTION("GOOGLETRANSLATE(D:D,""auto"",""en"")"),"Soccer Team Depart for home")</f>
        <v>Soccer Team Depart for home</v>
      </c>
      <c r="D8366" s="5" t="s">
        <v>19317</v>
      </c>
      <c r="E8366" s="4">
        <v>293084</v>
      </c>
    </row>
    <row r="8367" spans="1:6" ht="13.5" hidden="1" customHeight="1">
      <c r="A8367" s="4" t="s">
        <v>19318</v>
      </c>
      <c r="B8367" s="4" t="s">
        <v>19319</v>
      </c>
      <c r="C8367" s="4" t="str">
        <f ca="1">IFERROR(__xludf.DUMMYFUNCTION("GOOGLETRANSLATE(D:D,""auto"",""en"")"),"How hard ECMO Treatment")</f>
        <v>How hard ECMO Treatment</v>
      </c>
      <c r="D8367" s="5" t="s">
        <v>19320</v>
      </c>
      <c r="E8367" s="4">
        <v>292439</v>
      </c>
    </row>
    <row r="8368" spans="1:6" ht="13.5" hidden="1" customHeight="1">
      <c r="A8368" s="4" t="s">
        <v>19321</v>
      </c>
      <c r="B8368" s="4" t="s">
        <v>19319</v>
      </c>
      <c r="C8368" s="4" t="str">
        <f ca="1">IFERROR(__xludf.DUMMYFUNCTION("GOOGLETRANSLATE(D:D,""auto"",""en"")"),"Move to subsidize small and medium micro enterprises with graduates")</f>
        <v>Move to subsidize small and medium micro enterprises with graduates</v>
      </c>
      <c r="D8368" s="5" t="s">
        <v>19322</v>
      </c>
      <c r="E8368" s="4">
        <v>289225</v>
      </c>
    </row>
    <row r="8369" spans="1:6" ht="13.5" hidden="1" customHeight="1">
      <c r="A8369" s="4" t="s">
        <v>19321</v>
      </c>
      <c r="B8369" s="4" t="s">
        <v>19319</v>
      </c>
      <c r="C8369" s="4" t="str">
        <f ca="1">IFERROR(__xludf.DUMMYFUNCTION("GOOGLETRANSLATE(D:D,""auto"",""en"")"),"Sharing staff mode to solve four million jobs catering staff")</f>
        <v>Sharing staff mode to solve four million jobs catering staff</v>
      </c>
      <c r="D8369" s="5" t="s">
        <v>19323</v>
      </c>
      <c r="E8369" s="4">
        <v>287920</v>
      </c>
    </row>
    <row r="8370" spans="1:6" ht="13.5" hidden="1" customHeight="1">
      <c r="A8370" s="4" t="s">
        <v>15932</v>
      </c>
      <c r="B8370" s="4" t="s">
        <v>19324</v>
      </c>
      <c r="C8370" s="4" t="str">
        <f ca="1">IFERROR(__xludf.DUMMYFUNCTION("GOOGLETRANSLATE(D:D,""auto"",""en"")"),"Love or beat fourth in the series")</f>
        <v>Love or beat fourth in the series</v>
      </c>
      <c r="D8370" s="5" t="s">
        <v>19325</v>
      </c>
      <c r="E8370" s="4">
        <v>285048</v>
      </c>
    </row>
    <row r="8371" spans="1:6" ht="13.5" hidden="1" customHeight="1">
      <c r="A8371" s="4" t="s">
        <v>19326</v>
      </c>
      <c r="B8371" s="4" t="s">
        <v>19150</v>
      </c>
      <c r="C8371" s="4" t="str">
        <f ca="1">IFERROR(__xludf.DUMMYFUNCTION("GOOGLETRANSLATE(D:D,""auto"",""en"")"),"After the dog know something")</f>
        <v>After the dog know something</v>
      </c>
      <c r="D8371" s="5" t="s">
        <v>19327</v>
      </c>
      <c r="E8371" s="4">
        <v>284855</v>
      </c>
    </row>
    <row r="8372" spans="1:6" ht="13.5" hidden="1" customHeight="1">
      <c r="A8372" s="4" t="s">
        <v>19313</v>
      </c>
      <c r="B8372" s="4" t="s">
        <v>19328</v>
      </c>
      <c r="C8372" s="4" t="str">
        <f ca="1">IFERROR(__xludf.DUMMYFUNCTION("GOOGLETRANSLATE(D:D,""auto"",""en"")"),"CNN anchor criticized Trump")</f>
        <v>CNN anchor criticized Trump</v>
      </c>
      <c r="D8372" s="5" t="s">
        <v>19329</v>
      </c>
      <c r="E8372" s="4">
        <v>283033</v>
      </c>
    </row>
    <row r="8373" spans="1:6" ht="13.5" customHeight="1">
      <c r="A8373" s="4" t="s">
        <v>19330</v>
      </c>
      <c r="B8373" s="4" t="s">
        <v>19331</v>
      </c>
      <c r="C8373" s="4" t="str">
        <f ca="1">IFERROR(__xludf.DUMMYFUNCTION("GOOGLETRANSLATE(D:D,""auto"",""en"")"),"Henan new foreign input 1 case")</f>
        <v>Henan new foreign input 1 case</v>
      </c>
      <c r="D8373" s="5" t="s">
        <v>19332</v>
      </c>
      <c r="E8373" s="4">
        <v>264557</v>
      </c>
      <c r="F8373">
        <v>1</v>
      </c>
    </row>
    <row r="8374" spans="1:6" ht="13.5" hidden="1" customHeight="1">
      <c r="C8374" s="4" t="str">
        <f ca="1">IFERROR(__xludf.DUMMYFUNCTION("GOOGLETRANSLATE(D:D,""auto"",""en"")"),"#VALUE!")</f>
        <v>#VALUE!</v>
      </c>
    </row>
    <row r="8375" spans="1:6" ht="13.5" hidden="1" customHeight="1">
      <c r="A8375" s="4" t="s">
        <v>19333</v>
      </c>
      <c r="B8375" s="4" t="s">
        <v>19334</v>
      </c>
      <c r="C8375" s="4" t="str">
        <f ca="1">IFERROR(__xludf.DUMMYFUNCTION("GOOGLETRANSLATE(D:D,""auto"",""en"")"),"King St. statement studio")</f>
        <v>King St. statement studio</v>
      </c>
      <c r="D8375" s="4" t="s">
        <v>19335</v>
      </c>
      <c r="E8375" s="4">
        <v>3264342</v>
      </c>
    </row>
    <row r="8376" spans="1:6" ht="13.5" hidden="1" customHeight="1">
      <c r="A8376" s="4" t="s">
        <v>19336</v>
      </c>
      <c r="B8376" s="4" t="s">
        <v>19337</v>
      </c>
      <c r="C8376" s="4" t="str">
        <f ca="1">IFERROR(__xludf.DUMMYFUNCTION("GOOGLETRANSLATE(D:D,""auto"",""en"")"),"N, room Dr. Zhao public identity")</f>
        <v>N, room Dr. Zhao public identity</v>
      </c>
      <c r="D8376" s="5" t="s">
        <v>19338</v>
      </c>
      <c r="E8376" s="4">
        <v>1429433</v>
      </c>
    </row>
    <row r="8377" spans="1:6" ht="13.5" hidden="1" customHeight="1">
      <c r="A8377" s="4" t="s">
        <v>19339</v>
      </c>
      <c r="B8377" s="4" t="s">
        <v>19340</v>
      </c>
      <c r="C8377" s="4" t="str">
        <f ca="1">IFERROR(__xludf.DUMMYFUNCTION("GOOGLETRANSLATE(D:D,""auto"",""en"")"),"Graduates Report tutor plagiarism of their papers published")</f>
        <v>Graduates Report tutor plagiarism of their papers published</v>
      </c>
      <c r="D8377" s="5" t="s">
        <v>19341</v>
      </c>
      <c r="E8377" s="4">
        <v>1232923</v>
      </c>
    </row>
    <row r="8378" spans="1:6" ht="13.5" hidden="1" customHeight="1">
      <c r="A8378" s="4" t="s">
        <v>4043</v>
      </c>
      <c r="B8378" s="4" t="s">
        <v>15112</v>
      </c>
      <c r="C8378" s="4" t="str">
        <f ca="1">IFERROR(__xludf.DUMMYFUNCTION("GOOGLETRANSLATE(D:D,""auto"",""en"")"),"Yiyangqianxi ins")</f>
        <v>Yiyangqianxi ins</v>
      </c>
      <c r="D8378" s="5" t="s">
        <v>15113</v>
      </c>
      <c r="E8378" s="4">
        <v>1225478</v>
      </c>
    </row>
    <row r="8379" spans="1:6" ht="13.5" customHeight="1">
      <c r="A8379" s="4" t="s">
        <v>19342</v>
      </c>
      <c r="B8379" s="4" t="s">
        <v>19343</v>
      </c>
      <c r="C8379" s="4" t="str">
        <f ca="1">IFERROR(__xludf.DUMMYFUNCTION("GOOGLETRANSLATE(D:D,""auto"",""en"")"),"The world's two days canceled 40,000 flights")</f>
        <v>The world's two days canceled 40,000 flights</v>
      </c>
      <c r="D8379" s="5" t="s">
        <v>19344</v>
      </c>
      <c r="E8379" s="4">
        <v>975326</v>
      </c>
      <c r="F8379">
        <v>1</v>
      </c>
    </row>
    <row r="8380" spans="1:6" ht="13.5" hidden="1" customHeight="1">
      <c r="A8380" s="4" t="s">
        <v>19345</v>
      </c>
      <c r="B8380" s="4" t="s">
        <v>19346</v>
      </c>
      <c r="C8380" s="4" t="str">
        <f ca="1">IFERROR(__xludf.DUMMYFUNCTION("GOOGLETRANSLATE(D:D,""auto"",""en"")"),"Hunan 16-year-old girl imprisoned burrow sentencing")</f>
        <v>Hunan 16-year-old girl imprisoned burrow sentencing</v>
      </c>
      <c r="D8380" s="5" t="s">
        <v>19347</v>
      </c>
      <c r="E8380" s="4">
        <v>733859</v>
      </c>
    </row>
    <row r="8381" spans="1:6" ht="13.5" customHeight="1">
      <c r="A8381" s="4" t="s">
        <v>19348</v>
      </c>
      <c r="B8381" s="4" t="s">
        <v>19349</v>
      </c>
      <c r="C8381" s="4" t="str">
        <f ca="1">IFERROR(__xludf.DUMMYFUNCTION("GOOGLETRANSLATE(D:D,""auto"",""en"")"),"United States diagnosed with the new crown over 35,000 cases of pneumonia")</f>
        <v>United States diagnosed with the new crown over 35,000 cases of pneumonia</v>
      </c>
      <c r="D8381" s="5" t="s">
        <v>19350</v>
      </c>
      <c r="E8381" s="4">
        <v>709619</v>
      </c>
      <c r="F8381">
        <v>1</v>
      </c>
    </row>
    <row r="8382" spans="1:6" ht="13.5" customHeight="1">
      <c r="A8382" s="4" t="s">
        <v>19351</v>
      </c>
      <c r="B8382" s="4" t="s">
        <v>19352</v>
      </c>
      <c r="C8382" s="4" t="str">
        <f ca="1">IFERROR(__xludf.DUMMYFUNCTION("GOOGLETRANSLATE(D:D,""auto"",""en"")"),"Wu Daming will be held in special health care kun")</f>
        <v>Wu Daming will be held in special health care kun</v>
      </c>
      <c r="D8382" s="5" t="s">
        <v>19353</v>
      </c>
      <c r="E8382" s="4">
        <v>706901</v>
      </c>
      <c r="F8382">
        <v>1</v>
      </c>
    </row>
    <row r="8383" spans="1:6" ht="13.5" hidden="1" customHeight="1">
      <c r="A8383" s="4" t="s">
        <v>19354</v>
      </c>
      <c r="B8383" s="4" t="s">
        <v>19355</v>
      </c>
      <c r="C8383" s="4" t="str">
        <f ca="1">IFERROR(__xludf.DUMMYFUNCTION("GOOGLETRANSLATE(D:D,""auto"",""en"")"),"Geng Shuang said that the United States stop thief too clumsy trick")</f>
        <v>Geng Shuang said that the United States stop thief too clumsy trick</v>
      </c>
      <c r="D8383" s="5" t="s">
        <v>19356</v>
      </c>
      <c r="E8383" s="4">
        <v>692569</v>
      </c>
    </row>
    <row r="8384" spans="1:6" ht="13.5" hidden="1" customHeight="1">
      <c r="A8384" s="4" t="s">
        <v>19357</v>
      </c>
      <c r="B8384" s="4" t="s">
        <v>19358</v>
      </c>
      <c r="C8384" s="4" t="str">
        <f ca="1">IFERROR(__xludf.DUMMYFUNCTION("GOOGLETRANSLATE(D:D,""auto"",""en"")"),"Busan line 2 stills")</f>
        <v>Busan line 2 stills</v>
      </c>
      <c r="D8384" s="5" t="s">
        <v>19359</v>
      </c>
      <c r="E8384" s="4">
        <v>683901</v>
      </c>
    </row>
    <row r="8385" spans="1:6" ht="13.5" hidden="1" customHeight="1">
      <c r="A8385" s="4" t="s">
        <v>14434</v>
      </c>
      <c r="B8385" s="4" t="s">
        <v>14435</v>
      </c>
      <c r="C8385" s="4" t="str">
        <f ca="1">IFERROR(__xludf.DUMMYFUNCTION("GOOGLETRANSLATE(D:D,""auto"",""en"")"),"US stocks")</f>
        <v>US stocks</v>
      </c>
      <c r="D8385" s="5" t="s">
        <v>14436</v>
      </c>
      <c r="E8385" s="4">
        <v>637552</v>
      </c>
    </row>
    <row r="8386" spans="1:6" ht="13.5" hidden="1" customHeight="1">
      <c r="A8386" s="4" t="s">
        <v>19360</v>
      </c>
      <c r="B8386" s="4" t="s">
        <v>19361</v>
      </c>
      <c r="C8386" s="4" t="str">
        <f ca="1">IFERROR(__xludf.DUMMYFUNCTION("GOOGLETRANSLATE(D:D,""auto"",""en"")"),"Apple's total market capitalization below $ 1 trillion")</f>
        <v>Apple's total market capitalization below $ 1 trillion</v>
      </c>
      <c r="D8386" s="5" t="s">
        <v>19362</v>
      </c>
      <c r="E8386" s="4">
        <v>636956</v>
      </c>
    </row>
    <row r="8387" spans="1:6" ht="13.5" hidden="1" customHeight="1">
      <c r="A8387" s="4" t="s">
        <v>19363</v>
      </c>
      <c r="B8387" s="4" t="s">
        <v>19364</v>
      </c>
      <c r="C8387" s="4" t="str">
        <f ca="1">IFERROR(__xludf.DUMMYFUNCTION("GOOGLETRANSLATE(D:D,""auto"",""en"")"),"Students return to its territory that moment onward cry")</f>
        <v>Students return to its territory that moment onward cry</v>
      </c>
      <c r="D8387" s="5" t="s">
        <v>19365</v>
      </c>
      <c r="E8387" s="4">
        <v>631122</v>
      </c>
    </row>
    <row r="8388" spans="1:6" ht="13.5" customHeight="1">
      <c r="A8388" s="4" t="s">
        <v>19342</v>
      </c>
      <c r="B8388" s="4" t="s">
        <v>19361</v>
      </c>
      <c r="C8388" s="4" t="str">
        <f ca="1">IFERROR(__xludf.DUMMYFUNCTION("GOOGLETRANSLATE(D:D,""auto"",""en"")"),"Jiangsu centralized medical observation for 14 days to all immigration officers")</f>
        <v>Jiangsu centralized medical observation for 14 days to all immigration officers</v>
      </c>
      <c r="D8388" s="5" t="s">
        <v>19366</v>
      </c>
      <c r="E8388" s="4">
        <v>625663</v>
      </c>
      <c r="F8388">
        <v>1</v>
      </c>
    </row>
    <row r="8389" spans="1:6" ht="13.5" customHeight="1">
      <c r="A8389" s="4" t="s">
        <v>19367</v>
      </c>
      <c r="B8389" s="4" t="s">
        <v>19368</v>
      </c>
      <c r="C8389" s="4" t="str">
        <f ca="1">IFERROR(__xludf.DUMMYFUNCTION("GOOGLETRANSLATE(D:D,""auto"",""en"")"),"Hubei Jingzhou train station is about to resume use")</f>
        <v>Hubei Jingzhou train station is about to resume use</v>
      </c>
      <c r="D8389" s="5" t="s">
        <v>19369</v>
      </c>
      <c r="E8389" s="4">
        <v>617800</v>
      </c>
      <c r="F8389">
        <v>1</v>
      </c>
    </row>
    <row r="8390" spans="1:6" ht="13.5" hidden="1" customHeight="1">
      <c r="A8390" s="4" t="s">
        <v>19370</v>
      </c>
      <c r="B8390" s="4" t="s">
        <v>19371</v>
      </c>
      <c r="C8390" s="4" t="str">
        <f ca="1">IFERROR(__xludf.DUMMYFUNCTION("GOOGLETRANSLATE(D:D,""auto"",""en"")"),"Why disease death rate is so high in Italy")</f>
        <v>Why disease death rate is so high in Italy</v>
      </c>
      <c r="D8390" s="5" t="s">
        <v>19372</v>
      </c>
      <c r="E8390" s="4">
        <v>613244</v>
      </c>
    </row>
    <row r="8391" spans="1:6" ht="13.5" hidden="1" customHeight="1">
      <c r="A8391" s="4" t="s">
        <v>19373</v>
      </c>
      <c r="B8391" s="4" t="s">
        <v>19374</v>
      </c>
      <c r="C8391" s="4" t="str">
        <f ca="1">IFERROR(__xludf.DUMMYFUNCTION("GOOGLETRANSLATE(D:D,""auto"",""en"")"),"500 South Korean companies take a private car to meet")</f>
        <v>500 South Korean companies take a private car to meet</v>
      </c>
      <c r="D8391" s="5" t="s">
        <v>19375</v>
      </c>
      <c r="E8391" s="4">
        <v>609164</v>
      </c>
    </row>
    <row r="8392" spans="1:6" ht="13.5" customHeight="1">
      <c r="A8392" s="4" t="s">
        <v>19376</v>
      </c>
      <c r="B8392" s="4" t="s">
        <v>19377</v>
      </c>
      <c r="C8392" s="4" t="str">
        <f ca="1">IFERROR(__xludf.DUMMYFUNCTION("GOOGLETRANSLATE(D:D,""auto"",""en"")"),"Thailand confirmed within one week increased the number 5 times")</f>
        <v>Thailand confirmed within one week increased the number 5 times</v>
      </c>
      <c r="D8392" s="5" t="s">
        <v>19378</v>
      </c>
      <c r="E8392" s="4">
        <v>602680</v>
      </c>
      <c r="F8392">
        <v>1</v>
      </c>
    </row>
    <row r="8393" spans="1:6" ht="13.5" hidden="1" customHeight="1">
      <c r="A8393" s="4" t="s">
        <v>19373</v>
      </c>
      <c r="B8393" s="4" t="s">
        <v>19379</v>
      </c>
      <c r="C8393" s="4" t="str">
        <f ca="1">IFERROR(__xludf.DUMMYFUNCTION("GOOGLETRANSLATE(D:D,""auto"",""en"")"),"Wolf Highness")</f>
        <v>Wolf Highness</v>
      </c>
      <c r="D8393" s="5" t="s">
        <v>19380</v>
      </c>
      <c r="E8393" s="4">
        <v>601079</v>
      </c>
    </row>
    <row r="8394" spans="1:6" ht="13.5" hidden="1" customHeight="1">
      <c r="A8394" s="4" t="s">
        <v>4043</v>
      </c>
      <c r="B8394" s="4" t="s">
        <v>4044</v>
      </c>
      <c r="C8394" s="4" t="str">
        <f ca="1">IFERROR(__xludf.DUMMYFUNCTION("GOOGLETRANSLATE(D:D,""auto"",""en"")"),"PDD")</f>
        <v>PDD</v>
      </c>
      <c r="D8394" s="5" t="s">
        <v>4045</v>
      </c>
      <c r="E8394" s="4">
        <v>591990</v>
      </c>
    </row>
    <row r="8395" spans="1:6" ht="13.5" hidden="1" customHeight="1">
      <c r="A8395" s="4" t="s">
        <v>19373</v>
      </c>
      <c r="B8395" s="4" t="s">
        <v>19334</v>
      </c>
      <c r="C8395" s="4" t="str">
        <f ca="1">IFERROR(__xludf.DUMMYFUNCTION("GOOGLETRANSLATE(D:D,""auto"",""en"")"),"Hide drinking cola")</f>
        <v>Hide drinking cola</v>
      </c>
      <c r="D8395" s="5" t="s">
        <v>19381</v>
      </c>
      <c r="E8395" s="4">
        <v>587226</v>
      </c>
    </row>
    <row r="8396" spans="1:6" ht="13.5" hidden="1" customHeight="1">
      <c r="A8396" s="4" t="s">
        <v>9021</v>
      </c>
      <c r="B8396" s="4" t="s">
        <v>9022</v>
      </c>
      <c r="C8396" s="4" t="str">
        <f ca="1">IFERROR(__xludf.DUMMYFUNCTION("GOOGLETRANSLATE(D:D,""auto"",""en"")"),"Li Jiaqi live")</f>
        <v>Li Jiaqi live</v>
      </c>
      <c r="D8396" s="5" t="s">
        <v>9023</v>
      </c>
      <c r="E8396" s="4">
        <v>586250</v>
      </c>
    </row>
    <row r="8397" spans="1:6" ht="13.5" hidden="1" customHeight="1">
      <c r="A8397" s="4" t="s">
        <v>19382</v>
      </c>
      <c r="B8397" s="4" t="s">
        <v>19383</v>
      </c>
      <c r="C8397" s="4" t="str">
        <f ca="1">IFERROR(__xludf.DUMMYFUNCTION("GOOGLETRANSLATE(D:D,""auto"",""en"")"),"You know wealthy people have sawed")</f>
        <v>You know wealthy people have sawed</v>
      </c>
      <c r="D8397" s="5" t="s">
        <v>19384</v>
      </c>
      <c r="E8397" s="4">
        <v>541543</v>
      </c>
    </row>
    <row r="8398" spans="1:6" ht="13.5" hidden="1" customHeight="1">
      <c r="A8398" s="4" t="s">
        <v>19385</v>
      </c>
      <c r="B8398" s="4" t="s">
        <v>19386</v>
      </c>
      <c r="C8398" s="4" t="str">
        <f ca="1">IFERROR(__xludf.DUMMYFUNCTION("GOOGLETRANSLATE(D:D,""auto"",""en"")"),"Northerners to the University of the South")</f>
        <v>Northerners to the University of the South</v>
      </c>
      <c r="D8398" s="5" t="s">
        <v>19387</v>
      </c>
      <c r="E8398" s="4">
        <v>535104</v>
      </c>
    </row>
    <row r="8399" spans="1:6" ht="13.5" hidden="1" customHeight="1">
      <c r="A8399" s="4" t="s">
        <v>16009</v>
      </c>
      <c r="B8399" s="4" t="s">
        <v>16010</v>
      </c>
      <c r="C8399" s="4" t="str">
        <f ca="1">IFERROR(__xludf.DUMMYFUNCTION("GOOGLETRANSLATE(D:D,""auto"",""en"")"),"Trump")</f>
        <v>Trump</v>
      </c>
      <c r="D8399" s="5" t="s">
        <v>16011</v>
      </c>
      <c r="E8399" s="4">
        <v>508530</v>
      </c>
    </row>
    <row r="8400" spans="1:6" ht="13.5" hidden="1" customHeight="1">
      <c r="A8400" s="4" t="s">
        <v>11030</v>
      </c>
      <c r="B8400" s="4" t="s">
        <v>11031</v>
      </c>
      <c r="C8400" s="4" t="str">
        <f ca="1">IFERROR(__xludf.DUMMYFUNCTION("GOOGLETRANSLATE(D:D,""auto"",""en"")"),"Forensic Heroes 4")</f>
        <v>Forensic Heroes 4</v>
      </c>
      <c r="D8400" s="5" t="s">
        <v>11032</v>
      </c>
      <c r="E8400" s="4">
        <v>417080</v>
      </c>
    </row>
    <row r="8401" spans="1:6" ht="13.5" hidden="1" customHeight="1">
      <c r="A8401" s="4" t="s">
        <v>19388</v>
      </c>
      <c r="B8401" s="4" t="s">
        <v>19389</v>
      </c>
      <c r="C8401" s="4" t="str">
        <f ca="1">IFERROR(__xludf.DUMMYFUNCTION("GOOGLETRANSLATE(D:D,""auto"",""en"")"),"Human behavior confused cub")</f>
        <v>Human behavior confused cub</v>
      </c>
      <c r="D8401" s="5" t="s">
        <v>19390</v>
      </c>
      <c r="E8401" s="4">
        <v>366470</v>
      </c>
    </row>
    <row r="8402" spans="1:6" ht="13.5" customHeight="1">
      <c r="A8402" s="4" t="s">
        <v>19391</v>
      </c>
      <c r="B8402" s="4" t="s">
        <v>19392</v>
      </c>
      <c r="C8402" s="4" t="str">
        <f ca="1">IFERROR(__xludf.DUMMYFUNCTION("GOOGLETRANSLATE(D:D,""auto"",""en"")"),"Taking care of people shouting at the mobile phone photograph miss the most")</f>
        <v>Taking care of people shouting at the mobile phone photograph miss the most</v>
      </c>
      <c r="D8402" s="5" t="s">
        <v>19393</v>
      </c>
      <c r="E8402" s="4">
        <v>310383</v>
      </c>
      <c r="F8402">
        <v>1</v>
      </c>
    </row>
    <row r="8403" spans="1:6" ht="13.5" hidden="1" customHeight="1">
      <c r="A8403" s="4" t="s">
        <v>19394</v>
      </c>
      <c r="B8403" s="4" t="s">
        <v>19395</v>
      </c>
      <c r="C8403" s="4" t="str">
        <f ca="1">IFERROR(__xludf.DUMMYFUNCTION("GOOGLETRANSLATE(D:D,""auto"",""en"")"),"Liu really last microblogging")</f>
        <v>Liu really last microblogging</v>
      </c>
      <c r="D8403" s="5" t="s">
        <v>19396</v>
      </c>
      <c r="E8403" s="4">
        <v>290285</v>
      </c>
    </row>
    <row r="8404" spans="1:6" ht="13.5" hidden="1" customHeight="1">
      <c r="A8404" s="4" t="s">
        <v>19345</v>
      </c>
      <c r="B8404" s="4" t="s">
        <v>19397</v>
      </c>
      <c r="C8404" s="4" t="str">
        <f ca="1">IFERROR(__xludf.DUMMYFUNCTION("GOOGLETRANSLATE(D:D,""auto"",""en"")"),"Spring most suitable for wearing windbreaker")</f>
        <v>Spring most suitable for wearing windbreaker</v>
      </c>
      <c r="D8404" s="5" t="s">
        <v>19398</v>
      </c>
      <c r="E8404" s="4">
        <v>287443</v>
      </c>
    </row>
    <row r="8405" spans="1:6" ht="13.5" hidden="1" customHeight="1">
      <c r="A8405" s="4" t="s">
        <v>19399</v>
      </c>
      <c r="B8405" s="4" t="s">
        <v>19374</v>
      </c>
      <c r="C8405" s="4" t="str">
        <f ca="1">IFERROR(__xludf.DUMMYFUNCTION("GOOGLETRANSLATE(D:D,""auto"",""en"")"),"I learn the status quo")</f>
        <v>I learn the status quo</v>
      </c>
      <c r="D8405" s="5" t="s">
        <v>19400</v>
      </c>
      <c r="E8405" s="4">
        <v>278393</v>
      </c>
    </row>
    <row r="8406" spans="1:6" ht="13.5" hidden="1" customHeight="1">
      <c r="A8406" s="4" t="s">
        <v>19401</v>
      </c>
      <c r="B8406" s="4" t="s">
        <v>19402</v>
      </c>
      <c r="C8406" s="4" t="str">
        <f ca="1">IFERROR(__xludf.DUMMYFUNCTION("GOOGLETRANSLATE(D:D,""auto"",""en"")"),"What experience have eye teeth")</f>
        <v>What experience have eye teeth</v>
      </c>
      <c r="D8406" s="5" t="s">
        <v>19403</v>
      </c>
      <c r="E8406" s="4">
        <v>278292</v>
      </c>
    </row>
    <row r="8407" spans="1:6" ht="13.5" hidden="1" customHeight="1">
      <c r="A8407" s="4" t="s">
        <v>19404</v>
      </c>
      <c r="B8407" s="4" t="s">
        <v>19405</v>
      </c>
      <c r="C8407" s="4" t="str">
        <f ca="1">IFERROR(__xludf.DUMMYFUNCTION("GOOGLETRANSLATE(D:D,""auto"",""en"")"),"Girls logic of shopping")</f>
        <v>Girls logic of shopping</v>
      </c>
      <c r="D8407" s="5" t="s">
        <v>19406</v>
      </c>
      <c r="E8407" s="4">
        <v>272452</v>
      </c>
    </row>
    <row r="8408" spans="1:6" ht="13.5" hidden="1" customHeight="1">
      <c r="A8408" s="4" t="s">
        <v>19407</v>
      </c>
      <c r="B8408" s="4" t="s">
        <v>19408</v>
      </c>
      <c r="C8408" s="4" t="str">
        <f ca="1">IFERROR(__xludf.DUMMYFUNCTION("GOOGLETRANSLATE(D:D,""auto"",""en"")"),"Serbian President praised China is a good friend 3 years ago")</f>
        <v>Serbian President praised China is a good friend 3 years ago</v>
      </c>
      <c r="D8408" s="5" t="s">
        <v>19409</v>
      </c>
      <c r="E8408" s="4">
        <v>247196</v>
      </c>
    </row>
    <row r="8409" spans="1:6" ht="13.5" hidden="1" customHeight="1">
      <c r="A8409" s="4" t="s">
        <v>19410</v>
      </c>
      <c r="B8409" s="4" t="s">
        <v>19411</v>
      </c>
      <c r="C8409" s="4" t="str">
        <f ca="1">IFERROR(__xludf.DUMMYFUNCTION("GOOGLETRANSLATE(D:D,""auto"",""en"")"),"Fed")</f>
        <v>Fed</v>
      </c>
      <c r="D8409" s="5" t="s">
        <v>19412</v>
      </c>
      <c r="E8409" s="4">
        <v>246460</v>
      </c>
    </row>
    <row r="8410" spans="1:6" ht="13.5" hidden="1" customHeight="1">
      <c r="A8410" s="4" t="s">
        <v>19413</v>
      </c>
      <c r="B8410" s="4" t="s">
        <v>19414</v>
      </c>
      <c r="C8410" s="4" t="str">
        <f ca="1">IFERROR(__xludf.DUMMYFUNCTION("GOOGLETRANSLATE(D:D,""auto"",""en"")"),"Three operators announced rectification")</f>
        <v>Three operators announced rectification</v>
      </c>
      <c r="D8410" s="5" t="s">
        <v>19415</v>
      </c>
      <c r="E8410" s="4">
        <v>213090</v>
      </c>
    </row>
    <row r="8411" spans="1:6" ht="13.5" customHeight="1">
      <c r="A8411" s="4" t="s">
        <v>19416</v>
      </c>
      <c r="B8411" s="4" t="s">
        <v>19417</v>
      </c>
      <c r="C8411" s="4" t="str">
        <f ca="1">IFERROR(__xludf.DUMMYFUNCTION("GOOGLETRANSLATE(D:D,""auto"",""en"")"),"Shanghai's first bid up the price of masks sentencing")</f>
        <v>Shanghai's first bid up the price of masks sentencing</v>
      </c>
      <c r="D8411" s="5" t="s">
        <v>19418</v>
      </c>
      <c r="E8411" s="4">
        <v>212679</v>
      </c>
      <c r="F8411">
        <v>1</v>
      </c>
    </row>
    <row r="8412" spans="1:6" ht="13.5" customHeight="1">
      <c r="A8412" s="4" t="s">
        <v>19419</v>
      </c>
      <c r="B8412" s="4" t="s">
        <v>19420</v>
      </c>
      <c r="C8412" s="4" t="str">
        <f ca="1">IFERROR(__xludf.DUMMYFUNCTION("GOOGLETRANSLATE(D:D,""auto"",""en"")"),"Xiangyang found 1 case of asymptomatic infection input")</f>
        <v>Xiangyang found 1 case of asymptomatic infection input</v>
      </c>
      <c r="D8412" s="5" t="s">
        <v>19421</v>
      </c>
      <c r="E8412" s="4">
        <v>203227</v>
      </c>
      <c r="F8412">
        <v>1</v>
      </c>
    </row>
    <row r="8413" spans="1:6" ht="13.5" hidden="1" customHeight="1">
      <c r="A8413" s="4" t="s">
        <v>19357</v>
      </c>
      <c r="B8413" s="4" t="s">
        <v>19364</v>
      </c>
      <c r="C8413" s="4" t="str">
        <f ca="1">IFERROR(__xludf.DUMMYFUNCTION("GOOGLETRANSLATE(D:D,""auto"",""en"")"),"British clinics sell kits to the rich")</f>
        <v>British clinics sell kits to the rich</v>
      </c>
      <c r="D8413" s="5" t="s">
        <v>19422</v>
      </c>
      <c r="E8413" s="4">
        <v>193065</v>
      </c>
    </row>
    <row r="8414" spans="1:6" ht="13.5" hidden="1" customHeight="1">
      <c r="A8414" s="4" t="s">
        <v>19363</v>
      </c>
      <c r="B8414" s="4" t="s">
        <v>19423</v>
      </c>
      <c r="C8414" s="4" t="str">
        <f ca="1">IFERROR(__xludf.DUMMYFUNCTION("GOOGLETRANSLATE(D:D,""auto"",""en"")"),"Foreigners working at home style")</f>
        <v>Foreigners working at home style</v>
      </c>
      <c r="D8414" s="5" t="s">
        <v>19424</v>
      </c>
      <c r="E8414" s="4">
        <v>187571</v>
      </c>
    </row>
    <row r="8415" spans="1:6" ht="13.5" hidden="1" customHeight="1">
      <c r="A8415" s="4" t="s">
        <v>19410</v>
      </c>
      <c r="B8415" s="4" t="s">
        <v>19425</v>
      </c>
      <c r="C8415" s="4" t="str">
        <f ca="1">IFERROR(__xludf.DUMMYFUNCTION("GOOGLETRANSLATE(D:D,""auto"",""en"")"),"iG lost")</f>
        <v>iG lost</v>
      </c>
      <c r="D8415" s="5" t="s">
        <v>19426</v>
      </c>
      <c r="E8415" s="4">
        <v>178107</v>
      </c>
    </row>
    <row r="8416" spans="1:6" ht="13.5" hidden="1" customHeight="1">
      <c r="A8416" s="4" t="s">
        <v>19427</v>
      </c>
      <c r="B8416" s="4" t="s">
        <v>19428</v>
      </c>
      <c r="C8416" s="4" t="str">
        <f ca="1">IFERROR(__xludf.DUMMYFUNCTION("GOOGLETRANSLATE(D:D,""auto"",""en"")"),"Dental plug something tongue and hand reaction")</f>
        <v>Dental plug something tongue and hand reaction</v>
      </c>
      <c r="D8416" s="5" t="s">
        <v>19429</v>
      </c>
      <c r="E8416" s="4">
        <v>172126</v>
      </c>
    </row>
    <row r="8417" spans="1:6" ht="13.5" customHeight="1">
      <c r="A8417" s="4" t="s">
        <v>15109</v>
      </c>
      <c r="B8417" s="4" t="s">
        <v>15110</v>
      </c>
      <c r="C8417" s="4" t="str">
        <f ca="1">IFERROR(__xludf.DUMMYFUNCTION("GOOGLETRANSLATE(D:D,""auto"",""en"")"),"commencement time")</f>
        <v>commencement time</v>
      </c>
      <c r="D8417" s="5" t="s">
        <v>15111</v>
      </c>
      <c r="E8417" s="4">
        <v>165402</v>
      </c>
      <c r="F8417">
        <v>1</v>
      </c>
    </row>
    <row r="8418" spans="1:6" ht="13.5" customHeight="1">
      <c r="A8418" s="4" t="s">
        <v>19430</v>
      </c>
      <c r="B8418" s="4" t="s">
        <v>19431</v>
      </c>
      <c r="C8418" s="4" t="str">
        <f ca="1">IFERROR(__xludf.DUMMYFUNCTION("GOOGLETRANSLATE(D:D,""auto"",""en"")"),"Students go shopping after not wearing masks arrived in Beijing confirmed")</f>
        <v>Students go shopping after not wearing masks arrived in Beijing confirmed</v>
      </c>
      <c r="D8418" s="5" t="s">
        <v>19432</v>
      </c>
      <c r="E8418" s="4">
        <v>160033</v>
      </c>
      <c r="F8418">
        <v>1</v>
      </c>
    </row>
    <row r="8419" spans="1:6" ht="13.5" customHeight="1">
      <c r="A8419" s="4" t="s">
        <v>19433</v>
      </c>
      <c r="B8419" s="4" t="s">
        <v>19434</v>
      </c>
      <c r="C8419" s="4" t="str">
        <f ca="1">IFERROR(__xludf.DUMMYFUNCTION("GOOGLETRANSLATE(D:D,""auto"",""en"")"),"One person abroad the fight against SARS experts connect China")</f>
        <v>One person abroad the fight against SARS experts connect China</v>
      </c>
      <c r="D8419" s="5" t="s">
        <v>19435</v>
      </c>
      <c r="E8419" s="4">
        <v>159547</v>
      </c>
      <c r="F8419">
        <v>1</v>
      </c>
    </row>
    <row r="8420" spans="1:6" ht="13.5" customHeight="1">
      <c r="A8420" s="4" t="s">
        <v>19436</v>
      </c>
      <c r="B8420" s="4" t="s">
        <v>19437</v>
      </c>
      <c r="C8420" s="4" t="str">
        <f ca="1">IFERROR(__xludf.DUMMYFUNCTION("GOOGLETRANSLATE(D:D,""auto"",""en"")"),"China is willing to provide medical assistance to the countries and regions need to have")</f>
        <v>China is willing to provide medical assistance to the countries and regions need to have</v>
      </c>
      <c r="D8420" s="5" t="s">
        <v>19438</v>
      </c>
      <c r="E8420" s="4">
        <v>140624</v>
      </c>
      <c r="F8420">
        <v>1</v>
      </c>
    </row>
    <row r="8421" spans="1:6" ht="13.5" customHeight="1">
      <c r="A8421" s="4" t="s">
        <v>19439</v>
      </c>
      <c r="B8421" s="4" t="s">
        <v>19420</v>
      </c>
      <c r="C8421" s="4" t="str">
        <f ca="1">IFERROR(__xludf.DUMMYFUNCTION("GOOGLETRANSLATE(D:D,""auto"",""en"")"),"Wuhan university students prognosis plasma donors to save people")</f>
        <v>Wuhan university students prognosis plasma donors to save people</v>
      </c>
      <c r="D8421" s="5" t="s">
        <v>19440</v>
      </c>
      <c r="E8421" s="4">
        <v>136072</v>
      </c>
      <c r="F8421">
        <v>1</v>
      </c>
    </row>
    <row r="8422" spans="1:6" ht="13.5" hidden="1" customHeight="1">
      <c r="A8422" s="4" t="s">
        <v>19441</v>
      </c>
      <c r="B8422" s="4" t="s">
        <v>19442</v>
      </c>
      <c r="C8422" s="4" t="str">
        <f ca="1">IFERROR(__xludf.DUMMYFUNCTION("GOOGLETRANSLATE(D:D,""auto"",""en"")"),"Bo Yin side is N, room vocal event")</f>
        <v>Bo Yin side is N, room vocal event</v>
      </c>
      <c r="D8422" s="5" t="s">
        <v>19443</v>
      </c>
      <c r="E8422" s="4">
        <v>133563</v>
      </c>
    </row>
    <row r="8423" spans="1:6" ht="13.5" customHeight="1">
      <c r="A8423" s="4" t="s">
        <v>19444</v>
      </c>
      <c r="B8423" s="4" t="s">
        <v>19445</v>
      </c>
      <c r="C8423" s="4" t="str">
        <f ca="1">IFERROR(__xludf.DUMMYFUNCTION("GOOGLETRANSLATE(D:D,""auto"",""en"")"),"Centralized quarantine common Chinese herb prevents the spread of the disease")</f>
        <v>Centralized quarantine common Chinese herb prevents the spread of the disease</v>
      </c>
      <c r="D8423" s="5" t="s">
        <v>19446</v>
      </c>
      <c r="E8423" s="4">
        <v>129919</v>
      </c>
      <c r="F8423">
        <v>1</v>
      </c>
    </row>
    <row r="8424" spans="1:6" ht="13.5" customHeight="1">
      <c r="A8424" s="4" t="s">
        <v>19447</v>
      </c>
      <c r="B8424" s="4" t="s">
        <v>19448</v>
      </c>
      <c r="C8424" s="4" t="str">
        <f ca="1">IFERROR(__xludf.DUMMYFUNCTION("GOOGLETRANSLATE(D:D,""auto"",""en"")"),"Current local spread of the epidemic nationwide basic block")</f>
        <v>Current local spread of the epidemic nationwide basic block</v>
      </c>
      <c r="D8424" s="5" t="s">
        <v>19449</v>
      </c>
      <c r="E8424" s="4">
        <v>105714</v>
      </c>
      <c r="F8424">
        <v>1</v>
      </c>
    </row>
    <row r="8425" spans="1:6" ht="13.5" hidden="1" customHeight="1">
      <c r="C8425" s="4" t="str">
        <f ca="1">IFERROR(__xludf.DUMMYFUNCTION("GOOGLETRANSLATE(D:D,""auto"",""en"")"),"#VALUE!")</f>
        <v>#VALUE!</v>
      </c>
    </row>
    <row r="8426" spans="1:6" ht="13.5" customHeight="1">
      <c r="A8426" s="4" t="s">
        <v>19450</v>
      </c>
      <c r="B8426" s="4" t="s">
        <v>19451</v>
      </c>
      <c r="C8426" s="4" t="str">
        <f ca="1">IFERROR(__xludf.DUMMYFUNCTION("GOOGLETRANSLATE(D:D,""auto"",""en"")"),"China had criticized the West's prevention measures are used")</f>
        <v>China had criticized the West's prevention measures are used</v>
      </c>
      <c r="D8426" s="4" t="s">
        <v>19452</v>
      </c>
      <c r="E8426" s="4">
        <v>3631934</v>
      </c>
      <c r="F8426">
        <v>1</v>
      </c>
    </row>
    <row r="8427" spans="1:6" ht="13.5" hidden="1" customHeight="1">
      <c r="A8427" s="4" t="s">
        <v>19453</v>
      </c>
      <c r="B8427" s="4" t="s">
        <v>19454</v>
      </c>
      <c r="C8427" s="4" t="str">
        <f ca="1">IFERROR(__xludf.DUMMYFUNCTION("GOOGLETRANSLATE(D:D,""auto"",""en"")"),"Trump To restart within 3-4 months the United States")</f>
        <v>Trump To restart within 3-4 months the United States</v>
      </c>
      <c r="D8427" s="5" t="s">
        <v>19455</v>
      </c>
      <c r="E8427" s="4">
        <v>2744300</v>
      </c>
    </row>
    <row r="8428" spans="1:6" ht="13.5" hidden="1" customHeight="1">
      <c r="A8428" s="4" t="s">
        <v>19456</v>
      </c>
      <c r="B8428" s="4" t="s">
        <v>19457</v>
      </c>
      <c r="C8428" s="4" t="str">
        <f ca="1">IFERROR(__xludf.DUMMYFUNCTION("GOOGLETRANSLATE(D:D,""auto"",""en"")"),"Prohibit non-resident has 14 days to foreign immigration")</f>
        <v>Prohibit non-resident has 14 days to foreign immigration</v>
      </c>
      <c r="D8428" s="5" t="s">
        <v>19458</v>
      </c>
      <c r="E8428" s="4">
        <v>2592286</v>
      </c>
    </row>
    <row r="8429" spans="1:6" ht="13.5" hidden="1" customHeight="1">
      <c r="A8429" s="4" t="s">
        <v>19456</v>
      </c>
      <c r="B8429" s="4" t="s">
        <v>19376</v>
      </c>
      <c r="C8429" s="4" t="str">
        <f ca="1">IFERROR(__xludf.DUMMYFUNCTION("GOOGLETRANSLATE(D:D,""auto"",""en"")"),"Lucia Posse's death")</f>
        <v>Lucia Posse's death</v>
      </c>
      <c r="D8429" s="5" t="s">
        <v>19459</v>
      </c>
      <c r="E8429" s="4">
        <v>2551286</v>
      </c>
    </row>
    <row r="8430" spans="1:6" ht="13.5" hidden="1" customHeight="1">
      <c r="A8430" s="4" t="s">
        <v>19460</v>
      </c>
      <c r="B8430" s="4" t="s">
        <v>19461</v>
      </c>
      <c r="C8430" s="4" t="str">
        <f ca="1">IFERROR(__xludf.DUMMYFUNCTION("GOOGLETRANSLATE(D:D,""auto"",""en"")"),"Inner Mongolia milk of the family faucet flow")</f>
        <v>Inner Mongolia milk of the family faucet flow</v>
      </c>
      <c r="D8430" s="5" t="s">
        <v>19462</v>
      </c>
      <c r="E8430" s="4">
        <v>2033145</v>
      </c>
    </row>
    <row r="8431" spans="1:6" ht="13.5" hidden="1" customHeight="1">
      <c r="A8431" s="4" t="s">
        <v>19463</v>
      </c>
      <c r="B8431" s="4" t="s">
        <v>19373</v>
      </c>
      <c r="C8431" s="4" t="str">
        <f ca="1">IFERROR(__xludf.DUMMYFUNCTION("GOOGLETRANSLATE(D:D,""auto"",""en"")"),"Trump accusations against China not fit the facts")</f>
        <v>Trump accusations against China not fit the facts</v>
      </c>
      <c r="D8431" s="5" t="s">
        <v>19464</v>
      </c>
      <c r="E8431" s="4">
        <v>1935493</v>
      </c>
    </row>
    <row r="8432" spans="1:6" ht="13.5" hidden="1" customHeight="1">
      <c r="A8432" s="4" t="s">
        <v>16746</v>
      </c>
      <c r="B8432" s="4" t="s">
        <v>16738</v>
      </c>
      <c r="C8432" s="4" t="str">
        <f ca="1">IFERROR(__xludf.DUMMYFUNCTION("GOOGLETRANSLATE(D:D,""auto"",""en"")"),"gold")</f>
        <v>gold</v>
      </c>
      <c r="D8432" s="5" t="s">
        <v>16747</v>
      </c>
      <c r="E8432" s="4">
        <v>1602014</v>
      </c>
    </row>
    <row r="8433" spans="1:6" ht="13.5" hidden="1" customHeight="1">
      <c r="A8433" s="4" t="s">
        <v>19465</v>
      </c>
      <c r="B8433" s="4" t="s">
        <v>19466</v>
      </c>
      <c r="C8433" s="4" t="str">
        <f ca="1">IFERROR(__xludf.DUMMYFUNCTION("GOOGLETRANSLATE(D:D,""auto"",""en"")"),"Nanjing 670,000 people shake in coupons")</f>
        <v>Nanjing 670,000 people shake in coupons</v>
      </c>
      <c r="D8433" s="5" t="s">
        <v>19467</v>
      </c>
      <c r="E8433" s="4">
        <v>1264239</v>
      </c>
    </row>
    <row r="8434" spans="1:6" ht="13.5" hidden="1" customHeight="1">
      <c r="A8434" s="4" t="s">
        <v>19468</v>
      </c>
      <c r="B8434" s="4" t="s">
        <v>19469</v>
      </c>
      <c r="C8434" s="4" t="str">
        <f ca="1">IFERROR(__xludf.DUMMYFUNCTION("GOOGLETRANSLATE(D:D,""auto"",""en"")"),"Trump tweeted calls for protection of Asian groups")</f>
        <v>Trump tweeted calls for protection of Asian groups</v>
      </c>
      <c r="D8434" s="5" t="s">
        <v>19470</v>
      </c>
      <c r="E8434" s="4">
        <v>1227637</v>
      </c>
    </row>
    <row r="8435" spans="1:6" ht="13.5" customHeight="1">
      <c r="A8435" s="4" t="s">
        <v>19468</v>
      </c>
      <c r="B8435" s="4" t="s">
        <v>19348</v>
      </c>
      <c r="C8435" s="4" t="str">
        <f ca="1">IFERROR(__xludf.DUMMYFUNCTION("GOOGLETRANSLATE(D:D,""auto"",""en"")"),"Hubei 1 new confirmed cases")</f>
        <v>Hubei 1 new confirmed cases</v>
      </c>
      <c r="D8435" s="5" t="s">
        <v>19471</v>
      </c>
      <c r="E8435" s="4">
        <v>1074390</v>
      </c>
      <c r="F8435">
        <v>1</v>
      </c>
    </row>
    <row r="8436" spans="1:6" ht="13.5" customHeight="1">
      <c r="A8436" s="4" t="s">
        <v>19472</v>
      </c>
      <c r="B8436" s="4" t="s">
        <v>19473</v>
      </c>
      <c r="C8436" s="4" t="str">
        <f ca="1">IFERROR(__xludf.DUMMYFUNCTION("GOOGLETRANSLATE(D:D,""auto"",""en"")"),"US politicians provide new crown killing virus coup")</f>
        <v>US politicians provide new crown killing virus coup</v>
      </c>
      <c r="D8436" s="5" t="s">
        <v>19474</v>
      </c>
      <c r="E8436" s="4">
        <v>1062298</v>
      </c>
      <c r="F8436">
        <v>1</v>
      </c>
    </row>
    <row r="8437" spans="1:6" ht="13.5" customHeight="1">
      <c r="A8437" s="4" t="s">
        <v>19475</v>
      </c>
      <c r="B8437" s="4" t="s">
        <v>19476</v>
      </c>
      <c r="C8437" s="4" t="str">
        <f ca="1">IFERROR(__xludf.DUMMYFUNCTION("GOOGLETRANSLATE(D:D,""auto"",""en"")"),"Wuhan new Department of confirmed cases doctors")</f>
        <v>Wuhan new Department of confirmed cases doctors</v>
      </c>
      <c r="D8437" s="5" t="s">
        <v>19477</v>
      </c>
      <c r="E8437" s="4">
        <v>787558</v>
      </c>
      <c r="F8437">
        <v>1</v>
      </c>
    </row>
    <row r="8438" spans="1:6" ht="13.5" hidden="1" customHeight="1">
      <c r="A8438" s="4" t="s">
        <v>19478</v>
      </c>
      <c r="B8438" s="4" t="s">
        <v>19479</v>
      </c>
      <c r="C8438" s="4" t="str">
        <f ca="1">IFERROR(__xludf.DUMMYFUNCTION("GOOGLETRANSLATE(D:D,""auto"",""en"")"),"Running an Australian woman has lived in houses Surrender")</f>
        <v>Running an Australian woman has lived in houses Surrender</v>
      </c>
      <c r="D8438" s="5" t="s">
        <v>19480</v>
      </c>
      <c r="E8438" s="4">
        <v>736577</v>
      </c>
    </row>
    <row r="8439" spans="1:6" ht="13.5" customHeight="1">
      <c r="A8439" s="4" t="s">
        <v>19481</v>
      </c>
      <c r="B8439" s="4" t="s">
        <v>19482</v>
      </c>
      <c r="C8439" s="4" t="str">
        <f ca="1">IFERROR(__xludf.DUMMYFUNCTION("GOOGLETRANSLATE(D:D,""auto"",""en"")"),"Italy 24 doctors killed infect new crown")</f>
        <v>Italy 24 doctors killed infect new crown</v>
      </c>
      <c r="D8439" s="5" t="s">
        <v>19483</v>
      </c>
      <c r="E8439" s="4">
        <v>735519</v>
      </c>
      <c r="F8439">
        <v>1</v>
      </c>
    </row>
    <row r="8440" spans="1:6" ht="13.5" customHeight="1">
      <c r="A8440" s="4" t="s">
        <v>19484</v>
      </c>
      <c r="B8440" s="4" t="s">
        <v>19451</v>
      </c>
      <c r="C8440" s="4" t="str">
        <f ca="1">IFERROR(__xludf.DUMMYFUNCTION("GOOGLETRANSLATE(D:D,""auto"",""en"")"),"4 the new indigenous cases 4 cases")</f>
        <v>4 the new indigenous cases 4 cases</v>
      </c>
      <c r="D8440" s="5" t="s">
        <v>19485</v>
      </c>
      <c r="E8440" s="4">
        <v>728273</v>
      </c>
      <c r="F8440">
        <v>1</v>
      </c>
    </row>
    <row r="8441" spans="1:6" ht="13.5" hidden="1" customHeight="1">
      <c r="A8441" s="4" t="s">
        <v>19486</v>
      </c>
      <c r="B8441" s="4" t="s">
        <v>19487</v>
      </c>
      <c r="C8441" s="4" t="str">
        <f ca="1">IFERROR(__xludf.DUMMYFUNCTION("GOOGLETRANSLATE(D:D,""auto"",""en"")"),"Xi'an nine-valent HPV")</f>
        <v>Xi'an nine-valent HPV</v>
      </c>
      <c r="D8441" s="5" t="s">
        <v>19488</v>
      </c>
      <c r="E8441" s="4">
        <v>722130</v>
      </c>
    </row>
    <row r="8442" spans="1:6" ht="13.5" hidden="1" customHeight="1">
      <c r="A8442" s="4" t="s">
        <v>19489</v>
      </c>
      <c r="B8442" s="4" t="s">
        <v>19490</v>
      </c>
      <c r="C8442" s="4" t="str">
        <f ca="1">IFERROR(__xludf.DUMMYFUNCTION("GOOGLETRANSLATE(D:D,""auto"",""en"")"),"iPhone12 or planned to launch")</f>
        <v>iPhone12 or planned to launch</v>
      </c>
      <c r="D8442" s="5" t="s">
        <v>19491</v>
      </c>
      <c r="E8442" s="4">
        <v>718465</v>
      </c>
    </row>
    <row r="8443" spans="1:6" ht="13.5" hidden="1" customHeight="1">
      <c r="A8443" s="4" t="s">
        <v>19492</v>
      </c>
      <c r="B8443" s="4" t="s">
        <v>19457</v>
      </c>
      <c r="C8443" s="4" t="str">
        <f ca="1">IFERROR(__xludf.DUMMYFUNCTION("GOOGLETRANSLATE(D:D,""auto"",""en"")"),"Shen ice")</f>
        <v>Shen ice</v>
      </c>
      <c r="D8443" s="5" t="s">
        <v>19493</v>
      </c>
      <c r="E8443" s="4">
        <v>708813</v>
      </c>
    </row>
    <row r="8444" spans="1:6" ht="13.5" hidden="1" customHeight="1">
      <c r="A8444" s="4" t="s">
        <v>19494</v>
      </c>
      <c r="B8444" s="4" t="s">
        <v>19495</v>
      </c>
      <c r="C8444" s="4" t="str">
        <f ca="1">IFERROR(__xludf.DUMMYFUNCTION("GOOGLETRANSLATE(D:D,""auto"",""en"")"),"Lin Yu-Jia Renqing your tutor X")</f>
        <v>Lin Yu-Jia Renqing your tutor X</v>
      </c>
      <c r="D8444" s="5" t="s">
        <v>19496</v>
      </c>
      <c r="E8444" s="4">
        <v>706938</v>
      </c>
    </row>
    <row r="8445" spans="1:6" ht="13.5" customHeight="1">
      <c r="A8445" s="4" t="s">
        <v>19497</v>
      </c>
      <c r="B8445" s="4" t="s">
        <v>19498</v>
      </c>
      <c r="C8445" s="4" t="str">
        <f ca="1">IFERROR(__xludf.DUMMYFUNCTION("GOOGLETRANSLATE(D:D,""auto"",""en"")"),"Congee shop manager outbreaks involving improper banner hanging dismissal")</f>
        <v>Congee shop manager outbreaks involving improper banner hanging dismissal</v>
      </c>
      <c r="D8445" s="5" t="s">
        <v>19499</v>
      </c>
      <c r="E8445" s="4">
        <v>696816</v>
      </c>
      <c r="F8445">
        <v>1</v>
      </c>
    </row>
    <row r="8446" spans="1:6" ht="13.5" customHeight="1">
      <c r="A8446" s="4" t="s">
        <v>19500</v>
      </c>
      <c r="B8446" s="4" t="s">
        <v>19501</v>
      </c>
      <c r="C8446" s="4" t="str">
        <f ca="1">IFERROR(__xludf.DUMMYFUNCTION("GOOGLETRANSLATE(D:D,""auto"",""en"")"),"The new vaccine volunteers crown Zhu Aobing")</f>
        <v>The new vaccine volunteers crown Zhu Aobing</v>
      </c>
      <c r="D8446" s="5" t="s">
        <v>19502</v>
      </c>
      <c r="E8446" s="4">
        <v>696108</v>
      </c>
      <c r="F8446">
        <v>1</v>
      </c>
    </row>
    <row r="8447" spans="1:6" ht="13.5" hidden="1" customHeight="1">
      <c r="A8447" s="4" t="s">
        <v>19503</v>
      </c>
      <c r="B8447" s="4" t="s">
        <v>19504</v>
      </c>
      <c r="C8447" s="4" t="str">
        <f ca="1">IFERROR(__xludf.DUMMYFUNCTION("GOOGLETRANSLATE(D:D,""auto"",""en"")"),"Mianyang thousands of students home exam")</f>
        <v>Mianyang thousands of students home exam</v>
      </c>
      <c r="D8447" s="5" t="s">
        <v>19505</v>
      </c>
      <c r="E8447" s="4">
        <v>652109</v>
      </c>
    </row>
    <row r="8448" spans="1:6" ht="13.5" customHeight="1">
      <c r="A8448" s="4" t="s">
        <v>19506</v>
      </c>
      <c r="B8448" s="4" t="s">
        <v>19507</v>
      </c>
      <c r="C8448" s="4" t="str">
        <f ca="1">IFERROR(__xludf.DUMMYFUNCTION("GOOGLETRANSLATE(D:D,""auto"",""en"")"),"艾伦特维特 infect new crown")</f>
        <v>艾伦特维特 infect new crown</v>
      </c>
      <c r="D8448" s="5" t="s">
        <v>19508</v>
      </c>
      <c r="E8448" s="4">
        <v>613706</v>
      </c>
      <c r="F8448">
        <v>1</v>
      </c>
    </row>
    <row r="8449" spans="1:6" ht="13.5" hidden="1" customHeight="1">
      <c r="A8449" s="4" t="s">
        <v>19509</v>
      </c>
      <c r="B8449" s="4" t="s">
        <v>19473</v>
      </c>
      <c r="C8449" s="4" t="str">
        <f ca="1">IFERROR(__xludf.DUMMYFUNCTION("GOOGLETRANSLATE(D:D,""auto"",""en"")"),"Sleep half suddenly thought of something")</f>
        <v>Sleep half suddenly thought of something</v>
      </c>
      <c r="D8449" s="5" t="s">
        <v>19510</v>
      </c>
      <c r="E8449" s="4">
        <v>598201</v>
      </c>
    </row>
    <row r="8450" spans="1:6" ht="13.5" hidden="1" customHeight="1">
      <c r="A8450" s="4" t="s">
        <v>19511</v>
      </c>
      <c r="B8450" s="4" t="s">
        <v>19512</v>
      </c>
      <c r="C8450" s="4" t="str">
        <f ca="1">IFERROR(__xludf.DUMMYFUNCTION("GOOGLETRANSLATE(D:D,""auto"",""en"")"),"This year has been nearly bankrupt room rate")</f>
        <v>This year has been nearly bankrupt room rate</v>
      </c>
      <c r="D8450" s="5" t="s">
        <v>19513</v>
      </c>
      <c r="E8450" s="4">
        <v>562930</v>
      </c>
    </row>
    <row r="8451" spans="1:6" ht="13.5" hidden="1" customHeight="1">
      <c r="A8451" s="4" t="s">
        <v>19514</v>
      </c>
      <c r="B8451" s="4" t="s">
        <v>19515</v>
      </c>
      <c r="C8451" s="4" t="str">
        <f ca="1">IFERROR(__xludf.DUMMYFUNCTION("GOOGLETRANSLATE(D:D,""auto"",""en"")"),"Tokyo Olympic Games postponed")</f>
        <v>Tokyo Olympic Games postponed</v>
      </c>
      <c r="D8451" s="5" t="s">
        <v>19516</v>
      </c>
      <c r="E8451" s="4">
        <v>537214</v>
      </c>
    </row>
    <row r="8452" spans="1:6" ht="13.5" hidden="1" customHeight="1">
      <c r="A8452" s="4" t="s">
        <v>19517</v>
      </c>
      <c r="B8452" s="4" t="s">
        <v>19394</v>
      </c>
      <c r="C8452" s="4" t="str">
        <f ca="1">IFERROR(__xludf.DUMMYFUNCTION("GOOGLETRANSLATE(D:D,""auto"",""en"")"),"Hemorrhagic fever")</f>
        <v>Hemorrhagic fever</v>
      </c>
      <c r="D8452" s="5" t="s">
        <v>19518</v>
      </c>
      <c r="E8452" s="4">
        <v>517505</v>
      </c>
    </row>
    <row r="8453" spans="1:6" ht="13.5" hidden="1" customHeight="1">
      <c r="A8453" s="4" t="s">
        <v>19519</v>
      </c>
      <c r="B8453" s="4" t="s">
        <v>19520</v>
      </c>
      <c r="C8453" s="4" t="str">
        <f ca="1">IFERROR(__xludf.DUMMYFUNCTION("GOOGLETRANSLATE(D:D,""auto"",""en"")"),"UN calls for global ceasefire")</f>
        <v>UN calls for global ceasefire</v>
      </c>
      <c r="D8453" s="5" t="s">
        <v>19521</v>
      </c>
      <c r="E8453" s="4">
        <v>463160</v>
      </c>
    </row>
    <row r="8454" spans="1:6" ht="13.5" hidden="1" customHeight="1">
      <c r="A8454" s="4" t="s">
        <v>19522</v>
      </c>
      <c r="B8454" s="4" t="s">
        <v>19523</v>
      </c>
      <c r="C8454" s="4" t="str">
        <f ca="1">IFERROR(__xludf.DUMMYFUNCTION("GOOGLETRANSLATE(D:D,""auto"",""en"")"),"Mai Shiranui new skin")</f>
        <v>Mai Shiranui new skin</v>
      </c>
      <c r="D8454" s="5" t="s">
        <v>19524</v>
      </c>
      <c r="E8454" s="4">
        <v>461145</v>
      </c>
    </row>
    <row r="8455" spans="1:6" ht="13.5" customHeight="1">
      <c r="A8455" s="4" t="s">
        <v>19525</v>
      </c>
      <c r="B8455" s="4" t="s">
        <v>19526</v>
      </c>
      <c r="C8455" s="4" t="str">
        <f ca="1">IFERROR(__xludf.DUMMYFUNCTION("GOOGLETRANSLATE(D:D,""auto"",""en"")"),"Italian doctors said the 60-year-old patient intubation to limit super")</f>
        <v>Italian doctors said the 60-year-old patient intubation to limit super</v>
      </c>
      <c r="D8455" s="5" t="s">
        <v>19527</v>
      </c>
      <c r="E8455" s="4">
        <v>433443</v>
      </c>
      <c r="F8455">
        <v>1</v>
      </c>
    </row>
    <row r="8456" spans="1:6" ht="13.5" hidden="1" customHeight="1">
      <c r="A8456" s="4" t="s">
        <v>19528</v>
      </c>
      <c r="B8456" s="4" t="s">
        <v>19473</v>
      </c>
      <c r="C8456" s="4" t="str">
        <f ca="1">IFERROR(__xludf.DUMMYFUNCTION("GOOGLETRANSLATE(D:D,""auto"",""en"")"),"Avoidant brush microblogging")</f>
        <v>Avoidant brush microblogging</v>
      </c>
      <c r="D8456" s="5" t="s">
        <v>19529</v>
      </c>
      <c r="E8456" s="4">
        <v>426653</v>
      </c>
    </row>
    <row r="8457" spans="1:6" ht="13.5" customHeight="1">
      <c r="A8457" s="4" t="s">
        <v>19530</v>
      </c>
      <c r="B8457" s="4" t="s">
        <v>19531</v>
      </c>
      <c r="C8457" s="4" t="str">
        <f ca="1">IFERROR(__xludf.DUMMYFUNCTION("GOOGLETRANSLATE(D:D,""auto"",""en"")"),"Hainan's new crown patients hospitalized with pneumonia cleared")</f>
        <v>Hainan's new crown patients hospitalized with pneumonia cleared</v>
      </c>
      <c r="D8457" s="5" t="s">
        <v>19532</v>
      </c>
      <c r="E8457" s="4">
        <v>413840</v>
      </c>
      <c r="F8457">
        <v>1</v>
      </c>
    </row>
    <row r="8458" spans="1:6" ht="13.5" hidden="1" customHeight="1">
      <c r="A8458" s="4" t="s">
        <v>19525</v>
      </c>
      <c r="B8458" s="4" t="s">
        <v>19407</v>
      </c>
      <c r="C8458" s="4" t="str">
        <f ca="1">IFERROR(__xludf.DUMMYFUNCTION("GOOGLETRANSLATE(D:D,""auto"",""en"")"),"Egypt Air captain dialogue with China is very tear tower")</f>
        <v>Egypt Air captain dialogue with China is very tear tower</v>
      </c>
      <c r="D8458" s="5" t="s">
        <v>19533</v>
      </c>
      <c r="E8458" s="4">
        <v>385318</v>
      </c>
    </row>
    <row r="8459" spans="1:6" ht="13.5" hidden="1" customHeight="1">
      <c r="A8459" s="4" t="s">
        <v>19534</v>
      </c>
      <c r="B8459" s="4" t="s">
        <v>16009</v>
      </c>
      <c r="C8459" s="4" t="str">
        <f ca="1">IFERROR(__xludf.DUMMYFUNCTION("GOOGLETRANSLATE(D:D,""auto"",""en"")"),"Tan said the spread of the virus Desai speed makes grief")</f>
        <v>Tan said the spread of the virus Desai speed makes grief</v>
      </c>
      <c r="D8459" s="5" t="s">
        <v>19535</v>
      </c>
      <c r="E8459" s="4">
        <v>366211</v>
      </c>
    </row>
    <row r="8460" spans="1:6" ht="13.5" hidden="1" customHeight="1">
      <c r="A8460" s="4" t="s">
        <v>19536</v>
      </c>
      <c r="B8460" s="4" t="s">
        <v>19537</v>
      </c>
      <c r="C8460" s="4" t="str">
        <f ca="1">IFERROR(__xludf.DUMMYFUNCTION("GOOGLETRANSLATE(D:D,""auto"",""en"")"),"Chen Mu Mu")</f>
        <v>Chen Mu Mu</v>
      </c>
      <c r="D8460" s="5" t="s">
        <v>19538</v>
      </c>
      <c r="E8460" s="4">
        <v>363450</v>
      </c>
    </row>
    <row r="8461" spans="1:6" ht="13.5" hidden="1" customHeight="1">
      <c r="A8461" s="4" t="s">
        <v>19539</v>
      </c>
      <c r="B8461" s="4" t="s">
        <v>19540</v>
      </c>
      <c r="C8461" s="4" t="str">
        <f ca="1">IFERROR(__xludf.DUMMYFUNCTION("GOOGLETRANSLATE(D:D,""auto"",""en"")"),"N, room Dr. Zhao had done volunteer activities")</f>
        <v>N, room Dr. Zhao had done volunteer activities</v>
      </c>
      <c r="D8461" s="5" t="s">
        <v>19541</v>
      </c>
      <c r="E8461" s="4">
        <v>352971</v>
      </c>
    </row>
    <row r="8462" spans="1:6" ht="13.5" hidden="1" customHeight="1">
      <c r="A8462" s="4" t="s">
        <v>19542</v>
      </c>
      <c r="B8462" s="4" t="s">
        <v>19354</v>
      </c>
      <c r="C8462" s="4" t="str">
        <f ca="1">IFERROR(__xludf.DUMMYFUNCTION("GOOGLETRANSLATE(D:D,""auto"",""en"")"),"Foreign spouses")</f>
        <v>Foreign spouses</v>
      </c>
      <c r="D8462" s="5" t="s">
        <v>19543</v>
      </c>
      <c r="E8462" s="4">
        <v>347386</v>
      </c>
    </row>
    <row r="8463" spans="1:6" ht="13.5" hidden="1" customHeight="1">
      <c r="A8463" s="4" t="s">
        <v>19544</v>
      </c>
      <c r="B8463" s="4" t="s">
        <v>19545</v>
      </c>
      <c r="C8463" s="4" t="str">
        <f ca="1">IFERROR(__xludf.DUMMYFUNCTION("GOOGLETRANSLATE(D:D,""auto"",""en"")"),"Sniper with the face measuring wind speed")</f>
        <v>Sniper with the face measuring wind speed</v>
      </c>
      <c r="D8463" s="5" t="s">
        <v>19546</v>
      </c>
      <c r="E8463" s="4">
        <v>340549</v>
      </c>
    </row>
    <row r="8464" spans="1:6" ht="13.5" hidden="1" customHeight="1">
      <c r="A8464" s="4" t="s">
        <v>19547</v>
      </c>
      <c r="B8464" s="4" t="s">
        <v>19548</v>
      </c>
      <c r="C8464" s="4" t="str">
        <f ca="1">IFERROR(__xludf.DUMMYFUNCTION("GOOGLETRANSLATE(D:D,""auto"",""en"")"),"Beijing exam baccalaureate exam two-in-one")</f>
        <v>Beijing exam baccalaureate exam two-in-one</v>
      </c>
      <c r="D8464" s="5" t="s">
        <v>19549</v>
      </c>
      <c r="E8464" s="4">
        <v>312089</v>
      </c>
    </row>
    <row r="8465" spans="1:6" ht="13.5" customHeight="1">
      <c r="A8465" s="4" t="s">
        <v>19550</v>
      </c>
      <c r="B8465" s="4" t="s">
        <v>19451</v>
      </c>
      <c r="C8465" s="4" t="str">
        <f ca="1">IFERROR(__xludf.DUMMYFUNCTION("GOOGLETRANSLATE(D:D,""auto"",""en"")"),"Hohhot closed the cafeteria to encourage employees to eat out")</f>
        <v>Hohhot closed the cafeteria to encourage employees to eat out</v>
      </c>
      <c r="D8465" s="5" t="s">
        <v>19551</v>
      </c>
      <c r="E8465" s="4">
        <v>299716</v>
      </c>
      <c r="F8465">
        <v>1</v>
      </c>
    </row>
    <row r="8466" spans="1:6" ht="13.5" hidden="1" customHeight="1">
      <c r="A8466" s="4" t="s">
        <v>19552</v>
      </c>
      <c r="B8466" s="4" t="s">
        <v>19466</v>
      </c>
      <c r="C8466" s="4" t="str">
        <f ca="1">IFERROR(__xludf.DUMMYFUNCTION("GOOGLETRANSLATE(D:D,""auto"",""en"")"),"The number of jobs Students")</f>
        <v>The number of jobs Students</v>
      </c>
      <c r="D8466" s="5" t="s">
        <v>19553</v>
      </c>
      <c r="E8466" s="4">
        <v>298529</v>
      </c>
    </row>
    <row r="8467" spans="1:6" ht="13.5" hidden="1" customHeight="1">
      <c r="A8467" s="4" t="s">
        <v>19554</v>
      </c>
      <c r="B8467" s="4" t="s">
        <v>19555</v>
      </c>
      <c r="C8467" s="4" t="str">
        <f ca="1">IFERROR(__xludf.DUMMYFUNCTION("GOOGLETRANSLATE(D:D,""auto"",""en"")"),"Mold and mildew in response to exposure Kanye call recording")</f>
        <v>Mold and mildew in response to exposure Kanye call recording</v>
      </c>
      <c r="D8467" s="5" t="s">
        <v>19556</v>
      </c>
      <c r="E8467" s="4">
        <v>294511</v>
      </c>
    </row>
    <row r="8468" spans="1:6" ht="13.5" customHeight="1">
      <c r="A8468" s="4" t="s">
        <v>19557</v>
      </c>
      <c r="B8468" s="4" t="s">
        <v>19558</v>
      </c>
      <c r="C8468" s="4" t="str">
        <f ca="1">IFERROR(__xludf.DUMMYFUNCTION("GOOGLETRANSLATE(D:D,""auto"",""en"")"),"Xu Jiao denied the use of privileged home quarantine")</f>
        <v>Xu Jiao denied the use of privileged home quarantine</v>
      </c>
      <c r="D8468" s="5" t="s">
        <v>19559</v>
      </c>
      <c r="E8468" s="4">
        <v>290346</v>
      </c>
      <c r="F8468">
        <v>1</v>
      </c>
    </row>
    <row r="8469" spans="1:6" ht="13.5" customHeight="1">
      <c r="A8469" s="4" t="s">
        <v>19560</v>
      </c>
      <c r="B8469" s="4" t="s">
        <v>19561</v>
      </c>
      <c r="C8469" s="4" t="str">
        <f ca="1">IFERROR(__xludf.DUMMYFUNCTION("GOOGLETRANSLATE(D:D,""auto"",""en"")"),"China what is written on aid")</f>
        <v>China what is written on aid</v>
      </c>
      <c r="D8469" s="5" t="s">
        <v>19562</v>
      </c>
      <c r="E8469" s="4">
        <v>286870</v>
      </c>
      <c r="F8469">
        <v>1</v>
      </c>
    </row>
    <row r="8470" spans="1:6" ht="13.5" customHeight="1">
      <c r="A8470" s="4" t="s">
        <v>19563</v>
      </c>
      <c r="B8470" s="4" t="s">
        <v>19564</v>
      </c>
      <c r="C8470" s="4" t="str">
        <f ca="1">IFERROR(__xludf.DUMMYFUNCTION("GOOGLETRANSLATE(D:D,""auto"",""en"")"),"Impairment Frontier Health and Quarantine crime stateless points")</f>
        <v>Impairment Frontier Health and Quarantine crime stateless points</v>
      </c>
      <c r="D8470" s="5" t="s">
        <v>19565</v>
      </c>
      <c r="E8470" s="4">
        <v>280096</v>
      </c>
      <c r="F8470">
        <v>1</v>
      </c>
    </row>
    <row r="8471" spans="1:6" ht="13.5" hidden="1" customHeight="1">
      <c r="A8471" s="4" t="s">
        <v>19550</v>
      </c>
      <c r="B8471" s="4" t="s">
        <v>19348</v>
      </c>
      <c r="C8471" s="4" t="str">
        <f ca="1">IFERROR(__xludf.DUMMYFUNCTION("GOOGLETRANSLATE(D:D,""auto"",""en"")"),"Games postponed the loss caused by the Japanese over 3.2 trillion")</f>
        <v>Games postponed the loss caused by the Japanese over 3.2 trillion</v>
      </c>
      <c r="D8471" s="5" t="s">
        <v>19566</v>
      </c>
      <c r="E8471" s="4">
        <v>278081</v>
      </c>
    </row>
    <row r="8472" spans="1:6" ht="13.5" hidden="1" customHeight="1">
      <c r="A8472" s="4" t="s">
        <v>19567</v>
      </c>
      <c r="B8472" s="4" t="s">
        <v>19568</v>
      </c>
      <c r="C8472" s="4" t="str">
        <f ca="1">IFERROR(__xludf.DUMMYFUNCTION("GOOGLETRANSLATE(D:D,""auto"",""en"")"),"Good-looking shot from the side than the positive face is valid and experience")</f>
        <v>Good-looking shot from the side than the positive face is valid and experience</v>
      </c>
      <c r="D8472" s="5" t="s">
        <v>19569</v>
      </c>
      <c r="E8472" s="4">
        <v>273158</v>
      </c>
    </row>
    <row r="8473" spans="1:6" ht="13.5" hidden="1" customHeight="1">
      <c r="A8473" s="4" t="s">
        <v>19547</v>
      </c>
      <c r="B8473" s="4" t="s">
        <v>19430</v>
      </c>
      <c r="C8473" s="4" t="str">
        <f ca="1">IFERROR(__xludf.DUMMYFUNCTION("GOOGLETRANSLATE(D:D,""auto"",""en"")"),"Italy 1 patient cure")</f>
        <v>Italy 1 patient cure</v>
      </c>
      <c r="D8473" s="5" t="s">
        <v>19570</v>
      </c>
      <c r="E8473" s="4">
        <v>255407</v>
      </c>
    </row>
    <row r="8474" spans="1:6" ht="13.5" hidden="1" customHeight="1">
      <c r="A8474" s="4" t="s">
        <v>19571</v>
      </c>
      <c r="B8474" s="4" t="s">
        <v>19548</v>
      </c>
      <c r="C8474" s="4" t="str">
        <f ca="1">IFERROR(__xludf.DUMMYFUNCTION("GOOGLETRANSLATE(D:D,""auto"",""en"")"),"China will experience rapid spread of Serbia")</f>
        <v>China will experience rapid spread of Serbia</v>
      </c>
      <c r="D8474" s="5" t="s">
        <v>19572</v>
      </c>
      <c r="E8474" s="4">
        <v>247115</v>
      </c>
    </row>
    <row r="8475" spans="1:6" ht="13.5" hidden="1" customHeight="1">
      <c r="C8475" s="4" t="str">
        <f ca="1">IFERROR(__xludf.DUMMYFUNCTION("GOOGLETRANSLATE(D:D,""auto"",""en"")"),"#VALUE!")</f>
        <v>#VALUE!</v>
      </c>
    </row>
    <row r="8476" spans="1:6" ht="13.5" customHeight="1">
      <c r="A8476" s="4" t="s">
        <v>19573</v>
      </c>
      <c r="B8476" s="4" t="s">
        <v>19574</v>
      </c>
      <c r="C8476" s="4" t="str">
        <f ca="1">IFERROR(__xludf.DUMMYFUNCTION("GOOGLETRANSLATE(D:D,""auto"",""en"")"),"Chen Daoming plays the fight against SARS")</f>
        <v>Chen Daoming plays the fight against SARS</v>
      </c>
      <c r="D8476" s="4" t="s">
        <v>19575</v>
      </c>
      <c r="E8476" s="4">
        <v>1740824</v>
      </c>
      <c r="F8476">
        <v>1</v>
      </c>
    </row>
    <row r="8477" spans="1:6" ht="13.5" hidden="1" customHeight="1">
      <c r="A8477" s="4" t="s">
        <v>19576</v>
      </c>
      <c r="B8477" s="4" t="s">
        <v>19577</v>
      </c>
      <c r="C8477" s="4" t="str">
        <f ca="1">IFERROR(__xludf.DUMMYFUNCTION("GOOGLETRANSLATE(D:D,""auto"",""en"")"),"International public opinion criticized US politicians stigma China")</f>
        <v>International public opinion criticized US politicians stigma China</v>
      </c>
      <c r="D8477" s="5" t="s">
        <v>19578</v>
      </c>
      <c r="E8477" s="4">
        <v>1512509</v>
      </c>
    </row>
    <row r="8478" spans="1:6" ht="13.5" customHeight="1">
      <c r="A8478" s="4" t="s">
        <v>19579</v>
      </c>
      <c r="B8478" s="4" t="s">
        <v>19580</v>
      </c>
      <c r="C8478" s="4" t="str">
        <f ca="1">IFERROR(__xludf.DUMMYFUNCTION("GOOGLETRANSLATE(D:D,""auto"",""en"")"),"Putin to wear protective clothing to visit the new crown pneumonia patients")</f>
        <v>Putin to wear protective clothing to visit the new crown pneumonia patients</v>
      </c>
      <c r="D8478" s="5" t="s">
        <v>19581</v>
      </c>
      <c r="E8478" s="4">
        <v>1400280</v>
      </c>
      <c r="F8478">
        <v>1</v>
      </c>
    </row>
    <row r="8479" spans="1:6" ht="13.5" hidden="1" customHeight="1">
      <c r="A8479" s="4" t="s">
        <v>3591</v>
      </c>
      <c r="B8479" s="4" t="s">
        <v>3592</v>
      </c>
      <c r="C8479" s="4" t="str">
        <f ca="1">IFERROR(__xludf.DUMMYFUNCTION("GOOGLETRANSLATE(D:D,""auto"",""en"")"),"Bingqingyujie")</f>
        <v>Bingqingyujie</v>
      </c>
      <c r="D8479" s="5" t="s">
        <v>3593</v>
      </c>
      <c r="E8479" s="4">
        <v>1267426</v>
      </c>
    </row>
    <row r="8480" spans="1:6" ht="13.5" customHeight="1">
      <c r="A8480" s="4" t="s">
        <v>19582</v>
      </c>
      <c r="B8480" s="4" t="s">
        <v>19583</v>
      </c>
      <c r="C8480" s="4" t="str">
        <f ca="1">IFERROR(__xludf.DUMMYFUNCTION("GOOGLETRANSLATE(D:D,""auto"",""en"")"),"82-year-old former Finnish president diagnosed with pneumonia new crown")</f>
        <v>82-year-old former Finnish president diagnosed with pneumonia new crown</v>
      </c>
      <c r="D8480" s="5" t="s">
        <v>19584</v>
      </c>
      <c r="E8480" s="4">
        <v>1112633</v>
      </c>
      <c r="F8480">
        <v>1</v>
      </c>
    </row>
    <row r="8481" spans="1:6" ht="13.5" hidden="1" customHeight="1">
      <c r="A8481" s="4" t="s">
        <v>19585</v>
      </c>
      <c r="B8481" s="4" t="s">
        <v>19586</v>
      </c>
      <c r="C8481" s="4" t="str">
        <f ca="1">IFERROR(__xludf.DUMMYFUNCTION("GOOGLETRANSLATE(D:D,""auto"",""en"")"),"Yu Shuxin Penhold")</f>
        <v>Yu Shuxin Penhold</v>
      </c>
      <c r="D8481" s="5" t="s">
        <v>19587</v>
      </c>
      <c r="E8481" s="4">
        <v>1071283</v>
      </c>
    </row>
    <row r="8482" spans="1:6" ht="13.5" customHeight="1">
      <c r="A8482" s="4" t="s">
        <v>19588</v>
      </c>
      <c r="B8482" s="4" t="s">
        <v>19589</v>
      </c>
      <c r="C8482" s="4" t="str">
        <f ca="1">IFERROR(__xludf.DUMMYFUNCTION("GOOGLETRANSLATE(D:D,""auto"",""en"")"),"Yao off the media deny network transmission list actor fight against SARS")</f>
        <v>Yao off the media deny network transmission list actor fight against SARS</v>
      </c>
      <c r="D8482" s="5" t="s">
        <v>19590</v>
      </c>
      <c r="E8482" s="4">
        <v>943184</v>
      </c>
      <c r="F8482">
        <v>1</v>
      </c>
    </row>
    <row r="8483" spans="1:6" ht="13.5" hidden="1" customHeight="1">
      <c r="A8483" s="4" t="s">
        <v>11030</v>
      </c>
      <c r="B8483" s="4" t="s">
        <v>19591</v>
      </c>
      <c r="C8483" s="4" t="str">
        <f ca="1">IFERROR(__xludf.DUMMYFUNCTION("GOOGLETRANSLATE(D:D,""auto"",""en"")"),"TakeMasaru Yasushi acting")</f>
        <v>TakeMasaru Yasushi acting</v>
      </c>
      <c r="D8483" s="5" t="s">
        <v>19592</v>
      </c>
      <c r="E8483" s="4">
        <v>798451</v>
      </c>
    </row>
    <row r="8484" spans="1:6" ht="13.5" hidden="1" customHeight="1">
      <c r="A8484" s="4" t="s">
        <v>19593</v>
      </c>
      <c r="B8484" s="4" t="s">
        <v>19574</v>
      </c>
      <c r="C8484" s="4" t="str">
        <f ca="1">IFERROR(__xludf.DUMMYFUNCTION("GOOGLETRANSLATE(D:D,""auto"",""en"")"),"US experts can not agree with Trump thrown pot China")</f>
        <v>US experts can not agree with Trump thrown pot China</v>
      </c>
      <c r="D8484" s="5" t="s">
        <v>19594</v>
      </c>
      <c r="E8484" s="4">
        <v>659186</v>
      </c>
    </row>
    <row r="8485" spans="1:6" ht="13.5" customHeight="1">
      <c r="A8485" s="4" t="s">
        <v>19582</v>
      </c>
      <c r="B8485" s="4" t="s">
        <v>19595</v>
      </c>
      <c r="C8485" s="4" t="str">
        <f ca="1">IFERROR(__xludf.DUMMYFUNCTION("GOOGLETRANSLATE(D:D,""auto"",""en"")"),"WHO says the United States may become the epicenter of the global epidemic")</f>
        <v>WHO says the United States may become the epicenter of the global epidemic</v>
      </c>
      <c r="D8485" s="5" t="s">
        <v>19596</v>
      </c>
      <c r="E8485" s="4">
        <v>642598</v>
      </c>
      <c r="F8485">
        <v>1</v>
      </c>
    </row>
    <row r="8486" spans="1:6" ht="13.5" hidden="1" customHeight="1">
      <c r="A8486" s="4" t="s">
        <v>14434</v>
      </c>
      <c r="B8486" s="4" t="s">
        <v>14435</v>
      </c>
      <c r="C8486" s="4" t="str">
        <f ca="1">IFERROR(__xludf.DUMMYFUNCTION("GOOGLETRANSLATE(D:D,""auto"",""en"")"),"US stocks")</f>
        <v>US stocks</v>
      </c>
      <c r="D8486" s="5" t="s">
        <v>14436</v>
      </c>
      <c r="E8486" s="4">
        <v>621295</v>
      </c>
    </row>
    <row r="8487" spans="1:6" ht="13.5" hidden="1" customHeight="1">
      <c r="A8487" s="4" t="s">
        <v>19597</v>
      </c>
      <c r="B8487" s="4" t="s">
        <v>19598</v>
      </c>
      <c r="C8487" s="4" t="str">
        <f ca="1">IFERROR(__xludf.DUMMYFUNCTION("GOOGLETRANSLATE(D:D,""auto"",""en"")"),"Green 2 theme you shoot right and wrong")</f>
        <v>Green 2 theme you shoot right and wrong</v>
      </c>
      <c r="D8487" s="5" t="s">
        <v>19599</v>
      </c>
      <c r="E8487" s="4">
        <v>556201</v>
      </c>
    </row>
    <row r="8488" spans="1:6" ht="13.5" customHeight="1">
      <c r="A8488" s="4" t="s">
        <v>19600</v>
      </c>
      <c r="B8488" s="4" t="s">
        <v>19601</v>
      </c>
      <c r="C8488" s="4" t="str">
        <f ca="1">IFERROR(__xludf.DUMMYFUNCTION("GOOGLETRANSLATE(D:D,""auto"",""en"")"),"Gates said the new crown epidemic reminds us that everyone is equal")</f>
        <v>Gates said the new crown epidemic reminds us that everyone is equal</v>
      </c>
      <c r="D8488" s="5" t="s">
        <v>19602</v>
      </c>
      <c r="E8488" s="4">
        <v>551495</v>
      </c>
      <c r="F8488">
        <v>1</v>
      </c>
    </row>
    <row r="8489" spans="1:6" ht="13.5" customHeight="1">
      <c r="A8489" s="4" t="s">
        <v>19603</v>
      </c>
      <c r="B8489" s="4" t="s">
        <v>19604</v>
      </c>
      <c r="C8489" s="4" t="str">
        <f ca="1">IFERROR(__xludf.DUMMYFUNCTION("GOOGLETRANSLATE(D:D,""auto"",""en"")"),"Hubei Wuhan Railway addition to business recovery handle Arrival Departure")</f>
        <v>Hubei Wuhan Railway addition to business recovery handle Arrival Departure</v>
      </c>
      <c r="D8489" s="5" t="s">
        <v>19605</v>
      </c>
      <c r="E8489" s="4">
        <v>549937</v>
      </c>
      <c r="F8489">
        <v>1</v>
      </c>
    </row>
    <row r="8490" spans="1:6" ht="13.5" customHeight="1">
      <c r="A8490" s="4" t="s">
        <v>19606</v>
      </c>
      <c r="B8490" s="4" t="s">
        <v>19463</v>
      </c>
      <c r="C8490" s="4" t="str">
        <f ca="1">IFERROR(__xludf.DUMMYFUNCTION("GOOGLETRANSLATE(D:D,""auto"",""en"")"),"Fang Fang")</f>
        <v>Fang Fang</v>
      </c>
      <c r="D8490" s="5" t="s">
        <v>19607</v>
      </c>
      <c r="E8490" s="4">
        <v>542693</v>
      </c>
      <c r="F8490">
        <v>1</v>
      </c>
    </row>
    <row r="8491" spans="1:6" ht="13.5" hidden="1" customHeight="1">
      <c r="A8491" s="4" t="s">
        <v>19608</v>
      </c>
      <c r="B8491" s="4" t="s">
        <v>19609</v>
      </c>
      <c r="C8491" s="4" t="str">
        <f ca="1">IFERROR(__xludf.DUMMYFUNCTION("GOOGLETRANSLATE(D:D,""auto"",""en"")"),"Italian flag hangs China and Russia")</f>
        <v>Italian flag hangs China and Russia</v>
      </c>
      <c r="D8491" s="5" t="s">
        <v>19610</v>
      </c>
      <c r="E8491" s="4">
        <v>541035</v>
      </c>
    </row>
    <row r="8492" spans="1:6" ht="13.5" hidden="1" customHeight="1">
      <c r="A8492" s="4" t="s">
        <v>19611</v>
      </c>
      <c r="B8492" s="4" t="s">
        <v>19612</v>
      </c>
      <c r="C8492" s="4" t="str">
        <f ca="1">IFERROR(__xludf.DUMMYFUNCTION("GOOGLETRANSLATE(D:D,""auto"",""en"")"),"Chongqing hail")</f>
        <v>Chongqing hail</v>
      </c>
      <c r="D8492" s="5" t="s">
        <v>19613</v>
      </c>
      <c r="E8492" s="4">
        <v>531598</v>
      </c>
    </row>
    <row r="8493" spans="1:6" ht="13.5" hidden="1" customHeight="1">
      <c r="A8493" s="4" t="s">
        <v>19614</v>
      </c>
      <c r="B8493" s="4" t="s">
        <v>19615</v>
      </c>
      <c r="C8493" s="4" t="str">
        <f ca="1">IFERROR(__xludf.DUMMYFUNCTION("GOOGLETRANSLATE(D:D,""auto"",""en"")"),"Liu Yu Xin Penhold")</f>
        <v>Liu Yu Xin Penhold</v>
      </c>
      <c r="D8493" s="5" t="s">
        <v>19616</v>
      </c>
      <c r="E8493" s="4">
        <v>529231</v>
      </c>
    </row>
    <row r="8494" spans="1:6" ht="13.5" hidden="1" customHeight="1">
      <c r="A8494" s="4" t="s">
        <v>19611</v>
      </c>
      <c r="B8494" s="4" t="s">
        <v>19617</v>
      </c>
      <c r="C8494" s="4" t="str">
        <f ca="1">IFERROR(__xludf.DUMMYFUNCTION("GOOGLETRANSLATE(D:D,""auto"",""en"")"),"Wake up to the 100 individual Meme da")</f>
        <v>Wake up to the 100 individual Meme da</v>
      </c>
      <c r="D8494" s="5" t="s">
        <v>19618</v>
      </c>
      <c r="E8494" s="4">
        <v>522682</v>
      </c>
    </row>
    <row r="8495" spans="1:6" ht="13.5" customHeight="1">
      <c r="A8495" s="4" t="s">
        <v>19619</v>
      </c>
      <c r="B8495" s="4" t="s">
        <v>19620</v>
      </c>
      <c r="C8495" s="4" t="str">
        <f ca="1">IFERROR(__xludf.DUMMYFUNCTION("GOOGLETRANSLATE(D:D,""auto"",""en"")"),"Italy hardest hit by the epidemic whole generation of elderly people died")</f>
        <v>Italy hardest hit by the epidemic whole generation of elderly people died</v>
      </c>
      <c r="D8495" s="5" t="s">
        <v>19621</v>
      </c>
      <c r="E8495" s="4">
        <v>517350</v>
      </c>
      <c r="F8495">
        <v>1</v>
      </c>
    </row>
    <row r="8496" spans="1:6" ht="13.5" hidden="1" customHeight="1">
      <c r="A8496" s="4" t="s">
        <v>19622</v>
      </c>
      <c r="B8496" s="4" t="s">
        <v>19609</v>
      </c>
      <c r="C8496" s="4" t="str">
        <f ca="1">IFERROR(__xludf.DUMMYFUNCTION("GOOGLETRANSLATE(D:D,""auto"",""en"")"),"With a Hara mother had appeared in the hall heritage dispute")</f>
        <v>With a Hara mother had appeared in the hall heritage dispute</v>
      </c>
      <c r="D8496" s="5" t="s">
        <v>19623</v>
      </c>
      <c r="E8496" s="4">
        <v>516269</v>
      </c>
    </row>
    <row r="8497" spans="1:6" ht="13.5" hidden="1" customHeight="1">
      <c r="A8497" s="4" t="s">
        <v>8556</v>
      </c>
      <c r="B8497" s="4" t="s">
        <v>8557</v>
      </c>
      <c r="C8497" s="4" t="str">
        <f ca="1">IFERROR(__xludf.DUMMYFUNCTION("GOOGLETRANSLATE(D:D,""auto"",""en"")"),"act wildly")</f>
        <v>act wildly</v>
      </c>
      <c r="D8497" s="5" t="s">
        <v>8558</v>
      </c>
      <c r="E8497" s="4">
        <v>482045</v>
      </c>
    </row>
    <row r="8498" spans="1:6" ht="13.5" hidden="1" customHeight="1">
      <c r="A8498" s="4" t="s">
        <v>19624</v>
      </c>
      <c r="B8498" s="4" t="s">
        <v>19625</v>
      </c>
      <c r="C8498" s="4" t="str">
        <f ca="1">IFERROR(__xludf.DUMMYFUNCTION("GOOGLETRANSLATE(D:D,""auto"",""en"")"),"After the extension of the 2020 Olympic Games Tokyo Olympic name reserved")</f>
        <v>After the extension of the 2020 Olympic Games Tokyo Olympic name reserved</v>
      </c>
      <c r="D8498" s="5" t="s">
        <v>19626</v>
      </c>
      <c r="E8498" s="4">
        <v>470623</v>
      </c>
    </row>
    <row r="8499" spans="1:6" ht="13.5" hidden="1" customHeight="1">
      <c r="A8499" s="4" t="s">
        <v>19627</v>
      </c>
      <c r="B8499" s="4" t="s">
        <v>19628</v>
      </c>
      <c r="C8499" s="4" t="str">
        <f ca="1">IFERROR(__xludf.DUMMYFUNCTION("GOOGLETRANSLATE(D:D,""auto"",""en"")"),"Cher hole Penhold")</f>
        <v>Cher hole Penhold</v>
      </c>
      <c r="D8499" s="5" t="s">
        <v>19629</v>
      </c>
      <c r="E8499" s="4">
        <v>466515</v>
      </c>
    </row>
    <row r="8500" spans="1:6" ht="13.5" hidden="1" customHeight="1">
      <c r="A8500" s="4" t="s">
        <v>19630</v>
      </c>
      <c r="B8500" s="4" t="s">
        <v>19631</v>
      </c>
      <c r="C8500" s="4" t="str">
        <f ca="1">IFERROR(__xludf.DUMMYFUNCTION("GOOGLETRANSLATE(D:D,""auto"",""en"")"),"N, room Zhaozhu Bin suspected of planning the killing of girls")</f>
        <v>N, room Zhaozhu Bin suspected of planning the killing of girls</v>
      </c>
      <c r="D8500" s="5" t="s">
        <v>19632</v>
      </c>
      <c r="E8500" s="4">
        <v>455426</v>
      </c>
    </row>
    <row r="8501" spans="1:6" ht="13.5" customHeight="1">
      <c r="A8501" s="4" t="s">
        <v>19627</v>
      </c>
      <c r="B8501" s="4" t="s">
        <v>19633</v>
      </c>
      <c r="C8501" s="4" t="str">
        <f ca="1">IFERROR(__xludf.DUMMYFUNCTION("GOOGLETRANSLATE(D:D,""auto"",""en"")"),"Beijing residents to accept BAN cases related nucleic acid testing")</f>
        <v>Beijing residents to accept BAN cases related nucleic acid testing</v>
      </c>
      <c r="D8501" s="5" t="s">
        <v>19634</v>
      </c>
      <c r="E8501" s="4">
        <v>453829</v>
      </c>
      <c r="F8501">
        <v>1</v>
      </c>
    </row>
    <row r="8502" spans="1:6" ht="13.5" hidden="1" customHeight="1">
      <c r="A8502" s="4" t="s">
        <v>19635</v>
      </c>
      <c r="B8502" s="4" t="s">
        <v>19636</v>
      </c>
      <c r="C8502" s="4" t="str">
        <f ca="1">IFERROR(__xludf.DUMMYFUNCTION("GOOGLETRANSLATE(D:D,""auto"",""en"")"),"Handong Jun straight men chase wife")</f>
        <v>Handong Jun straight men chase wife</v>
      </c>
      <c r="D8502" s="5" t="s">
        <v>19637</v>
      </c>
      <c r="E8502" s="4">
        <v>420484</v>
      </c>
    </row>
    <row r="8503" spans="1:6" ht="13.5" hidden="1" customHeight="1">
      <c r="A8503" s="4" t="s">
        <v>11030</v>
      </c>
      <c r="B8503" s="4" t="s">
        <v>11031</v>
      </c>
      <c r="C8503" s="4" t="str">
        <f ca="1">IFERROR(__xludf.DUMMYFUNCTION("GOOGLETRANSLATE(D:D,""auto"",""en"")"),"Forensic Heroes 4")</f>
        <v>Forensic Heroes 4</v>
      </c>
      <c r="D8503" s="5" t="s">
        <v>11032</v>
      </c>
      <c r="E8503" s="4">
        <v>407692</v>
      </c>
    </row>
    <row r="8504" spans="1:6" ht="13.5" hidden="1" customHeight="1">
      <c r="A8504" s="4" t="s">
        <v>19579</v>
      </c>
      <c r="B8504" s="4" t="s">
        <v>19638</v>
      </c>
      <c r="C8504" s="4" t="str">
        <f ca="1">IFERROR(__xludf.DUMMYFUNCTION("GOOGLETRANSLATE(D:D,""auto"",""en"")"),"N Korea room number on both sides of the suspects")</f>
        <v>N Korea room number on both sides of the suspects</v>
      </c>
      <c r="D8504" s="5" t="s">
        <v>19639</v>
      </c>
      <c r="E8504" s="4">
        <v>397124</v>
      </c>
    </row>
    <row r="8505" spans="1:6" ht="13.5" hidden="1" customHeight="1">
      <c r="A8505" s="4" t="s">
        <v>19600</v>
      </c>
      <c r="B8505" s="4" t="s">
        <v>19640</v>
      </c>
      <c r="C8505" s="4" t="str">
        <f ca="1">IFERROR(__xludf.DUMMYFUNCTION("GOOGLETRANSLATE(D:D,""auto"",""en"")"),"Tokyo Olympic Games postponed to 2021")</f>
        <v>Tokyo Olympic Games postponed to 2021</v>
      </c>
      <c r="D8505" s="5" t="s">
        <v>19641</v>
      </c>
      <c r="E8505" s="4">
        <v>380669</v>
      </c>
    </row>
    <row r="8506" spans="1:6" ht="13.5" customHeight="1">
      <c r="A8506" s="4" t="s">
        <v>19642</v>
      </c>
      <c r="B8506" s="4" t="s">
        <v>19643</v>
      </c>
      <c r="C8506" s="4" t="str">
        <f ca="1">IFERROR(__xludf.DUMMYFUNCTION("GOOGLETRANSLATE(D:D,""auto"",""en"")"),"Spain about 5400 new medical crown virus infection")</f>
        <v>Spain about 5400 new medical crown virus infection</v>
      </c>
      <c r="D8506" s="5" t="s">
        <v>19644</v>
      </c>
      <c r="E8506" s="4">
        <v>378448</v>
      </c>
      <c r="F8506">
        <v>1</v>
      </c>
    </row>
    <row r="8507" spans="1:6" ht="13.5" customHeight="1">
      <c r="A8507" s="4" t="s">
        <v>19645</v>
      </c>
      <c r="B8507" s="4" t="s">
        <v>19646</v>
      </c>
      <c r="C8507" s="4" t="str">
        <f ca="1">IFERROR(__xludf.DUMMYFUNCTION("GOOGLETRANSLATE(D:D,""auto"",""en"")"),"Vulcan Mountain Super Meng small disinfection tank")</f>
        <v>Vulcan Mountain Super Meng small disinfection tank</v>
      </c>
      <c r="D8507" s="5" t="s">
        <v>19647</v>
      </c>
      <c r="E8507" s="4">
        <v>344417</v>
      </c>
      <c r="F8507">
        <v>1</v>
      </c>
    </row>
    <row r="8508" spans="1:6" ht="13.5" hidden="1" customHeight="1">
      <c r="A8508" s="4" t="s">
        <v>19648</v>
      </c>
      <c r="B8508" s="4" t="s">
        <v>19649</v>
      </c>
      <c r="C8508" s="4" t="str">
        <f ca="1">IFERROR(__xludf.DUMMYFUNCTION("GOOGLETRANSLATE(D:D,""auto"",""en"")"),"Republic of odd probe")</f>
        <v>Republic of odd probe</v>
      </c>
      <c r="D8508" s="5" t="s">
        <v>19650</v>
      </c>
      <c r="E8508" s="4">
        <v>319229</v>
      </c>
    </row>
    <row r="8509" spans="1:6" ht="13.5" customHeight="1">
      <c r="A8509" s="4" t="s">
        <v>19651</v>
      </c>
      <c r="B8509" s="4" t="s">
        <v>19652</v>
      </c>
      <c r="C8509" s="4" t="str">
        <f ca="1">IFERROR(__xludf.DUMMYFUNCTION("GOOGLETRANSLATE(D:D,""auto"",""en"")"),"Jiangsu new cases a British input")</f>
        <v>Jiangsu new cases a British input</v>
      </c>
      <c r="D8509" s="5" t="s">
        <v>19653</v>
      </c>
      <c r="E8509" s="4">
        <v>300482</v>
      </c>
      <c r="F8509">
        <v>1</v>
      </c>
    </row>
    <row r="8510" spans="1:6" ht="13.5" hidden="1" customHeight="1">
      <c r="A8510" s="4" t="s">
        <v>19654</v>
      </c>
      <c r="B8510" s="4" t="s">
        <v>19655</v>
      </c>
      <c r="C8510" s="4" t="str">
        <f ca="1">IFERROR(__xludf.DUMMYFUNCTION("GOOGLETRANSLATE(D:D,""auto"",""en"")"),"Reply Jay fans have a new song")</f>
        <v>Reply Jay fans have a new song</v>
      </c>
      <c r="D8510" s="5" t="s">
        <v>19656</v>
      </c>
      <c r="E8510" s="4">
        <v>294959</v>
      </c>
    </row>
    <row r="8511" spans="1:6" ht="13.5" customHeight="1">
      <c r="A8511" s="4" t="s">
        <v>19657</v>
      </c>
      <c r="B8511" s="4" t="s">
        <v>19658</v>
      </c>
      <c r="C8511" s="4" t="str">
        <f ca="1">IFERROR(__xludf.DUMMYFUNCTION("GOOGLETRANSLATE(D:D,""auto"",""en"")"),"Hungarian Prime Minister pick up Chinese epidemic prevention materials")</f>
        <v>Hungarian Prime Minister pick up Chinese epidemic prevention materials</v>
      </c>
      <c r="D8511" s="5" t="s">
        <v>19659</v>
      </c>
      <c r="E8511" s="4">
        <v>294169</v>
      </c>
      <c r="F8511">
        <v>1</v>
      </c>
    </row>
    <row r="8512" spans="1:6" ht="13.5" hidden="1" customHeight="1">
      <c r="A8512" s="4" t="s">
        <v>19660</v>
      </c>
      <c r="B8512" s="4" t="s">
        <v>19661</v>
      </c>
      <c r="C8512" s="4" t="str">
        <f ca="1">IFERROR(__xludf.DUMMYFUNCTION("GOOGLETRANSLATE(D:D,""auto"",""en"")"),"Xinjiang dump snow temperatures plunged to 20 degrees")</f>
        <v>Xinjiang dump snow temperatures plunged to 20 degrees</v>
      </c>
      <c r="D8512" s="5" t="s">
        <v>19662</v>
      </c>
      <c r="E8512" s="4">
        <v>293794</v>
      </c>
    </row>
    <row r="8513" spans="1:6" ht="13.5" hidden="1" customHeight="1">
      <c r="A8513" s="4" t="s">
        <v>19663</v>
      </c>
      <c r="B8513" s="4" t="s">
        <v>19664</v>
      </c>
      <c r="C8513" s="4" t="str">
        <f ca="1">IFERROR(__xludf.DUMMYFUNCTION("GOOGLETRANSLATE(D:D,""auto"",""en"")"),"Bo Yin side")</f>
        <v>Bo Yin side</v>
      </c>
      <c r="D8513" s="5" t="s">
        <v>19665</v>
      </c>
      <c r="E8513" s="4">
        <v>283832</v>
      </c>
    </row>
    <row r="8514" spans="1:6" ht="13.5" customHeight="1">
      <c r="A8514" s="4" t="s">
        <v>19593</v>
      </c>
      <c r="B8514" s="4" t="s">
        <v>19666</v>
      </c>
      <c r="C8514" s="4" t="str">
        <f ca="1">IFERROR(__xludf.DUMMYFUNCTION("GOOGLETRANSLATE(D:D,""auto"",""en"")"),"Because the plane is sitting next to Hubei Ji isolated")</f>
        <v>Because the plane is sitting next to Hubei Ji isolated</v>
      </c>
      <c r="D8514" s="5" t="s">
        <v>19667</v>
      </c>
      <c r="E8514" s="4">
        <v>282311</v>
      </c>
      <c r="F8514">
        <v>1</v>
      </c>
    </row>
    <row r="8515" spans="1:6" ht="13.5" customHeight="1">
      <c r="A8515" s="4" t="s">
        <v>8556</v>
      </c>
      <c r="B8515" s="4" t="s">
        <v>19668</v>
      </c>
      <c r="C8515" s="4" t="str">
        <f ca="1">IFERROR(__xludf.DUMMYFUNCTION("GOOGLETRANSLATE(D:D,""auto"",""en"")"),"Hangzhou Xu Jiao home quarantine disease control response")</f>
        <v>Hangzhou Xu Jiao home quarantine disease control response</v>
      </c>
      <c r="D8515" s="5" t="s">
        <v>19669</v>
      </c>
      <c r="E8515" s="4">
        <v>273865</v>
      </c>
      <c r="F8515">
        <v>1</v>
      </c>
    </row>
    <row r="8516" spans="1:6" ht="13.5" customHeight="1">
      <c r="A8516" s="4" t="s">
        <v>19670</v>
      </c>
      <c r="B8516" s="4" t="s">
        <v>19652</v>
      </c>
      <c r="C8516" s="4" t="str">
        <f ca="1">IFERROR(__xludf.DUMMYFUNCTION("GOOGLETRANSLATE(D:D,""auto"",""en"")"),"Torch relay was originally scheduled to start on July 26 will be canceled")</f>
        <v>Torch relay was originally scheduled to start on July 26 will be canceled</v>
      </c>
      <c r="D8516" s="5" t="s">
        <v>19671</v>
      </c>
      <c r="E8516" s="4">
        <v>251373</v>
      </c>
      <c r="F8516">
        <v>1</v>
      </c>
    </row>
    <row r="8517" spans="1:6" ht="13.5" hidden="1" customHeight="1">
      <c r="A8517" s="4" t="s">
        <v>19672</v>
      </c>
      <c r="B8517" s="4" t="s">
        <v>19511</v>
      </c>
      <c r="C8517" s="4" t="str">
        <f ca="1">IFERROR(__xludf.DUMMYFUNCTION("GOOGLETRANSLATE(D:D,""auto"",""en"")"),"Rolls-Royce Bentley temporary shutdown")</f>
        <v>Rolls-Royce Bentley temporary shutdown</v>
      </c>
      <c r="D8517" s="5" t="s">
        <v>19673</v>
      </c>
      <c r="E8517" s="4">
        <v>245597</v>
      </c>
    </row>
    <row r="8518" spans="1:6" ht="13.5" hidden="1" customHeight="1">
      <c r="A8518" s="4" t="s">
        <v>19674</v>
      </c>
      <c r="B8518" s="4" t="s">
        <v>19675</v>
      </c>
      <c r="C8518" s="4" t="str">
        <f ca="1">IFERROR(__xludf.DUMMYFUNCTION("GOOGLETRANSLATE(D:D,""auto"",""en"")"),"Brazil gang")</f>
        <v>Brazil gang</v>
      </c>
      <c r="D8518" s="5" t="s">
        <v>19676</v>
      </c>
      <c r="E8518" s="4">
        <v>240010</v>
      </c>
    </row>
    <row r="8519" spans="1:6" ht="13.5" customHeight="1">
      <c r="A8519" s="4" t="s">
        <v>19677</v>
      </c>
      <c r="B8519" s="4" t="s">
        <v>19678</v>
      </c>
      <c r="C8519" s="4" t="str">
        <f ca="1">IFERROR(__xludf.DUMMYFUNCTION("GOOGLETRANSLATE(D:D,""auto"",""en"")"),"US governor to apply 1.2 million masks receive 120,000")</f>
        <v>US governor to apply 1.2 million masks receive 120,000</v>
      </c>
      <c r="D8519" s="5" t="s">
        <v>19679</v>
      </c>
      <c r="E8519" s="4">
        <v>223104</v>
      </c>
      <c r="F8519">
        <v>1</v>
      </c>
    </row>
    <row r="8520" spans="1:6" ht="13.5" customHeight="1">
      <c r="A8520" s="4" t="s">
        <v>19680</v>
      </c>
      <c r="B8520" s="4" t="s">
        <v>19489</v>
      </c>
      <c r="C8520" s="4" t="str">
        <f ca="1">IFERROR(__xludf.DUMMYFUNCTION("GOOGLETRANSLATE(D:D,""auto"",""en"")"),"Students buy chocolate send medical personnel and braised chicken")</f>
        <v>Students buy chocolate send medical personnel and braised chicken</v>
      </c>
      <c r="D8520" s="5" t="s">
        <v>19681</v>
      </c>
      <c r="E8520" s="4">
        <v>211593</v>
      </c>
      <c r="F8520">
        <v>1</v>
      </c>
    </row>
    <row r="8521" spans="1:6" ht="13.5" customHeight="1">
      <c r="A8521" s="4" t="s">
        <v>19672</v>
      </c>
      <c r="B8521" s="4" t="s">
        <v>19682</v>
      </c>
      <c r="C8521" s="4" t="str">
        <f ca="1">IFERROR(__xludf.DUMMYFUNCTION("GOOGLETRANSLATE(D:D,""auto"",""en"")"),"Philippine Airlines suspended all international flights")</f>
        <v>Philippine Airlines suspended all international flights</v>
      </c>
      <c r="D8521" s="5" t="s">
        <v>19683</v>
      </c>
      <c r="E8521" s="4">
        <v>204303</v>
      </c>
      <c r="F8521">
        <v>1</v>
      </c>
    </row>
    <row r="8522" spans="1:6" ht="13.5" hidden="1" customHeight="1">
      <c r="A8522" s="4" t="s">
        <v>19684</v>
      </c>
      <c r="B8522" s="4" t="s">
        <v>19685</v>
      </c>
      <c r="C8522" s="4" t="str">
        <f ca="1">IFERROR(__xludf.DUMMYFUNCTION("GOOGLETRANSLATE(D:D,""auto"",""en"")"),"Homemade chocolate-covered ice cream")</f>
        <v>Homemade chocolate-covered ice cream</v>
      </c>
      <c r="D8522" s="5" t="s">
        <v>19686</v>
      </c>
      <c r="E8522" s="4">
        <v>190033</v>
      </c>
    </row>
    <row r="8523" spans="1:6" ht="13.5" hidden="1" customHeight="1">
      <c r="A8523" s="4" t="s">
        <v>19654</v>
      </c>
      <c r="B8523" s="4" t="s">
        <v>19687</v>
      </c>
      <c r="C8523" s="4" t="str">
        <f ca="1">IFERROR(__xludf.DUMMYFUNCTION("GOOGLETRANSLATE(D:D,""auto"",""en"")"),"Classroom can not guarantee how to do more than 1 meter intervals")</f>
        <v>Classroom can not guarantee how to do more than 1 meter intervals</v>
      </c>
      <c r="D8523" s="5" t="s">
        <v>19688</v>
      </c>
      <c r="E8523" s="4">
        <v>176147</v>
      </c>
    </row>
    <row r="8524" spans="1:6" ht="13.5" hidden="1" customHeight="1">
      <c r="A8524" s="4" t="s">
        <v>19689</v>
      </c>
      <c r="B8524" s="4" t="s">
        <v>19690</v>
      </c>
      <c r="C8524" s="4" t="str">
        <f ca="1">IFERROR(__xludf.DUMMYFUNCTION("GOOGLETRANSLATE(D:D,""auto"",""en"")"),"Italy Lombardy region want China to take over the ICU")</f>
        <v>Italy Lombardy region want China to take over the ICU</v>
      </c>
      <c r="D8524" s="5" t="s">
        <v>19691</v>
      </c>
      <c r="E8524" s="4">
        <v>175708</v>
      </c>
    </row>
    <row r="8525" spans="1:6" ht="13.5" hidden="1" customHeight="1">
      <c r="C8525" s="4" t="str">
        <f ca="1">IFERROR(__xludf.DUMMYFUNCTION("GOOGLETRANSLATE(D:D,""auto"",""en"")"),"#VALUE!")</f>
        <v>#VALUE!</v>
      </c>
    </row>
    <row r="8526" spans="1:6" ht="13.5" customHeight="1">
      <c r="A8526" s="4" t="s">
        <v>19692</v>
      </c>
      <c r="B8526" s="4" t="s">
        <v>19642</v>
      </c>
      <c r="C8526" s="4" t="str">
        <f ca="1">IFERROR(__xludf.DUMMYFUNCTION("GOOGLETRANSLATE(D:D,""auto"",""en"")"),"Trump Seek medical equipment support to South Korea")</f>
        <v>Trump Seek medical equipment support to South Korea</v>
      </c>
      <c r="D8526" s="4" t="s">
        <v>19693</v>
      </c>
      <c r="E8526" s="4">
        <v>3117738</v>
      </c>
      <c r="F8526">
        <v>1</v>
      </c>
    </row>
    <row r="8527" spans="1:6" ht="13.5" hidden="1" customHeight="1">
      <c r="A8527" s="4" t="s">
        <v>19694</v>
      </c>
      <c r="B8527" s="4" t="s">
        <v>19695</v>
      </c>
      <c r="C8527" s="4" t="str">
        <f ca="1">IFERROR(__xludf.DUMMYFUNCTION("GOOGLETRANSLATE(D:D,""auto"",""en"")"),"I woke up dry noodles")</f>
        <v>I woke up dry noodles</v>
      </c>
      <c r="D8527" s="5" t="s">
        <v>19696</v>
      </c>
      <c r="E8527" s="4">
        <v>2798345</v>
      </c>
    </row>
    <row r="8528" spans="1:6" ht="13.5" hidden="1" customHeight="1">
      <c r="A8528" s="4" t="s">
        <v>19697</v>
      </c>
      <c r="B8528" s="4" t="s">
        <v>19698</v>
      </c>
      <c r="C8528" s="4" t="str">
        <f ca="1">IFERROR(__xludf.DUMMYFUNCTION("GOOGLETRANSLATE(D:D,""auto"",""en"")"),"Trump decided not to use the Chinese version virus")</f>
        <v>Trump decided not to use the Chinese version virus</v>
      </c>
      <c r="D8528" s="5" t="s">
        <v>19699</v>
      </c>
      <c r="E8528" s="4">
        <v>2416524</v>
      </c>
    </row>
    <row r="8529" spans="1:6" ht="13.5" hidden="1" customHeight="1">
      <c r="A8529" s="4" t="s">
        <v>19700</v>
      </c>
      <c r="B8529" s="4" t="s">
        <v>19701</v>
      </c>
      <c r="C8529" s="4" t="str">
        <f ca="1">IFERROR(__xludf.DUMMYFUNCTION("GOOGLETRANSLATE(D:D,""auto"",""en"")"),"Sida Liu Wei Jiang")</f>
        <v>Sida Liu Wei Jiang</v>
      </c>
      <c r="D8529" s="5" t="s">
        <v>19702</v>
      </c>
      <c r="E8529" s="4">
        <v>2368359</v>
      </c>
    </row>
    <row r="8530" spans="1:6" ht="13.5" hidden="1" customHeight="1">
      <c r="A8530" s="4" t="s">
        <v>19703</v>
      </c>
      <c r="B8530" s="4" t="s">
        <v>19704</v>
      </c>
      <c r="C8530" s="4" t="str">
        <f ca="1">IFERROR(__xludf.DUMMYFUNCTION("GOOGLETRANSLATE(D:D,""auto"",""en"")"),"When Oden joined one thousand tofu")</f>
        <v>When Oden joined one thousand tofu</v>
      </c>
      <c r="D8530" s="5" t="s">
        <v>19705</v>
      </c>
      <c r="E8530" s="4">
        <v>2196033</v>
      </c>
    </row>
    <row r="8531" spans="1:6" ht="13.5" customHeight="1">
      <c r="A8531" s="4" t="s">
        <v>19706</v>
      </c>
      <c r="B8531" s="4" t="s">
        <v>19614</v>
      </c>
      <c r="C8531" s="4" t="str">
        <f ca="1">IFERROR(__xludf.DUMMYFUNCTION("GOOGLETRANSLATE(D:D,""auto"",""en"")"),"US new virus hunter diagnosed with pneumonia crown")</f>
        <v>US new virus hunter diagnosed with pneumonia crown</v>
      </c>
      <c r="D8531" s="5" t="s">
        <v>19707</v>
      </c>
      <c r="E8531" s="4">
        <v>1530754</v>
      </c>
      <c r="F8531">
        <v>1</v>
      </c>
    </row>
    <row r="8532" spans="1:6" ht="13.5" hidden="1" customHeight="1">
      <c r="A8532" s="4" t="s">
        <v>19708</v>
      </c>
      <c r="B8532" s="4" t="s">
        <v>19709</v>
      </c>
      <c r="C8532" s="4" t="str">
        <f ca="1">IFERROR(__xludf.DUMMYFUNCTION("GOOGLETRANSLATE(D:D,""auto"",""en"")"),"Ren Jialun copy")</f>
        <v>Ren Jialun copy</v>
      </c>
      <c r="D8532" s="5" t="s">
        <v>19710</v>
      </c>
      <c r="E8532" s="4">
        <v>1395761</v>
      </c>
    </row>
    <row r="8533" spans="1:6" ht="13.5" customHeight="1">
      <c r="A8533" s="4" t="s">
        <v>19692</v>
      </c>
      <c r="B8533" s="4" t="s">
        <v>19698</v>
      </c>
      <c r="C8533" s="4" t="str">
        <f ca="1">IFERROR(__xludf.DUMMYFUNCTION("GOOGLETRANSLATE(D:D,""auto"",""en"")"),"Germany ordered 6 million masks lost in Kenya")</f>
        <v>Germany ordered 6 million masks lost in Kenya</v>
      </c>
      <c r="D8533" s="5" t="s">
        <v>19711</v>
      </c>
      <c r="E8533" s="4">
        <v>1240672</v>
      </c>
      <c r="F8533">
        <v>1</v>
      </c>
    </row>
    <row r="8534" spans="1:6" ht="13.5" customHeight="1">
      <c r="A8534" s="4" t="s">
        <v>19712</v>
      </c>
      <c r="B8534" s="4" t="s">
        <v>19713</v>
      </c>
      <c r="C8534" s="4" t="str">
        <f ca="1">IFERROR(__xludf.DUMMYFUNCTION("GOOGLETRANSLATE(D:D,""auto"",""en"")"),"Shimura confirmed new crown")</f>
        <v>Shimura confirmed new crown</v>
      </c>
      <c r="D8534" s="5" t="s">
        <v>19714</v>
      </c>
      <c r="E8534" s="4">
        <v>1224136</v>
      </c>
      <c r="F8534">
        <v>1</v>
      </c>
    </row>
    <row r="8535" spans="1:6" ht="13.5" hidden="1" customHeight="1">
      <c r="A8535" s="4" t="s">
        <v>19715</v>
      </c>
      <c r="B8535" s="4" t="s">
        <v>19716</v>
      </c>
      <c r="C8535" s="4" t="str">
        <f ca="1">IFERROR(__xludf.DUMMYFUNCTION("GOOGLETRANSLATE(D:D,""auto"",""en"")"),"Taobao private beta will not be available to respond to")</f>
        <v>Taobao private beta will not be available to respond to</v>
      </c>
      <c r="D8535" s="5" t="s">
        <v>19717</v>
      </c>
      <c r="E8535" s="4">
        <v>1098710</v>
      </c>
    </row>
    <row r="8536" spans="1:6" ht="13.5" hidden="1" customHeight="1">
      <c r="A8536" s="4" t="s">
        <v>19718</v>
      </c>
      <c r="B8536" s="4" t="s">
        <v>19719</v>
      </c>
      <c r="C8536" s="4" t="str">
        <f ca="1">IFERROR(__xludf.DUMMYFUNCTION("GOOGLETRANSLATE(D:D,""auto"",""en"")"),"Sichuan mahjong termination of business ban")</f>
        <v>Sichuan mahjong termination of business ban</v>
      </c>
      <c r="D8536" s="5" t="s">
        <v>19720</v>
      </c>
      <c r="E8536" s="4">
        <v>1027954</v>
      </c>
    </row>
    <row r="8537" spans="1:6" ht="13.5" customHeight="1">
      <c r="A8537" s="4" t="s">
        <v>19715</v>
      </c>
      <c r="B8537" s="4" t="s">
        <v>19721</v>
      </c>
      <c r="C8537" s="4" t="str">
        <f ca="1">IFERROR(__xludf.DUMMYFUNCTION("GOOGLETRANSLATE(D:D,""auto"",""en"")"),"Channel open from the moment E")</f>
        <v>Channel open from the moment E</v>
      </c>
      <c r="D8537" s="5" t="s">
        <v>19722</v>
      </c>
      <c r="E8537" s="4">
        <v>980173</v>
      </c>
      <c r="F8537">
        <v>1</v>
      </c>
    </row>
    <row r="8538" spans="1:6" ht="13.5" customHeight="1">
      <c r="A8538" s="4" t="s">
        <v>19723</v>
      </c>
      <c r="B8538" s="4" t="s">
        <v>19619</v>
      </c>
      <c r="C8538" s="4" t="str">
        <f ca="1">IFERROR(__xludf.DUMMYFUNCTION("GOOGLETRANSLATE(D:D,""auto"",""en"")"),"Apple donated 9 million N95 masks")</f>
        <v>Apple donated 9 million N95 masks</v>
      </c>
      <c r="D8538" s="5" t="s">
        <v>19724</v>
      </c>
      <c r="E8538" s="4">
        <v>869814</v>
      </c>
      <c r="F8538">
        <v>1</v>
      </c>
    </row>
    <row r="8539" spans="1:6" ht="13.5" hidden="1" customHeight="1">
      <c r="A8539" s="4" t="s">
        <v>19725</v>
      </c>
      <c r="B8539" s="4" t="s">
        <v>19608</v>
      </c>
      <c r="C8539" s="4" t="str">
        <f ca="1">IFERROR(__xludf.DUMMYFUNCTION("GOOGLETRANSLATE(D:D,""auto"",""en"")"),"PubMed state line in mid-April announcement")</f>
        <v>PubMed state line in mid-April announcement</v>
      </c>
      <c r="D8539" s="5" t="s">
        <v>19726</v>
      </c>
      <c r="E8539" s="4">
        <v>859626</v>
      </c>
    </row>
    <row r="8540" spans="1:6" ht="13.5" customHeight="1">
      <c r="A8540" s="4" t="s">
        <v>19727</v>
      </c>
      <c r="B8540" s="4" t="s">
        <v>19728</v>
      </c>
      <c r="C8540" s="4" t="str">
        <f ca="1">IFERROR(__xludf.DUMMYFUNCTION("GOOGLETRANSLATE(D:D,""auto"",""en"")"),"Italy epidemic")</f>
        <v>Italy epidemic</v>
      </c>
      <c r="D8540" s="5" t="s">
        <v>19729</v>
      </c>
      <c r="E8540" s="4">
        <v>819707</v>
      </c>
      <c r="F8540">
        <v>1</v>
      </c>
    </row>
    <row r="8541" spans="1:6" ht="13.5" customHeight="1">
      <c r="A8541" s="4" t="s">
        <v>19730</v>
      </c>
      <c r="B8541" s="4" t="s">
        <v>19731</v>
      </c>
      <c r="C8541" s="4" t="str">
        <f ca="1">IFERROR(__xludf.DUMMYFUNCTION("GOOGLETRANSLATE(D:D,""auto"",""en"")"),"Chinese students studying in England wearing masks were beaten")</f>
        <v>Chinese students studying in England wearing masks were beaten</v>
      </c>
      <c r="D8541" s="5" t="s">
        <v>19732</v>
      </c>
      <c r="E8541" s="4">
        <v>816085</v>
      </c>
      <c r="F8541">
        <v>1</v>
      </c>
    </row>
    <row r="8542" spans="1:6" ht="13.5" hidden="1" customHeight="1">
      <c r="A8542" s="4" t="s">
        <v>19733</v>
      </c>
      <c r="B8542" s="4" t="s">
        <v>19734</v>
      </c>
      <c r="C8542" s="4" t="str">
        <f ca="1">IFERROR(__xludf.DUMMYFUNCTION("GOOGLETRANSLATE(D:D,""auto"",""en"")"),"First-year student to find seats scratching their heads straight")</f>
        <v>First-year student to find seats scratching their heads straight</v>
      </c>
      <c r="D8542" s="5" t="s">
        <v>19735</v>
      </c>
      <c r="E8542" s="4">
        <v>813432</v>
      </c>
    </row>
    <row r="8543" spans="1:6" ht="13.5" hidden="1" customHeight="1">
      <c r="A8543" s="4" t="s">
        <v>19736</v>
      </c>
      <c r="B8543" s="4" t="s">
        <v>19737</v>
      </c>
      <c r="C8543" s="4" t="str">
        <f ca="1">IFERROR(__xludf.DUMMYFUNCTION("GOOGLETRANSLATE(D:D,""auto"",""en"")"),"You stay at home for two months")</f>
        <v>You stay at home for two months</v>
      </c>
      <c r="D8543" s="5" t="s">
        <v>19738</v>
      </c>
      <c r="E8543" s="4">
        <v>805907</v>
      </c>
    </row>
    <row r="8544" spans="1:6" ht="13.5" hidden="1" customHeight="1">
      <c r="A8544" s="4" t="s">
        <v>19739</v>
      </c>
      <c r="B8544" s="4" t="s">
        <v>19716</v>
      </c>
      <c r="C8544" s="4" t="str">
        <f ca="1">IFERROR(__xludf.DUMMYFUNCTION("GOOGLETRANSLATE(D:D,""auto"",""en"")"),"The original traffic light there is so much")</f>
        <v>The original traffic light there is so much</v>
      </c>
      <c r="D8544" s="5" t="s">
        <v>19740</v>
      </c>
      <c r="E8544" s="4">
        <v>791275</v>
      </c>
    </row>
    <row r="8545" spans="1:6" ht="13.5" customHeight="1">
      <c r="A8545" s="4" t="s">
        <v>19741</v>
      </c>
      <c r="B8545" s="4" t="s">
        <v>19742</v>
      </c>
      <c r="C8545" s="4" t="str">
        <f ca="1">IFERROR(__xludf.DUMMYFUNCTION("GOOGLETRANSLATE(D:D,""auto"",""en"")"),"Italian grandfather was isolated old karaoke songs")</f>
        <v>Italian grandfather was isolated old karaoke songs</v>
      </c>
      <c r="D8545" s="5" t="s">
        <v>19743</v>
      </c>
      <c r="E8545" s="4">
        <v>782033</v>
      </c>
      <c r="F8545">
        <v>1</v>
      </c>
    </row>
    <row r="8546" spans="1:6" ht="13.5" hidden="1" customHeight="1">
      <c r="A8546" s="4" t="s">
        <v>19744</v>
      </c>
      <c r="B8546" s="4" t="s">
        <v>19745</v>
      </c>
      <c r="C8546" s="4" t="str">
        <f ca="1">IFERROR(__xludf.DUMMYFUNCTION("GOOGLETRANSLATE(D:D,""auto"",""en"")"),"IQIYI flash back")</f>
        <v>IQIYI flash back</v>
      </c>
      <c r="D8546" s="5" t="s">
        <v>19746</v>
      </c>
      <c r="E8546" s="4">
        <v>692072</v>
      </c>
    </row>
    <row r="8547" spans="1:6" ht="13.5" hidden="1" customHeight="1">
      <c r="A8547" s="4" t="s">
        <v>19747</v>
      </c>
      <c r="B8547" s="4" t="s">
        <v>19748</v>
      </c>
      <c r="C8547" s="4" t="str">
        <f ca="1">IFERROR(__xludf.DUMMYFUNCTION("GOOGLETRANSLATE(D:D,""auto"",""en"")"),"Xinjiang Normal University")</f>
        <v>Xinjiang Normal University</v>
      </c>
      <c r="D8547" s="5" t="s">
        <v>19749</v>
      </c>
      <c r="E8547" s="4">
        <v>663426</v>
      </c>
    </row>
    <row r="8548" spans="1:6" ht="13.5" customHeight="1">
      <c r="A8548" s="4" t="s">
        <v>19750</v>
      </c>
      <c r="B8548" s="4" t="s">
        <v>19716</v>
      </c>
      <c r="C8548" s="4" t="str">
        <f ca="1">IFERROR(__xludf.DUMMYFUNCTION("GOOGLETRANSLATE(D:D,""auto"",""en"")"),"Trump wants to open up the United States before Easter")</f>
        <v>Trump wants to open up the United States before Easter</v>
      </c>
      <c r="D8548" s="5" t="s">
        <v>19751</v>
      </c>
      <c r="E8548" s="4">
        <v>623045</v>
      </c>
      <c r="F8548">
        <v>1</v>
      </c>
    </row>
    <row r="8549" spans="1:6" ht="13.5" customHeight="1">
      <c r="A8549" s="4" t="s">
        <v>19752</v>
      </c>
      <c r="B8549" s="4" t="s">
        <v>19753</v>
      </c>
      <c r="C8549" s="4" t="str">
        <f ca="1">IFERROR(__xludf.DUMMYFUNCTION("GOOGLETRANSLATE(D:D,""auto"",""en"")"),"Serbia suggestion was built under the shelter hospital in China expert")</f>
        <v>Serbia suggestion was built under the shelter hospital in China expert</v>
      </c>
      <c r="D8549" s="5" t="s">
        <v>19754</v>
      </c>
      <c r="E8549" s="4">
        <v>590092</v>
      </c>
      <c r="F8549">
        <v>1</v>
      </c>
    </row>
    <row r="8550" spans="1:6" ht="13.5" customHeight="1">
      <c r="A8550" s="4" t="s">
        <v>13780</v>
      </c>
      <c r="B8550" s="4" t="s">
        <v>13781</v>
      </c>
      <c r="C8550" s="4" t="str">
        <f ca="1">IFERROR(__xludf.DUMMYFUNCTION("GOOGLETRANSLATE(D:D,""auto"",""en"")"),"US epidemic")</f>
        <v>US epidemic</v>
      </c>
      <c r="D8550" s="5" t="s">
        <v>13782</v>
      </c>
      <c r="E8550" s="4">
        <v>588576</v>
      </c>
      <c r="F8550">
        <v>1</v>
      </c>
    </row>
    <row r="8551" spans="1:6" ht="13.5" hidden="1" customHeight="1">
      <c r="A8551" s="4" t="s">
        <v>19736</v>
      </c>
      <c r="B8551" s="4" t="s">
        <v>19755</v>
      </c>
      <c r="C8551" s="4" t="str">
        <f ca="1">IFERROR(__xludf.DUMMYFUNCTION("GOOGLETRANSLATE(D:D,""auto"",""en"")"),"The filming spring feast")</f>
        <v>The filming spring feast</v>
      </c>
      <c r="D8551" s="5" t="s">
        <v>19756</v>
      </c>
      <c r="E8551" s="4">
        <v>535721</v>
      </c>
    </row>
    <row r="8552" spans="1:6" ht="13.5" customHeight="1">
      <c r="A8552" s="4" t="s">
        <v>19757</v>
      </c>
      <c r="B8552" s="4" t="s">
        <v>19709</v>
      </c>
      <c r="C8552" s="4" t="str">
        <f ca="1">IFERROR(__xludf.DUMMYFUNCTION("GOOGLETRANSLATE(D:D,""auto"",""en"")"),"Doctors advise people not to go out crying Spain")</f>
        <v>Doctors advise people not to go out crying Spain</v>
      </c>
      <c r="D8552" s="5" t="s">
        <v>19758</v>
      </c>
      <c r="E8552" s="4">
        <v>521557</v>
      </c>
      <c r="F8552">
        <v>1</v>
      </c>
    </row>
    <row r="8553" spans="1:6" ht="13.5" hidden="1" customHeight="1">
      <c r="A8553" s="4" t="s">
        <v>19759</v>
      </c>
      <c r="B8553" s="4" t="s">
        <v>19760</v>
      </c>
      <c r="C8553" s="4" t="str">
        <f ca="1">IFERROR(__xludf.DUMMYFUNCTION("GOOGLETRANSLATE(D:D,""auto"",""en"")"),"British people mad rush to buy hen hot")</f>
        <v>British people mad rush to buy hen hot</v>
      </c>
      <c r="D8553" s="5" t="s">
        <v>19761</v>
      </c>
      <c r="E8553" s="4">
        <v>514728</v>
      </c>
    </row>
    <row r="8554" spans="1:6" ht="13.5" hidden="1" customHeight="1">
      <c r="A8554" s="4" t="s">
        <v>19762</v>
      </c>
      <c r="B8554" s="4" t="s">
        <v>19763</v>
      </c>
      <c r="C8554" s="4" t="str">
        <f ca="1">IFERROR(__xludf.DUMMYFUNCTION("GOOGLETRANSLATE(D:D,""auto"",""en"")"),"Washing hands in a public place myself")</f>
        <v>Washing hands in a public place myself</v>
      </c>
      <c r="D8554" s="5" t="s">
        <v>19764</v>
      </c>
      <c r="E8554" s="4">
        <v>500096</v>
      </c>
    </row>
    <row r="8555" spans="1:6" ht="13.5" hidden="1" customHeight="1">
      <c r="A8555" s="4" t="s">
        <v>19765</v>
      </c>
      <c r="B8555" s="4" t="s">
        <v>19624</v>
      </c>
      <c r="C8555" s="4" t="str">
        <f ca="1">IFERROR(__xludf.DUMMYFUNCTION("GOOGLETRANSLATE(D:D,""auto"",""en"")"),"N Korea, room is public spectacle Dr. Zhao")</f>
        <v>N Korea, room is public spectacle Dr. Zhao</v>
      </c>
      <c r="D8555" s="5" t="s">
        <v>19766</v>
      </c>
      <c r="E8555" s="4">
        <v>480653</v>
      </c>
    </row>
    <row r="8556" spans="1:6" ht="13.5" customHeight="1">
      <c r="A8556" s="4" t="s">
        <v>19767</v>
      </c>
      <c r="B8556" s="4" t="s">
        <v>19768</v>
      </c>
      <c r="C8556" s="4" t="str">
        <f ca="1">IFERROR(__xludf.DUMMYFUNCTION("GOOGLETRANSLATE(D:D,""auto"",""en"")"),"When you receive notification school")</f>
        <v>When you receive notification school</v>
      </c>
      <c r="D8556" s="5" t="s">
        <v>19769</v>
      </c>
      <c r="E8556" s="4">
        <v>468437</v>
      </c>
      <c r="F8556">
        <v>1</v>
      </c>
    </row>
    <row r="8557" spans="1:6" ht="13.5" hidden="1" customHeight="1">
      <c r="A8557" s="4" t="s">
        <v>19757</v>
      </c>
      <c r="B8557" s="4" t="s">
        <v>19770</v>
      </c>
      <c r="C8557" s="4" t="str">
        <f ca="1">IFERROR(__xludf.DUMMYFUNCTION("GOOGLETRANSLATE(D:D,""auto"",""en"")"),"iOS13.4")</f>
        <v>iOS13.4</v>
      </c>
      <c r="D8557" s="5" t="s">
        <v>19771</v>
      </c>
      <c r="E8557" s="4">
        <v>439215</v>
      </c>
    </row>
    <row r="8558" spans="1:6" ht="13.5" hidden="1" customHeight="1">
      <c r="A8558" s="4" t="s">
        <v>19772</v>
      </c>
      <c r="B8558" s="4" t="s">
        <v>19716</v>
      </c>
      <c r="C8558" s="4" t="str">
        <f ca="1">IFERROR(__xludf.DUMMYFUNCTION("GOOGLETRANSLATE(D:D,""auto"",""en"")"),"7.5 earthquake in the Kuril Islands")</f>
        <v>7.5 earthquake in the Kuril Islands</v>
      </c>
      <c r="D8558" s="5" t="s">
        <v>19773</v>
      </c>
      <c r="E8558" s="4">
        <v>429398</v>
      </c>
    </row>
    <row r="8559" spans="1:6" ht="13.5" customHeight="1">
      <c r="A8559" s="4" t="s">
        <v>19774</v>
      </c>
      <c r="B8559" s="4" t="s">
        <v>19775</v>
      </c>
      <c r="C8559" s="4" t="str">
        <f ca="1">IFERROR(__xludf.DUMMYFUNCTION("GOOGLETRANSLATE(D:D,""auto"",""en"")"),"Wuxi rebate Japan Toyokawa 50000 masks")</f>
        <v>Wuxi rebate Japan Toyokawa 50000 masks</v>
      </c>
      <c r="D8559" s="5" t="s">
        <v>19776</v>
      </c>
      <c r="E8559" s="4">
        <v>421140</v>
      </c>
      <c r="F8559">
        <v>1</v>
      </c>
    </row>
    <row r="8560" spans="1:6" ht="13.5" hidden="1" customHeight="1">
      <c r="A8560" s="4" t="s">
        <v>19777</v>
      </c>
      <c r="B8560" s="4" t="s">
        <v>19755</v>
      </c>
      <c r="C8560" s="4" t="str">
        <f ca="1">IFERROR(__xludf.DUMMYFUNCTION("GOOGLETRANSLATE(D:D,""auto"",""en"")"),"Chupin run wild rumor starring candidate")</f>
        <v>Chupin run wild rumor starring candidate</v>
      </c>
      <c r="D8560" s="5" t="s">
        <v>19778</v>
      </c>
      <c r="E8560" s="4">
        <v>416534</v>
      </c>
    </row>
    <row r="8561" spans="1:6" ht="13.5" hidden="1" customHeight="1">
      <c r="A8561" s="4" t="s">
        <v>19725</v>
      </c>
      <c r="B8561" s="4" t="s">
        <v>19779</v>
      </c>
      <c r="C8561" s="4" t="str">
        <f ca="1">IFERROR(__xludf.DUMMYFUNCTION("GOOGLETRANSLATE(D:D,""auto"",""en"")"),"Thailand reconnects the case of pregnant women respond to the appeal husband")</f>
        <v>Thailand reconnects the case of pregnant women respond to the appeal husband</v>
      </c>
      <c r="D8561" s="5" t="s">
        <v>19780</v>
      </c>
      <c r="E8561" s="4">
        <v>413853</v>
      </c>
    </row>
    <row r="8562" spans="1:6" ht="13.5" hidden="1" customHeight="1">
      <c r="A8562" s="4" t="s">
        <v>19747</v>
      </c>
      <c r="B8562" s="4" t="s">
        <v>19781</v>
      </c>
      <c r="C8562" s="4" t="str">
        <f ca="1">IFERROR(__xludf.DUMMYFUNCTION("GOOGLETRANSLATE(D:D,""auto"",""en"")"),"Zhou Yi Xuan is Chenmeng Yao Qingsheng")</f>
        <v>Zhou Yi Xuan is Chenmeng Yao Qingsheng</v>
      </c>
      <c r="D8562" s="5" t="s">
        <v>19782</v>
      </c>
      <c r="E8562" s="4">
        <v>391125</v>
      </c>
    </row>
    <row r="8563" spans="1:6" ht="13.5" hidden="1" customHeight="1">
      <c r="A8563" s="4" t="s">
        <v>19759</v>
      </c>
      <c r="B8563" s="4" t="s">
        <v>19783</v>
      </c>
      <c r="C8563" s="4" t="str">
        <f ca="1">IFERROR(__xludf.DUMMYFUNCTION("GOOGLETRANSLATE(D:D,""auto"",""en"")"),"Japanese high school students illustrations")</f>
        <v>Japanese high school students illustrations</v>
      </c>
      <c r="D8563" s="5" t="s">
        <v>19784</v>
      </c>
      <c r="E8563" s="4">
        <v>383560</v>
      </c>
    </row>
    <row r="8564" spans="1:6" ht="13.5" hidden="1" customHeight="1">
      <c r="A8564" s="4" t="s">
        <v>19785</v>
      </c>
      <c r="B8564" s="4" t="s">
        <v>19635</v>
      </c>
      <c r="C8564" s="4" t="str">
        <f ca="1">IFERROR(__xludf.DUMMYFUNCTION("GOOGLETRANSLATE(D:D,""auto"",""en"")"),"Drying out your grabbed the ugliest doll")</f>
        <v>Drying out your grabbed the ugliest doll</v>
      </c>
      <c r="D8564" s="5" t="s">
        <v>19786</v>
      </c>
      <c r="E8564" s="4">
        <v>382264</v>
      </c>
    </row>
    <row r="8565" spans="1:6" ht="13.5" hidden="1" customHeight="1">
      <c r="A8565" s="4" t="s">
        <v>19747</v>
      </c>
      <c r="B8565" s="4" t="s">
        <v>19787</v>
      </c>
      <c r="C8565" s="4" t="str">
        <f ca="1">IFERROR(__xludf.DUMMYFUNCTION("GOOGLETRANSLATE(D:D,""auto"",""en"")"),"I may be a bun")</f>
        <v>I may be a bun</v>
      </c>
      <c r="D8565" s="5" t="s">
        <v>19788</v>
      </c>
      <c r="E8565" s="4">
        <v>369943</v>
      </c>
    </row>
    <row r="8566" spans="1:6" ht="13.5" customHeight="1">
      <c r="A8566" s="4" t="s">
        <v>19789</v>
      </c>
      <c r="B8566" s="4" t="s">
        <v>19790</v>
      </c>
      <c r="C8566" s="4" t="str">
        <f ca="1">IFERROR(__xludf.DUMMYFUNCTION("GOOGLETRANSLATE(D:D,""auto"",""en"")"),"China the third installment of the fight against SARS expert group set off to Italy")</f>
        <v>China the third installment of the fight against SARS expert group set off to Italy</v>
      </c>
      <c r="D8566" s="5" t="s">
        <v>19791</v>
      </c>
      <c r="E8566" s="4">
        <v>364886</v>
      </c>
      <c r="F8566">
        <v>1</v>
      </c>
    </row>
    <row r="8567" spans="1:6" ht="13.5" customHeight="1">
      <c r="A8567" s="4" t="s">
        <v>19792</v>
      </c>
      <c r="B8567" s="4" t="s">
        <v>19793</v>
      </c>
      <c r="C8567" s="4" t="str">
        <f ca="1">IFERROR(__xludf.DUMMYFUNCTION("GOOGLETRANSLATE(D:D,""auto"",""en"")"),"New York Governor weak federal government approved the fight against SARS")</f>
        <v>New York Governor weak federal government approved the fight against SARS</v>
      </c>
      <c r="D8567" s="5" t="s">
        <v>19794</v>
      </c>
      <c r="E8567" s="4">
        <v>360487</v>
      </c>
      <c r="F8567">
        <v>1</v>
      </c>
    </row>
    <row r="8568" spans="1:6" ht="13.5" hidden="1" customHeight="1">
      <c r="A8568" s="4" t="s">
        <v>19795</v>
      </c>
      <c r="B8568" s="4" t="s">
        <v>19742</v>
      </c>
      <c r="C8568" s="4" t="str">
        <f ca="1">IFERROR(__xludf.DUMMYFUNCTION("GOOGLETRANSLATE(D:D,""auto"",""en"")"),"The last time was when to go to the cinema")</f>
        <v>The last time was when to go to the cinema</v>
      </c>
      <c r="D8568" s="5" t="s">
        <v>19796</v>
      </c>
      <c r="E8568" s="4">
        <v>352858</v>
      </c>
    </row>
    <row r="8569" spans="1:6" ht="13.5" hidden="1" customHeight="1">
      <c r="A8569" s="4" t="s">
        <v>19706</v>
      </c>
      <c r="B8569" s="4" t="s">
        <v>19790</v>
      </c>
      <c r="C8569" s="4" t="str">
        <f ca="1">IFERROR(__xludf.DUMMYFUNCTION("GOOGLETRANSLATE(D:D,""auto"",""en"")"),"The implementation of the three weekends 2.5 days false")</f>
        <v>The implementation of the three weekends 2.5 days false</v>
      </c>
      <c r="D8569" s="5" t="s">
        <v>19797</v>
      </c>
      <c r="E8569" s="4">
        <v>348392</v>
      </c>
    </row>
    <row r="8570" spans="1:6" ht="13.5" hidden="1" customHeight="1">
      <c r="A8570" s="4" t="s">
        <v>19798</v>
      </c>
      <c r="B8570" s="4" t="s">
        <v>19799</v>
      </c>
      <c r="C8570" s="4" t="str">
        <f ca="1">IFERROR(__xludf.DUMMYFUNCTION("GOOGLETRANSLATE(D:D,""auto"",""en"")"),"Most likely to pit his teammates Game Hero")</f>
        <v>Most likely to pit his teammates Game Hero</v>
      </c>
      <c r="D8570" s="5" t="s">
        <v>19800</v>
      </c>
      <c r="E8570" s="4">
        <v>338164</v>
      </c>
    </row>
    <row r="8571" spans="1:6" ht="13.5" hidden="1" customHeight="1">
      <c r="A8571" s="4" t="s">
        <v>19801</v>
      </c>
      <c r="B8571" s="4" t="s">
        <v>19802</v>
      </c>
      <c r="C8571" s="4" t="str">
        <f ca="1">IFERROR(__xludf.DUMMYFUNCTION("GOOGLETRANSLATE(D:D,""auto"",""en"")"),"Italy seized 1840 sets of breathing apparatus")</f>
        <v>Italy seized 1840 sets of breathing apparatus</v>
      </c>
      <c r="D8571" s="5" t="s">
        <v>19803</v>
      </c>
      <c r="E8571" s="4">
        <v>330720</v>
      </c>
    </row>
    <row r="8572" spans="1:6" ht="13.5" customHeight="1">
      <c r="A8572" s="4" t="s">
        <v>19804</v>
      </c>
      <c r="B8572" s="4" t="s">
        <v>19805</v>
      </c>
      <c r="C8572" s="4" t="str">
        <f ca="1">IFERROR(__xludf.DUMMYFUNCTION("GOOGLETRANSLATE(D:D,""auto"",""en"")"),"Wuhan University Contagion videos")</f>
        <v>Wuhan University Contagion videos</v>
      </c>
      <c r="D8572" s="5" t="s">
        <v>19806</v>
      </c>
      <c r="E8572" s="4">
        <v>330556</v>
      </c>
      <c r="F8572">
        <v>1</v>
      </c>
    </row>
    <row r="8573" spans="1:6" ht="13.5" customHeight="1">
      <c r="A8573" s="4" t="s">
        <v>19807</v>
      </c>
      <c r="B8573" s="4" t="s">
        <v>19808</v>
      </c>
      <c r="C8573" s="4" t="str">
        <f ca="1">IFERROR(__xludf.DUMMYFUNCTION("GOOGLETRANSLATE(D:D,""auto"",""en"")"),"Harvard University President couple new crown diagnosed with pneumonia")</f>
        <v>Harvard University President couple new crown diagnosed with pneumonia</v>
      </c>
      <c r="D8573" s="5" t="s">
        <v>19809</v>
      </c>
      <c r="E8573" s="4">
        <v>292757</v>
      </c>
      <c r="F8573">
        <v>1</v>
      </c>
    </row>
    <row r="8574" spans="1:6" ht="13.5" hidden="1" customHeight="1">
      <c r="A8574" s="4" t="s">
        <v>19810</v>
      </c>
      <c r="B8574" s="4" t="s">
        <v>19811</v>
      </c>
      <c r="C8574" s="4" t="str">
        <f ca="1">IFERROR(__xludf.DUMMYFUNCTION("GOOGLETRANSLATE(D:D,""auto"",""en"")"),"Clippers $ 400 million acquisition of a new arena")</f>
        <v>Clippers $ 400 million acquisition of a new arena</v>
      </c>
      <c r="D8574" s="5" t="s">
        <v>19812</v>
      </c>
      <c r="E8574" s="4">
        <v>289900</v>
      </c>
    </row>
    <row r="8575" spans="1:6" ht="13.5" hidden="1" customHeight="1">
      <c r="C8575" s="4" t="str">
        <f ca="1">IFERROR(__xludf.DUMMYFUNCTION("GOOGLETRANSLATE(D:D,""auto"",""en"")"),"#VALUE!")</f>
        <v>#VALUE!</v>
      </c>
    </row>
    <row r="8576" spans="1:6" ht="13.5" hidden="1" customHeight="1">
      <c r="A8576" s="4" t="s">
        <v>19813</v>
      </c>
      <c r="B8576" s="4" t="s">
        <v>19814</v>
      </c>
      <c r="C8576" s="4" t="str">
        <f ca="1">IFERROR(__xludf.DUMMYFUNCTION("GOOGLETRANSLATE(D:D,""auto"",""en"")"),"Zhao Yi Huan love")</f>
        <v>Zhao Yi Huan love</v>
      </c>
      <c r="D8576" s="4" t="s">
        <v>19815</v>
      </c>
      <c r="E8576" s="4">
        <v>4374967</v>
      </c>
    </row>
    <row r="8577" spans="1:6" ht="13.5" hidden="1" customHeight="1">
      <c r="A8577" s="4" t="s">
        <v>19816</v>
      </c>
      <c r="B8577" s="4" t="s">
        <v>19817</v>
      </c>
      <c r="C8577" s="4" t="str">
        <f ca="1">IFERROR(__xludf.DUMMYFUNCTION("GOOGLETRANSLATE(D:D,""auto"",""en"")"),"Putin announced that Russia holiday one week")</f>
        <v>Putin announced that Russia holiday one week</v>
      </c>
      <c r="D8577" s="5" t="s">
        <v>19818</v>
      </c>
      <c r="E8577" s="4">
        <v>3418722</v>
      </c>
    </row>
    <row r="8578" spans="1:6" ht="13.5" hidden="1" customHeight="1">
      <c r="A8578" s="4" t="s">
        <v>19819</v>
      </c>
      <c r="B8578" s="4" t="s">
        <v>19820</v>
      </c>
      <c r="C8578" s="4" t="str">
        <f ca="1">IFERROR(__xludf.DUMMYFUNCTION("GOOGLETRANSLATE(D:D,""auto"",""en"")"),"Shen ice out of the race")</f>
        <v>Shen ice out of the race</v>
      </c>
      <c r="D8578" s="5" t="s">
        <v>19821</v>
      </c>
      <c r="E8578" s="4">
        <v>2667647</v>
      </c>
    </row>
    <row r="8579" spans="1:6" ht="13.5" hidden="1" customHeight="1">
      <c r="A8579" s="4" t="s">
        <v>19822</v>
      </c>
      <c r="B8579" s="4" t="s">
        <v>19823</v>
      </c>
      <c r="C8579" s="4" t="str">
        <f ca="1">IFERROR(__xludf.DUMMYFUNCTION("GOOGLETRANSLATE(D:D,""auto"",""en"")"),"Huang Zaitao drying and easy to smelt one thousand Xi photo")</f>
        <v>Huang Zaitao drying and easy to smelt one thousand Xi photo</v>
      </c>
      <c r="D8579" s="5" t="s">
        <v>19824</v>
      </c>
      <c r="E8579" s="4">
        <v>2639200</v>
      </c>
    </row>
    <row r="8580" spans="1:6" ht="13.5" customHeight="1">
      <c r="A8580" s="4" t="s">
        <v>19825</v>
      </c>
      <c r="B8580" s="4" t="s">
        <v>19826</v>
      </c>
      <c r="C8580" s="4" t="str">
        <f ca="1">IFERROR(__xludf.DUMMYFUNCTION("GOOGLETRANSLATE(D:D,""auto"",""en"")"),"Sichuan school time")</f>
        <v>Sichuan school time</v>
      </c>
      <c r="D8580" s="5" t="s">
        <v>19827</v>
      </c>
      <c r="E8580" s="4">
        <v>1458461</v>
      </c>
      <c r="F8580">
        <v>1</v>
      </c>
    </row>
    <row r="8581" spans="1:6" ht="13.5" hidden="1" customHeight="1">
      <c r="A8581" s="4" t="s">
        <v>19828</v>
      </c>
      <c r="B8581" s="4" t="s">
        <v>19829</v>
      </c>
      <c r="C8581" s="4" t="str">
        <f ca="1">IFERROR(__xludf.DUMMYFUNCTION("GOOGLETRANSLATE(D:D,""auto"",""en"")"),"Chinese students Wu Peng")</f>
        <v>Chinese students Wu Peng</v>
      </c>
      <c r="D8581" s="5" t="s">
        <v>19830</v>
      </c>
      <c r="E8581" s="4">
        <v>1121705</v>
      </c>
    </row>
    <row r="8582" spans="1:6" ht="13.5" hidden="1" customHeight="1">
      <c r="A8582" s="4" t="s">
        <v>4179</v>
      </c>
      <c r="B8582" s="4" t="s">
        <v>19831</v>
      </c>
      <c r="C8582" s="4" t="str">
        <f ca="1">IFERROR(__xludf.DUMMYFUNCTION("GOOGLETRANSLATE(D:D,""auto"",""en"")"),"Morning Afternoon stabbed his wife in a car accident")</f>
        <v>Morning Afternoon stabbed his wife in a car accident</v>
      </c>
      <c r="D8582" s="5" t="s">
        <v>19832</v>
      </c>
      <c r="E8582" s="4">
        <v>936334</v>
      </c>
    </row>
    <row r="8583" spans="1:6" ht="13.5" customHeight="1">
      <c r="A8583" s="4" t="s">
        <v>19833</v>
      </c>
      <c r="B8583" s="4" t="s">
        <v>19834</v>
      </c>
      <c r="C8583" s="4" t="str">
        <f ca="1">IFERROR(__xludf.DUMMYFUNCTION("GOOGLETRANSLATE(D:D,""auto"",""en"")"),"Zhong Nanshan is recommended to keep the second wave of anti-control measures")</f>
        <v>Zhong Nanshan is recommended to keep the second wave of anti-control measures</v>
      </c>
      <c r="D8583" s="5" t="s">
        <v>19835</v>
      </c>
      <c r="E8583" s="4">
        <v>768283</v>
      </c>
      <c r="F8583">
        <v>1</v>
      </c>
    </row>
    <row r="8584" spans="1:6" ht="13.5" customHeight="1">
      <c r="A8584" s="4" t="s">
        <v>19836</v>
      </c>
      <c r="B8584" s="4" t="s">
        <v>19837</v>
      </c>
      <c r="C8584" s="4" t="str">
        <f ca="1">IFERROR(__xludf.DUMMYFUNCTION("GOOGLETRANSLATE(D:D,""auto"",""en"")"),"Prince Charles nucleic acid testing positive for")</f>
        <v>Prince Charles nucleic acid testing positive for</v>
      </c>
      <c r="D8584" s="5" t="s">
        <v>19838</v>
      </c>
      <c r="E8584" s="4">
        <v>768235</v>
      </c>
      <c r="F8584">
        <v>1</v>
      </c>
    </row>
    <row r="8585" spans="1:6" ht="13.5" hidden="1" customHeight="1">
      <c r="A8585" s="4" t="s">
        <v>19839</v>
      </c>
      <c r="B8585" s="4" t="s">
        <v>19840</v>
      </c>
      <c r="C8585" s="4" t="str">
        <f ca="1">IFERROR(__xludf.DUMMYFUNCTION("GOOGLETRANSLATE(D:D,""auto"",""en"")"),"No. N paying members in the room popular artists")</f>
        <v>No. N paying members in the room popular artists</v>
      </c>
      <c r="D8585" s="5" t="s">
        <v>19841</v>
      </c>
      <c r="E8585" s="4">
        <v>767942</v>
      </c>
    </row>
    <row r="8586" spans="1:6" ht="13.5" hidden="1" customHeight="1">
      <c r="A8586" s="4" t="s">
        <v>19842</v>
      </c>
      <c r="B8586" s="4" t="s">
        <v>19843</v>
      </c>
      <c r="C8586" s="4" t="str">
        <f ca="1">IFERROR(__xludf.DUMMYFUNCTION("GOOGLETRANSLATE(D:D,""auto"",""en"")"),"CCTV assessment woman returning to the airport row")</f>
        <v>CCTV assessment woman returning to the airport row</v>
      </c>
      <c r="D8586" s="5" t="s">
        <v>19844</v>
      </c>
      <c r="E8586" s="4">
        <v>767572</v>
      </c>
    </row>
    <row r="8587" spans="1:6" ht="13.5" hidden="1" customHeight="1">
      <c r="A8587" s="4" t="s">
        <v>19845</v>
      </c>
      <c r="B8587" s="4" t="s">
        <v>19801</v>
      </c>
      <c r="C8587" s="4" t="str">
        <f ca="1">IFERROR(__xludf.DUMMYFUNCTION("GOOGLETRANSLATE(D:D,""auto"",""en"")"),"Zhoujie Qiong respond indicted")</f>
        <v>Zhoujie Qiong respond indicted</v>
      </c>
      <c r="D8587" s="5" t="s">
        <v>19846</v>
      </c>
      <c r="E8587" s="4">
        <v>767469</v>
      </c>
    </row>
    <row r="8588" spans="1:6" ht="13.5" hidden="1" customHeight="1">
      <c r="A8588" s="4" t="s">
        <v>19847</v>
      </c>
      <c r="B8588" s="4" t="s">
        <v>19848</v>
      </c>
      <c r="C8588" s="4" t="str">
        <f ca="1">IFERROR(__xludf.DUMMYFUNCTION("GOOGLETRANSLATE(D:D,""auto"",""en"")"),"Putin said it would postpone a referendum on constitutional amendments of Russia")</f>
        <v>Putin said it would postpone a referendum on constitutional amendments of Russia</v>
      </c>
      <c r="D8588" s="5" t="s">
        <v>19849</v>
      </c>
      <c r="E8588" s="4">
        <v>767221</v>
      </c>
    </row>
    <row r="8589" spans="1:6" ht="13.5" hidden="1" customHeight="1">
      <c r="A8589" s="4" t="s">
        <v>19850</v>
      </c>
      <c r="B8589" s="4" t="s">
        <v>19851</v>
      </c>
      <c r="C8589" s="4" t="str">
        <f ca="1">IFERROR(__xludf.DUMMYFUNCTION("GOOGLETRANSLATE(D:D,""auto"",""en"")"),"Queen of England March 12 met Prince Charles")</f>
        <v>Queen of England March 12 met Prince Charles</v>
      </c>
      <c r="D8589" s="5" t="s">
        <v>19852</v>
      </c>
      <c r="E8589" s="4">
        <v>766780</v>
      </c>
    </row>
    <row r="8590" spans="1:6" ht="13.5" hidden="1" customHeight="1">
      <c r="A8590" s="4" t="s">
        <v>19853</v>
      </c>
      <c r="B8590" s="4" t="s">
        <v>19854</v>
      </c>
      <c r="C8590" s="4" t="str">
        <f ca="1">IFERROR(__xludf.DUMMYFUNCTION("GOOGLETRANSLATE(D:D,""auto"",""en"")"),"Bach said the Tokyo Olympic Games is not limited in the summer")</f>
        <v>Bach said the Tokyo Olympic Games is not limited in the summer</v>
      </c>
      <c r="D8590" s="5" t="s">
        <v>19855</v>
      </c>
      <c r="E8590" s="4">
        <v>766602</v>
      </c>
    </row>
    <row r="8591" spans="1:6" ht="13.5" hidden="1" customHeight="1">
      <c r="A8591" s="4" t="s">
        <v>19856</v>
      </c>
      <c r="B8591" s="4" t="s">
        <v>19857</v>
      </c>
      <c r="C8591" s="4" t="str">
        <f ca="1">IFERROR(__xludf.DUMMYFUNCTION("GOOGLETRANSLATE(D:D,""auto"",""en"")"),"Yi Xi smelt one thousand ZhouDongYu")</f>
        <v>Yi Xi smelt one thousand ZhouDongYu</v>
      </c>
      <c r="D8591" s="5" t="s">
        <v>19858</v>
      </c>
      <c r="E8591" s="4">
        <v>766437</v>
      </c>
    </row>
    <row r="8592" spans="1:6" ht="13.5" customHeight="1">
      <c r="A8592" s="4" t="s">
        <v>19859</v>
      </c>
      <c r="B8592" s="4" t="s">
        <v>19860</v>
      </c>
      <c r="C8592" s="4" t="str">
        <f ca="1">IFERROR(__xludf.DUMMYFUNCTION("GOOGLETRANSLATE(D:D,""auto"",""en"")"),"Doctors warned the United States over the situation is getting worse")</f>
        <v>Doctors warned the United States over the situation is getting worse</v>
      </c>
      <c r="D8592" s="5" t="s">
        <v>19861</v>
      </c>
      <c r="E8592" s="4">
        <v>766241</v>
      </c>
      <c r="F8592">
        <v>1</v>
      </c>
    </row>
    <row r="8593" spans="1:6" ht="13.5" customHeight="1">
      <c r="A8593" s="4" t="s">
        <v>19862</v>
      </c>
      <c r="B8593" s="4" t="s">
        <v>19863</v>
      </c>
      <c r="C8593" s="4" t="str">
        <f ca="1">IFERROR(__xludf.DUMMYFUNCTION("GOOGLETRANSLATE(D:D,""auto"",""en"")"),"Masks export orders surge")</f>
        <v>Masks export orders surge</v>
      </c>
      <c r="D8593" s="5" t="s">
        <v>19864</v>
      </c>
      <c r="E8593" s="4">
        <v>731075</v>
      </c>
      <c r="F8593">
        <v>1</v>
      </c>
    </row>
    <row r="8594" spans="1:6" ht="13.5" customHeight="1">
      <c r="A8594" s="4" t="s">
        <v>19865</v>
      </c>
      <c r="B8594" s="4" t="s">
        <v>19817</v>
      </c>
      <c r="C8594" s="4" t="str">
        <f ca="1">IFERROR(__xludf.DUMMYFUNCTION("GOOGLETRANSLATE(D:D,""auto"",""en"")"),"Indian doctors discriminated against because of the fight against SARS")</f>
        <v>Indian doctors discriminated against because of the fight against SARS</v>
      </c>
      <c r="D8594" s="5" t="s">
        <v>19866</v>
      </c>
      <c r="E8594" s="4">
        <v>701965</v>
      </c>
      <c r="F8594">
        <v>1</v>
      </c>
    </row>
    <row r="8595" spans="1:6" ht="13.5" hidden="1" customHeight="1">
      <c r="A8595" s="4" t="s">
        <v>19867</v>
      </c>
      <c r="B8595" s="4" t="s">
        <v>19868</v>
      </c>
      <c r="C8595" s="4" t="str">
        <f ca="1">IFERROR(__xludf.DUMMYFUNCTION("GOOGLETRANSLATE(D:D,""auto"",""en"")"),"New York City one day nearly 3,000 police officers call in sick")</f>
        <v>New York City one day nearly 3,000 police officers call in sick</v>
      </c>
      <c r="D8595" s="5" t="s">
        <v>19869</v>
      </c>
      <c r="E8595" s="4">
        <v>666555</v>
      </c>
    </row>
    <row r="8596" spans="1:6" ht="13.5" customHeight="1">
      <c r="A8596" s="4" t="s">
        <v>19870</v>
      </c>
      <c r="B8596" s="4" t="s">
        <v>19871</v>
      </c>
      <c r="C8596" s="4" t="str">
        <f ca="1">IFERROR(__xludf.DUMMYFUNCTION("GOOGLETRANSLATE(D:D,""auto"",""en"")"),"Wu Lei nucleic acid test was negative")</f>
        <v>Wu Lei nucleic acid test was negative</v>
      </c>
      <c r="D8596" s="5" t="s">
        <v>19872</v>
      </c>
      <c r="E8596" s="4">
        <v>530225</v>
      </c>
      <c r="F8596">
        <v>1</v>
      </c>
    </row>
    <row r="8597" spans="1:6" ht="13.5" hidden="1" customHeight="1">
      <c r="A8597" s="4" t="s">
        <v>19492</v>
      </c>
      <c r="B8597" s="4" t="s">
        <v>19457</v>
      </c>
      <c r="C8597" s="4" t="str">
        <f ca="1">IFERROR(__xludf.DUMMYFUNCTION("GOOGLETRANSLATE(D:D,""auto"",""en"")"),"Shen ice")</f>
        <v>Shen ice</v>
      </c>
      <c r="D8597" s="5" t="s">
        <v>19493</v>
      </c>
      <c r="E8597" s="4">
        <v>522684</v>
      </c>
    </row>
    <row r="8598" spans="1:6" ht="13.5" hidden="1" customHeight="1">
      <c r="A8598" s="4" t="s">
        <v>19859</v>
      </c>
      <c r="B8598" s="4" t="s">
        <v>19873</v>
      </c>
      <c r="C8598" s="4" t="str">
        <f ca="1">IFERROR(__xludf.DUMMYFUNCTION("GOOGLETRANSLATE(D:D,""auto"",""en"")"),"People kneeling fairy opening a cover")</f>
        <v>People kneeling fairy opening a cover</v>
      </c>
      <c r="D8598" s="5" t="s">
        <v>19874</v>
      </c>
      <c r="E8598" s="4">
        <v>514584</v>
      </c>
    </row>
    <row r="8599" spans="1:6" ht="13.5" customHeight="1">
      <c r="A8599" s="4" t="s">
        <v>19875</v>
      </c>
      <c r="B8599" s="4" t="s">
        <v>19876</v>
      </c>
      <c r="C8599" s="4" t="str">
        <f ca="1">IFERROR(__xludf.DUMMYFUNCTION("GOOGLETRANSLATE(D:D,""auto"",""en"")"),"Swedish Environmental girl claiming to be very likely to infect new crown")</f>
        <v>Swedish Environmental girl claiming to be very likely to infect new crown</v>
      </c>
      <c r="D8599" s="5" t="s">
        <v>19877</v>
      </c>
      <c r="E8599" s="4">
        <v>470505</v>
      </c>
      <c r="F8599">
        <v>1</v>
      </c>
    </row>
    <row r="8600" spans="1:6" ht="13.5" customHeight="1">
      <c r="A8600" s="4" t="s">
        <v>19878</v>
      </c>
      <c r="B8600" s="4" t="s">
        <v>19879</v>
      </c>
      <c r="C8600" s="4" t="str">
        <f ca="1">IFERROR(__xludf.DUMMYFUNCTION("GOOGLETRANSLATE(D:D,""auto"",""en"")"),"E nurse aid to do so cavalry riding motorcycle")</f>
        <v>E nurse aid to do so cavalry riding motorcycle</v>
      </c>
      <c r="D8600" s="5" t="s">
        <v>19880</v>
      </c>
      <c r="E8600" s="4">
        <v>451879</v>
      </c>
      <c r="F8600">
        <v>1</v>
      </c>
    </row>
    <row r="8601" spans="1:6" ht="13.5" hidden="1" customHeight="1">
      <c r="A8601" s="4" t="s">
        <v>19881</v>
      </c>
      <c r="B8601" s="4" t="s">
        <v>19879</v>
      </c>
      <c r="C8601" s="4" t="str">
        <f ca="1">IFERROR(__xludf.DUMMYFUNCTION("GOOGLETRANSLATE(D:D,""auto"",""en"")"),"Yang Mi-painted cover")</f>
        <v>Yang Mi-painted cover</v>
      </c>
      <c r="D8601" s="5" t="s">
        <v>19882</v>
      </c>
      <c r="E8601" s="4">
        <v>436186</v>
      </c>
    </row>
    <row r="8602" spans="1:6" ht="13.5" hidden="1" customHeight="1">
      <c r="A8602" s="4" t="s">
        <v>19883</v>
      </c>
      <c r="B8602" s="4" t="s">
        <v>19884</v>
      </c>
      <c r="C8602" s="4" t="str">
        <f ca="1">IFERROR(__xludf.DUMMYFUNCTION("GOOGLETRANSLATE(D:D,""auto"",""en"")"),"Liu Hao Ran demon cat Dingzhuang Zhao Chuan")</f>
        <v>Liu Hao Ran demon cat Dingzhuang Zhao Chuan</v>
      </c>
      <c r="D8602" s="5" t="s">
        <v>19885</v>
      </c>
      <c r="E8602" s="4">
        <v>422547</v>
      </c>
    </row>
    <row r="8603" spans="1:6" ht="13.5" customHeight="1">
      <c r="A8603" s="4" t="s">
        <v>19886</v>
      </c>
      <c r="B8603" s="4" t="s">
        <v>19873</v>
      </c>
      <c r="C8603" s="4" t="str">
        <f ca="1">IFERROR(__xludf.DUMMYFUNCTION("GOOGLETRANSLATE(D:D,""auto"",""en"")"),"Chinese painting version Zhong Nanshan")</f>
        <v>Chinese painting version Zhong Nanshan</v>
      </c>
      <c r="D8603" s="5" t="s">
        <v>19887</v>
      </c>
      <c r="E8603" s="4">
        <v>391110</v>
      </c>
      <c r="F8603">
        <v>1</v>
      </c>
    </row>
    <row r="8604" spans="1:6" ht="13.5" hidden="1" customHeight="1">
      <c r="A8604" s="4" t="s">
        <v>19839</v>
      </c>
      <c r="B8604" s="4" t="s">
        <v>19888</v>
      </c>
      <c r="C8604" s="4" t="str">
        <f ca="1">IFERROR(__xludf.DUMMYFUNCTION("GOOGLETRANSLATE(D:D,""auto"",""en"")"),"Madrid Ice Palace converted morgue")</f>
        <v>Madrid Ice Palace converted morgue</v>
      </c>
      <c r="D8604" s="5" t="s">
        <v>19889</v>
      </c>
      <c r="E8604" s="4">
        <v>375067</v>
      </c>
    </row>
    <row r="8605" spans="1:6" ht="13.5" hidden="1" customHeight="1">
      <c r="A8605" s="4" t="s">
        <v>19890</v>
      </c>
      <c r="B8605" s="4" t="s">
        <v>19891</v>
      </c>
      <c r="C8605" s="4" t="str">
        <f ca="1">IFERROR(__xludf.DUMMYFUNCTION("GOOGLETRANSLATE(D:D,""auto"",""en"")"),"Those small snacks you eat large")</f>
        <v>Those small snacks you eat large</v>
      </c>
      <c r="D8605" s="5" t="s">
        <v>19892</v>
      </c>
      <c r="E8605" s="4">
        <v>340917</v>
      </c>
    </row>
    <row r="8606" spans="1:6" ht="13.5" hidden="1" customHeight="1">
      <c r="A8606" s="4" t="s">
        <v>19893</v>
      </c>
      <c r="B8606" s="4" t="s">
        <v>19894</v>
      </c>
      <c r="C8606" s="4" t="str">
        <f ca="1">IFERROR(__xludf.DUMMYFUNCTION("GOOGLETRANSLATE(D:D,""auto"",""en"")"),"N number of victims, there are artists room")</f>
        <v>N number of victims, there are artists room</v>
      </c>
      <c r="D8606" s="5" t="s">
        <v>19895</v>
      </c>
      <c r="E8606" s="4">
        <v>331125</v>
      </c>
    </row>
    <row r="8607" spans="1:6" ht="13.5" hidden="1" customHeight="1">
      <c r="A8607" s="4" t="s">
        <v>19896</v>
      </c>
      <c r="B8607" s="4" t="s">
        <v>19897</v>
      </c>
      <c r="C8607" s="4" t="str">
        <f ca="1">IFERROR(__xludf.DUMMYFUNCTION("GOOGLETRANSLATE(D:D,""auto"",""en"")"),"Lee Min Ho naval uniform")</f>
        <v>Lee Min Ho naval uniform</v>
      </c>
      <c r="D8607" s="5" t="s">
        <v>19898</v>
      </c>
      <c r="E8607" s="4">
        <v>320664</v>
      </c>
    </row>
    <row r="8608" spans="1:6" ht="13.5" hidden="1" customHeight="1">
      <c r="A8608" s="4" t="s">
        <v>19899</v>
      </c>
      <c r="B8608" s="4" t="s">
        <v>19814</v>
      </c>
      <c r="C8608" s="4" t="str">
        <f ca="1">IFERROR(__xludf.DUMMYFUNCTION("GOOGLETRANSLATE(D:D,""auto"",""en"")"),"Canada's WestJet will lay off 6900 people")</f>
        <v>Canada's WestJet will lay off 6900 people</v>
      </c>
      <c r="D8608" s="5" t="s">
        <v>19900</v>
      </c>
      <c r="E8608" s="4">
        <v>308741</v>
      </c>
    </row>
    <row r="8609" spans="1:6" ht="13.5" hidden="1" customHeight="1">
      <c r="A8609" s="4" t="s">
        <v>19901</v>
      </c>
      <c r="B8609" s="4" t="s">
        <v>19902</v>
      </c>
      <c r="C8609" s="4" t="str">
        <f ca="1">IFERROR(__xludf.DUMMYFUNCTION("GOOGLETRANSLATE(D:D,""auto"",""en"")"),"Aso Tucao Europe")</f>
        <v>Aso Tucao Europe</v>
      </c>
      <c r="D8609" s="5" t="s">
        <v>19903</v>
      </c>
      <c r="E8609" s="4">
        <v>305103</v>
      </c>
    </row>
    <row r="8610" spans="1:6" ht="13.5" hidden="1" customHeight="1">
      <c r="A8610" s="4" t="s">
        <v>19890</v>
      </c>
      <c r="B8610" s="4" t="s">
        <v>19904</v>
      </c>
      <c r="C8610" s="4" t="str">
        <f ca="1">IFERROR(__xludf.DUMMYFUNCTION("GOOGLETRANSLATE(D:D,""auto"",""en"")"),"British police advised people to go home in the sun with a big horn")</f>
        <v>British police advised people to go home in the sun with a big horn</v>
      </c>
      <c r="D8610" s="5" t="s">
        <v>19905</v>
      </c>
      <c r="E8610" s="4">
        <v>304104</v>
      </c>
    </row>
    <row r="8611" spans="1:6" ht="13.5" hidden="1" customHeight="1">
      <c r="A8611" s="4" t="s">
        <v>4179</v>
      </c>
      <c r="B8611" s="4" t="s">
        <v>4180</v>
      </c>
      <c r="C8611" s="4" t="str">
        <f ca="1">IFERROR(__xludf.DUMMYFUNCTION("GOOGLETRANSLATE(D:D,""auto"",""en"")"),"Pu Canlie live")</f>
        <v>Pu Canlie live</v>
      </c>
      <c r="D8611" s="5" t="s">
        <v>4181</v>
      </c>
      <c r="E8611" s="4">
        <v>303475</v>
      </c>
    </row>
    <row r="8612" spans="1:6" ht="13.5" hidden="1" customHeight="1">
      <c r="A8612" s="4" t="s">
        <v>19839</v>
      </c>
      <c r="B8612" s="4" t="s">
        <v>19873</v>
      </c>
      <c r="C8612" s="4" t="str">
        <f ca="1">IFERROR(__xludf.DUMMYFUNCTION("GOOGLETRANSLATE(D:D,""auto"",""en"")"),"More than 10 vehicles staged car textbook give way")</f>
        <v>More than 10 vehicles staged car textbook give way</v>
      </c>
      <c r="D8612" s="5" t="s">
        <v>19906</v>
      </c>
      <c r="E8612" s="4">
        <v>294370</v>
      </c>
    </row>
    <row r="8613" spans="1:6" ht="13.5" customHeight="1">
      <c r="A8613" s="4" t="s">
        <v>19907</v>
      </c>
      <c r="B8613" s="4" t="s">
        <v>19908</v>
      </c>
      <c r="C8613" s="4" t="str">
        <f ca="1">IFERROR(__xludf.DUMMYFUNCTION("GOOGLETRANSLATE(D:D,""auto"",""en"")"),"Wearing masks of social security")</f>
        <v>Wearing masks of social security</v>
      </c>
      <c r="D8613" s="5" t="s">
        <v>19909</v>
      </c>
      <c r="E8613" s="4">
        <v>257937</v>
      </c>
      <c r="F8613">
        <v>1</v>
      </c>
    </row>
    <row r="8614" spans="1:6" ht="13.5" hidden="1" customHeight="1">
      <c r="A8614" s="4" t="s">
        <v>19910</v>
      </c>
      <c r="B8614" s="4" t="s">
        <v>19911</v>
      </c>
      <c r="C8614" s="4" t="str">
        <f ca="1">IFERROR(__xludf.DUMMYFUNCTION("GOOGLETRANSLATE(D:D,""auto"",""en"")"),"Rabbit eye shadow")</f>
        <v>Rabbit eye shadow</v>
      </c>
      <c r="D8614" s="5" t="s">
        <v>19912</v>
      </c>
      <c r="E8614" s="4">
        <v>247735</v>
      </c>
    </row>
    <row r="8615" spans="1:6" ht="13.5" hidden="1" customHeight="1">
      <c r="A8615" s="4" t="s">
        <v>19913</v>
      </c>
      <c r="B8615" s="4" t="s">
        <v>19914</v>
      </c>
      <c r="C8615" s="4" t="str">
        <f ca="1">IFERROR(__xludf.DUMMYFUNCTION("GOOGLETRANSLATE(D:D,""auto"",""en"")"),"Serbia balcony grandmother walking the dog")</f>
        <v>Serbia balcony grandmother walking the dog</v>
      </c>
      <c r="D8615" s="5" t="s">
        <v>19915</v>
      </c>
      <c r="E8615" s="4">
        <v>219469</v>
      </c>
    </row>
    <row r="8616" spans="1:6" ht="13.5" hidden="1" customHeight="1">
      <c r="A8616" s="4" t="s">
        <v>19853</v>
      </c>
      <c r="B8616" s="4" t="s">
        <v>19916</v>
      </c>
      <c r="C8616" s="4" t="str">
        <f ca="1">IFERROR(__xludf.DUMMYFUNCTION("GOOGLETRANSLATE(D:D,""auto"",""en"")"),"Cai Xu Kun glasses makeup selfie")</f>
        <v>Cai Xu Kun glasses makeup selfie</v>
      </c>
      <c r="D8616" s="5" t="s">
        <v>19917</v>
      </c>
      <c r="E8616" s="4">
        <v>219316</v>
      </c>
    </row>
    <row r="8617" spans="1:6" ht="13.5" hidden="1" customHeight="1">
      <c r="A8617" s="4" t="s">
        <v>19918</v>
      </c>
      <c r="B8617" s="4" t="s">
        <v>19919</v>
      </c>
      <c r="C8617" s="4" t="str">
        <f ca="1">IFERROR(__xludf.DUMMYFUNCTION("GOOGLETRANSLATE(D:D,""auto"",""en"")"),"Yoon fajitas at a chew 121")</f>
        <v>Yoon fajitas at a chew 121</v>
      </c>
      <c r="D8617" s="5" t="s">
        <v>19920</v>
      </c>
      <c r="E8617" s="4">
        <v>218032</v>
      </c>
    </row>
    <row r="8618" spans="1:6" ht="13.5" hidden="1" customHeight="1">
      <c r="A8618" s="4" t="s">
        <v>19921</v>
      </c>
      <c r="B8618" s="4" t="s">
        <v>19922</v>
      </c>
      <c r="C8618" s="4" t="str">
        <f ca="1">IFERROR(__xludf.DUMMYFUNCTION("GOOGLETRANSLATE(D:D,""auto"",""en"")"),"Looks lovely and useless")</f>
        <v>Looks lovely and useless</v>
      </c>
      <c r="D8618" s="5" t="s">
        <v>19923</v>
      </c>
      <c r="E8618" s="4">
        <v>216057</v>
      </c>
    </row>
    <row r="8619" spans="1:6" ht="13.5" hidden="1" customHeight="1">
      <c r="A8619" s="4" t="s">
        <v>19853</v>
      </c>
      <c r="B8619" s="4" t="s">
        <v>19829</v>
      </c>
      <c r="C8619" s="4" t="str">
        <f ca="1">IFERROR(__xludf.DUMMYFUNCTION("GOOGLETRANSLATE(D:D,""auto"",""en"")"),"No Yuba Sanxiandoupi")</f>
        <v>No Yuba Sanxiandoupi</v>
      </c>
      <c r="D8619" s="5" t="s">
        <v>19924</v>
      </c>
      <c r="E8619" s="4">
        <v>179417</v>
      </c>
    </row>
    <row r="8620" spans="1:6" ht="13.5" customHeight="1">
      <c r="A8620" s="4" t="s">
        <v>19925</v>
      </c>
      <c r="B8620" s="4" t="s">
        <v>19926</v>
      </c>
      <c r="C8620" s="4" t="str">
        <f ca="1">IFERROR(__xludf.DUMMYFUNCTION("GOOGLETRANSLATE(D:D,""auto"",""en"")"),"Prince Charles could not confirm where the virus")</f>
        <v>Prince Charles could not confirm where the virus</v>
      </c>
      <c r="D8620" s="5" t="s">
        <v>19927</v>
      </c>
      <c r="E8620" s="4">
        <v>178524</v>
      </c>
      <c r="F8620">
        <v>1</v>
      </c>
    </row>
    <row r="8621" spans="1:6" ht="13.5" hidden="1" customHeight="1">
      <c r="A8621" s="4" t="s">
        <v>18978</v>
      </c>
      <c r="B8621" s="4" t="s">
        <v>19928</v>
      </c>
      <c r="C8621" s="4" t="str">
        <f ca="1">IFERROR(__xludf.DUMMYFUNCTION("GOOGLETRANSLATE(D:D,""auto"",""en"")"),"Are you sure young Remapping")</f>
        <v>Are you sure young Remapping</v>
      </c>
      <c r="D8621" s="5" t="s">
        <v>19929</v>
      </c>
      <c r="E8621" s="4">
        <v>178510</v>
      </c>
    </row>
    <row r="8622" spans="1:6" ht="13.5" hidden="1" customHeight="1">
      <c r="A8622" s="4" t="s">
        <v>19930</v>
      </c>
      <c r="B8622" s="4" t="s">
        <v>19931</v>
      </c>
      <c r="C8622" s="4" t="str">
        <f ca="1">IFERROR(__xludf.DUMMYFUNCTION("GOOGLETRANSLATE(D:D,""auto"",""en"")"),"Queen of England")</f>
        <v>Queen of England</v>
      </c>
      <c r="D8622" s="5" t="s">
        <v>19932</v>
      </c>
      <c r="E8622" s="4">
        <v>166270</v>
      </c>
    </row>
    <row r="8623" spans="1:6" ht="13.5" hidden="1" customHeight="1">
      <c r="A8623" s="4" t="s">
        <v>19847</v>
      </c>
      <c r="B8623" s="4" t="s">
        <v>19733</v>
      </c>
      <c r="C8623" s="4" t="str">
        <f ca="1">IFERROR(__xludf.DUMMYFUNCTION("GOOGLETRANSLATE(D:D,""auto"",""en"")"),"Pledis prosecution Zhoujie Qiong")</f>
        <v>Pledis prosecution Zhoujie Qiong</v>
      </c>
      <c r="D8623" s="5" t="s">
        <v>19933</v>
      </c>
      <c r="E8623" s="4">
        <v>142107</v>
      </c>
    </row>
    <row r="8624" spans="1:6" ht="13.5" customHeight="1">
      <c r="A8624" s="4" t="s">
        <v>19934</v>
      </c>
      <c r="B8624" s="4" t="s">
        <v>19914</v>
      </c>
      <c r="C8624" s="4" t="str">
        <f ca="1">IFERROR(__xludf.DUMMYFUNCTION("GOOGLETRANSLATE(D:D,""auto"",""en"")"),"Zhong Nanshan team finalists nominated for the National Science and Technology Award")</f>
        <v>Zhong Nanshan team finalists nominated for the National Science and Technology Award</v>
      </c>
      <c r="D8624" s="5" t="s">
        <v>19935</v>
      </c>
      <c r="E8624" s="4">
        <v>104516</v>
      </c>
      <c r="F8624">
        <v>1</v>
      </c>
    </row>
    <row r="8625" spans="1:6" ht="13.5" hidden="1" customHeight="1">
      <c r="A8625" s="4" t="s">
        <v>19936</v>
      </c>
      <c r="B8625" s="4" t="s">
        <v>19700</v>
      </c>
      <c r="C8625" s="4" t="str">
        <f ca="1">IFERROR(__xludf.DUMMYFUNCTION("GOOGLETRANSLATE(D:D,""auto"",""en"")"),"Gates said the economy should be willing to sacrifice life guard")</f>
        <v>Gates said the economy should be willing to sacrifice life guard</v>
      </c>
      <c r="D8625" s="5" t="s">
        <v>19937</v>
      </c>
      <c r="E8625" s="4">
        <v>71741</v>
      </c>
    </row>
    <row r="8626" spans="1:6" ht="13.5" hidden="1" customHeight="1">
      <c r="C8626" s="4" t="str">
        <f ca="1">IFERROR(__xludf.DUMMYFUNCTION("GOOGLETRANSLATE(D:D,""auto"",""en"")"),"#VALUE!")</f>
        <v>#VALUE!</v>
      </c>
    </row>
    <row r="8627" spans="1:6" ht="13.5" hidden="1" customHeight="1">
      <c r="A8627" s="4" t="s">
        <v>19938</v>
      </c>
      <c r="B8627" s="4" t="s">
        <v>19939</v>
      </c>
      <c r="C8627" s="4" t="str">
        <f ca="1">IFERROR(__xludf.DUMMYFUNCTION("GOOGLETRANSLATE(D:D,""auto"",""en"")"),"N, room vocal victims")</f>
        <v>N, room vocal victims</v>
      </c>
      <c r="D8627" s="4" t="s">
        <v>19940</v>
      </c>
      <c r="E8627" s="4">
        <v>3571094</v>
      </c>
    </row>
    <row r="8628" spans="1:6" ht="13.5" hidden="1" customHeight="1">
      <c r="A8628" s="4" t="s">
        <v>19941</v>
      </c>
      <c r="B8628" s="4" t="s">
        <v>19942</v>
      </c>
      <c r="C8628" s="4" t="str">
        <f ca="1">IFERROR(__xludf.DUMMYFUNCTION("GOOGLETRANSLATE(D:D,""auto"",""en"")"),"China has announced to provide assistance to 83 countries")</f>
        <v>China has announced to provide assistance to 83 countries</v>
      </c>
      <c r="D8628" s="5" t="s">
        <v>19943</v>
      </c>
      <c r="E8628" s="4">
        <v>2885921</v>
      </c>
    </row>
    <row r="8629" spans="1:6" ht="13.5" hidden="1" customHeight="1">
      <c r="A8629" s="4" t="s">
        <v>19944</v>
      </c>
      <c r="B8629" s="4" t="s">
        <v>19942</v>
      </c>
      <c r="C8629" s="4" t="str">
        <f ca="1">IFERROR(__xludf.DUMMYFUNCTION("GOOGLETRANSLATE(D:D,""auto"",""en"")"),"Italian Foreign Minister said that join along the way can help")</f>
        <v>Italian Foreign Minister said that join along the way can help</v>
      </c>
      <c r="D8629" s="5" t="s">
        <v>19945</v>
      </c>
      <c r="E8629" s="4">
        <v>1810376</v>
      </c>
    </row>
    <row r="8630" spans="1:6" ht="13.5" customHeight="1">
      <c r="A8630" s="4" t="s">
        <v>19946</v>
      </c>
      <c r="B8630" s="4" t="s">
        <v>19947</v>
      </c>
      <c r="C8630" s="4" t="str">
        <f ca="1">IFERROR(__xludf.DUMMYFUNCTION("GOOGLETRANSLATE(D:D,""auto"",""en"")"),"Beijing will have to wear masks flu written into statute")</f>
        <v>Beijing will have to wear masks flu written into statute</v>
      </c>
      <c r="D8630" s="5" t="s">
        <v>19948</v>
      </c>
      <c r="E8630" s="4">
        <v>1697989</v>
      </c>
      <c r="F8630">
        <v>1</v>
      </c>
    </row>
    <row r="8631" spans="1:6" ht="13.5" customHeight="1">
      <c r="A8631" s="4" t="s">
        <v>19949</v>
      </c>
      <c r="B8631" s="4" t="s">
        <v>19893</v>
      </c>
      <c r="C8631" s="4" t="str">
        <f ca="1">IFERROR(__xludf.DUMMYFUNCTION("GOOGLETRANSLATE(D:D,""auto"",""en"")"),"Chongqing rebate Busan, South Korea 60,000 masks")</f>
        <v>Chongqing rebate Busan, South Korea 60,000 masks</v>
      </c>
      <c r="D8631" s="5" t="s">
        <v>19950</v>
      </c>
      <c r="E8631" s="4">
        <v>1337235</v>
      </c>
      <c r="F8631">
        <v>1</v>
      </c>
    </row>
    <row r="8632" spans="1:6" ht="13.5" hidden="1" customHeight="1">
      <c r="A8632" s="4" t="s">
        <v>19951</v>
      </c>
      <c r="B8632" s="4" t="s">
        <v>19862</v>
      </c>
      <c r="C8632" s="4" t="str">
        <f ca="1">IFERROR(__xludf.DUMMYFUNCTION("GOOGLETRANSLATE(D:D,""auto"",""en"")"),"Over the past decade the latest cold wave warning")</f>
        <v>Over the past decade the latest cold wave warning</v>
      </c>
      <c r="D8632" s="5" t="s">
        <v>19952</v>
      </c>
      <c r="E8632" s="4">
        <v>1326685</v>
      </c>
    </row>
    <row r="8633" spans="1:6" ht="13.5" customHeight="1">
      <c r="A8633" s="4" t="s">
        <v>19953</v>
      </c>
      <c r="B8633" s="4" t="s">
        <v>19839</v>
      </c>
      <c r="C8633" s="4" t="str">
        <f ca="1">IFERROR(__xludf.DUMMYFUNCTION("GOOGLETRANSLATE(D:D,""auto"",""en"")"),"Italy is another nurse committed suicide due to infection")</f>
        <v>Italy is another nurse committed suicide due to infection</v>
      </c>
      <c r="D8633" s="5" t="s">
        <v>19954</v>
      </c>
      <c r="E8633" s="4">
        <v>1056414</v>
      </c>
      <c r="F8633">
        <v>1</v>
      </c>
    </row>
    <row r="8634" spans="1:6" ht="13.5" hidden="1" customHeight="1">
      <c r="A8634" s="4" t="s">
        <v>19955</v>
      </c>
      <c r="B8634" s="4" t="s">
        <v>19956</v>
      </c>
      <c r="C8634" s="4" t="str">
        <f ca="1">IFERROR(__xludf.DUMMYFUNCTION("GOOGLETRANSLATE(D:D,""auto"",""en"")"),"China has sent seven batches of five countries expert group")</f>
        <v>China has sent seven batches of five countries expert group</v>
      </c>
      <c r="D8634" s="5" t="s">
        <v>19957</v>
      </c>
      <c r="E8634" s="4">
        <v>1002276</v>
      </c>
    </row>
    <row r="8635" spans="1:6" ht="13.5" hidden="1" customHeight="1">
      <c r="A8635" s="4" t="s">
        <v>19951</v>
      </c>
      <c r="B8635" s="4" t="s">
        <v>19958</v>
      </c>
      <c r="C8635" s="4" t="str">
        <f ca="1">IFERROR(__xludf.DUMMYFUNCTION("GOOGLETRANSLATE(D:D,""auto"",""en"")"),"March three")</f>
        <v>March three</v>
      </c>
      <c r="D8635" s="5" t="s">
        <v>19959</v>
      </c>
      <c r="E8635" s="4">
        <v>952732</v>
      </c>
    </row>
    <row r="8636" spans="1:6" ht="13.5" hidden="1" customHeight="1">
      <c r="A8636" s="4" t="s">
        <v>19960</v>
      </c>
      <c r="B8636" s="4" t="s">
        <v>19956</v>
      </c>
      <c r="C8636" s="4" t="str">
        <f ca="1">IFERROR(__xludf.DUMMYFUNCTION("GOOGLETRANSLATE(D:D,""auto"",""en"")"),"Various forms of multinational timely thank China")</f>
        <v>Various forms of multinational timely thank China</v>
      </c>
      <c r="D8636" s="5" t="s">
        <v>19961</v>
      </c>
      <c r="E8636" s="4">
        <v>896409</v>
      </c>
    </row>
    <row r="8637" spans="1:6" ht="13.5" hidden="1" customHeight="1">
      <c r="A8637" s="4" t="s">
        <v>19962</v>
      </c>
      <c r="B8637" s="4" t="s">
        <v>19963</v>
      </c>
      <c r="C8637" s="4" t="str">
        <f ca="1">IFERROR(__xludf.DUMMYFUNCTION("GOOGLETRANSLATE(D:D,""auto"",""en"")"),"China will timely sharing of data and the results of the world")</f>
        <v>China will timely sharing of data and the results of the world</v>
      </c>
      <c r="D8637" s="5" t="s">
        <v>19964</v>
      </c>
      <c r="E8637" s="4">
        <v>888312</v>
      </c>
    </row>
    <row r="8638" spans="1:6" ht="13.5" customHeight="1">
      <c r="A8638" s="4" t="s">
        <v>19965</v>
      </c>
      <c r="B8638" s="4" t="s">
        <v>19942</v>
      </c>
      <c r="C8638" s="4" t="str">
        <f ca="1">IFERROR(__xludf.DUMMYFUNCTION("GOOGLETRANSLATE(D:D,""auto"",""en"")"),"Fujian Start dates")</f>
        <v>Fujian Start dates</v>
      </c>
      <c r="D8638" s="5" t="s">
        <v>19966</v>
      </c>
      <c r="E8638" s="4">
        <v>828776</v>
      </c>
      <c r="F8638">
        <v>1</v>
      </c>
    </row>
    <row r="8639" spans="1:6" ht="13.5" hidden="1" customHeight="1">
      <c r="A8639" s="4" t="s">
        <v>19967</v>
      </c>
      <c r="B8639" s="4" t="s">
        <v>19968</v>
      </c>
      <c r="C8639" s="4" t="str">
        <f ca="1">IFERROR(__xludf.DUMMYFUNCTION("GOOGLETRANSLATE(D:D,""auto"",""en"")"),"Thailand reconnects pregnant women about the details of the incident")</f>
        <v>Thailand reconnects pregnant women about the details of the incident</v>
      </c>
      <c r="D8639" s="5" t="s">
        <v>19969</v>
      </c>
      <c r="E8639" s="4">
        <v>744196</v>
      </c>
    </row>
    <row r="8640" spans="1:6" ht="13.5" hidden="1" customHeight="1">
      <c r="A8640" s="4" t="s">
        <v>19970</v>
      </c>
      <c r="B8640" s="4" t="s">
        <v>19971</v>
      </c>
      <c r="C8640" s="4" t="str">
        <f ca="1">IFERROR(__xludf.DUMMYFUNCTION("GOOGLETRANSLATE(D:D,""auto"",""en"")"),"Rely on sound to recognize each other's eyes again embracing couple")</f>
        <v>Rely on sound to recognize each other's eyes again embracing couple</v>
      </c>
      <c r="D8640" s="5" t="s">
        <v>19972</v>
      </c>
      <c r="E8640" s="4">
        <v>704730</v>
      </c>
    </row>
    <row r="8641" spans="1:6" ht="13.5" customHeight="1">
      <c r="A8641" s="4" t="s">
        <v>19970</v>
      </c>
      <c r="B8641" s="4" t="s">
        <v>19973</v>
      </c>
      <c r="C8641" s="4" t="str">
        <f ca="1">IFERROR(__xludf.DUMMYFUNCTION("GOOGLETRANSLATE(D:D,""auto"",""en"")"),"US crown new confirmed cases has reached 62,086 cases of pneumonia")</f>
        <v>US crown new confirmed cases has reached 62,086 cases of pneumonia</v>
      </c>
      <c r="D8641" s="5" t="s">
        <v>19974</v>
      </c>
      <c r="E8641" s="4">
        <v>654571</v>
      </c>
      <c r="F8641">
        <v>1</v>
      </c>
    </row>
    <row r="8642" spans="1:6" ht="13.5" hidden="1" customHeight="1">
      <c r="A8642" s="4" t="s">
        <v>19975</v>
      </c>
      <c r="B8642" s="4" t="s">
        <v>19976</v>
      </c>
      <c r="C8642" s="4" t="str">
        <f ca="1">IFERROR(__xludf.DUMMYFUNCTION("GOOGLETRANSLATE(D:D,""auto"",""en"")"),"ZhouDongYu")</f>
        <v>ZhouDongYu</v>
      </c>
      <c r="D8642" s="5" t="s">
        <v>19977</v>
      </c>
      <c r="E8642" s="4">
        <v>653199</v>
      </c>
    </row>
    <row r="8643" spans="1:6" ht="13.5" hidden="1" customHeight="1">
      <c r="A8643" s="4" t="s">
        <v>19960</v>
      </c>
      <c r="B8643" s="4" t="s">
        <v>19971</v>
      </c>
      <c r="C8643" s="4" t="str">
        <f ca="1">IFERROR(__xludf.DUMMYFUNCTION("GOOGLETRANSLATE(D:D,""auto"",""en"")"),"Ma said should not cry for help cynicism")</f>
        <v>Ma said should not cry for help cynicism</v>
      </c>
      <c r="D8643" s="5" t="s">
        <v>19978</v>
      </c>
      <c r="E8643" s="4">
        <v>652368</v>
      </c>
    </row>
    <row r="8644" spans="1:6" ht="13.5" hidden="1" customHeight="1">
      <c r="A8644" s="4" t="s">
        <v>19979</v>
      </c>
      <c r="B8644" s="4" t="s">
        <v>19980</v>
      </c>
      <c r="C8644" s="4" t="str">
        <f ca="1">IFERROR(__xludf.DUMMYFUNCTION("GOOGLETRANSLATE(D:D,""auto"",""en"")"),"The reason is always unsuccessful weight loss")</f>
        <v>The reason is always unsuccessful weight loss</v>
      </c>
      <c r="D8644" s="5" t="s">
        <v>19981</v>
      </c>
      <c r="E8644" s="4">
        <v>650961</v>
      </c>
    </row>
    <row r="8645" spans="1:6" ht="13.5" hidden="1" customHeight="1">
      <c r="A8645" s="4" t="s">
        <v>19982</v>
      </c>
      <c r="B8645" s="4" t="s">
        <v>19983</v>
      </c>
      <c r="C8645" s="4" t="str">
        <f ca="1">IFERROR(__xludf.DUMMYFUNCTION("GOOGLETRANSLATE(D:D,""auto"",""en"")"),"Marriage Law of the founders of New China Wu Chang Chen's death")</f>
        <v>Marriage Law of the founders of New China Wu Chang Chen's death</v>
      </c>
      <c r="D8645" s="5" t="s">
        <v>19984</v>
      </c>
      <c r="E8645" s="4">
        <v>647870</v>
      </c>
    </row>
    <row r="8646" spans="1:6" ht="13.5" customHeight="1">
      <c r="A8646" s="4" t="s">
        <v>15109</v>
      </c>
      <c r="B8646" s="4" t="s">
        <v>15110</v>
      </c>
      <c r="C8646" s="4" t="str">
        <f ca="1">IFERROR(__xludf.DUMMYFUNCTION("GOOGLETRANSLATE(D:D,""auto"",""en"")"),"commencement time")</f>
        <v>commencement time</v>
      </c>
      <c r="D8646" s="5" t="s">
        <v>15111</v>
      </c>
      <c r="E8646" s="4">
        <v>647306</v>
      </c>
      <c r="F8646">
        <v>1</v>
      </c>
    </row>
    <row r="8647" spans="1:6" ht="13.5" hidden="1" customHeight="1">
      <c r="A8647" s="4" t="s">
        <v>19944</v>
      </c>
      <c r="B8647" s="4" t="s">
        <v>19985</v>
      </c>
      <c r="C8647" s="4" t="str">
        <f ca="1">IFERROR(__xludf.DUMMYFUNCTION("GOOGLETRANSLATE(D:D,""auto"",""en"")"),"Guangdong site")</f>
        <v>Guangdong site</v>
      </c>
      <c r="D8647" s="5" t="s">
        <v>19986</v>
      </c>
      <c r="E8647" s="4">
        <v>645311</v>
      </c>
    </row>
    <row r="8648" spans="1:6" ht="13.5" customHeight="1">
      <c r="A8648" s="4" t="s">
        <v>19987</v>
      </c>
      <c r="B8648" s="4" t="s">
        <v>19988</v>
      </c>
      <c r="C8648" s="4" t="str">
        <f ca="1">IFERROR(__xludf.DUMMYFUNCTION("GOOGLETRANSLATE(D:D,""auto"",""en"")"),"New York mayor says or half of the population infected with the new virus crown")</f>
        <v>New York mayor says or half of the population infected with the new virus crown</v>
      </c>
      <c r="D8648" s="5" t="s">
        <v>19989</v>
      </c>
      <c r="E8648" s="4">
        <v>643651</v>
      </c>
      <c r="F8648">
        <v>1</v>
      </c>
    </row>
    <row r="8649" spans="1:6" ht="13.5" hidden="1" customHeight="1">
      <c r="A8649" s="4" t="s">
        <v>19990</v>
      </c>
      <c r="B8649" s="4" t="s">
        <v>19991</v>
      </c>
      <c r="C8649" s="4" t="str">
        <f ca="1">IFERROR(__xludf.DUMMYFUNCTION("GOOGLETRANSLATE(D:D,""auto"",""en"")"),"Diamond veil")</f>
        <v>Diamond veil</v>
      </c>
      <c r="D8649" s="5" t="s">
        <v>19992</v>
      </c>
      <c r="E8649" s="4">
        <v>641869</v>
      </c>
    </row>
    <row r="8650" spans="1:6" ht="13.5" customHeight="1">
      <c r="A8650" s="4" t="s">
        <v>19993</v>
      </c>
      <c r="B8650" s="4" t="s">
        <v>19994</v>
      </c>
      <c r="C8650" s="4" t="str">
        <f ca="1">IFERROR(__xludf.DUMMYFUNCTION("GOOGLETRANSLATE(D:D,""auto"",""en"")"),"Enter 90% of confirmed cases outside of China passport holders")</f>
        <v>Enter 90% of confirmed cases outside of China passport holders</v>
      </c>
      <c r="D8650" s="5" t="s">
        <v>19995</v>
      </c>
      <c r="E8650" s="4">
        <v>641023</v>
      </c>
      <c r="F8650">
        <v>1</v>
      </c>
    </row>
    <row r="8651" spans="1:6" ht="13.5" hidden="1" customHeight="1">
      <c r="A8651" s="4" t="s">
        <v>19996</v>
      </c>
      <c r="B8651" s="4" t="s">
        <v>19997</v>
      </c>
      <c r="C8651" s="4" t="str">
        <f ca="1">IFERROR(__xludf.DUMMYFUNCTION("GOOGLETRANSLATE(D:D,""auto"",""en"")"),"Nice but it was changed place names")</f>
        <v>Nice but it was changed place names</v>
      </c>
      <c r="D8651" s="5" t="s">
        <v>19998</v>
      </c>
      <c r="E8651" s="4">
        <v>628726</v>
      </c>
    </row>
    <row r="8652" spans="1:6" ht="13.5" hidden="1" customHeight="1">
      <c r="A8652" s="4" t="s">
        <v>19999</v>
      </c>
      <c r="B8652" s="4" t="s">
        <v>19988</v>
      </c>
      <c r="C8652" s="4" t="str">
        <f ca="1">IFERROR(__xludf.DUMMYFUNCTION("GOOGLETRANSLATE(D:D,""auto"",""en"")"),"N, room")</f>
        <v>N, room</v>
      </c>
      <c r="D8652" s="5" t="s">
        <v>20000</v>
      </c>
      <c r="E8652" s="4">
        <v>624096</v>
      </c>
    </row>
    <row r="8653" spans="1:6" ht="13.5" customHeight="1">
      <c r="A8653" s="4" t="s">
        <v>20001</v>
      </c>
      <c r="B8653" s="4" t="s">
        <v>20002</v>
      </c>
      <c r="C8653" s="4" t="str">
        <f ca="1">IFERROR(__xludf.DUMMYFUNCTION("GOOGLETRANSLATE(D:D,""auto"",""en"")"),"Zhong Nanshan Contagion 60 days full record")</f>
        <v>Zhong Nanshan Contagion 60 days full record</v>
      </c>
      <c r="D8653" s="5" t="s">
        <v>20003</v>
      </c>
      <c r="E8653" s="4">
        <v>571301</v>
      </c>
      <c r="F8653">
        <v>1</v>
      </c>
    </row>
    <row r="8654" spans="1:6" ht="13.5" hidden="1" customHeight="1">
      <c r="A8654" s="4" t="s">
        <v>20004</v>
      </c>
      <c r="B8654" s="4" t="s">
        <v>19899</v>
      </c>
      <c r="C8654" s="4" t="str">
        <f ca="1">IFERROR(__xludf.DUMMYFUNCTION("GOOGLETRANSLATE(D:D,""auto"",""en"")"),"Cai Xu Kun 3D large")</f>
        <v>Cai Xu Kun 3D large</v>
      </c>
      <c r="D8654" s="5" t="s">
        <v>20005</v>
      </c>
      <c r="E8654" s="4">
        <v>527324</v>
      </c>
    </row>
    <row r="8655" spans="1:6" ht="13.5" hidden="1" customHeight="1">
      <c r="A8655" s="4" t="s">
        <v>20006</v>
      </c>
      <c r="B8655" s="4" t="s">
        <v>20007</v>
      </c>
      <c r="C8655" s="4" t="str">
        <f ca="1">IFERROR(__xludf.DUMMYFUNCTION("GOOGLETRANSLATE(D:D,""auto"",""en"")"),"Silver-old university teacher support in the western region")</f>
        <v>Silver-old university teacher support in the western region</v>
      </c>
      <c r="D8655" s="5" t="s">
        <v>20008</v>
      </c>
      <c r="E8655" s="4">
        <v>523119</v>
      </c>
    </row>
    <row r="8656" spans="1:6" ht="13.5" hidden="1" customHeight="1">
      <c r="A8656" s="4" t="s">
        <v>20009</v>
      </c>
      <c r="B8656" s="4" t="s">
        <v>19956</v>
      </c>
      <c r="C8656" s="4" t="str">
        <f ca="1">IFERROR(__xludf.DUMMYFUNCTION("GOOGLETRANSLATE(D:D,""auto"",""en"")"),"Cats get down on the top of the tree")</f>
        <v>Cats get down on the top of the tree</v>
      </c>
      <c r="D8656" s="5" t="s">
        <v>20010</v>
      </c>
      <c r="E8656" s="4">
        <v>522992</v>
      </c>
    </row>
    <row r="8657" spans="1:6" ht="13.5" customHeight="1">
      <c r="A8657" s="4" t="s">
        <v>20011</v>
      </c>
      <c r="B8657" s="4" t="s">
        <v>19956</v>
      </c>
      <c r="C8657" s="4" t="str">
        <f ca="1">IFERROR(__xludf.DUMMYFUNCTION("GOOGLETRANSLATE(D:D,""auto"",""en"")"),"Pompeo G7 foreign ministers will mention the Wuhan Institute of Virology")</f>
        <v>Pompeo G7 foreign ministers will mention the Wuhan Institute of Virology</v>
      </c>
      <c r="D8657" s="5" t="s">
        <v>20012</v>
      </c>
      <c r="E8657" s="4">
        <v>513769</v>
      </c>
      <c r="F8657">
        <v>1</v>
      </c>
    </row>
    <row r="8658" spans="1:6" ht="13.5" hidden="1" customHeight="1">
      <c r="A8658" s="4" t="s">
        <v>20013</v>
      </c>
      <c r="B8658" s="4" t="s">
        <v>20014</v>
      </c>
      <c r="C8658" s="4" t="str">
        <f ca="1">IFERROR(__xludf.DUMMYFUNCTION("GOOGLETRANSLATE(D:D,""auto"",""en"")"),"Brazilian President requires local governments to stop blockade")</f>
        <v>Brazilian President requires local governments to stop blockade</v>
      </c>
      <c r="D8658" s="5" t="s">
        <v>20015</v>
      </c>
      <c r="E8658" s="4">
        <v>461572</v>
      </c>
    </row>
    <row r="8659" spans="1:6" ht="13.5" hidden="1" customHeight="1">
      <c r="A8659" s="4" t="s">
        <v>20016</v>
      </c>
      <c r="B8659" s="4" t="s">
        <v>20002</v>
      </c>
      <c r="C8659" s="4" t="str">
        <f ca="1">IFERROR(__xludf.DUMMYFUNCTION("GOOGLETRANSLATE(D:D,""auto"",""en"")"),"New York man to woman UAV transfer phone numbers")</f>
        <v>New York man to woman UAV transfer phone numbers</v>
      </c>
      <c r="D8659" s="5" t="s">
        <v>20017</v>
      </c>
      <c r="E8659" s="4">
        <v>449608</v>
      </c>
    </row>
    <row r="8660" spans="1:6" ht="13.5" customHeight="1">
      <c r="A8660" s="4" t="s">
        <v>19967</v>
      </c>
      <c r="B8660" s="4" t="s">
        <v>20018</v>
      </c>
      <c r="C8660" s="4" t="str">
        <f ca="1">IFERROR(__xludf.DUMMYFUNCTION("GOOGLETRANSLATE(D:D,""auto"",""en"")"),"31 new provinces were 67 cases of foreign input")</f>
        <v>31 new provinces were 67 cases of foreign input</v>
      </c>
      <c r="D8660" s="5" t="s">
        <v>20019</v>
      </c>
      <c r="E8660" s="4">
        <v>445228</v>
      </c>
      <c r="F8660">
        <v>1</v>
      </c>
    </row>
    <row r="8661" spans="1:6" ht="13.5" hidden="1" customHeight="1">
      <c r="A8661" s="4" t="s">
        <v>20020</v>
      </c>
      <c r="B8661" s="4" t="s">
        <v>20021</v>
      </c>
      <c r="C8661" s="4" t="str">
        <f ca="1">IFERROR(__xludf.DUMMYFUNCTION("GOOGLETRANSLATE(D:D,""auto"",""en"")"),"What is the reason you want to weekend")</f>
        <v>What is the reason you want to weekend</v>
      </c>
      <c r="D8661" s="5" t="s">
        <v>20022</v>
      </c>
      <c r="E8661" s="4">
        <v>442958</v>
      </c>
    </row>
    <row r="8662" spans="1:6" ht="13.5" hidden="1" customHeight="1">
      <c r="A8662" s="4" t="s">
        <v>20023</v>
      </c>
      <c r="B8662" s="4" t="s">
        <v>20024</v>
      </c>
      <c r="C8662" s="4" t="str">
        <f ca="1">IFERROR(__xludf.DUMMYFUNCTION("GOOGLETRANSLATE(D:D,""auto"",""en"")"),"When your target children did not understand tone of")</f>
        <v>When your target children did not understand tone of</v>
      </c>
      <c r="D8662" s="5" t="s">
        <v>20025</v>
      </c>
      <c r="E8662" s="4">
        <v>393899</v>
      </c>
    </row>
    <row r="8663" spans="1:6" ht="13.5" hidden="1" customHeight="1">
      <c r="A8663" s="4" t="s">
        <v>20026</v>
      </c>
      <c r="B8663" s="4" t="s">
        <v>20027</v>
      </c>
      <c r="C8663" s="4" t="str">
        <f ca="1">IFERROR(__xludf.DUMMYFUNCTION("GOOGLETRANSLATE(D:D,""auto"",""en"")"),"China on G20 summit three special look")</f>
        <v>China on G20 summit three special look</v>
      </c>
      <c r="D8663" s="5" t="s">
        <v>20028</v>
      </c>
      <c r="E8663" s="4">
        <v>365641</v>
      </c>
    </row>
    <row r="8664" spans="1:6" ht="13.5" customHeight="1">
      <c r="A8664" s="4" t="s">
        <v>20029</v>
      </c>
      <c r="B8664" s="4" t="s">
        <v>19875</v>
      </c>
      <c r="C8664" s="4" t="str">
        <f ca="1">IFERROR(__xludf.DUMMYFUNCTION("GOOGLETRANSLATE(D:D,""auto"",""en"")"),"Outbreak reported rollover site")</f>
        <v>Outbreak reported rollover site</v>
      </c>
      <c r="D8664" s="5" t="s">
        <v>20030</v>
      </c>
      <c r="E8664" s="4">
        <v>359954</v>
      </c>
      <c r="F8664">
        <v>1</v>
      </c>
    </row>
    <row r="8665" spans="1:6" ht="13.5" hidden="1" customHeight="1">
      <c r="A8665" s="4" t="s">
        <v>20031</v>
      </c>
      <c r="B8665" s="4" t="s">
        <v>20032</v>
      </c>
      <c r="C8665" s="4" t="str">
        <f ca="1">IFERROR(__xludf.DUMMYFUNCTION("GOOGLETRANSLATE(D:D,""auto"",""en"")"),"Burglary hide under the bed and fell asleep result")</f>
        <v>Burglary hide under the bed and fell asleep result</v>
      </c>
      <c r="D8665" s="5" t="s">
        <v>20033</v>
      </c>
      <c r="E8665" s="4">
        <v>359065</v>
      </c>
    </row>
    <row r="8666" spans="1:6" ht="13.5" hidden="1" customHeight="1">
      <c r="A8666" s="4" t="s">
        <v>19813</v>
      </c>
      <c r="B8666" s="4" t="s">
        <v>19814</v>
      </c>
      <c r="C8666" s="4" t="str">
        <f ca="1">IFERROR(__xludf.DUMMYFUNCTION("GOOGLETRANSLATE(D:D,""auto"",""en"")"),"Zhao Yi Huan love")</f>
        <v>Zhao Yi Huan love</v>
      </c>
      <c r="D8666" s="5" t="s">
        <v>19815</v>
      </c>
      <c r="E8666" s="4">
        <v>325366</v>
      </c>
    </row>
    <row r="8667" spans="1:6" ht="13.5" hidden="1" customHeight="1">
      <c r="A8667" s="4" t="s">
        <v>16032</v>
      </c>
      <c r="B8667" s="4" t="s">
        <v>16033</v>
      </c>
      <c r="C8667" s="4" t="str">
        <f ca="1">IFERROR(__xludf.DUMMYFUNCTION("GOOGLETRANSLATE(D:D,""auto"",""en"")"),"Forensic Heroes")</f>
        <v>Forensic Heroes</v>
      </c>
      <c r="D8667" s="5" t="s">
        <v>16034</v>
      </c>
      <c r="E8667" s="4">
        <v>322288</v>
      </c>
    </row>
    <row r="8668" spans="1:6" ht="13.5" customHeight="1">
      <c r="A8668" s="4" t="s">
        <v>19949</v>
      </c>
      <c r="B8668" s="4" t="s">
        <v>20034</v>
      </c>
      <c r="C8668" s="4" t="str">
        <f ca="1">IFERROR(__xludf.DUMMYFUNCTION("GOOGLETRANSLATE(D:D,""auto"",""en"")"),"China will help Pakistan build isolation hospital")</f>
        <v>China will help Pakistan build isolation hospital</v>
      </c>
      <c r="D8668" s="5" t="s">
        <v>20035</v>
      </c>
      <c r="E8668" s="4">
        <v>320802</v>
      </c>
      <c r="F8668">
        <v>1</v>
      </c>
    </row>
    <row r="8669" spans="1:6" ht="13.5" customHeight="1">
      <c r="A8669" s="4" t="s">
        <v>19987</v>
      </c>
      <c r="B8669" s="4" t="s">
        <v>20036</v>
      </c>
      <c r="C8669" s="4" t="str">
        <f ca="1">IFERROR(__xludf.DUMMYFUNCTION("GOOGLETRANSLATE(D:D,""auto"",""en"")"),"US new crown over a thousand deaths from pneumonia")</f>
        <v>US new crown over a thousand deaths from pneumonia</v>
      </c>
      <c r="D8669" s="5" t="s">
        <v>20037</v>
      </c>
      <c r="E8669" s="4">
        <v>318614</v>
      </c>
      <c r="F8669">
        <v>1</v>
      </c>
    </row>
    <row r="8670" spans="1:6" ht="13.5" hidden="1" customHeight="1">
      <c r="A8670" s="4" t="s">
        <v>20038</v>
      </c>
      <c r="B8670" s="4" t="s">
        <v>19983</v>
      </c>
      <c r="C8670" s="4" t="str">
        <f ca="1">IFERROR(__xludf.DUMMYFUNCTION("GOOGLETRANSLATE(D:D,""auto"",""en"")"),"Shimura installed artificial heart and lung treatment")</f>
        <v>Shimura installed artificial heart and lung treatment</v>
      </c>
      <c r="D8670" s="5" t="s">
        <v>20039</v>
      </c>
      <c r="E8670" s="4">
        <v>316192</v>
      </c>
    </row>
    <row r="8671" spans="1:6" ht="13.5" customHeight="1">
      <c r="A8671" s="4" t="s">
        <v>20031</v>
      </c>
      <c r="B8671" s="4" t="s">
        <v>20036</v>
      </c>
      <c r="C8671" s="4" t="str">
        <f ca="1">IFERROR(__xludf.DUMMYFUNCTION("GOOGLETRANSLATE(D:D,""auto"",""en"")"),"Jiuzhaigou March 31 reopened")</f>
        <v>Jiuzhaigou March 31 reopened</v>
      </c>
      <c r="D8671" s="5" t="s">
        <v>20040</v>
      </c>
      <c r="E8671" s="4">
        <v>311339</v>
      </c>
      <c r="F8671">
        <v>1</v>
      </c>
    </row>
    <row r="8672" spans="1:6" ht="13.5" hidden="1" customHeight="1">
      <c r="A8672" s="4" t="s">
        <v>20041</v>
      </c>
      <c r="B8672" s="4" t="s">
        <v>20042</v>
      </c>
      <c r="C8672" s="4" t="str">
        <f ca="1">IFERROR(__xludf.DUMMYFUNCTION("GOOGLETRANSLATE(D:D,""auto"",""en"")"),"US Senate passed $ 2 trillion economic rescue plan")</f>
        <v>US Senate passed $ 2 trillion economic rescue plan</v>
      </c>
      <c r="D8672" s="5" t="s">
        <v>20043</v>
      </c>
      <c r="E8672" s="4">
        <v>309915</v>
      </c>
    </row>
    <row r="8673" spans="1:6" ht="13.5" hidden="1" customHeight="1">
      <c r="A8673" s="4" t="s">
        <v>20044</v>
      </c>
      <c r="B8673" s="4" t="s">
        <v>20045</v>
      </c>
      <c r="C8673" s="4" t="str">
        <f ca="1">IFERROR(__xludf.DUMMYFUNCTION("GOOGLETRANSLATE(D:D,""auto"",""en"")"),"Italy travel in violation of regulations can be fined 3000 euros")</f>
        <v>Italy travel in violation of regulations can be fined 3000 euros</v>
      </c>
      <c r="D8673" s="5" t="s">
        <v>20046</v>
      </c>
      <c r="E8673" s="4">
        <v>307107</v>
      </c>
    </row>
    <row r="8674" spans="1:6" ht="13.5" customHeight="1">
      <c r="A8674" s="4" t="s">
        <v>20047</v>
      </c>
      <c r="B8674" s="4" t="s">
        <v>20048</v>
      </c>
      <c r="C8674" s="4" t="str">
        <f ca="1">IFERROR(__xludf.DUMMYFUNCTION("GOOGLETRANSLATE(D:D,""auto"",""en"")"),"Anhui school time")</f>
        <v>Anhui school time</v>
      </c>
      <c r="D8674" s="5" t="s">
        <v>20049</v>
      </c>
      <c r="E8674" s="4">
        <v>294149</v>
      </c>
      <c r="F8674">
        <v>1</v>
      </c>
    </row>
    <row r="8675" spans="1:6" ht="13.5" hidden="1" customHeight="1">
      <c r="A8675" s="4" t="s">
        <v>20050</v>
      </c>
      <c r="B8675" s="4" t="s">
        <v>20051</v>
      </c>
      <c r="C8675" s="4" t="str">
        <f ca="1">IFERROR(__xludf.DUMMYFUNCTION("GOOGLETRANSLATE(D:D,""auto"",""en"")"),"ESL")</f>
        <v>ESL</v>
      </c>
      <c r="D8675" s="5" t="s">
        <v>20052</v>
      </c>
      <c r="E8675" s="4">
        <v>256870</v>
      </c>
    </row>
    <row r="8676" spans="1:6" ht="13.5" hidden="1" customHeight="1">
      <c r="A8676" s="4" t="s">
        <v>19819</v>
      </c>
      <c r="B8676" s="4" t="s">
        <v>19820</v>
      </c>
      <c r="C8676" s="4" t="str">
        <f ca="1">IFERROR(__xludf.DUMMYFUNCTION("GOOGLETRANSLATE(D:D,""auto"",""en"")"),"Shen ice out of the race")</f>
        <v>Shen ice out of the race</v>
      </c>
      <c r="D8676" s="5" t="s">
        <v>19821</v>
      </c>
      <c r="E8676" s="4">
        <v>252073</v>
      </c>
    </row>
    <row r="8677" spans="1:6" ht="13.5" hidden="1" customHeight="1">
      <c r="C8677" s="4" t="str">
        <f ca="1">IFERROR(__xludf.DUMMYFUNCTION("GOOGLETRANSLATE(D:D,""auto"",""en"")"),"#VALUE!")</f>
        <v>#VALUE!</v>
      </c>
    </row>
    <row r="8678" spans="1:6" ht="13.5" customHeight="1">
      <c r="A8678" s="4" t="s">
        <v>20053</v>
      </c>
      <c r="B8678" s="4" t="s">
        <v>20054</v>
      </c>
      <c r="C8678" s="4" t="str">
        <f ca="1">IFERROR(__xludf.DUMMYFUNCTION("GOOGLETRANSLATE(D:D,""auto"",""en"")"),"Pause foreigners holding valid Chinese visa entry")</f>
        <v>Pause foreigners holding valid Chinese visa entry</v>
      </c>
      <c r="D8678" s="4" t="s">
        <v>20055</v>
      </c>
      <c r="E8678" s="4">
        <v>3577571</v>
      </c>
      <c r="F8678">
        <v>1</v>
      </c>
    </row>
    <row r="8679" spans="1:6" ht="13.5" hidden="1" customHeight="1">
      <c r="A8679" s="4" t="s">
        <v>20056</v>
      </c>
      <c r="B8679" s="4" t="s">
        <v>20057</v>
      </c>
      <c r="C8679" s="4" t="str">
        <f ca="1">IFERROR(__xludf.DUMMYFUNCTION("GOOGLETRANSLATE(D:D,""auto"",""en"")"),"JonyJ teach Qin cattle Granville rap")</f>
        <v>JonyJ teach Qin cattle Granville rap</v>
      </c>
      <c r="D8679" s="5" t="s">
        <v>20058</v>
      </c>
      <c r="E8679" s="4">
        <v>2341391</v>
      </c>
    </row>
    <row r="8680" spans="1:6" ht="13.5" hidden="1" customHeight="1">
      <c r="A8680" s="4" t="s">
        <v>20059</v>
      </c>
      <c r="B8680" s="4" t="s">
        <v>20060</v>
      </c>
      <c r="C8680" s="4" t="str">
        <f ca="1">IFERROR(__xludf.DUMMYFUNCTION("GOOGLETRANSLATE(D:D,""auto"",""en"")"),"Summer research only 9 votes")</f>
        <v>Summer research only 9 votes</v>
      </c>
      <c r="D8680" s="5" t="s">
        <v>20061</v>
      </c>
      <c r="E8680" s="4">
        <v>2111789</v>
      </c>
    </row>
    <row r="8681" spans="1:6" ht="13.5" hidden="1" customHeight="1">
      <c r="A8681" s="4" t="s">
        <v>20062</v>
      </c>
      <c r="B8681" s="4" t="s">
        <v>20063</v>
      </c>
      <c r="C8681" s="4" t="str">
        <f ca="1">IFERROR(__xludf.DUMMYFUNCTION("GOOGLETRANSLATE(D:D,""auto"",""en"")"),"Huawei P40 Price")</f>
        <v>Huawei P40 Price</v>
      </c>
      <c r="D8681" s="5" t="s">
        <v>20064</v>
      </c>
      <c r="E8681" s="4">
        <v>1730285</v>
      </c>
    </row>
    <row r="8682" spans="1:6" ht="13.5" customHeight="1">
      <c r="A8682" s="4" t="s">
        <v>20065</v>
      </c>
      <c r="B8682" s="4" t="s">
        <v>20066</v>
      </c>
      <c r="C8682" s="4" t="str">
        <f ca="1">IFERROR(__xludf.DUMMYFUNCTION("GOOGLETRANSLATE(D:D,""auto"",""en"")"),"Wang Fei hotel an epidemic hotel")</f>
        <v>Wang Fei hotel an epidemic hotel</v>
      </c>
      <c r="D8682" s="5" t="s">
        <v>20067</v>
      </c>
      <c r="E8682" s="4">
        <v>1645295</v>
      </c>
      <c r="F8682">
        <v>1</v>
      </c>
    </row>
    <row r="8683" spans="1:6" ht="13.5" customHeight="1">
      <c r="A8683" s="4" t="s">
        <v>20068</v>
      </c>
      <c r="B8683" s="4" t="s">
        <v>20069</v>
      </c>
      <c r="C8683" s="4" t="str">
        <f ca="1">IFERROR(__xludf.DUMMYFUNCTION("GOOGLETRANSLATE(D:D,""auto"",""en"")"),"Xiahun young Americans is the greatest risk of infection")</f>
        <v>Xiahun young Americans is the greatest risk of infection</v>
      </c>
      <c r="D8683" s="5" t="s">
        <v>20070</v>
      </c>
      <c r="E8683" s="4">
        <v>1421636</v>
      </c>
      <c r="F8683">
        <v>1</v>
      </c>
    </row>
    <row r="8684" spans="1:6" ht="13.5" hidden="1" customHeight="1">
      <c r="A8684" s="4" t="s">
        <v>20071</v>
      </c>
      <c r="B8684" s="4" t="s">
        <v>20072</v>
      </c>
      <c r="C8684" s="4" t="str">
        <f ca="1">IFERROR(__xludf.DUMMYFUNCTION("GOOGLETRANSLATE(D:D,""auto"",""en"")"),"Tse Yin can be no way out")</f>
        <v>Tse Yin can be no way out</v>
      </c>
      <c r="D8684" s="5" t="s">
        <v>20073</v>
      </c>
      <c r="E8684" s="4">
        <v>1369793</v>
      </c>
    </row>
    <row r="8685" spans="1:6" ht="13.5" hidden="1" customHeight="1">
      <c r="A8685" s="4" t="s">
        <v>20074</v>
      </c>
      <c r="B8685" s="4" t="s">
        <v>20075</v>
      </c>
      <c r="C8685" s="4" t="str">
        <f ca="1">IFERROR(__xludf.DUMMYFUNCTION("GOOGLETRANSLATE(D:D,""auto"",""en"")"),"China will contribute to world economic stability")</f>
        <v>China will contribute to world economic stability</v>
      </c>
      <c r="D8685" s="5" t="s">
        <v>20076</v>
      </c>
      <c r="E8685" s="4">
        <v>1159867</v>
      </c>
    </row>
    <row r="8686" spans="1:6" ht="13.5" hidden="1" customHeight="1">
      <c r="A8686" s="4" t="s">
        <v>20077</v>
      </c>
      <c r="B8686" s="4" t="s">
        <v>20078</v>
      </c>
      <c r="C8686" s="4" t="str">
        <f ca="1">IFERROR(__xludf.DUMMYFUNCTION("GOOGLETRANSLATE(D:D,""auto"",""en"")"),"Strength of 750,000")</f>
        <v>Strength of 750,000</v>
      </c>
      <c r="D8686" s="5" t="s">
        <v>20079</v>
      </c>
      <c r="E8686" s="4">
        <v>1004551</v>
      </c>
    </row>
    <row r="8687" spans="1:6" ht="13.5" hidden="1" customHeight="1">
      <c r="A8687" s="4" t="s">
        <v>20080</v>
      </c>
      <c r="B8687" s="4" t="s">
        <v>20081</v>
      </c>
      <c r="C8687" s="4" t="str">
        <f ca="1">IFERROR(__xludf.DUMMYFUNCTION("GOOGLETRANSLATE(D:D,""auto"",""en"")"),"Clear foreign policy include Hong Kong, Macao and Taiwan into Guangdong Guangdong")</f>
        <v>Clear foreign policy include Hong Kong, Macao and Taiwan into Guangdong Guangdong</v>
      </c>
      <c r="D8687" s="5" t="s">
        <v>20082</v>
      </c>
      <c r="E8687" s="4">
        <v>1001363</v>
      </c>
    </row>
    <row r="8688" spans="1:6" ht="13.5" hidden="1" customHeight="1">
      <c r="A8688" s="4" t="s">
        <v>20083</v>
      </c>
      <c r="B8688" s="4" t="s">
        <v>20084</v>
      </c>
      <c r="C8688" s="4" t="str">
        <f ca="1">IFERROR(__xludf.DUMMYFUNCTION("GOOGLETRANSLATE(D:D,""auto"",""en"")"),"Roly-poly little sister playing a little brother")</f>
        <v>Roly-poly little sister playing a little brother</v>
      </c>
      <c r="D8688" s="5" t="s">
        <v>20085</v>
      </c>
      <c r="E8688" s="4">
        <v>988244</v>
      </c>
    </row>
    <row r="8689" spans="1:6" ht="13.5" hidden="1" customHeight="1">
      <c r="A8689" s="4" t="s">
        <v>20086</v>
      </c>
      <c r="B8689" s="4" t="s">
        <v>20087</v>
      </c>
      <c r="C8689" s="4" t="str">
        <f ca="1">IFERROR(__xludf.DUMMYFUNCTION("GOOGLETRANSLATE(D:D,""auto"",""en"")"),"This graduating class is too difficult")</f>
        <v>This graduating class is too difficult</v>
      </c>
      <c r="D8689" s="5" t="s">
        <v>20088</v>
      </c>
      <c r="E8689" s="4">
        <v>970746</v>
      </c>
    </row>
    <row r="8690" spans="1:6" ht="13.5" customHeight="1">
      <c r="A8690" s="4" t="s">
        <v>20089</v>
      </c>
      <c r="B8690" s="4" t="s">
        <v>20090</v>
      </c>
      <c r="C8690" s="4" t="str">
        <f ca="1">IFERROR(__xludf.DUMMYFUNCTION("GOOGLETRANSLATE(D:D,""auto"",""en"")"),"Passengers escape sneezing pilot Fanchuang")</f>
        <v>Passengers escape sneezing pilot Fanchuang</v>
      </c>
      <c r="D8690" s="5" t="s">
        <v>20091</v>
      </c>
      <c r="E8690" s="4">
        <v>968596</v>
      </c>
      <c r="F8690">
        <v>1</v>
      </c>
    </row>
    <row r="8691" spans="1:6" ht="13.5" customHeight="1">
      <c r="A8691" s="4" t="s">
        <v>20092</v>
      </c>
      <c r="B8691" s="4" t="s">
        <v>20093</v>
      </c>
      <c r="C8691" s="4" t="str">
        <f ca="1">IFERROR(__xludf.DUMMYFUNCTION("GOOGLETRANSLATE(D:D,""auto"",""en"")"),"Italy has 37 doctors died of pneumonia new crown")</f>
        <v>Italy has 37 doctors died of pneumonia new crown</v>
      </c>
      <c r="D8691" s="5" t="s">
        <v>20094</v>
      </c>
      <c r="E8691" s="4">
        <v>953390</v>
      </c>
      <c r="F8691">
        <v>1</v>
      </c>
    </row>
    <row r="8692" spans="1:6" ht="13.5" hidden="1" customHeight="1">
      <c r="A8692" s="4" t="s">
        <v>20095</v>
      </c>
      <c r="B8692" s="4" t="s">
        <v>20096</v>
      </c>
      <c r="C8692" s="4" t="str">
        <f ca="1">IFERROR(__xludf.DUMMYFUNCTION("GOOGLETRANSLATE(D:D,""auto"",""en"")"),"P40Pro")</f>
        <v>P40Pro</v>
      </c>
      <c r="D8692" s="5" t="s">
        <v>20097</v>
      </c>
      <c r="E8692" s="4">
        <v>940467</v>
      </c>
    </row>
    <row r="8693" spans="1:6" ht="13.5" hidden="1" customHeight="1">
      <c r="A8693" s="4" t="s">
        <v>20098</v>
      </c>
      <c r="B8693" s="4" t="s">
        <v>20099</v>
      </c>
      <c r="C8693" s="4" t="str">
        <f ca="1">IFERROR(__xludf.DUMMYFUNCTION("GOOGLETRANSLATE(D:D,""auto"",""en"")"),"Long Song")</f>
        <v>Long Song</v>
      </c>
      <c r="D8693" s="5" t="s">
        <v>20100</v>
      </c>
      <c r="E8693" s="4">
        <v>935444</v>
      </c>
    </row>
    <row r="8694" spans="1:6" ht="13.5" hidden="1" customHeight="1">
      <c r="A8694" s="4" t="s">
        <v>20101</v>
      </c>
      <c r="B8694" s="4" t="s">
        <v>20102</v>
      </c>
      <c r="C8694" s="4" t="str">
        <f ca="1">IFERROR(__xludf.DUMMYFUNCTION("GOOGLETRANSLATE(D:D,""auto"",""en"")"),"Lin Fan rap")</f>
        <v>Lin Fan rap</v>
      </c>
      <c r="D8694" s="5" t="s">
        <v>20103</v>
      </c>
      <c r="E8694" s="4">
        <v>920268</v>
      </c>
    </row>
    <row r="8695" spans="1:6" ht="13.5" hidden="1" customHeight="1">
      <c r="A8695" s="4" t="s">
        <v>20104</v>
      </c>
      <c r="B8695" s="4" t="s">
        <v>20105</v>
      </c>
      <c r="C8695" s="4" t="str">
        <f ca="1">IFERROR(__xludf.DUMMYFUNCTION("GOOGLETRANSLATE(D:D,""auto"",""en"")"),"The spirit of the derailment should not divorce")</f>
        <v>The spirit of the derailment should not divorce</v>
      </c>
      <c r="D8695" s="5" t="s">
        <v>20106</v>
      </c>
      <c r="E8695" s="4">
        <v>906496</v>
      </c>
    </row>
    <row r="8696" spans="1:6" ht="13.5" hidden="1" customHeight="1">
      <c r="A8696" s="4" t="s">
        <v>9021</v>
      </c>
      <c r="B8696" s="4" t="s">
        <v>9022</v>
      </c>
      <c r="C8696" s="4" t="str">
        <f ca="1">IFERROR(__xludf.DUMMYFUNCTION("GOOGLETRANSLATE(D:D,""auto"",""en"")"),"Li Jiaqi live")</f>
        <v>Li Jiaqi live</v>
      </c>
      <c r="D8696" s="5" t="s">
        <v>9023</v>
      </c>
      <c r="E8696" s="4">
        <v>864671</v>
      </c>
    </row>
    <row r="8697" spans="1:6" ht="13.5" hidden="1" customHeight="1">
      <c r="A8697" s="4" t="s">
        <v>20107</v>
      </c>
      <c r="B8697" s="4" t="s">
        <v>20108</v>
      </c>
      <c r="C8697" s="4" t="str">
        <f ca="1">IFERROR(__xludf.DUMMYFUNCTION("GOOGLETRANSLATE(D:D,""auto"",""en"")"),"There are many reasons for William's girlfriend")</f>
        <v>There are many reasons for William's girlfriend</v>
      </c>
      <c r="D8697" s="5" t="s">
        <v>20109</v>
      </c>
      <c r="E8697" s="4">
        <v>661136</v>
      </c>
    </row>
    <row r="8698" spans="1:6" ht="13.5" hidden="1" customHeight="1">
      <c r="A8698" s="4" t="s">
        <v>20110</v>
      </c>
      <c r="B8698" s="4" t="s">
        <v>20111</v>
      </c>
      <c r="C8698" s="4" t="str">
        <f ca="1">IFERROR(__xludf.DUMMYFUNCTION("GOOGLETRANSLATE(D:D,""auto"",""en"")"),"Huang Xiaoming was about to go to the oil spray")</f>
        <v>Huang Xiaoming was about to go to the oil spray</v>
      </c>
      <c r="D8698" s="5" t="s">
        <v>20112</v>
      </c>
      <c r="E8698" s="4">
        <v>643863</v>
      </c>
    </row>
    <row r="8699" spans="1:6" ht="13.5" hidden="1" customHeight="1">
      <c r="A8699" s="4" t="s">
        <v>20113</v>
      </c>
      <c r="B8699" s="4" t="s">
        <v>20114</v>
      </c>
      <c r="C8699" s="4" t="str">
        <f ca="1">IFERROR(__xludf.DUMMYFUNCTION("GOOGLETRANSLATE(D:D,""auto"",""en"")"),"You will feel inferior because of the poor do")</f>
        <v>You will feel inferior because of the poor do</v>
      </c>
      <c r="D8699" s="5" t="s">
        <v>20115</v>
      </c>
      <c r="E8699" s="4">
        <v>564161</v>
      </c>
    </row>
    <row r="8700" spans="1:6" ht="13.5" hidden="1" customHeight="1">
      <c r="A8700" s="4" t="s">
        <v>18435</v>
      </c>
      <c r="B8700" s="4" t="s">
        <v>18436</v>
      </c>
      <c r="C8700" s="4" t="str">
        <f ca="1">IFERROR(__xludf.DUMMYFUNCTION("GOOGLETRANSLATE(D:D,""auto"",""en"")"),"Three thousand crow kill")</f>
        <v>Three thousand crow kill</v>
      </c>
      <c r="D8700" s="5" t="s">
        <v>18437</v>
      </c>
      <c r="E8700" s="4">
        <v>510098</v>
      </c>
    </row>
    <row r="8701" spans="1:6" ht="13.5" customHeight="1">
      <c r="A8701" s="4" t="s">
        <v>20116</v>
      </c>
      <c r="B8701" s="4" t="s">
        <v>20117</v>
      </c>
      <c r="C8701" s="4" t="str">
        <f ca="1">IFERROR(__xludf.DUMMYFUNCTION("GOOGLETRANSLATE(D:D,""auto"",""en"")"),"Hospital ICU to recover the first day of visitation")</f>
        <v>Hospital ICU to recover the first day of visitation</v>
      </c>
      <c r="D8701" s="5" t="s">
        <v>20118</v>
      </c>
      <c r="E8701" s="4">
        <v>502589</v>
      </c>
      <c r="F8701">
        <v>1</v>
      </c>
    </row>
    <row r="8702" spans="1:6" ht="13.5" hidden="1" customHeight="1">
      <c r="A8702" s="4" t="s">
        <v>20119</v>
      </c>
      <c r="B8702" s="4" t="s">
        <v>20120</v>
      </c>
      <c r="C8702" s="4" t="str">
        <f ca="1">IFERROR(__xludf.DUMMYFUNCTION("GOOGLETRANSLATE(D:D,""auto"",""en"")"),"Zhang Xincheng mismatch birthday expression")</f>
        <v>Zhang Xincheng mismatch birthday expression</v>
      </c>
      <c r="D8702" s="5" t="s">
        <v>20121</v>
      </c>
      <c r="E8702" s="4">
        <v>446546</v>
      </c>
    </row>
    <row r="8703" spans="1:6" ht="13.5" hidden="1" customHeight="1">
      <c r="A8703" s="4" t="s">
        <v>20122</v>
      </c>
      <c r="B8703" s="4" t="s">
        <v>20123</v>
      </c>
      <c r="C8703" s="4" t="str">
        <f ca="1">IFERROR(__xludf.DUMMYFUNCTION("GOOGLETRANSLATE(D:D,""auto"",""en"")"),"Wang Ou talk idol and fan relations")</f>
        <v>Wang Ou talk idol and fan relations</v>
      </c>
      <c r="D8703" s="5" t="s">
        <v>20124</v>
      </c>
      <c r="E8703" s="4">
        <v>402212</v>
      </c>
    </row>
    <row r="8704" spans="1:6" ht="13.5" customHeight="1">
      <c r="A8704" s="4" t="s">
        <v>20086</v>
      </c>
      <c r="B8704" s="4" t="s">
        <v>20069</v>
      </c>
      <c r="C8704" s="4" t="str">
        <f ca="1">IFERROR(__xludf.DUMMYFUNCTION("GOOGLETRANSLATE(D:D,""auto"",""en"")"),"Abe said the epidemic was national calamity")</f>
        <v>Abe said the epidemic was national calamity</v>
      </c>
      <c r="D8704" s="5" t="s">
        <v>20125</v>
      </c>
      <c r="E8704" s="4">
        <v>401334</v>
      </c>
      <c r="F8704">
        <v>1</v>
      </c>
    </row>
    <row r="8705" spans="1:6" ht="13.5" hidden="1" customHeight="1">
      <c r="A8705" s="4" t="s">
        <v>20126</v>
      </c>
      <c r="B8705" s="4" t="s">
        <v>20127</v>
      </c>
      <c r="C8705" s="4" t="str">
        <f ca="1">IFERROR(__xludf.DUMMYFUNCTION("GOOGLETRANSLATE(D:D,""auto"",""en"")"),"Zhang Weili stranded American homesick tears")</f>
        <v>Zhang Weili stranded American homesick tears</v>
      </c>
      <c r="D8705" s="5" t="s">
        <v>20128</v>
      </c>
      <c r="E8705" s="4">
        <v>383659</v>
      </c>
    </row>
    <row r="8706" spans="1:6" ht="13.5" customHeight="1">
      <c r="A8706" s="4" t="s">
        <v>20095</v>
      </c>
      <c r="B8706" s="4" t="s">
        <v>20129</v>
      </c>
      <c r="C8706" s="4" t="str">
        <f ca="1">IFERROR(__xludf.DUMMYFUNCTION("GOOGLETRANSLATE(D:D,""auto"",""en"")"),"Italy or week will mark the turning point epidemic")</f>
        <v>Italy or week will mark the turning point epidemic</v>
      </c>
      <c r="D8706" s="5" t="s">
        <v>20130</v>
      </c>
      <c r="E8706" s="4">
        <v>364257</v>
      </c>
      <c r="F8706">
        <v>1</v>
      </c>
    </row>
    <row r="8707" spans="1:6" ht="13.5" hidden="1" customHeight="1">
      <c r="A8707" s="4" t="s">
        <v>20074</v>
      </c>
      <c r="B8707" s="4" t="s">
        <v>20131</v>
      </c>
      <c r="C8707" s="4" t="str">
        <f ca="1">IFERROR(__xludf.DUMMYFUNCTION("GOOGLETRANSLATE(D:D,""auto"",""en"")"),"Especially G20 summit")</f>
        <v>Especially G20 summit</v>
      </c>
      <c r="D8707" s="5" t="s">
        <v>20132</v>
      </c>
      <c r="E8707" s="4">
        <v>344394</v>
      </c>
    </row>
    <row r="8708" spans="1:6" ht="13.5" customHeight="1">
      <c r="A8708" s="4" t="s">
        <v>20133</v>
      </c>
      <c r="B8708" s="4" t="s">
        <v>20134</v>
      </c>
      <c r="C8708" s="4" t="str">
        <f ca="1">IFERROR(__xludf.DUMMYFUNCTION("GOOGLETRANSLATE(D:D,""auto"",""en"")"),"Su bud actor suspected new infection crown")</f>
        <v>Su bud actor suspected new infection crown</v>
      </c>
      <c r="D8708" s="5" t="s">
        <v>20135</v>
      </c>
      <c r="E8708" s="4">
        <v>339613</v>
      </c>
      <c r="F8708">
        <v>1</v>
      </c>
    </row>
    <row r="8709" spans="1:6" ht="13.5" hidden="1" customHeight="1">
      <c r="A8709" s="4" t="s">
        <v>20136</v>
      </c>
      <c r="B8709" s="4" t="s">
        <v>20060</v>
      </c>
      <c r="C8709" s="4" t="str">
        <f ca="1">IFERROR(__xludf.DUMMYFUNCTION("GOOGLETRANSLATE(D:D,""auto"",""en"")"),"风舞 stand broken")</f>
        <v>风舞 stand broken</v>
      </c>
      <c r="D8709" s="5" t="s">
        <v>20137</v>
      </c>
      <c r="E8709" s="4">
        <v>323893</v>
      </c>
    </row>
    <row r="8710" spans="1:6" ht="13.5" hidden="1" customHeight="1">
      <c r="A8710" s="4" t="s">
        <v>20138</v>
      </c>
      <c r="B8710" s="4" t="s">
        <v>20105</v>
      </c>
      <c r="C8710" s="4" t="str">
        <f ca="1">IFERROR(__xludf.DUMMYFUNCTION("GOOGLETRANSLATE(D:D,""auto"",""en"")"),"Sugar beer chicken")</f>
        <v>Sugar beer chicken</v>
      </c>
      <c r="D8710" s="5" t="s">
        <v>20139</v>
      </c>
      <c r="E8710" s="4">
        <v>320235</v>
      </c>
    </row>
    <row r="8711" spans="1:6" ht="13.5" customHeight="1">
      <c r="A8711" s="4" t="s">
        <v>20140</v>
      </c>
      <c r="B8711" s="4" t="s">
        <v>20141</v>
      </c>
      <c r="C8711" s="4" t="str">
        <f ca="1">IFERROR(__xludf.DUMMYFUNCTION("GOOGLETRANSLATE(D:D,""auto"",""en"")"),"Suizhou in Hubei new crown pneumonia patients achieve clear")</f>
        <v>Suizhou in Hubei new crown pneumonia patients achieve clear</v>
      </c>
      <c r="D8711" s="5" t="s">
        <v>20142</v>
      </c>
      <c r="E8711" s="4">
        <v>311154</v>
      </c>
      <c r="F8711">
        <v>1</v>
      </c>
    </row>
    <row r="8712" spans="1:6" ht="13.5" customHeight="1">
      <c r="A8712" s="4" t="s">
        <v>20143</v>
      </c>
      <c r="B8712" s="4" t="s">
        <v>20144</v>
      </c>
      <c r="C8712" s="4" t="str">
        <f ca="1">IFERROR(__xludf.DUMMYFUNCTION("GOOGLETRANSLATE(D:D,""auto"",""en"")"),"Yang Mi donations to overseas")</f>
        <v>Yang Mi donations to overseas</v>
      </c>
      <c r="D8712" s="5" t="s">
        <v>20145</v>
      </c>
      <c r="E8712" s="4">
        <v>303729</v>
      </c>
      <c r="F8712">
        <v>1</v>
      </c>
    </row>
    <row r="8713" spans="1:6" ht="13.5" hidden="1" customHeight="1">
      <c r="A8713" s="4" t="s">
        <v>20146</v>
      </c>
      <c r="B8713" s="4" t="s">
        <v>20147</v>
      </c>
      <c r="C8713" s="4" t="str">
        <f ca="1">IFERROR(__xludf.DUMMYFUNCTION("GOOGLETRANSLATE(D:D,""auto"",""en"")"),"Engineers stepping on line 30000 327 ventilator")</f>
        <v>Engineers stepping on line 30000 327 ventilator</v>
      </c>
      <c r="D8713" s="5" t="s">
        <v>20148</v>
      </c>
      <c r="E8713" s="4">
        <v>302204</v>
      </c>
    </row>
    <row r="8714" spans="1:6" ht="13.5" customHeight="1">
      <c r="A8714" s="4" t="s">
        <v>20149</v>
      </c>
      <c r="B8714" s="4" t="s">
        <v>20150</v>
      </c>
      <c r="C8714" s="4" t="str">
        <f ca="1">IFERROR(__xludf.DUMMYFUNCTION("GOOGLETRANSLATE(D:D,""auto"",""en"")"),"New York health care workers with protective clothing when garbage bags")</f>
        <v>New York health care workers with protective clothing when garbage bags</v>
      </c>
      <c r="D8714" s="5" t="s">
        <v>20151</v>
      </c>
      <c r="E8714" s="4">
        <v>274479</v>
      </c>
      <c r="F8714">
        <v>1</v>
      </c>
    </row>
    <row r="8715" spans="1:6" ht="13.5" customHeight="1">
      <c r="A8715" s="4" t="s">
        <v>20152</v>
      </c>
      <c r="B8715" s="4" t="s">
        <v>20153</v>
      </c>
      <c r="C8715" s="4" t="str">
        <f ca="1">IFERROR(__xludf.DUMMYFUNCTION("GOOGLETRANSLATE(D:D,""auto"",""en"")"),"US total of nearly 70,000 cases diagnosed")</f>
        <v>US total of nearly 70,000 cases diagnosed</v>
      </c>
      <c r="D8715" s="5" t="s">
        <v>20154</v>
      </c>
      <c r="E8715" s="4">
        <v>263118</v>
      </c>
      <c r="F8715">
        <v>1</v>
      </c>
    </row>
    <row r="8716" spans="1:6" ht="13.5" hidden="1" customHeight="1">
      <c r="A8716" s="4" t="s">
        <v>20092</v>
      </c>
      <c r="B8716" s="4" t="s">
        <v>20155</v>
      </c>
      <c r="C8716" s="4" t="str">
        <f ca="1">IFERROR(__xludf.DUMMYFUNCTION("GOOGLETRANSLATE(D:D,""auto"",""en"")"),"Leslie two repair cutback in Hong Kong")</f>
        <v>Leslie two repair cutback in Hong Kong</v>
      </c>
      <c r="D8716" s="5" t="s">
        <v>20156</v>
      </c>
      <c r="E8716" s="4">
        <v>261428</v>
      </c>
    </row>
    <row r="8717" spans="1:6" ht="13.5" hidden="1" customHeight="1">
      <c r="A8717" s="4" t="s">
        <v>20157</v>
      </c>
      <c r="B8717" s="4" t="s">
        <v>20158</v>
      </c>
      <c r="C8717" s="4" t="str">
        <f ca="1">IFERROR(__xludf.DUMMYFUNCTION("GOOGLETRANSLATE(D:D,""auto"",""en"")"),"Trump denounced the reporter deliberately let him elected")</f>
        <v>Trump denounced the reporter deliberately let him elected</v>
      </c>
      <c r="D8717" s="5" t="s">
        <v>20159</v>
      </c>
      <c r="E8717" s="4">
        <v>257510</v>
      </c>
    </row>
    <row r="8718" spans="1:6" ht="13.5" hidden="1" customHeight="1">
      <c r="A8718" s="4" t="s">
        <v>20160</v>
      </c>
      <c r="B8718" s="4" t="s">
        <v>20161</v>
      </c>
      <c r="C8718" s="4" t="str">
        <f ca="1">IFERROR(__xludf.DUMMYFUNCTION("GOOGLETRANSLATE(D:D,""auto"",""en"")"),"South Korean short track event Tuoku party was sentenced to 1 year")</f>
        <v>South Korean short track event Tuoku party was sentenced to 1 year</v>
      </c>
      <c r="D8718" s="5" t="s">
        <v>20162</v>
      </c>
      <c r="E8718" s="4">
        <v>230988</v>
      </c>
    </row>
    <row r="8719" spans="1:6" ht="13.5" hidden="1" customHeight="1">
      <c r="A8719" s="4" t="s">
        <v>20163</v>
      </c>
      <c r="B8719" s="4" t="s">
        <v>20164</v>
      </c>
      <c r="C8719" s="4" t="str">
        <f ca="1">IFERROR(__xludf.DUMMYFUNCTION("GOOGLETRANSLATE(D:D,""auto"",""en"")"),"N, room successors only 16 years old")</f>
        <v>N, room successors only 16 years old</v>
      </c>
      <c r="D8719" s="5" t="s">
        <v>20165</v>
      </c>
      <c r="E8719" s="4">
        <v>225956</v>
      </c>
    </row>
    <row r="8720" spans="1:6" ht="13.5" customHeight="1">
      <c r="A8720" s="4" t="s">
        <v>20138</v>
      </c>
      <c r="B8720" s="4" t="s">
        <v>20105</v>
      </c>
      <c r="C8720" s="4" t="str">
        <f ca="1">IFERROR(__xludf.DUMMYFUNCTION("GOOGLETRANSLATE(D:D,""auto"",""en"")"),"ZHANG Wen-hong A Overseas Chinese students fight against SARS issue")</f>
        <v>ZHANG Wen-hong A Overseas Chinese students fight against SARS issue</v>
      </c>
      <c r="D8720" s="5" t="s">
        <v>20166</v>
      </c>
      <c r="E8720" s="4">
        <v>218598</v>
      </c>
      <c r="F8720">
        <v>1</v>
      </c>
    </row>
    <row r="8721" spans="1:6" ht="13.5" hidden="1" customHeight="1">
      <c r="A8721" s="4" t="s">
        <v>20167</v>
      </c>
      <c r="B8721" s="4" t="s">
        <v>20120</v>
      </c>
      <c r="C8721" s="4" t="str">
        <f ca="1">IFERROR(__xludf.DUMMYFUNCTION("GOOGLETRANSLATE(D:D,""auto"",""en"")"),"Juvenile players calm makeup")</f>
        <v>Juvenile players calm makeup</v>
      </c>
      <c r="D8721" s="5" t="s">
        <v>20168</v>
      </c>
      <c r="E8721" s="4">
        <v>218582</v>
      </c>
    </row>
    <row r="8722" spans="1:6" ht="13.5" hidden="1" customHeight="1">
      <c r="A8722" s="4" t="s">
        <v>20086</v>
      </c>
      <c r="B8722" s="4" t="s">
        <v>20169</v>
      </c>
      <c r="C8722" s="4" t="str">
        <f ca="1">IFERROR(__xludf.DUMMYFUNCTION("GOOGLETRANSLATE(D:D,""auto"",""en"")"),"Global network bandwidth in an emergency")</f>
        <v>Global network bandwidth in an emergency</v>
      </c>
      <c r="D8722" s="5" t="s">
        <v>20170</v>
      </c>
      <c r="E8722" s="4">
        <v>212821</v>
      </c>
    </row>
    <row r="8723" spans="1:6" ht="13.5" hidden="1" customHeight="1">
      <c r="A8723" s="4" t="s">
        <v>20171</v>
      </c>
      <c r="B8723" s="4" t="s">
        <v>12754</v>
      </c>
      <c r="C8723" s="4" t="str">
        <f ca="1">IFERROR(__xludf.DUMMYFUNCTION("GOOGLETRANSLATE(D:D,""auto"",""en"")"),"Huawei conference")</f>
        <v>Huawei conference</v>
      </c>
      <c r="D8723" s="5" t="s">
        <v>12755</v>
      </c>
      <c r="E8723" s="4">
        <v>205694</v>
      </c>
    </row>
    <row r="8724" spans="1:6" ht="13.5" hidden="1" customHeight="1">
      <c r="A8724" s="4" t="s">
        <v>20172</v>
      </c>
      <c r="B8724" s="4" t="s">
        <v>20105</v>
      </c>
      <c r="C8724" s="4" t="str">
        <f ca="1">IFERROR(__xludf.DUMMYFUNCTION("GOOGLETRANSLATE(D:D,""auto"",""en"")"),"Hangzhou coupons")</f>
        <v>Hangzhou coupons</v>
      </c>
      <c r="D8724" s="5" t="s">
        <v>20173</v>
      </c>
      <c r="E8724" s="4">
        <v>202253</v>
      </c>
    </row>
    <row r="8725" spans="1:6" ht="13.5" hidden="1" customHeight="1">
      <c r="A8725" s="4" t="s">
        <v>20174</v>
      </c>
      <c r="B8725" s="4" t="s">
        <v>20175</v>
      </c>
      <c r="C8725" s="4" t="str">
        <f ca="1">IFERROR(__xludf.DUMMYFUNCTION("GOOGLETRANSLATE(D:D,""auto"",""en"")"),"Zhao Liying Reuters")</f>
        <v>Zhao Liying Reuters</v>
      </c>
      <c r="D8725" s="5" t="s">
        <v>20176</v>
      </c>
      <c r="E8725" s="4">
        <v>194350</v>
      </c>
    </row>
    <row r="8726" spans="1:6" ht="13.5" hidden="1" customHeight="1">
      <c r="A8726" s="4" t="s">
        <v>20177</v>
      </c>
      <c r="B8726" s="4" t="s">
        <v>20178</v>
      </c>
      <c r="C8726" s="4" t="str">
        <f ca="1">IFERROR(__xludf.DUMMYFUNCTION("GOOGLETRANSLATE(D:D,""auto"",""en"")"),"US jobless claims for the first time highs")</f>
        <v>US jobless claims for the first time highs</v>
      </c>
      <c r="D8726" s="5" t="s">
        <v>20179</v>
      </c>
      <c r="E8726" s="4">
        <v>157215</v>
      </c>
    </row>
    <row r="8727" spans="1:6" ht="13.5" hidden="1" customHeight="1">
      <c r="A8727" s="4" t="s">
        <v>20180</v>
      </c>
      <c r="B8727" s="4" t="s">
        <v>20181</v>
      </c>
      <c r="C8727" s="4" t="str">
        <f ca="1">IFERROR(__xludf.DUMMYFUNCTION("GOOGLETRANSLATE(D:D,""auto"",""en"")"),"Chinese arrival and departure flight load factor of not more than 75%")</f>
        <v>Chinese arrival and departure flight load factor of not more than 75%</v>
      </c>
      <c r="D8727" s="5" t="s">
        <v>20182</v>
      </c>
      <c r="E8727" s="4">
        <v>125205</v>
      </c>
    </row>
    <row r="8728" spans="1:6" ht="13.5" hidden="1" customHeight="1">
      <c r="C8728" s="4" t="str">
        <f ca="1">IFERROR(__xludf.DUMMYFUNCTION("GOOGLETRANSLATE(D:D,""auto"",""en"")"),"#VALUE!")</f>
        <v>#VALUE!</v>
      </c>
    </row>
    <row r="8729" spans="1:6" ht="13.5" hidden="1" customHeight="1">
      <c r="A8729" s="4" t="s">
        <v>20183</v>
      </c>
      <c r="B8729" s="4" t="s">
        <v>20184</v>
      </c>
      <c r="C8729" s="4" t="str">
        <f ca="1">IFERROR(__xludf.DUMMYFUNCTION("GOOGLETRANSLATE(D:D,""auto"",""en"")"),"Chen Dong Qin wrong turn cow Granville rap")</f>
        <v>Chen Dong Qin wrong turn cow Granville rap</v>
      </c>
      <c r="D8729" s="4" t="s">
        <v>20185</v>
      </c>
      <c r="E8729" s="4">
        <v>4388911</v>
      </c>
    </row>
    <row r="8730" spans="1:6" ht="13.5" hidden="1" customHeight="1">
      <c r="A8730" s="4" t="s">
        <v>20186</v>
      </c>
      <c r="B8730" s="4" t="s">
        <v>20187</v>
      </c>
      <c r="C8730" s="4" t="str">
        <f ca="1">IFERROR(__xludf.DUMMYFUNCTION("GOOGLETRANSLATE(D:D,""auto"",""en"")"),"Yellow dress fluffy hair")</f>
        <v>Yellow dress fluffy hair</v>
      </c>
      <c r="D8730" s="5" t="s">
        <v>20188</v>
      </c>
      <c r="E8730" s="4">
        <v>3300171</v>
      </c>
    </row>
    <row r="8731" spans="1:6" ht="13.5" hidden="1" customHeight="1">
      <c r="A8731" s="4" t="s">
        <v>20189</v>
      </c>
      <c r="B8731" s="4" t="s">
        <v>20190</v>
      </c>
      <c r="C8731" s="4" t="str">
        <f ca="1">IFERROR(__xludf.DUMMYFUNCTION("GOOGLETRANSLATE(D:D,""auto"",""en"")"),"GAI distressed our bean sprouts")</f>
        <v>GAI distressed our bean sprouts</v>
      </c>
      <c r="D8731" s="5" t="s">
        <v>20191</v>
      </c>
      <c r="E8731" s="4">
        <v>2981625</v>
      </c>
    </row>
    <row r="8732" spans="1:6" ht="13.5" hidden="1" customHeight="1">
      <c r="A8732" s="4" t="s">
        <v>20192</v>
      </c>
      <c r="B8732" s="4" t="s">
        <v>20193</v>
      </c>
      <c r="C8732" s="4" t="str">
        <f ca="1">IFERROR(__xludf.DUMMYFUNCTION("GOOGLETRANSLATE(D:D,""auto"",""en"")"),"N, room Zhaozhu Bin recognition exposure JJM chats")</f>
        <v>N, room Zhaozhu Bin recognition exposure JJM chats</v>
      </c>
      <c r="D8732" s="5" t="s">
        <v>20194</v>
      </c>
      <c r="E8732" s="4">
        <v>2355743</v>
      </c>
    </row>
    <row r="8733" spans="1:6" ht="13.5" customHeight="1">
      <c r="A8733" s="4" t="s">
        <v>20195</v>
      </c>
      <c r="B8733" s="4" t="s">
        <v>20196</v>
      </c>
      <c r="C8733" s="4" t="str">
        <f ca="1">IFERROR(__xludf.DUMMYFUNCTION("GOOGLETRANSLATE(D:D,""auto"",""en"")"),"Mark Bloom died infect new crown")</f>
        <v>Mark Bloom died infect new crown</v>
      </c>
      <c r="D8733" s="5" t="s">
        <v>20197</v>
      </c>
      <c r="E8733" s="4">
        <v>2313093</v>
      </c>
      <c r="F8733">
        <v>1</v>
      </c>
    </row>
    <row r="8734" spans="1:6" ht="13.5" hidden="1" customHeight="1">
      <c r="A8734" s="4" t="s">
        <v>20198</v>
      </c>
      <c r="B8734" s="4" t="s">
        <v>20193</v>
      </c>
      <c r="C8734" s="4" t="str">
        <f ca="1">IFERROR(__xludf.DUMMYFUNCTION("GOOGLETRANSLATE(D:D,""auto"",""en"")"),"Trump response to the US unemployment soared 3.28 million")</f>
        <v>Trump response to the US unemployment soared 3.28 million</v>
      </c>
      <c r="D8734" s="5" t="s">
        <v>20199</v>
      </c>
      <c r="E8734" s="4">
        <v>1517388</v>
      </c>
    </row>
    <row r="8735" spans="1:6" ht="13.5" customHeight="1">
      <c r="A8735" s="4" t="s">
        <v>20200</v>
      </c>
      <c r="B8735" s="4" t="s">
        <v>20138</v>
      </c>
      <c r="C8735" s="4" t="str">
        <f ca="1">IFERROR(__xludf.DUMMYFUNCTION("GOOGLETRANSLATE(D:D,""auto"",""en"")"),"Zhejiang new one cases of indigenous cases")</f>
        <v>Zhejiang new one cases of indigenous cases</v>
      </c>
      <c r="D8735" s="5" t="s">
        <v>20201</v>
      </c>
      <c r="E8735" s="4">
        <v>1331758</v>
      </c>
      <c r="F8735">
        <v>1</v>
      </c>
    </row>
    <row r="8736" spans="1:6" ht="13.5" hidden="1" customHeight="1">
      <c r="A8736" s="4" t="s">
        <v>20202</v>
      </c>
      <c r="B8736" s="4" t="s">
        <v>20203</v>
      </c>
      <c r="C8736" s="4" t="str">
        <f ca="1">IFERROR(__xludf.DUMMYFUNCTION("GOOGLETRANSLATE(D:D,""auto"",""en"")"),"Tokyo Olympic Games souvenir large area out of stock")</f>
        <v>Tokyo Olympic Games souvenir large area out of stock</v>
      </c>
      <c r="D8736" s="5" t="s">
        <v>20204</v>
      </c>
      <c r="E8736" s="4">
        <v>1105080</v>
      </c>
    </row>
    <row r="8737" spans="1:6" ht="13.5" customHeight="1">
      <c r="A8737" s="4" t="s">
        <v>20205</v>
      </c>
      <c r="B8737" s="4" t="s">
        <v>20206</v>
      </c>
      <c r="C8737" s="4" t="str">
        <f ca="1">IFERROR(__xludf.DUMMYFUNCTION("GOOGLETRANSLATE(D:D,""auto"",""en"")"),"Italian super-infection medical reasons 5000")</f>
        <v>Italian super-infection medical reasons 5000</v>
      </c>
      <c r="D8737" s="5" t="s">
        <v>20207</v>
      </c>
      <c r="E8737" s="4">
        <v>1054043</v>
      </c>
      <c r="F8737">
        <v>1</v>
      </c>
    </row>
    <row r="8738" spans="1:6" ht="13.5" hidden="1" customHeight="1">
      <c r="A8738" s="4" t="s">
        <v>20208</v>
      </c>
      <c r="B8738" s="4" t="s">
        <v>20059</v>
      </c>
      <c r="C8738" s="4" t="str">
        <f ca="1">IFERROR(__xludf.DUMMYFUNCTION("GOOGLETRANSLATE(D:D,""auto"",""en"")"),"Li Yi Feng jinjinwawa")</f>
        <v>Li Yi Feng jinjinwawa</v>
      </c>
      <c r="D8738" s="5" t="s">
        <v>20209</v>
      </c>
      <c r="E8738" s="4">
        <v>1013092</v>
      </c>
    </row>
    <row r="8739" spans="1:6" ht="13.5" customHeight="1">
      <c r="A8739" s="4" t="s">
        <v>20205</v>
      </c>
      <c r="B8739" s="4" t="s">
        <v>20193</v>
      </c>
      <c r="C8739" s="4" t="str">
        <f ca="1">IFERROR(__xludf.DUMMYFUNCTION("GOOGLETRANSLATE(D:D,""auto"",""en"")"),"Han returned to Beijing from infected mothers concealed men were arrested")</f>
        <v>Han returned to Beijing from infected mothers concealed men were arrested</v>
      </c>
      <c r="D8739" s="5" t="s">
        <v>20210</v>
      </c>
      <c r="E8739" s="4">
        <v>847068</v>
      </c>
      <c r="F8739">
        <v>1</v>
      </c>
    </row>
    <row r="8740" spans="1:6" ht="13.5" customHeight="1">
      <c r="A8740" s="4" t="s">
        <v>20202</v>
      </c>
      <c r="B8740" s="4" t="s">
        <v>20177</v>
      </c>
      <c r="C8740" s="4" t="str">
        <f ca="1">IFERROR(__xludf.DUMMYFUNCTION("GOOGLETRANSLATE(D:D,""auto"",""en"")"),"Thai father for his son cut hair prevention")</f>
        <v>Thai father for his son cut hair prevention</v>
      </c>
      <c r="D8740" s="5" t="s">
        <v>20211</v>
      </c>
      <c r="E8740" s="4">
        <v>842985</v>
      </c>
      <c r="F8740">
        <v>1</v>
      </c>
    </row>
    <row r="8741" spans="1:6" ht="13.5" hidden="1" customHeight="1">
      <c r="A8741" s="4" t="s">
        <v>20212</v>
      </c>
      <c r="B8741" s="4" t="s">
        <v>20187</v>
      </c>
      <c r="C8741" s="4" t="str">
        <f ca="1">IFERROR(__xludf.DUMMYFUNCTION("GOOGLETRANSLATE(D:D,""auto"",""en"")"),"US stocks surge")</f>
        <v>US stocks surge</v>
      </c>
      <c r="D8741" s="5" t="s">
        <v>20213</v>
      </c>
      <c r="E8741" s="4">
        <v>842463</v>
      </c>
    </row>
    <row r="8742" spans="1:6" ht="13.5" hidden="1" customHeight="1">
      <c r="A8742" s="4" t="s">
        <v>20214</v>
      </c>
      <c r="B8742" s="4" t="s">
        <v>20080</v>
      </c>
      <c r="C8742" s="4" t="str">
        <f ca="1">IFERROR(__xludf.DUMMYFUNCTION("GOOGLETRANSLATE(D:D,""auto"",""en"")"),"No lawyer willing to defend N, room incident suspects")</f>
        <v>No lawyer willing to defend N, room incident suspects</v>
      </c>
      <c r="D8742" s="5" t="s">
        <v>20215</v>
      </c>
      <c r="E8742" s="4">
        <v>841155</v>
      </c>
    </row>
    <row r="8743" spans="1:6" ht="13.5" customHeight="1">
      <c r="A8743" s="4" t="s">
        <v>13780</v>
      </c>
      <c r="B8743" s="4" t="s">
        <v>13781</v>
      </c>
      <c r="C8743" s="4" t="str">
        <f ca="1">IFERROR(__xludf.DUMMYFUNCTION("GOOGLETRANSLATE(D:D,""auto"",""en"")"),"US epidemic")</f>
        <v>US epidemic</v>
      </c>
      <c r="D8743" s="5" t="s">
        <v>13782</v>
      </c>
      <c r="E8743" s="4">
        <v>840870</v>
      </c>
      <c r="F8743">
        <v>1</v>
      </c>
    </row>
    <row r="8744" spans="1:6" ht="13.5" hidden="1" customHeight="1">
      <c r="A8744" s="4" t="s">
        <v>20216</v>
      </c>
      <c r="B8744" s="4" t="s">
        <v>20104</v>
      </c>
      <c r="C8744" s="4" t="str">
        <f ca="1">IFERROR(__xludf.DUMMYFUNCTION("GOOGLETRANSLATE(D:D,""auto"",""en"")"),"Daegu Mayor fainted")</f>
        <v>Daegu Mayor fainted</v>
      </c>
      <c r="D8744" s="5" t="s">
        <v>20217</v>
      </c>
      <c r="E8744" s="4">
        <v>839525</v>
      </c>
    </row>
    <row r="8745" spans="1:6" ht="13.5" hidden="1" customHeight="1">
      <c r="A8745" s="4" t="s">
        <v>20218</v>
      </c>
      <c r="B8745" s="4" t="s">
        <v>20143</v>
      </c>
      <c r="C8745" s="4" t="str">
        <f ca="1">IFERROR(__xludf.DUMMYFUNCTION("GOOGLETRANSLATE(D:D,""auto"",""en"")"),"National unity girlfriend say")</f>
        <v>National unity girlfriend say</v>
      </c>
      <c r="D8745" s="5" t="s">
        <v>20219</v>
      </c>
      <c r="E8745" s="4">
        <v>838058</v>
      </c>
    </row>
    <row r="8746" spans="1:6" ht="13.5" hidden="1" customHeight="1">
      <c r="A8746" s="4" t="s">
        <v>20220</v>
      </c>
      <c r="B8746" s="4" t="s">
        <v>20221</v>
      </c>
      <c r="C8746" s="4" t="str">
        <f ca="1">IFERROR(__xludf.DUMMYFUNCTION("GOOGLETRANSLATE(D:D,""auto"",""en"")"),"Liu Yu Xinlukeran makeup")</f>
        <v>Liu Yu Xinlukeran makeup</v>
      </c>
      <c r="D8746" s="5" t="s">
        <v>20222</v>
      </c>
      <c r="E8746" s="4">
        <v>837799</v>
      </c>
    </row>
    <row r="8747" spans="1:6" ht="13.5" hidden="1" customHeight="1">
      <c r="A8747" s="4" t="s">
        <v>20223</v>
      </c>
      <c r="B8747" s="4" t="s">
        <v>20196</v>
      </c>
      <c r="C8747" s="4" t="str">
        <f ca="1">IFERROR(__xludf.DUMMYFUNCTION("GOOGLETRANSLATE(D:D,""auto"",""en"")"),"UFC president criticized the Americans to avoid virus")</f>
        <v>UFC president criticized the Americans to avoid virus</v>
      </c>
      <c r="D8747" s="5" t="s">
        <v>20224</v>
      </c>
      <c r="E8747" s="4">
        <v>830554</v>
      </c>
    </row>
    <row r="8748" spans="1:6" ht="13.5" hidden="1" customHeight="1">
      <c r="A8748" s="4" t="s">
        <v>20225</v>
      </c>
      <c r="B8748" s="4" t="s">
        <v>20193</v>
      </c>
      <c r="C8748" s="4" t="str">
        <f ca="1">IFERROR(__xludf.DUMMYFUNCTION("GOOGLETRANSLATE(D:D,""auto"",""en"")"),"Comforted to comfort a friend autistic")</f>
        <v>Comforted to comfort a friend autistic</v>
      </c>
      <c r="D8748" s="5" t="s">
        <v>20226</v>
      </c>
      <c r="E8748" s="4">
        <v>733825</v>
      </c>
    </row>
    <row r="8749" spans="1:6" ht="13.5" hidden="1" customHeight="1">
      <c r="A8749" s="4" t="s">
        <v>20227</v>
      </c>
      <c r="B8749" s="4" t="s">
        <v>20228</v>
      </c>
      <c r="C8749" s="4" t="str">
        <f ca="1">IFERROR(__xludf.DUMMYFUNCTION("GOOGLETRANSLATE(D:D,""auto"",""en"")"),"Forced truant students")</f>
        <v>Forced truant students</v>
      </c>
      <c r="D8749" s="5" t="s">
        <v>20229</v>
      </c>
      <c r="E8749" s="4">
        <v>676831</v>
      </c>
    </row>
    <row r="8750" spans="1:6" ht="13.5" hidden="1" customHeight="1">
      <c r="A8750" s="4" t="s">
        <v>20230</v>
      </c>
      <c r="B8750" s="4" t="s">
        <v>20231</v>
      </c>
      <c r="C8750" s="4" t="str">
        <f ca="1">IFERROR(__xludf.DUMMYFUNCTION("GOOGLETRANSLATE(D:D,""auto"",""en"")"),"Shi, hand-painted cover")</f>
        <v>Shi, hand-painted cover</v>
      </c>
      <c r="D8750" s="5" t="s">
        <v>20232</v>
      </c>
      <c r="E8750" s="4">
        <v>474837</v>
      </c>
    </row>
    <row r="8751" spans="1:6" ht="13.5" hidden="1" customHeight="1">
      <c r="A8751" s="4" t="s">
        <v>20233</v>
      </c>
      <c r="B8751" s="4" t="s">
        <v>20234</v>
      </c>
      <c r="C8751" s="4" t="str">
        <f ca="1">IFERROR(__xludf.DUMMYFUNCTION("GOOGLETRANSLATE(D:D,""auto"",""en"")"),"Nanjing Daily")</f>
        <v>Nanjing Daily</v>
      </c>
      <c r="D8751" s="5" t="s">
        <v>20235</v>
      </c>
      <c r="E8751" s="4">
        <v>457384</v>
      </c>
    </row>
    <row r="8752" spans="1:6" ht="13.5" hidden="1" customHeight="1">
      <c r="A8752" s="4" t="s">
        <v>20236</v>
      </c>
      <c r="B8752" s="4" t="s">
        <v>20237</v>
      </c>
      <c r="C8752" s="4" t="str">
        <f ca="1">IFERROR(__xludf.DUMMYFUNCTION("GOOGLETRANSLATE(D:D,""auto"",""en"")"),"Exploding bananas Pizza")</f>
        <v>Exploding bananas Pizza</v>
      </c>
      <c r="D8752" s="5" t="s">
        <v>20238</v>
      </c>
      <c r="E8752" s="4">
        <v>455071</v>
      </c>
    </row>
    <row r="8753" spans="1:6" ht="13.5" customHeight="1">
      <c r="A8753" s="4" t="s">
        <v>20239</v>
      </c>
      <c r="B8753" s="4" t="s">
        <v>20240</v>
      </c>
      <c r="C8753" s="4" t="str">
        <f ca="1">IFERROR(__xludf.DUMMYFUNCTION("GOOGLETRANSLATE(D:D,""auto"",""en"")"),"Wuhan Wan more than 1 takeaway restaurants recovery")</f>
        <v>Wuhan Wan more than 1 takeaway restaurants recovery</v>
      </c>
      <c r="D8753" s="5" t="s">
        <v>20241</v>
      </c>
      <c r="E8753" s="4">
        <v>454792</v>
      </c>
      <c r="F8753">
        <v>1</v>
      </c>
    </row>
    <row r="8754" spans="1:6" ht="13.5" customHeight="1">
      <c r="A8754" s="4" t="s">
        <v>20242</v>
      </c>
      <c r="B8754" s="4" t="s">
        <v>20122</v>
      </c>
      <c r="C8754" s="4" t="str">
        <f ca="1">IFERROR(__xludf.DUMMYFUNCTION("GOOGLETRANSLATE(D:D,""auto"",""en"")"),"Why is there in the end asymptomatic infection")</f>
        <v>Why is there in the end asymptomatic infection</v>
      </c>
      <c r="D8754" s="5" t="s">
        <v>20243</v>
      </c>
      <c r="E8754" s="4">
        <v>454389</v>
      </c>
      <c r="F8754">
        <v>1</v>
      </c>
    </row>
    <row r="8755" spans="1:6" ht="13.5" customHeight="1">
      <c r="A8755" s="4" t="s">
        <v>20244</v>
      </c>
      <c r="B8755" s="4" t="s">
        <v>20119</v>
      </c>
      <c r="C8755" s="4" t="str">
        <f ca="1">IFERROR(__xludf.DUMMYFUNCTION("GOOGLETRANSLATE(D:D,""auto"",""en"")"),"Zhong Nanshan connection United States team of experts")</f>
        <v>Zhong Nanshan connection United States team of experts</v>
      </c>
      <c r="D8755" s="5" t="s">
        <v>20245</v>
      </c>
      <c r="E8755" s="4">
        <v>396289</v>
      </c>
      <c r="F8755">
        <v>1</v>
      </c>
    </row>
    <row r="8756" spans="1:6" ht="13.5" customHeight="1">
      <c r="A8756" s="4" t="s">
        <v>20053</v>
      </c>
      <c r="B8756" s="4" t="s">
        <v>20054</v>
      </c>
      <c r="C8756" s="4" t="str">
        <f ca="1">IFERROR(__xludf.DUMMYFUNCTION("GOOGLETRANSLATE(D:D,""auto"",""en"")"),"Pause foreigners holding valid Chinese visa entry")</f>
        <v>Pause foreigners holding valid Chinese visa entry</v>
      </c>
      <c r="D8756" s="5" t="s">
        <v>20055</v>
      </c>
      <c r="E8756" s="4">
        <v>377425</v>
      </c>
      <c r="F8756">
        <v>1</v>
      </c>
    </row>
    <row r="8757" spans="1:6" ht="13.5" hidden="1" customHeight="1">
      <c r="A8757" s="4" t="s">
        <v>20056</v>
      </c>
      <c r="B8757" s="4" t="s">
        <v>20057</v>
      </c>
      <c r="C8757" s="4" t="str">
        <f ca="1">IFERROR(__xludf.DUMMYFUNCTION("GOOGLETRANSLATE(D:D,""auto"",""en"")"),"JonyJ teach Qin cattle Granville rap")</f>
        <v>JonyJ teach Qin cattle Granville rap</v>
      </c>
      <c r="D8757" s="5" t="s">
        <v>20058</v>
      </c>
      <c r="E8757" s="4">
        <v>362705</v>
      </c>
    </row>
    <row r="8758" spans="1:6" ht="13.5" hidden="1" customHeight="1">
      <c r="A8758" s="4" t="s">
        <v>20246</v>
      </c>
      <c r="B8758" s="4" t="s">
        <v>20247</v>
      </c>
      <c r="C8758" s="4" t="str">
        <f ca="1">IFERROR(__xludf.DUMMYFUNCTION("GOOGLETRANSLATE(D:D,""auto"",""en"")"),"Unicorn supermarket dressed")</f>
        <v>Unicorn supermarket dressed</v>
      </c>
      <c r="D8758" s="5" t="s">
        <v>20248</v>
      </c>
      <c r="E8758" s="4">
        <v>357851</v>
      </c>
    </row>
    <row r="8759" spans="1:6" ht="13.5" hidden="1" customHeight="1">
      <c r="A8759" s="4" t="s">
        <v>20249</v>
      </c>
      <c r="B8759" s="4" t="s">
        <v>20196</v>
      </c>
      <c r="C8759" s="4" t="str">
        <f ca="1">IFERROR(__xludf.DUMMYFUNCTION("GOOGLETRANSLATE(D:D,""auto"",""en"")"),"National arbitrary dress warning map")</f>
        <v>National arbitrary dress warning map</v>
      </c>
      <c r="D8759" s="5" t="s">
        <v>20250</v>
      </c>
      <c r="E8759" s="4">
        <v>340906</v>
      </c>
    </row>
    <row r="8760" spans="1:6" ht="13.5" hidden="1" customHeight="1">
      <c r="A8760" s="4" t="s">
        <v>20251</v>
      </c>
      <c r="B8760" s="4" t="s">
        <v>20206</v>
      </c>
      <c r="C8760" s="4" t="str">
        <f ca="1">IFERROR(__xludf.DUMMYFUNCTION("GOOGLETRANSLATE(D:D,""auto"",""en"")"),"What comes with the voice of the text")</f>
        <v>What comes with the voice of the text</v>
      </c>
      <c r="D8760" s="5" t="s">
        <v>20252</v>
      </c>
      <c r="E8760" s="4">
        <v>336997</v>
      </c>
    </row>
    <row r="8761" spans="1:6" ht="13.5" hidden="1" customHeight="1">
      <c r="A8761" s="4" t="s">
        <v>20157</v>
      </c>
      <c r="B8761" s="4" t="s">
        <v>20158</v>
      </c>
      <c r="C8761" s="4" t="str">
        <f ca="1">IFERROR(__xludf.DUMMYFUNCTION("GOOGLETRANSLATE(D:D,""auto"",""en"")"),"Trump denounced the reporter deliberately let him elected")</f>
        <v>Trump denounced the reporter deliberately let him elected</v>
      </c>
      <c r="D8761" s="5" t="s">
        <v>20159</v>
      </c>
      <c r="E8761" s="4">
        <v>335876</v>
      </c>
    </row>
    <row r="8762" spans="1:6" ht="13.5" customHeight="1">
      <c r="A8762" s="4" t="s">
        <v>20246</v>
      </c>
      <c r="B8762" s="4" t="s">
        <v>20234</v>
      </c>
      <c r="C8762" s="4" t="str">
        <f ca="1">IFERROR(__xludf.DUMMYFUNCTION("GOOGLETRANSLATE(D:D,""auto"",""en"")"),"Wuhan wake of what")</f>
        <v>Wuhan wake of what</v>
      </c>
      <c r="D8762" s="5" t="s">
        <v>20253</v>
      </c>
      <c r="E8762" s="4">
        <v>335559</v>
      </c>
      <c r="F8762">
        <v>1</v>
      </c>
    </row>
    <row r="8763" spans="1:6" ht="13.5" customHeight="1">
      <c r="A8763" s="4" t="s">
        <v>20254</v>
      </c>
      <c r="B8763" s="4" t="s">
        <v>20255</v>
      </c>
      <c r="C8763" s="4" t="str">
        <f ca="1">IFERROR(__xludf.DUMMYFUNCTION("GOOGLETRANSLATE(D:D,""auto"",""en"")"),"The new crown pneumonia United States over 80,000 confirmed cases")</f>
        <v>The new crown pneumonia United States over 80,000 confirmed cases</v>
      </c>
      <c r="D8763" s="5" t="s">
        <v>20256</v>
      </c>
      <c r="E8763" s="4">
        <v>328444</v>
      </c>
      <c r="F8763">
        <v>1</v>
      </c>
    </row>
    <row r="8764" spans="1:6" ht="13.5" customHeight="1">
      <c r="A8764" s="4" t="s">
        <v>20257</v>
      </c>
      <c r="B8764" s="4" t="s">
        <v>20258</v>
      </c>
      <c r="C8764" s="4" t="str">
        <f ca="1">IFERROR(__xludf.DUMMYFUNCTION("GOOGLETRANSLATE(D:D,""auto"",""en"")"),"After school you attend class status")</f>
        <v>After school you attend class status</v>
      </c>
      <c r="D8764" s="5" t="s">
        <v>20259</v>
      </c>
      <c r="E8764" s="4">
        <v>283948</v>
      </c>
      <c r="F8764">
        <v>1</v>
      </c>
    </row>
    <row r="8765" spans="1:6" ht="13.5" hidden="1" customHeight="1">
      <c r="A8765" s="4" t="s">
        <v>20062</v>
      </c>
      <c r="B8765" s="4" t="s">
        <v>20063</v>
      </c>
      <c r="C8765" s="4" t="str">
        <f ca="1">IFERROR(__xludf.DUMMYFUNCTION("GOOGLETRANSLATE(D:D,""auto"",""en"")"),"Huawei P40 Price")</f>
        <v>Huawei P40 Price</v>
      </c>
      <c r="D8765" s="5" t="s">
        <v>20064</v>
      </c>
      <c r="E8765" s="4">
        <v>261834</v>
      </c>
    </row>
    <row r="8766" spans="1:6" ht="13.5" customHeight="1">
      <c r="A8766" s="4" t="s">
        <v>20062</v>
      </c>
      <c r="B8766" s="4" t="s">
        <v>20260</v>
      </c>
      <c r="C8766" s="4" t="str">
        <f ca="1">IFERROR(__xludf.DUMMYFUNCTION("GOOGLETRANSLATE(D:D,""auto"",""en"")"),"Palestinian artists N95 masks painting")</f>
        <v>Palestinian artists N95 masks painting</v>
      </c>
      <c r="D8766" s="5" t="s">
        <v>20261</v>
      </c>
      <c r="E8766" s="4">
        <v>259313</v>
      </c>
      <c r="F8766">
        <v>1</v>
      </c>
    </row>
    <row r="8767" spans="1:6" ht="13.5" hidden="1" customHeight="1">
      <c r="A8767" s="4" t="s">
        <v>20257</v>
      </c>
      <c r="B8767" s="4" t="s">
        <v>20101</v>
      </c>
      <c r="C8767" s="4" t="str">
        <f ca="1">IFERROR(__xludf.DUMMYFUNCTION("GOOGLETRANSLATE(D:D,""auto"",""en"")"),"ZHANG Wen-hong say hanging out stronger than the drug store")</f>
        <v>ZHANG Wen-hong say hanging out stronger than the drug store</v>
      </c>
      <c r="D8767" s="5" t="s">
        <v>20262</v>
      </c>
      <c r="E8767" s="4">
        <v>251829</v>
      </c>
    </row>
    <row r="8768" spans="1:6" ht="13.5" hidden="1" customHeight="1">
      <c r="A8768" s="4" t="s">
        <v>20263</v>
      </c>
      <c r="B8768" s="4" t="s">
        <v>20264</v>
      </c>
      <c r="C8768" s="4" t="str">
        <f ca="1">IFERROR(__xludf.DUMMYFUNCTION("GOOGLETRANSLATE(D:D,""auto"",""en"")"),"Chongqing Weather")</f>
        <v>Chongqing Weather</v>
      </c>
      <c r="D8768" s="5" t="s">
        <v>20265</v>
      </c>
      <c r="E8768" s="4">
        <v>245583</v>
      </c>
    </row>
    <row r="8769" spans="1:6" ht="13.5" customHeight="1">
      <c r="A8769" s="4" t="s">
        <v>20266</v>
      </c>
      <c r="B8769" s="4" t="s">
        <v>20267</v>
      </c>
      <c r="C8769" s="4" t="str">
        <f ca="1">IFERROR(__xludf.DUMMYFUNCTION("GOOGLETRANSLATE(D:D,""auto"",""en"")"),"Shanghai yesterday the new foreign input 17 cases")</f>
        <v>Shanghai yesterday the new foreign input 17 cases</v>
      </c>
      <c r="D8769" s="5" t="s">
        <v>20268</v>
      </c>
      <c r="E8769" s="4">
        <v>244730</v>
      </c>
      <c r="F8769">
        <v>1</v>
      </c>
    </row>
    <row r="8770" spans="1:6" ht="13.5" customHeight="1">
      <c r="A8770" s="4" t="s">
        <v>20269</v>
      </c>
      <c r="B8770" s="4" t="s">
        <v>20270</v>
      </c>
      <c r="C8770" s="4" t="str">
        <f ca="1">IFERROR(__xludf.DUMMYFUNCTION("GOOGLETRANSLATE(D:D,""auto"",""en"")"),"The United States and more anxious to build shelters hospital")</f>
        <v>The United States and more anxious to build shelters hospital</v>
      </c>
      <c r="D8770" s="5" t="s">
        <v>20271</v>
      </c>
      <c r="E8770" s="4">
        <v>229121</v>
      </c>
      <c r="F8770">
        <v>1</v>
      </c>
    </row>
    <row r="8771" spans="1:6" ht="13.5" customHeight="1">
      <c r="A8771" s="4" t="s">
        <v>20266</v>
      </c>
      <c r="B8771" s="4" t="s">
        <v>20267</v>
      </c>
      <c r="C8771" s="4" t="str">
        <f ca="1">IFERROR(__xludf.DUMMYFUNCTION("GOOGLETRANSLATE(D:D,""auto"",""en"")"),"How far the new crown cure")</f>
        <v>How far the new crown cure</v>
      </c>
      <c r="D8771" s="5" t="s">
        <v>20272</v>
      </c>
      <c r="E8771" s="4">
        <v>226505</v>
      </c>
      <c r="F8771">
        <v>1</v>
      </c>
    </row>
    <row r="8772" spans="1:6" ht="13.5" hidden="1" customHeight="1">
      <c r="A8772" s="4" t="s">
        <v>20200</v>
      </c>
      <c r="B8772" s="4" t="s">
        <v>20273</v>
      </c>
      <c r="C8772" s="4" t="str">
        <f ca="1">IFERROR(__xludf.DUMMYFUNCTION("GOOGLETRANSLATE(D:D,""auto"",""en"")"),"The most ancient town through the sense of")</f>
        <v>The most ancient town through the sense of</v>
      </c>
      <c r="D8772" s="5" t="s">
        <v>20274</v>
      </c>
      <c r="E8772" s="4">
        <v>215751</v>
      </c>
    </row>
    <row r="8773" spans="1:6" ht="13.5" hidden="1" customHeight="1">
      <c r="A8773" s="4" t="s">
        <v>20071</v>
      </c>
      <c r="B8773" s="4" t="s">
        <v>20275</v>
      </c>
      <c r="C8773" s="4" t="str">
        <f ca="1">IFERROR(__xludf.DUMMYFUNCTION("GOOGLETRANSLATE(D:D,""auto"",""en"")"),"Britain will most probably grant self-employed earnings")</f>
        <v>Britain will most probably grant self-employed earnings</v>
      </c>
      <c r="D8773" s="5" t="s">
        <v>20276</v>
      </c>
      <c r="E8773" s="4">
        <v>214884</v>
      </c>
    </row>
    <row r="8774" spans="1:6" ht="13.5" customHeight="1">
      <c r="A8774" s="4" t="s">
        <v>20071</v>
      </c>
      <c r="B8774" s="4" t="s">
        <v>20275</v>
      </c>
      <c r="C8774" s="4" t="str">
        <f ca="1">IFERROR(__xludf.DUMMYFUNCTION("GOOGLETRANSLATE(D:D,""auto"",""en"")"),"Wuhan 60 hospitals recover medical resources")</f>
        <v>Wuhan 60 hospitals recover medical resources</v>
      </c>
      <c r="D8774" s="5" t="s">
        <v>20277</v>
      </c>
      <c r="E8774" s="4">
        <v>204162</v>
      </c>
      <c r="F8774">
        <v>1</v>
      </c>
    </row>
    <row r="8775" spans="1:6" ht="13.5" customHeight="1">
      <c r="A8775" s="4" t="s">
        <v>20278</v>
      </c>
      <c r="B8775" s="4" t="s">
        <v>20279</v>
      </c>
      <c r="C8775" s="4" t="str">
        <f ca="1">IFERROR(__xludf.DUMMYFUNCTION("GOOGLETRANSLATE(D:D,""auto"",""en"")"),"US aircraft carrier Roosevelt 25 people diagnosed")</f>
        <v>US aircraft carrier Roosevelt 25 people diagnosed</v>
      </c>
      <c r="D8775" s="5" t="s">
        <v>20280</v>
      </c>
      <c r="E8775" s="4">
        <v>201366</v>
      </c>
      <c r="F8775">
        <v>1</v>
      </c>
    </row>
    <row r="8776" spans="1:6" ht="13.5" customHeight="1">
      <c r="A8776" s="4" t="s">
        <v>20071</v>
      </c>
      <c r="B8776" s="4" t="s">
        <v>20255</v>
      </c>
      <c r="C8776" s="4" t="str">
        <f ca="1">IFERROR(__xludf.DUMMYFUNCTION("GOOGLETRANSLATE(D:D,""auto"",""en"")"),"Italy's new crown over 80,000 confirmed cases of pneumonia")</f>
        <v>Italy's new crown over 80,000 confirmed cases of pneumonia</v>
      </c>
      <c r="D8776" s="5" t="s">
        <v>20281</v>
      </c>
      <c r="E8776" s="4">
        <v>200336</v>
      </c>
      <c r="F8776">
        <v>1</v>
      </c>
    </row>
    <row r="8777" spans="1:6" ht="13.5" hidden="1" customHeight="1">
      <c r="C8777" s="4" t="str">
        <f ca="1">IFERROR(__xludf.DUMMYFUNCTION("GOOGLETRANSLATE(D:D,""auto"",""en"")"),"#VALUE!")</f>
        <v>#VALUE!</v>
      </c>
    </row>
    <row r="8778" spans="1:6" ht="13.5" hidden="1" customHeight="1">
      <c r="A8778" s="4" t="s">
        <v>20282</v>
      </c>
      <c r="B8778" s="4" t="s">
        <v>20283</v>
      </c>
      <c r="C8778" s="4" t="str">
        <f ca="1">IFERROR(__xludf.DUMMYFUNCTION("GOOGLETRANSLATE(D:D,""auto"",""en"")"),"Kan Kiyoko to talk about marriage")</f>
        <v>Kan Kiyoko to talk about marriage</v>
      </c>
      <c r="D8778" s="4" t="s">
        <v>20284</v>
      </c>
      <c r="E8778" s="4">
        <v>3678963</v>
      </c>
    </row>
    <row r="8779" spans="1:6" ht="13.5" customHeight="1">
      <c r="A8779" s="4" t="s">
        <v>20285</v>
      </c>
      <c r="B8779" s="4" t="s">
        <v>20286</v>
      </c>
      <c r="C8779" s="4" t="str">
        <f ca="1">IFERROR(__xludf.DUMMYFUNCTION("GOOGLETRANSLATE(D:D,""auto"",""en"")"),"Politburo meeting the latest judgment of the epidemic")</f>
        <v>Politburo meeting the latest judgment of the epidemic</v>
      </c>
      <c r="D8779" s="5" t="s">
        <v>20287</v>
      </c>
      <c r="E8779" s="4">
        <v>2577694</v>
      </c>
      <c r="F8779">
        <v>1</v>
      </c>
    </row>
    <row r="8780" spans="1:6" ht="13.5" hidden="1" customHeight="1">
      <c r="A8780" s="4" t="s">
        <v>20288</v>
      </c>
      <c r="B8780" s="4" t="s">
        <v>20289</v>
      </c>
      <c r="C8780" s="4" t="str">
        <f ca="1">IFERROR(__xludf.DUMMYFUNCTION("GOOGLETRANSLATE(D:D,""auto"",""en"")"),"Wu Lei facing temporary unemployment")</f>
        <v>Wu Lei facing temporary unemployment</v>
      </c>
      <c r="D8780" s="5" t="s">
        <v>20290</v>
      </c>
      <c r="E8780" s="4">
        <v>1995905</v>
      </c>
    </row>
    <row r="8781" spans="1:6" ht="13.5" hidden="1" customHeight="1">
      <c r="A8781" s="4" t="s">
        <v>20291</v>
      </c>
      <c r="B8781" s="4" t="s">
        <v>20292</v>
      </c>
      <c r="C8781" s="4" t="str">
        <f ca="1">IFERROR(__xludf.DUMMYFUNCTION("GOOGLETRANSLATE(D:D,""auto"",""en"")"),"Zheng Shuang state")</f>
        <v>Zheng Shuang state</v>
      </c>
      <c r="D8781" s="5" t="s">
        <v>20293</v>
      </c>
      <c r="E8781" s="4">
        <v>1931927</v>
      </c>
    </row>
    <row r="8782" spans="1:6" ht="13.5" customHeight="1">
      <c r="A8782" s="4" t="s">
        <v>20294</v>
      </c>
      <c r="B8782" s="4" t="s">
        <v>20286</v>
      </c>
      <c r="C8782" s="4" t="str">
        <f ca="1">IFERROR(__xludf.DUMMYFUNCTION("GOOGLETRANSLATE(D:D,""auto"",""en"")"),"Wu Lei wife detect pneumonia were positive for the new crown")</f>
        <v>Wu Lei wife detect pneumonia were positive for the new crown</v>
      </c>
      <c r="D8782" s="5" t="s">
        <v>20295</v>
      </c>
      <c r="E8782" s="4">
        <v>1766861</v>
      </c>
      <c r="F8782">
        <v>1</v>
      </c>
    </row>
    <row r="8783" spans="1:6" ht="13.5" hidden="1" customHeight="1">
      <c r="A8783" s="4" t="s">
        <v>20296</v>
      </c>
      <c r="B8783" s="4" t="s">
        <v>20297</v>
      </c>
      <c r="C8783" s="4" t="str">
        <f ca="1">IFERROR(__xludf.DUMMYFUNCTION("GOOGLETRANSLATE(D:D,""auto"",""en"")"),"Lin Xie second child")</f>
        <v>Lin Xie second child</v>
      </c>
      <c r="D8783" s="5" t="s">
        <v>20298</v>
      </c>
      <c r="E8783" s="4">
        <v>1351930</v>
      </c>
    </row>
    <row r="8784" spans="1:6" ht="13.5" customHeight="1">
      <c r="A8784" s="4" t="s">
        <v>20299</v>
      </c>
      <c r="B8784" s="4" t="s">
        <v>20300</v>
      </c>
      <c r="C8784" s="4" t="str">
        <f ca="1">IFERROR(__xludf.DUMMYFUNCTION("GOOGLETRANSLATE(D:D,""auto"",""en"")"),"Spain 4 Chinese students diagnosed")</f>
        <v>Spain 4 Chinese students diagnosed</v>
      </c>
      <c r="D8784" s="5" t="s">
        <v>20301</v>
      </c>
      <c r="E8784" s="4">
        <v>1006530</v>
      </c>
      <c r="F8784">
        <v>1</v>
      </c>
    </row>
    <row r="8785" spans="1:6" ht="13.5" customHeight="1">
      <c r="A8785" s="4" t="s">
        <v>20302</v>
      </c>
      <c r="B8785" s="4" t="s">
        <v>20303</v>
      </c>
      <c r="C8785" s="4" t="str">
        <f ca="1">IFERROR(__xludf.DUMMYFUNCTION("GOOGLETRANSLATE(D:D,""auto"",""en"")"),"Li Wenliang Zhejiang registered trademark of the applicant ticket")</f>
        <v>Li Wenliang Zhejiang registered trademark of the applicant ticket</v>
      </c>
      <c r="D8785" s="5" t="s">
        <v>20304</v>
      </c>
      <c r="E8785" s="4">
        <v>736679</v>
      </c>
      <c r="F8785">
        <v>1</v>
      </c>
    </row>
    <row r="8786" spans="1:6" ht="13.5" hidden="1" customHeight="1">
      <c r="A8786" s="4" t="s">
        <v>18462</v>
      </c>
      <c r="B8786" s="4" t="s">
        <v>18463</v>
      </c>
      <c r="C8786" s="4" t="str">
        <f ca="1">IFERROR(__xludf.DUMMYFUNCTION("GOOGLETRANSLATE(D:D,""auto"",""en"")"),"Rock candy stew Sydney")</f>
        <v>Rock candy stew Sydney</v>
      </c>
      <c r="D8786" s="5" t="s">
        <v>18464</v>
      </c>
      <c r="E8786" s="4">
        <v>718285</v>
      </c>
    </row>
    <row r="8787" spans="1:6" ht="13.5" hidden="1" customHeight="1">
      <c r="A8787" s="4" t="s">
        <v>20305</v>
      </c>
      <c r="B8787" s="4" t="s">
        <v>20306</v>
      </c>
      <c r="C8787" s="4" t="str">
        <f ca="1">IFERROR(__xludf.DUMMYFUNCTION("GOOGLETRANSLATE(D:D,""auto"",""en"")"),"Yoga Lin second child was female")</f>
        <v>Yoga Lin second child was female</v>
      </c>
      <c r="D8787" s="5" t="s">
        <v>20307</v>
      </c>
      <c r="E8787" s="4">
        <v>704156</v>
      </c>
    </row>
    <row r="8788" spans="1:6" ht="13.5" customHeight="1">
      <c r="A8788" s="4" t="s">
        <v>20308</v>
      </c>
      <c r="B8788" s="4" t="s">
        <v>20309</v>
      </c>
      <c r="C8788" s="4" t="str">
        <f ca="1">IFERROR(__xludf.DUMMYFUNCTION("GOOGLETRANSLATE(D:D,""auto"",""en"")"),"British Prime Minister detect pneumonia were positive for the new crown")</f>
        <v>British Prime Minister detect pneumonia were positive for the new crown</v>
      </c>
      <c r="D8788" s="5" t="s">
        <v>20310</v>
      </c>
      <c r="E8788" s="4">
        <v>662460</v>
      </c>
      <c r="F8788">
        <v>1</v>
      </c>
    </row>
    <row r="8789" spans="1:6" ht="13.5" customHeight="1">
      <c r="A8789" s="4" t="s">
        <v>20311</v>
      </c>
      <c r="B8789" s="4" t="s">
        <v>20312</v>
      </c>
      <c r="C8789" s="4" t="str">
        <f ca="1">IFERROR(__xludf.DUMMYFUNCTION("GOOGLETRANSLATE(D:D,""auto"",""en"")"),"The Spanish royal family members died of pneumonia because of the new crown")</f>
        <v>The Spanish royal family members died of pneumonia because of the new crown</v>
      </c>
      <c r="D8789" s="5" t="s">
        <v>20313</v>
      </c>
      <c r="E8789" s="4">
        <v>654626</v>
      </c>
      <c r="F8789">
        <v>1</v>
      </c>
    </row>
    <row r="8790" spans="1:6" ht="13.5" hidden="1" customHeight="1">
      <c r="A8790" s="4" t="s">
        <v>2917</v>
      </c>
      <c r="B8790" s="4" t="s">
        <v>2918</v>
      </c>
      <c r="C8790" s="4" t="str">
        <f ca="1">IFERROR(__xludf.DUMMYFUNCTION("GOOGLETRANSLATE(D:D,""auto"",""en"")"),"Negotiator")</f>
        <v>Negotiator</v>
      </c>
      <c r="D8790" s="5" t="s">
        <v>2919</v>
      </c>
      <c r="E8790" s="4">
        <v>633893</v>
      </c>
    </row>
    <row r="8791" spans="1:6" ht="13.5" customHeight="1">
      <c r="A8791" s="4" t="s">
        <v>20314</v>
      </c>
      <c r="B8791" s="4" t="s">
        <v>20315</v>
      </c>
      <c r="C8791" s="4" t="str">
        <f ca="1">IFERROR(__xludf.DUMMYFUNCTION("GOOGLETRANSLATE(D:D,""auto"",""en"")"),"American doctors to the United States issued a document to encourage States to fight against SARS")</f>
        <v>American doctors to the United States issued a document to encourage States to fight against SARS</v>
      </c>
      <c r="D8791" s="5" t="s">
        <v>20316</v>
      </c>
      <c r="E8791" s="4">
        <v>585964</v>
      </c>
      <c r="F8791">
        <v>1</v>
      </c>
    </row>
    <row r="8792" spans="1:6" ht="13.5" hidden="1" customHeight="1">
      <c r="A8792" s="4" t="s">
        <v>20299</v>
      </c>
      <c r="B8792" s="4" t="s">
        <v>20317</v>
      </c>
      <c r="C8792" s="4" t="str">
        <f ca="1">IFERROR(__xludf.DUMMYFUNCTION("GOOGLETRANSLATE(D:D,""auto"",""en"")"),"VAVA version of the yellow dress fluffy hair")</f>
        <v>VAVA version of the yellow dress fluffy hair</v>
      </c>
      <c r="D8792" s="5" t="s">
        <v>20318</v>
      </c>
      <c r="E8792" s="4">
        <v>573690</v>
      </c>
    </row>
    <row r="8793" spans="1:6" ht="13.5" hidden="1" customHeight="1">
      <c r="A8793" s="4" t="s">
        <v>20319</v>
      </c>
      <c r="B8793" s="4" t="s">
        <v>20320</v>
      </c>
      <c r="C8793" s="4" t="str">
        <f ca="1">IFERROR(__xludf.DUMMYFUNCTION("GOOGLETRANSLATE(D:D,""auto"",""en"")"),"Yuantong courier response to kowtow to apologize to customers")</f>
        <v>Yuantong courier response to kowtow to apologize to customers</v>
      </c>
      <c r="D8793" s="5" t="s">
        <v>20321</v>
      </c>
      <c r="E8793" s="4">
        <v>564050</v>
      </c>
    </row>
    <row r="8794" spans="1:6" ht="13.5" hidden="1" customHeight="1">
      <c r="A8794" s="4" t="s">
        <v>20322</v>
      </c>
      <c r="B8794" s="4" t="s">
        <v>20323</v>
      </c>
      <c r="C8794" s="4" t="str">
        <f ca="1">IFERROR(__xludf.DUMMYFUNCTION("GOOGLETRANSLATE(D:D,""auto"",""en"")"),"Domestic version of the N number of indecent images of children a lot of room deposit")</f>
        <v>Domestic version of the N number of indecent images of children a lot of room deposit</v>
      </c>
      <c r="D8794" s="5" t="s">
        <v>20324</v>
      </c>
      <c r="E8794" s="4">
        <v>548988</v>
      </c>
    </row>
    <row r="8795" spans="1:6" ht="13.5" hidden="1" customHeight="1">
      <c r="A8795" s="4" t="s">
        <v>20291</v>
      </c>
      <c r="B8795" s="4" t="s">
        <v>20320</v>
      </c>
      <c r="C8795" s="4" t="str">
        <f ca="1">IFERROR(__xludf.DUMMYFUNCTION("GOOGLETRANSLATE(D:D,""auto"",""en"")"),"Xi'an subway speckled hundred dollar bills no one dared to pick up")</f>
        <v>Xi'an subway speckled hundred dollar bills no one dared to pick up</v>
      </c>
      <c r="D8795" s="5" t="s">
        <v>20325</v>
      </c>
      <c r="E8795" s="4">
        <v>536813</v>
      </c>
    </row>
    <row r="8796" spans="1:6" ht="13.5" hidden="1" customHeight="1">
      <c r="A8796" s="4" t="s">
        <v>20326</v>
      </c>
      <c r="B8796" s="4" t="s">
        <v>20327</v>
      </c>
      <c r="C8796" s="4" t="str">
        <f ca="1">IFERROR(__xludf.DUMMYFUNCTION("GOOGLETRANSLATE(D:D,""auto"",""en"")"),"Li trumpet of ice")</f>
        <v>Li trumpet of ice</v>
      </c>
      <c r="D8796" s="5" t="s">
        <v>20328</v>
      </c>
      <c r="E8796" s="4">
        <v>520689</v>
      </c>
    </row>
    <row r="8797" spans="1:6" ht="13.5" hidden="1" customHeight="1">
      <c r="A8797" s="4" t="s">
        <v>20299</v>
      </c>
      <c r="B8797" s="4" t="s">
        <v>20329</v>
      </c>
      <c r="C8797" s="4" t="str">
        <f ca="1">IFERROR(__xludf.DUMMYFUNCTION("GOOGLETRANSLATE(D:D,""auto"",""en"")"),"Fox")</f>
        <v>Fox</v>
      </c>
      <c r="D8797" s="5" t="s">
        <v>20330</v>
      </c>
      <c r="E8797" s="4">
        <v>509296</v>
      </c>
    </row>
    <row r="8798" spans="1:6" ht="13.5" customHeight="1">
      <c r="A8798" s="4" t="s">
        <v>20305</v>
      </c>
      <c r="B8798" s="4" t="s">
        <v>20327</v>
      </c>
      <c r="C8798" s="4" t="str">
        <f ca="1">IFERROR(__xludf.DUMMYFUNCTION("GOOGLETRANSLATE(D:D,""auto"",""en"")"),"Status hospital doctors in New York real exposure")</f>
        <v>Status hospital doctors in New York real exposure</v>
      </c>
      <c r="D8798" s="5" t="s">
        <v>20331</v>
      </c>
      <c r="E8798" s="4">
        <v>502396</v>
      </c>
      <c r="F8798">
        <v>1</v>
      </c>
    </row>
    <row r="8799" spans="1:6" ht="13.5" hidden="1" customHeight="1">
      <c r="A8799" s="4" t="s">
        <v>20332</v>
      </c>
      <c r="B8799" s="4" t="s">
        <v>20289</v>
      </c>
      <c r="C8799" s="4" t="str">
        <f ca="1">IFERROR(__xludf.DUMMYFUNCTION("GOOGLETRANSLATE(D:D,""auto"",""en"")"),"Forensic Heroes clown case")</f>
        <v>Forensic Heroes clown case</v>
      </c>
      <c r="D8799" s="5" t="s">
        <v>20333</v>
      </c>
      <c r="E8799" s="4">
        <v>482215</v>
      </c>
    </row>
    <row r="8800" spans="1:6" ht="13.5" customHeight="1">
      <c r="A8800" s="4" t="s">
        <v>20334</v>
      </c>
      <c r="B8800" s="4" t="s">
        <v>20335</v>
      </c>
      <c r="C8800" s="4" t="str">
        <f ca="1">IFERROR(__xludf.DUMMYFUNCTION("GOOGLETRANSLATE(D:D,""auto"",""en"")"),"Zhong Nanshan, China would respond if a secondary outbreak")</f>
        <v>Zhong Nanshan, China would respond if a secondary outbreak</v>
      </c>
      <c r="D8800" s="5" t="s">
        <v>20336</v>
      </c>
      <c r="E8800" s="4">
        <v>478463</v>
      </c>
      <c r="F8800">
        <v>1</v>
      </c>
    </row>
    <row r="8801" spans="1:6" ht="13.5" customHeight="1">
      <c r="A8801" s="4" t="s">
        <v>20337</v>
      </c>
      <c r="B8801" s="4" t="s">
        <v>20338</v>
      </c>
      <c r="C8801" s="4" t="str">
        <f ca="1">IFERROR(__xludf.DUMMYFUNCTION("GOOGLETRANSLATE(D:D,""auto"",""en"")"),"The epidemic has affected 200 countries and territories")</f>
        <v>The epidemic has affected 200 countries and territories</v>
      </c>
      <c r="D8801" s="5" t="s">
        <v>20339</v>
      </c>
      <c r="E8801" s="4">
        <v>439487</v>
      </c>
      <c r="F8801">
        <v>1</v>
      </c>
    </row>
    <row r="8802" spans="1:6" ht="13.5" hidden="1" customHeight="1">
      <c r="A8802" s="4" t="s">
        <v>20340</v>
      </c>
      <c r="B8802" s="4" t="s">
        <v>20341</v>
      </c>
      <c r="C8802" s="4" t="str">
        <f ca="1">IFERROR(__xludf.DUMMYFUNCTION("GOOGLETRANSLATE(D:D,""auto"",""en"")"),"She is not perfect")</f>
        <v>She is not perfect</v>
      </c>
      <c r="D8802" s="5" t="s">
        <v>20342</v>
      </c>
      <c r="E8802" s="4">
        <v>438668</v>
      </c>
    </row>
    <row r="8803" spans="1:6" ht="13.5" hidden="1" customHeight="1">
      <c r="A8803" s="4" t="s">
        <v>20343</v>
      </c>
      <c r="B8803" s="4" t="s">
        <v>20344</v>
      </c>
      <c r="C8803" s="4" t="str">
        <f ca="1">IFERROR(__xludf.DUMMYFUNCTION("GOOGLETRANSLATE(D:D,""auto"",""en"")"),"Lu Han Huang Zitao same box Funny")</f>
        <v>Lu Han Huang Zitao same box Funny</v>
      </c>
      <c r="D8803" s="5" t="s">
        <v>20345</v>
      </c>
      <c r="E8803" s="4">
        <v>434049</v>
      </c>
    </row>
    <row r="8804" spans="1:6" ht="13.5" hidden="1" customHeight="1">
      <c r="A8804" s="4" t="s">
        <v>20346</v>
      </c>
      <c r="B8804" s="4" t="s">
        <v>20300</v>
      </c>
      <c r="C8804" s="4" t="str">
        <f ca="1">IFERROR(__xludf.DUMMYFUNCTION("GOOGLETRANSLATE(D:D,""auto"",""en"")"),"Pila Si brittle ice cream")</f>
        <v>Pila Si brittle ice cream</v>
      </c>
      <c r="D8804" s="5" t="s">
        <v>20347</v>
      </c>
      <c r="E8804" s="4">
        <v>426477</v>
      </c>
    </row>
    <row r="8805" spans="1:6" ht="13.5" hidden="1" customHeight="1">
      <c r="A8805" s="4" t="s">
        <v>20348</v>
      </c>
      <c r="B8805" s="4" t="s">
        <v>20349</v>
      </c>
      <c r="C8805" s="4" t="str">
        <f ca="1">IFERROR(__xludf.DUMMYFUNCTION("GOOGLETRANSLATE(D:D,""auto"",""en"")"),"US Department of Justice sued the Venezuelan president")</f>
        <v>US Department of Justice sued the Venezuelan president</v>
      </c>
      <c r="D8805" s="5" t="s">
        <v>20350</v>
      </c>
      <c r="E8805" s="4">
        <v>426275</v>
      </c>
    </row>
    <row r="8806" spans="1:6" ht="13.5" hidden="1" customHeight="1">
      <c r="A8806" s="4" t="s">
        <v>20351</v>
      </c>
      <c r="B8806" s="4" t="s">
        <v>20352</v>
      </c>
      <c r="C8806" s="4" t="str">
        <f ca="1">IFERROR(__xludf.DUMMYFUNCTION("GOOGLETRANSLATE(D:D,""auto"",""en"")"),"Long-News Network")</f>
        <v>Long-News Network</v>
      </c>
      <c r="D8806" s="5" t="s">
        <v>20353</v>
      </c>
      <c r="E8806" s="4">
        <v>420922</v>
      </c>
    </row>
    <row r="8807" spans="1:6" ht="13.5" hidden="1" customHeight="1">
      <c r="A8807" s="4" t="s">
        <v>20354</v>
      </c>
      <c r="B8807" s="4" t="s">
        <v>20355</v>
      </c>
      <c r="C8807" s="4" t="str">
        <f ca="1">IFERROR(__xludf.DUMMYFUNCTION("GOOGLETRANSLATE(D:D,""auto"",""en"")"),"Singer Ranking")</f>
        <v>Singer Ranking</v>
      </c>
      <c r="D8807" s="5" t="s">
        <v>20356</v>
      </c>
      <c r="E8807" s="4">
        <v>412307</v>
      </c>
    </row>
    <row r="8808" spans="1:6" ht="13.5" hidden="1" customHeight="1">
      <c r="A8808" s="4" t="s">
        <v>20305</v>
      </c>
      <c r="B8808" s="4" t="s">
        <v>20289</v>
      </c>
      <c r="C8808" s="4" t="str">
        <f ca="1">IFERROR(__xludf.DUMMYFUNCTION("GOOGLETRANSLATE(D:D,""auto"",""en"")"),"Sound into people's hearts surprise success")</f>
        <v>Sound into people's hearts surprise success</v>
      </c>
      <c r="D8808" s="5" t="s">
        <v>20357</v>
      </c>
      <c r="E8808" s="4">
        <v>406849</v>
      </c>
    </row>
    <row r="8809" spans="1:6" ht="13.5" hidden="1" customHeight="1">
      <c r="A8809" s="4" t="s">
        <v>10368</v>
      </c>
      <c r="B8809" s="4" t="s">
        <v>10369</v>
      </c>
      <c r="C8809" s="4" t="str">
        <f ca="1">IFERROR(__xludf.DUMMYFUNCTION("GOOGLETRANSLATE(D:D,""auto"",""en"")"),"singer")</f>
        <v>singer</v>
      </c>
      <c r="D8809" s="5" t="s">
        <v>10370</v>
      </c>
      <c r="E8809" s="4">
        <v>406136</v>
      </c>
    </row>
    <row r="8810" spans="1:6" ht="13.5" customHeight="1">
      <c r="A8810" s="4" t="s">
        <v>20358</v>
      </c>
      <c r="B8810" s="4" t="s">
        <v>20359</v>
      </c>
      <c r="C8810" s="4" t="str">
        <f ca="1">IFERROR(__xludf.DUMMYFUNCTION("GOOGLETRANSLATE(D:D,""auto"",""en"")"),"Close contacts under medical observation still increase 78%")</f>
        <v>Close contacts under medical observation still increase 78%</v>
      </c>
      <c r="D8810" s="5" t="s">
        <v>20360</v>
      </c>
      <c r="E8810" s="4">
        <v>400949</v>
      </c>
      <c r="F8810">
        <v>1</v>
      </c>
    </row>
    <row r="8811" spans="1:6" ht="13.5" customHeight="1">
      <c r="A8811" s="4" t="s">
        <v>20361</v>
      </c>
      <c r="B8811" s="4" t="s">
        <v>20320</v>
      </c>
      <c r="C8811" s="4" t="str">
        <f ca="1">IFERROR(__xludf.DUMMYFUNCTION("GOOGLETRANSLATE(D:D,""auto"",""en"")"),"British novel epidemic sales soar")</f>
        <v>British novel epidemic sales soar</v>
      </c>
      <c r="D8811" s="5" t="s">
        <v>20362</v>
      </c>
      <c r="E8811" s="4">
        <v>396233</v>
      </c>
      <c r="F8811">
        <v>1</v>
      </c>
    </row>
    <row r="8812" spans="1:6" ht="13.5" hidden="1" customHeight="1">
      <c r="A8812" s="4" t="s">
        <v>20363</v>
      </c>
      <c r="B8812" s="4" t="s">
        <v>20364</v>
      </c>
      <c r="C8812" s="4" t="str">
        <f ca="1">IFERROR(__xludf.DUMMYFUNCTION("GOOGLETRANSLATE(D:D,""auto"",""en"")"),"Spain ventilator")</f>
        <v>Spain ventilator</v>
      </c>
      <c r="D8812" s="5" t="s">
        <v>20365</v>
      </c>
      <c r="E8812" s="4">
        <v>379684</v>
      </c>
    </row>
    <row r="8813" spans="1:6" ht="13.5" hidden="1" customHeight="1">
      <c r="A8813" s="4" t="s">
        <v>20366</v>
      </c>
      <c r="B8813" s="4" t="s">
        <v>20367</v>
      </c>
      <c r="C8813" s="4" t="str">
        <f ca="1">IFERROR(__xludf.DUMMYFUNCTION("GOOGLETRANSLATE(D:D,""auto"",""en"")"),"N, room a Member suicide jump")</f>
        <v>N, room a Member suicide jump</v>
      </c>
      <c r="D8813" s="5" t="s">
        <v>20368</v>
      </c>
      <c r="E8813" s="4">
        <v>346503</v>
      </c>
    </row>
    <row r="8814" spans="1:6" ht="13.5" customHeight="1">
      <c r="A8814" s="4" t="s">
        <v>20369</v>
      </c>
      <c r="B8814" s="4" t="s">
        <v>20370</v>
      </c>
      <c r="C8814" s="4" t="str">
        <f ca="1">IFERROR(__xludf.DUMMYFUNCTION("GOOGLETRANSLATE(D:D,""auto"",""en"")"),"Herd immunity")</f>
        <v>Herd immunity</v>
      </c>
      <c r="D8814" s="5" t="s">
        <v>20371</v>
      </c>
      <c r="E8814" s="4">
        <v>338866</v>
      </c>
      <c r="F8814">
        <v>1</v>
      </c>
    </row>
    <row r="8815" spans="1:6" ht="13.5" hidden="1" customHeight="1">
      <c r="A8815" s="4" t="s">
        <v>20372</v>
      </c>
      <c r="B8815" s="4" t="s">
        <v>20373</v>
      </c>
      <c r="C8815" s="4" t="str">
        <f ca="1">IFERROR(__xludf.DUMMYFUNCTION("GOOGLETRANSLATE(D:D,""auto"",""en"")"),"NPC Foreign Affairs Committee Statement")</f>
        <v>NPC Foreign Affairs Committee Statement</v>
      </c>
      <c r="D8815" s="5" t="s">
        <v>20374</v>
      </c>
      <c r="E8815" s="4">
        <v>309647</v>
      </c>
    </row>
    <row r="8816" spans="1:6" ht="13.5" hidden="1" customHeight="1">
      <c r="A8816" s="4" t="s">
        <v>20343</v>
      </c>
      <c r="B8816" s="4" t="s">
        <v>20359</v>
      </c>
      <c r="C8816" s="4" t="str">
        <f ca="1">IFERROR(__xludf.DUMMYFUNCTION("GOOGLETRANSLATE(D:D,""auto"",""en"")"),"Qin cover of rap cattle Granville")</f>
        <v>Qin cover of rap cattle Granville</v>
      </c>
      <c r="D8816" s="5" t="s">
        <v>20375</v>
      </c>
      <c r="E8816" s="4">
        <v>307984</v>
      </c>
    </row>
    <row r="8817" spans="1:6" ht="13.5" hidden="1" customHeight="1">
      <c r="A8817" s="4" t="s">
        <v>20376</v>
      </c>
      <c r="B8817" s="4" t="s">
        <v>20377</v>
      </c>
      <c r="C8817" s="4" t="str">
        <f ca="1">IFERROR(__xludf.DUMMYFUNCTION("GOOGLETRANSLATE(D:D,""auto"",""en"")"),"After listening yellow dress")</f>
        <v>After listening yellow dress</v>
      </c>
      <c r="D8817" s="5" t="s">
        <v>20378</v>
      </c>
      <c r="E8817" s="4">
        <v>282438</v>
      </c>
    </row>
    <row r="8818" spans="1:6" ht="13.5" customHeight="1">
      <c r="A8818" s="4" t="s">
        <v>20379</v>
      </c>
      <c r="B8818" s="4" t="s">
        <v>20380</v>
      </c>
      <c r="C8818" s="4" t="str">
        <f ca="1">IFERROR(__xludf.DUMMYFUNCTION("GOOGLETRANSLATE(D:D,""auto"",""en"")"),"Li Lanjuan closed city for the first time disclosed details of Wuhan")</f>
        <v>Li Lanjuan closed city for the first time disclosed details of Wuhan</v>
      </c>
      <c r="D8818" s="5" t="s">
        <v>20381</v>
      </c>
      <c r="E8818" s="4">
        <v>276066</v>
      </c>
      <c r="F8818">
        <v>1</v>
      </c>
    </row>
    <row r="8819" spans="1:6" ht="13.5" hidden="1" customHeight="1">
      <c r="A8819" s="4" t="s">
        <v>20334</v>
      </c>
      <c r="B8819" s="4" t="s">
        <v>20306</v>
      </c>
      <c r="C8819" s="4" t="str">
        <f ca="1">IFERROR(__xludf.DUMMYFUNCTION("GOOGLETRANSLATE(D:D,""auto"",""en"")"),"Black garlic")</f>
        <v>Black garlic</v>
      </c>
      <c r="D8819" s="5" t="s">
        <v>20382</v>
      </c>
      <c r="E8819" s="4">
        <v>270583</v>
      </c>
    </row>
    <row r="8820" spans="1:6" ht="13.5" customHeight="1">
      <c r="A8820" s="4" t="s">
        <v>20343</v>
      </c>
      <c r="B8820" s="4" t="s">
        <v>20383</v>
      </c>
      <c r="C8820" s="4" t="str">
        <f ca="1">IFERROR(__xludf.DUMMYFUNCTION("GOOGLETRANSLATE(D:D,""auto"",""en"")"),"Spain has 9,444 health care workers infected")</f>
        <v>Spain has 9,444 health care workers infected</v>
      </c>
      <c r="D8820" s="5" t="s">
        <v>20384</v>
      </c>
      <c r="E8820" s="4">
        <v>259229</v>
      </c>
      <c r="F8820">
        <v>1</v>
      </c>
    </row>
    <row r="8821" spans="1:6" ht="13.5" hidden="1" customHeight="1">
      <c r="A8821" s="4" t="s">
        <v>20385</v>
      </c>
      <c r="B8821" s="4" t="s">
        <v>20386</v>
      </c>
      <c r="C8821" s="4" t="str">
        <f ca="1">IFERROR(__xludf.DUMMYFUNCTION("GOOGLETRANSLATE(D:D,""auto"",""en"")"),"Reduced fat witch soup")</f>
        <v>Reduced fat witch soup</v>
      </c>
      <c r="D8821" s="5" t="s">
        <v>20387</v>
      </c>
      <c r="E8821" s="4">
        <v>247420</v>
      </c>
    </row>
    <row r="8822" spans="1:6" ht="13.5" customHeight="1">
      <c r="A8822" s="4" t="s">
        <v>20388</v>
      </c>
      <c r="B8822" s="4" t="s">
        <v>20389</v>
      </c>
      <c r="C8822" s="4" t="str">
        <f ca="1">IFERROR(__xludf.DUMMYFUNCTION("GOOGLETRANSLATE(D:D,""auto"",""en"")"),"Cypriot medical aid group to pay tribute to the former site of the bombing of the embassy in Belgrade")</f>
        <v>Cypriot medical aid group to pay tribute to the former site of the bombing of the embassy in Belgrade</v>
      </c>
      <c r="D8822" s="5" t="s">
        <v>20390</v>
      </c>
      <c r="E8822" s="4">
        <v>226481</v>
      </c>
      <c r="F8822">
        <v>1</v>
      </c>
    </row>
    <row r="8823" spans="1:6" ht="13.5" customHeight="1">
      <c r="A8823" s="4" t="s">
        <v>20334</v>
      </c>
      <c r="B8823" s="4" t="s">
        <v>20391</v>
      </c>
      <c r="C8823" s="4" t="str">
        <f ca="1">IFERROR(__xludf.DUMMYFUNCTION("GOOGLETRANSLATE(D:D,""auto"",""en"")"),"Trump said China's fight against new viruses to understand the profound crown")</f>
        <v>Trump said China's fight against new viruses to understand the profound crown</v>
      </c>
      <c r="D8823" s="5" t="s">
        <v>20392</v>
      </c>
      <c r="E8823" s="4">
        <v>198697</v>
      </c>
      <c r="F8823">
        <v>1</v>
      </c>
    </row>
    <row r="8824" spans="1:6" ht="13.5" hidden="1" customHeight="1">
      <c r="A8824" s="4" t="s">
        <v>20358</v>
      </c>
      <c r="B8824" s="4" t="s">
        <v>20393</v>
      </c>
      <c r="C8824" s="4" t="str">
        <f ca="1">IFERROR(__xludf.DUMMYFUNCTION("GOOGLETRANSLATE(D:D,""auto"",""en"")"),"Wu Lei Bai Yansong connection")</f>
        <v>Wu Lei Bai Yansong connection</v>
      </c>
      <c r="D8824" s="5" t="s">
        <v>20394</v>
      </c>
      <c r="E8824" s="4">
        <v>191174</v>
      </c>
    </row>
    <row r="8825" spans="1:6" ht="13.5" hidden="1" customHeight="1">
      <c r="A8825" s="4" t="s">
        <v>18244</v>
      </c>
      <c r="B8825" s="4" t="s">
        <v>18245</v>
      </c>
      <c r="C8825" s="4" t="str">
        <f ca="1">IFERROR(__xludf.DUMMYFUNCTION("GOOGLETRANSLATE(D:D,""auto"",""en"")"),"GBP")</f>
        <v>GBP</v>
      </c>
      <c r="D8825" s="5" t="s">
        <v>18246</v>
      </c>
      <c r="E8825" s="4">
        <v>185506</v>
      </c>
    </row>
    <row r="8826" spans="1:6" ht="13.5" customHeight="1">
      <c r="A8826" s="4" t="s">
        <v>20395</v>
      </c>
      <c r="B8826" s="4" t="s">
        <v>20396</v>
      </c>
      <c r="C8826" s="4" t="str">
        <f ca="1">IFERROR(__xludf.DUMMYFUNCTION("GOOGLETRANSLATE(D:D,""auto"",""en"")"),"British Health Secretary tested positive for the new virus crown")</f>
        <v>British Health Secretary tested positive for the new virus crown</v>
      </c>
      <c r="D8826" s="5" t="s">
        <v>20397</v>
      </c>
      <c r="E8826" s="4">
        <v>178691</v>
      </c>
      <c r="F8826">
        <v>1</v>
      </c>
    </row>
    <row r="8827" spans="1:6" ht="13.5" hidden="1" customHeight="1">
      <c r="C8827" s="4" t="str">
        <f ca="1">IFERROR(__xludf.DUMMYFUNCTION("GOOGLETRANSLATE(D:D,""auto"",""en"")"),"#VALUE!")</f>
        <v>#VALUE!</v>
      </c>
    </row>
    <row r="8828" spans="1:6" ht="13.5" hidden="1" customHeight="1">
      <c r="A8828" s="4" t="s">
        <v>20398</v>
      </c>
      <c r="B8828" s="4" t="s">
        <v>20399</v>
      </c>
      <c r="C8828" s="4" t="str">
        <f ca="1">IFERROR(__xludf.DUMMYFUNCTION("GOOGLETRANSLATE(D:D,""auto"",""en"")"),"Liu Yan father")</f>
        <v>Liu Yan father</v>
      </c>
      <c r="D8828" s="4" t="s">
        <v>20400</v>
      </c>
      <c r="E8828" s="4">
        <v>3514410</v>
      </c>
    </row>
    <row r="8829" spans="1:6" ht="13.5" customHeight="1">
      <c r="A8829" s="4" t="s">
        <v>20401</v>
      </c>
      <c r="B8829" s="4" t="s">
        <v>20402</v>
      </c>
      <c r="C8829" s="4" t="str">
        <f ca="1">IFERROR(__xludf.DUMMYFUNCTION("GOOGLETRANSLATE(D:D,""auto"",""en"")"),"Propaganda movie starring infectious disease prevention")</f>
        <v>Propaganda movie starring infectious disease prevention</v>
      </c>
      <c r="D8829" s="5" t="s">
        <v>20403</v>
      </c>
      <c r="E8829" s="4">
        <v>2699779</v>
      </c>
      <c r="F8829">
        <v>1</v>
      </c>
    </row>
    <row r="8830" spans="1:6" ht="13.5" hidden="1" customHeight="1">
      <c r="A8830" s="4" t="s">
        <v>20404</v>
      </c>
      <c r="B8830" s="4" t="s">
        <v>20405</v>
      </c>
      <c r="C8830" s="4" t="str">
        <f ca="1">IFERROR(__xludf.DUMMYFUNCTION("GOOGLETRANSLATE(D:D,""auto"",""en"")"),"Anchor Tracy being released")</f>
        <v>Anchor Tracy being released</v>
      </c>
      <c r="D8830" s="5" t="s">
        <v>20406</v>
      </c>
      <c r="E8830" s="4">
        <v>2372100</v>
      </c>
    </row>
    <row r="8831" spans="1:6" ht="13.5" customHeight="1">
      <c r="A8831" s="4" t="s">
        <v>20407</v>
      </c>
      <c r="B8831" s="4" t="s">
        <v>20408</v>
      </c>
      <c r="C8831" s="4" t="str">
        <f ca="1">IFERROR(__xludf.DUMMYFUNCTION("GOOGLETRANSLATE(D:D,""auto"",""en"")"),"French 16-year-old girl suspected of being infected died")</f>
        <v>French 16-year-old girl suspected of being infected died</v>
      </c>
      <c r="D8831" s="5" t="s">
        <v>20409</v>
      </c>
      <c r="E8831" s="4">
        <v>2232092</v>
      </c>
      <c r="F8831">
        <v>1</v>
      </c>
    </row>
    <row r="8832" spans="1:6" ht="13.5" hidden="1" customHeight="1">
      <c r="A8832" s="4" t="s">
        <v>20410</v>
      </c>
      <c r="B8832" s="4" t="s">
        <v>20411</v>
      </c>
      <c r="C8832" s="4" t="str">
        <f ca="1">IFERROR(__xludf.DUMMYFUNCTION("GOOGLETRANSLATE(D:D,""auto"",""en"")"),"Spring feast official blog")</f>
        <v>Spring feast official blog</v>
      </c>
      <c r="D8832" s="5" t="s">
        <v>20412</v>
      </c>
      <c r="E8832" s="4">
        <v>2080269</v>
      </c>
    </row>
    <row r="8833" spans="1:6" ht="13.5" hidden="1" customHeight="1">
      <c r="A8833" s="4" t="s">
        <v>20413</v>
      </c>
      <c r="B8833" s="4" t="s">
        <v>20414</v>
      </c>
      <c r="C8833" s="4" t="str">
        <f ca="1">IFERROR(__xludf.DUMMYFUNCTION("GOOGLETRANSLATE(D:D,""auto"",""en"")"),"Aunt 1 minute peel 100 eggs")</f>
        <v>Aunt 1 minute peel 100 eggs</v>
      </c>
      <c r="D8833" s="5" t="s">
        <v>20415</v>
      </c>
      <c r="E8833" s="4">
        <v>1763028</v>
      </c>
    </row>
    <row r="8834" spans="1:6" ht="13.5" customHeight="1">
      <c r="A8834" s="4" t="s">
        <v>20416</v>
      </c>
      <c r="B8834" s="4" t="s">
        <v>20417</v>
      </c>
      <c r="C8834" s="4" t="str">
        <f ca="1">IFERROR(__xludf.DUMMYFUNCTION("GOOGLETRANSLATE(D:D,""auto"",""en"")"),"American brother really making a serious epidemic in New York")</f>
        <v>American brother really making a serious epidemic in New York</v>
      </c>
      <c r="D8834" s="5" t="s">
        <v>20418</v>
      </c>
      <c r="E8834" s="4">
        <v>1514698</v>
      </c>
      <c r="F8834">
        <v>1</v>
      </c>
    </row>
    <row r="8835" spans="1:6" ht="13.5" hidden="1" customHeight="1">
      <c r="A8835" s="4" t="s">
        <v>20419</v>
      </c>
      <c r="B8835" s="4" t="s">
        <v>20291</v>
      </c>
      <c r="C8835" s="4" t="str">
        <f ca="1">IFERROR(__xludf.DUMMYFUNCTION("GOOGLETRANSLATE(D:D,""auto"",""en"")"),"Academician Zhou Jun's death")</f>
        <v>Academician Zhou Jun's death</v>
      </c>
      <c r="D8835" s="5" t="s">
        <v>20420</v>
      </c>
      <c r="E8835" s="4">
        <v>1444695</v>
      </c>
    </row>
    <row r="8836" spans="1:6" ht="13.5" customHeight="1">
      <c r="A8836" s="4" t="s">
        <v>20421</v>
      </c>
      <c r="B8836" s="4" t="s">
        <v>20422</v>
      </c>
      <c r="C8836" s="4" t="str">
        <f ca="1">IFERROR(__xludf.DUMMYFUNCTION("GOOGLETRANSLATE(D:D,""auto"",""en"")"),"British Prime Minister diagnosis consultant from the back door")</f>
        <v>British Prime Minister diagnosis consultant from the back door</v>
      </c>
      <c r="D8836" s="5" t="s">
        <v>20423</v>
      </c>
      <c r="E8836" s="4">
        <v>1309153</v>
      </c>
      <c r="F8836">
        <v>1</v>
      </c>
    </row>
    <row r="8837" spans="1:6" ht="13.5" hidden="1" customHeight="1">
      <c r="A8837" s="4" t="s">
        <v>20424</v>
      </c>
      <c r="B8837" s="4" t="s">
        <v>20425</v>
      </c>
      <c r="C8837" s="4" t="str">
        <f ca="1">IFERROR(__xludf.DUMMYFUNCTION("GOOGLETRANSLATE(D:D,""auto"",""en"")"),"Young naive rap")</f>
        <v>Young naive rap</v>
      </c>
      <c r="D8837" s="5" t="s">
        <v>20426</v>
      </c>
      <c r="E8837" s="4">
        <v>1301612</v>
      </c>
    </row>
    <row r="8838" spans="1:6" ht="13.5" hidden="1" customHeight="1">
      <c r="A8838" s="4" t="s">
        <v>20427</v>
      </c>
      <c r="B8838" s="4" t="s">
        <v>20428</v>
      </c>
      <c r="C8838" s="4" t="str">
        <f ca="1">IFERROR(__xludf.DUMMYFUNCTION("GOOGLETRANSLATE(D:D,""auto"",""en"")"),"WeiYan global ban of 24 months")</f>
        <v>WeiYan global ban of 24 months</v>
      </c>
      <c r="D8838" s="5" t="s">
        <v>20429</v>
      </c>
      <c r="E8838" s="4">
        <v>1129700</v>
      </c>
    </row>
    <row r="8839" spans="1:6" ht="13.5" hidden="1" customHeight="1">
      <c r="A8839" s="4" t="s">
        <v>20430</v>
      </c>
      <c r="B8839" s="4" t="s">
        <v>20408</v>
      </c>
      <c r="C8839" s="4" t="str">
        <f ca="1">IFERROR(__xludf.DUMMYFUNCTION("GOOGLETRANSLATE(D:D,""auto"",""en"")"),"Pornography do to respond to the domestic version number N Room")</f>
        <v>Pornography do to respond to the domestic version number N Room</v>
      </c>
      <c r="D8839" s="5" t="s">
        <v>20431</v>
      </c>
      <c r="E8839" s="4">
        <v>794284</v>
      </c>
    </row>
    <row r="8840" spans="1:6" ht="13.5" hidden="1" customHeight="1">
      <c r="A8840" s="4" t="s">
        <v>20432</v>
      </c>
      <c r="B8840" s="4" t="s">
        <v>20433</v>
      </c>
      <c r="C8840" s="4" t="str">
        <f ca="1">IFERROR(__xludf.DUMMYFUNCTION("GOOGLETRANSLATE(D:D,""auto"",""en"")"),"Child knocked a moment his father pulled back")</f>
        <v>Child knocked a moment his father pulled back</v>
      </c>
      <c r="D8840" s="5" t="s">
        <v>20434</v>
      </c>
      <c r="E8840" s="4">
        <v>790136</v>
      </c>
    </row>
    <row r="8841" spans="1:6" ht="13.5" customHeight="1">
      <c r="A8841" s="4" t="s">
        <v>19930</v>
      </c>
      <c r="B8841" s="4" t="s">
        <v>20414</v>
      </c>
      <c r="C8841" s="4" t="str">
        <f ca="1">IFERROR(__xludf.DUMMYFUNCTION("GOOGLETRANSLATE(D:D,""auto"",""en"")"),"Yunnan, in addition to other high school junior year of school temporarily")</f>
        <v>Yunnan, in addition to other high school junior year of school temporarily</v>
      </c>
      <c r="D8841" s="5" t="s">
        <v>20435</v>
      </c>
      <c r="E8841" s="4">
        <v>789535</v>
      </c>
      <c r="F8841">
        <v>1</v>
      </c>
    </row>
    <row r="8842" spans="1:6" ht="13.5" customHeight="1">
      <c r="A8842" s="4" t="s">
        <v>20436</v>
      </c>
      <c r="B8842" s="4" t="s">
        <v>20437</v>
      </c>
      <c r="C8842" s="4" t="str">
        <f ca="1">IFERROR(__xludf.DUMMYFUNCTION("GOOGLETRANSLATE(D:D,""auto"",""en"")"),"Thank you fight through the single Hubei")</f>
        <v>Thank you fight through the single Hubei</v>
      </c>
      <c r="D8842" s="5" t="s">
        <v>20438</v>
      </c>
      <c r="E8842" s="4">
        <v>789389</v>
      </c>
      <c r="F8842">
        <v>1</v>
      </c>
    </row>
    <row r="8843" spans="1:6" ht="13.5" customHeight="1">
      <c r="A8843" s="4" t="s">
        <v>20439</v>
      </c>
      <c r="B8843" s="4" t="s">
        <v>20440</v>
      </c>
      <c r="C8843" s="4" t="str">
        <f ca="1">IFERROR(__xludf.DUMMYFUNCTION("GOOGLETRANSLATE(D:D,""auto"",""en"")"),"Wuhan tea takeaway orders three days by 8 times")</f>
        <v>Wuhan tea takeaway orders three days by 8 times</v>
      </c>
      <c r="D8843" s="5" t="s">
        <v>20441</v>
      </c>
      <c r="E8843" s="4">
        <v>763526</v>
      </c>
      <c r="F8843">
        <v>1</v>
      </c>
    </row>
    <row r="8844" spans="1:6" ht="13.5" customHeight="1">
      <c r="A8844" s="4" t="s">
        <v>20442</v>
      </c>
      <c r="B8844" s="4" t="s">
        <v>20443</v>
      </c>
      <c r="C8844" s="4" t="str">
        <f ca="1">IFERROR(__xludf.DUMMYFUNCTION("GOOGLETRANSLATE(D:D,""auto"",""en"")"),"US new crown viral infections over 100,000")</f>
        <v>US new crown viral infections over 100,000</v>
      </c>
      <c r="D8844" s="5" t="s">
        <v>20444</v>
      </c>
      <c r="E8844" s="4">
        <v>704186</v>
      </c>
      <c r="F8844">
        <v>1</v>
      </c>
    </row>
    <row r="8845" spans="1:6" ht="13.5" hidden="1" customHeight="1">
      <c r="A8845" s="4" t="s">
        <v>20439</v>
      </c>
      <c r="B8845" s="4" t="s">
        <v>20408</v>
      </c>
      <c r="C8845" s="4" t="str">
        <f ca="1">IFERROR(__xludf.DUMMYFUNCTION("GOOGLETRANSLATE(D:D,""auto"",""en"")"),"Domestic version number N Housing Survey")</f>
        <v>Domestic version number N Housing Survey</v>
      </c>
      <c r="D8845" s="5" t="s">
        <v>20445</v>
      </c>
      <c r="E8845" s="4">
        <v>690419</v>
      </c>
    </row>
    <row r="8846" spans="1:6" ht="13.5" hidden="1" customHeight="1">
      <c r="A8846" s="4" t="s">
        <v>20446</v>
      </c>
      <c r="B8846" s="4" t="s">
        <v>20447</v>
      </c>
      <c r="C8846" s="4" t="str">
        <f ca="1">IFERROR(__xludf.DUMMYFUNCTION("GOOGLETRANSLATE(D:D,""auto"",""en"")"),"Italian President said that Barber did not go out")</f>
        <v>Italian President said that Barber did not go out</v>
      </c>
      <c r="D8846" s="5" t="s">
        <v>20448</v>
      </c>
      <c r="E8846" s="4">
        <v>647706</v>
      </c>
    </row>
    <row r="8847" spans="1:6" ht="13.5" hidden="1" customHeight="1">
      <c r="A8847" s="4" t="s">
        <v>20449</v>
      </c>
      <c r="B8847" s="4" t="s">
        <v>20450</v>
      </c>
      <c r="C8847" s="4" t="str">
        <f ca="1">IFERROR(__xludf.DUMMYFUNCTION("GOOGLETRANSLATE(D:D,""auto"",""en"")"),"Bill Gates warned the United States must stop")</f>
        <v>Bill Gates warned the United States must stop</v>
      </c>
      <c r="D8847" s="5" t="s">
        <v>20451</v>
      </c>
      <c r="E8847" s="4">
        <v>616313</v>
      </c>
    </row>
    <row r="8848" spans="1:6" ht="13.5" customHeight="1">
      <c r="A8848" s="4" t="s">
        <v>20452</v>
      </c>
      <c r="B8848" s="4" t="s">
        <v>20288</v>
      </c>
      <c r="C8848" s="4" t="str">
        <f ca="1">IFERROR(__xludf.DUMMYFUNCTION("GOOGLETRANSLATE(D:D,""auto"",""en"")"),"Wuhan bus after the restart what")</f>
        <v>Wuhan bus after the restart what</v>
      </c>
      <c r="D8848" s="5" t="s">
        <v>20453</v>
      </c>
      <c r="E8848" s="4">
        <v>567968</v>
      </c>
      <c r="F8848">
        <v>1</v>
      </c>
    </row>
    <row r="8849" spans="1:6" ht="13.5" hidden="1" customHeight="1">
      <c r="A8849" s="4" t="s">
        <v>20436</v>
      </c>
      <c r="B8849" s="4" t="s">
        <v>20454</v>
      </c>
      <c r="C8849" s="4" t="str">
        <f ca="1">IFERROR(__xludf.DUMMYFUNCTION("GOOGLETRANSLATE(D:D,""auto"",""en"")"),"Lin Yun Zhang Xincheng skiing")</f>
        <v>Lin Yun Zhang Xincheng skiing</v>
      </c>
      <c r="D8849" s="5" t="s">
        <v>20455</v>
      </c>
      <c r="E8849" s="4">
        <v>540039</v>
      </c>
    </row>
    <row r="8850" spans="1:6" ht="13.5" hidden="1" customHeight="1">
      <c r="A8850" s="4" t="s">
        <v>20456</v>
      </c>
      <c r="B8850" s="4" t="s">
        <v>20457</v>
      </c>
      <c r="C8850" s="4" t="str">
        <f ca="1">IFERROR(__xludf.DUMMYFUNCTION("GOOGLETRANSLATE(D:D,""auto"",""en"")"),"Hainan five people living abroad to conceal the history of detainees")</f>
        <v>Hainan five people living abroad to conceal the history of detainees</v>
      </c>
      <c r="D8850" s="5" t="s">
        <v>20458</v>
      </c>
      <c r="E8850" s="4">
        <v>485984</v>
      </c>
    </row>
    <row r="8851" spans="1:6" ht="13.5" customHeight="1">
      <c r="A8851" s="4" t="s">
        <v>11528</v>
      </c>
      <c r="B8851" s="4" t="s">
        <v>11529</v>
      </c>
      <c r="C8851" s="4" t="str">
        <f ca="1">IFERROR(__xludf.DUMMYFUNCTION("GOOGLETRANSLATE(D:D,""auto"",""en"")"),"Hunan school time")</f>
        <v>Hunan school time</v>
      </c>
      <c r="D8851" s="5" t="s">
        <v>11530</v>
      </c>
      <c r="E8851" s="4">
        <v>485400</v>
      </c>
      <c r="F8851">
        <v>1</v>
      </c>
    </row>
    <row r="8852" spans="1:6" ht="13.5" customHeight="1">
      <c r="A8852" s="4" t="s">
        <v>20459</v>
      </c>
      <c r="B8852" s="4" t="s">
        <v>20460</v>
      </c>
      <c r="C8852" s="4" t="str">
        <f ca="1">IFERROR(__xludf.DUMMYFUNCTION("GOOGLETRANSLATE(D:D,""auto"",""en"")"),"Husband play Kumamoto bear greet aid Hubei wife")</f>
        <v>Husband play Kumamoto bear greet aid Hubei wife</v>
      </c>
      <c r="D8852" s="5" t="s">
        <v>20461</v>
      </c>
      <c r="E8852" s="4">
        <v>484930</v>
      </c>
      <c r="F8852">
        <v>1</v>
      </c>
    </row>
    <row r="8853" spans="1:6" ht="13.5" customHeight="1">
      <c r="A8853" s="4" t="s">
        <v>20462</v>
      </c>
      <c r="B8853" s="4" t="s">
        <v>20332</v>
      </c>
      <c r="C8853" s="4" t="str">
        <f ca="1">IFERROR(__xludf.DUMMYFUNCTION("GOOGLETRANSLATE(D:D,""auto"",""en"")"),"Henan's first foreign imported cases, surnamed Guo XingJu")</f>
        <v>Henan's first foreign imported cases, surnamed Guo XingJu</v>
      </c>
      <c r="D8853" s="5" t="s">
        <v>20463</v>
      </c>
      <c r="E8853" s="4">
        <v>466178</v>
      </c>
      <c r="F8853">
        <v>1</v>
      </c>
    </row>
    <row r="8854" spans="1:6" ht="13.5" hidden="1" customHeight="1">
      <c r="A8854" s="4" t="s">
        <v>20432</v>
      </c>
      <c r="B8854" s="4" t="s">
        <v>20464</v>
      </c>
      <c r="C8854" s="4" t="str">
        <f ca="1">IFERROR(__xludf.DUMMYFUNCTION("GOOGLETRANSLATE(D:D,""auto"",""en"")"),"Shen Teng screaming chicken into the shoes")</f>
        <v>Shen Teng screaming chicken into the shoes</v>
      </c>
      <c r="D8854" s="5" t="s">
        <v>20465</v>
      </c>
      <c r="E8854" s="4">
        <v>445200</v>
      </c>
    </row>
    <row r="8855" spans="1:6" ht="13.5" hidden="1" customHeight="1">
      <c r="A8855" s="4" t="s">
        <v>19930</v>
      </c>
      <c r="B8855" s="4" t="s">
        <v>20291</v>
      </c>
      <c r="C8855" s="4" t="str">
        <f ca="1">IFERROR(__xludf.DUMMYFUNCTION("GOOGLETRANSLATE(D:D,""auto"",""en"")"),"IMF says China is recovering")</f>
        <v>IMF says China is recovering</v>
      </c>
      <c r="D8855" s="5" t="s">
        <v>20466</v>
      </c>
      <c r="E8855" s="4">
        <v>444177</v>
      </c>
    </row>
    <row r="8856" spans="1:6" ht="13.5" hidden="1" customHeight="1">
      <c r="A8856" s="4" t="s">
        <v>20467</v>
      </c>
      <c r="B8856" s="4" t="s">
        <v>20468</v>
      </c>
      <c r="C8856" s="4" t="str">
        <f ca="1">IFERROR(__xludf.DUMMYFUNCTION("GOOGLETRANSLATE(D:D,""auto"",""en"")"),"Foreign Ministry urged the United States not implement the so-called Act Taipei")</f>
        <v>Foreign Ministry urged the United States not implement the so-called Act Taipei</v>
      </c>
      <c r="D8856" s="5" t="s">
        <v>20469</v>
      </c>
      <c r="E8856" s="4">
        <v>443672</v>
      </c>
    </row>
    <row r="8857" spans="1:6" ht="13.5" customHeight="1">
      <c r="A8857" s="4" t="s">
        <v>20470</v>
      </c>
      <c r="B8857" s="4" t="s">
        <v>20471</v>
      </c>
      <c r="C8857" s="4" t="str">
        <f ca="1">IFERROR(__xludf.DUMMYFUNCTION("GOOGLETRANSLATE(D:D,""auto"",""en"")"),"The new crown eyebrows were negative")</f>
        <v>The new crown eyebrows were negative</v>
      </c>
      <c r="D8857" s="5" t="s">
        <v>20472</v>
      </c>
      <c r="E8857" s="4">
        <v>443564</v>
      </c>
      <c r="F8857">
        <v>1</v>
      </c>
    </row>
    <row r="8858" spans="1:6" ht="13.5" customHeight="1">
      <c r="A8858" s="4" t="s">
        <v>20456</v>
      </c>
      <c r="B8858" s="4" t="s">
        <v>20473</v>
      </c>
      <c r="C8858" s="4" t="str">
        <f ca="1">IFERROR(__xludf.DUMMYFUNCTION("GOOGLETRANSLATE(D:D,""auto"",""en"")"),"Shenyang, Liaoning new foreign input 1 case")</f>
        <v>Shenyang, Liaoning new foreign input 1 case</v>
      </c>
      <c r="D8858" s="5" t="s">
        <v>20474</v>
      </c>
      <c r="E8858" s="4">
        <v>408659</v>
      </c>
      <c r="F8858">
        <v>1</v>
      </c>
    </row>
    <row r="8859" spans="1:6" ht="13.5" hidden="1" customHeight="1">
      <c r="A8859" s="4" t="s">
        <v>10544</v>
      </c>
      <c r="B8859" s="4" t="s">
        <v>10545</v>
      </c>
      <c r="C8859" s="4" t="str">
        <f ca="1">IFERROR(__xludf.DUMMYFUNCTION("GOOGLETRANSLATE(D:D,""auto"",""en"")"),"Snow")</f>
        <v>Snow</v>
      </c>
      <c r="D8859" s="5" t="s">
        <v>10546</v>
      </c>
      <c r="E8859" s="4">
        <v>399036</v>
      </c>
    </row>
    <row r="8860" spans="1:6" ht="13.5" customHeight="1">
      <c r="A8860" s="4" t="s">
        <v>20475</v>
      </c>
      <c r="B8860" s="4" t="s">
        <v>20299</v>
      </c>
      <c r="C8860" s="4" t="str">
        <f ca="1">IFERROR(__xludf.DUMMYFUNCTION("GOOGLETRANSLATE(D:D,""auto"",""en"")"),"The new crown pneumonia vaccine still 12-18 months")</f>
        <v>The new crown pneumonia vaccine still 12-18 months</v>
      </c>
      <c r="D8860" s="5" t="s">
        <v>20476</v>
      </c>
      <c r="E8860" s="4">
        <v>393042</v>
      </c>
      <c r="F8860">
        <v>1</v>
      </c>
    </row>
    <row r="8861" spans="1:6" ht="13.5" hidden="1" customHeight="1">
      <c r="A8861" s="4" t="s">
        <v>20477</v>
      </c>
      <c r="B8861" s="4" t="s">
        <v>20358</v>
      </c>
      <c r="C8861" s="4" t="str">
        <f ca="1">IFERROR(__xludf.DUMMYFUNCTION("GOOGLETRANSLATE(D:D,""auto"",""en"")"),"Trump signed a $ 2 trillion economic stimulus bill")</f>
        <v>Trump signed a $ 2 trillion economic stimulus bill</v>
      </c>
      <c r="D8861" s="5" t="s">
        <v>20478</v>
      </c>
      <c r="E8861" s="4">
        <v>386613</v>
      </c>
    </row>
    <row r="8862" spans="1:6" ht="13.5" hidden="1" customHeight="1">
      <c r="A8862" s="4" t="s">
        <v>20449</v>
      </c>
      <c r="B8862" s="4" t="s">
        <v>20282</v>
      </c>
      <c r="C8862" s="4" t="str">
        <f ca="1">IFERROR(__xludf.DUMMYFUNCTION("GOOGLETRANSLATE(D:D,""auto"",""en"")"),"Netherlands barber haircut wearing a homemade umbrella")</f>
        <v>Netherlands barber haircut wearing a homemade umbrella</v>
      </c>
      <c r="D8862" s="5" t="s">
        <v>20479</v>
      </c>
      <c r="E8862" s="4">
        <v>383763</v>
      </c>
    </row>
    <row r="8863" spans="1:6" ht="13.5" hidden="1" customHeight="1">
      <c r="A8863" s="4" t="s">
        <v>20480</v>
      </c>
      <c r="B8863" s="4" t="s">
        <v>20471</v>
      </c>
      <c r="C8863" s="4" t="str">
        <f ca="1">IFERROR(__xludf.DUMMYFUNCTION("GOOGLETRANSLATE(D:D,""auto"",""en"")"),"Shenzhen Port")</f>
        <v>Shenzhen Port</v>
      </c>
      <c r="D8863" s="5" t="s">
        <v>20481</v>
      </c>
      <c r="E8863" s="4">
        <v>369907</v>
      </c>
    </row>
    <row r="8864" spans="1:6" ht="13.5" hidden="1" customHeight="1">
      <c r="A8864" s="4" t="s">
        <v>20482</v>
      </c>
      <c r="B8864" s="4" t="s">
        <v>20285</v>
      </c>
      <c r="C8864" s="4" t="str">
        <f ca="1">IFERROR(__xludf.DUMMYFUNCTION("GOOGLETRANSLATE(D:D,""auto"",""en"")"),"She imperfect lines")</f>
        <v>She imperfect lines</v>
      </c>
      <c r="D8864" s="5" t="s">
        <v>20483</v>
      </c>
      <c r="E8864" s="4">
        <v>330736</v>
      </c>
    </row>
    <row r="8865" spans="1:6" ht="13.5" hidden="1" customHeight="1">
      <c r="A8865" s="4" t="s">
        <v>20484</v>
      </c>
      <c r="B8865" s="4" t="s">
        <v>20485</v>
      </c>
      <c r="C8865" s="4" t="str">
        <f ca="1">IFERROR(__xludf.DUMMYFUNCTION("GOOGLETRANSLATE(D:D,""auto"",""en"")"),"Xi'an Area residents spontaneous flying the flag")</f>
        <v>Xi'an Area residents spontaneous flying the flag</v>
      </c>
      <c r="D8865" s="5" t="s">
        <v>20486</v>
      </c>
      <c r="E8865" s="4">
        <v>326079</v>
      </c>
    </row>
    <row r="8866" spans="1:6" ht="13.5" customHeight="1">
      <c r="A8866" s="4" t="s">
        <v>20487</v>
      </c>
      <c r="B8866" s="4" t="s">
        <v>20488</v>
      </c>
      <c r="C8866" s="4" t="str">
        <f ca="1">IFERROR(__xludf.DUMMYFUNCTION("GOOGLETRANSLATE(D:D,""auto"",""en"")"),"Isolated students poured boiling water to community members")</f>
        <v>Isolated students poured boiling water to community members</v>
      </c>
      <c r="D8866" s="5" t="s">
        <v>20489</v>
      </c>
      <c r="E8866" s="4">
        <v>325473</v>
      </c>
      <c r="F8866">
        <v>1</v>
      </c>
    </row>
    <row r="8867" spans="1:6" ht="13.5" hidden="1" customHeight="1">
      <c r="A8867" s="4" t="s">
        <v>20490</v>
      </c>
      <c r="B8867" s="4" t="s">
        <v>20440</v>
      </c>
      <c r="C8867" s="4" t="str">
        <f ca="1">IFERROR(__xludf.DUMMYFUNCTION("GOOGLETRANSLATE(D:D,""auto"",""en"")"),"Landslide occurred in Guiyang concrete company still lost to 7 people")</f>
        <v>Landslide occurred in Guiyang concrete company still lost to 7 people</v>
      </c>
      <c r="D8867" s="5" t="s">
        <v>20491</v>
      </c>
      <c r="E8867" s="4">
        <v>324280</v>
      </c>
    </row>
    <row r="8868" spans="1:6" ht="13.5" hidden="1" customHeight="1">
      <c r="A8868" s="4" t="s">
        <v>20492</v>
      </c>
      <c r="B8868" s="4" t="s">
        <v>20493</v>
      </c>
      <c r="C8868" s="4" t="str">
        <f ca="1">IFERROR(__xludf.DUMMYFUNCTION("GOOGLETRANSLATE(D:D,""auto"",""en"")"),"British Prime Minister to the United States to seek assistance ventilator")</f>
        <v>British Prime Minister to the United States to seek assistance ventilator</v>
      </c>
      <c r="D8868" s="5" t="s">
        <v>20494</v>
      </c>
      <c r="E8868" s="4">
        <v>322833</v>
      </c>
    </row>
    <row r="8869" spans="1:6" ht="13.5" hidden="1" customHeight="1">
      <c r="A8869" s="4" t="s">
        <v>20495</v>
      </c>
      <c r="B8869" s="4" t="s">
        <v>20496</v>
      </c>
      <c r="C8869" s="4" t="str">
        <f ca="1">IFERROR(__xludf.DUMMYFUNCTION("GOOGLETRANSLATE(D:D,""auto"",""en"")"),"Chinese netizens heart-warming response from the Italian host for help")</f>
        <v>Chinese netizens heart-warming response from the Italian host for help</v>
      </c>
      <c r="D8869" s="5" t="s">
        <v>20497</v>
      </c>
      <c r="E8869" s="4">
        <v>322001</v>
      </c>
    </row>
    <row r="8870" spans="1:6" ht="13.5" hidden="1" customHeight="1">
      <c r="A8870" s="4" t="s">
        <v>20498</v>
      </c>
      <c r="B8870" s="4" t="s">
        <v>20499</v>
      </c>
      <c r="C8870" s="4" t="str">
        <f ca="1">IFERROR(__xludf.DUMMYFUNCTION("GOOGLETRANSLATE(D:D,""auto"",""en"")"),"Yellow jersey outfit contest")</f>
        <v>Yellow jersey outfit contest</v>
      </c>
      <c r="D8870" s="5" t="s">
        <v>20500</v>
      </c>
      <c r="E8870" s="4">
        <v>320599</v>
      </c>
    </row>
    <row r="8871" spans="1:6" ht="13.5" customHeight="1">
      <c r="A8871" s="4" t="s">
        <v>20501</v>
      </c>
      <c r="B8871" s="4" t="s">
        <v>20496</v>
      </c>
      <c r="C8871" s="4" t="str">
        <f ca="1">IFERROR(__xludf.DUMMYFUNCTION("GOOGLETRANSLATE(D:D,""auto"",""en"")"),"New York Police Department 552 new employees diagnosed with pneumonia crown")</f>
        <v>New York Police Department 552 new employees diagnosed with pneumonia crown</v>
      </c>
      <c r="D8871" s="5" t="s">
        <v>20502</v>
      </c>
      <c r="E8871" s="4">
        <v>319260</v>
      </c>
      <c r="F8871">
        <v>1</v>
      </c>
    </row>
    <row r="8872" spans="1:6" ht="13.5" customHeight="1">
      <c r="A8872" s="4" t="s">
        <v>20503</v>
      </c>
      <c r="B8872" s="4" t="s">
        <v>20496</v>
      </c>
      <c r="C8872" s="4" t="str">
        <f ca="1">IFERROR(__xludf.DUMMYFUNCTION("GOOGLETRANSLATE(D:D,""auto"",""en"")"),"E video aid doctors witness birth of a child")</f>
        <v>E video aid doctors witness birth of a child</v>
      </c>
      <c r="D8872" s="5" t="s">
        <v>20504</v>
      </c>
      <c r="E8872" s="4">
        <v>318506</v>
      </c>
      <c r="F8872">
        <v>1</v>
      </c>
    </row>
    <row r="8873" spans="1:6" ht="13.5" customHeight="1">
      <c r="A8873" s="4" t="s">
        <v>20505</v>
      </c>
      <c r="B8873" s="4" t="s">
        <v>20506</v>
      </c>
      <c r="C8873" s="4" t="str">
        <f ca="1">IFERROR(__xludf.DUMMYFUNCTION("GOOGLETRANSLATE(D:D,""auto"",""en"")"),"Aunt wearing masks interval 5 meters jump Square Dance")</f>
        <v>Aunt wearing masks interval 5 meters jump Square Dance</v>
      </c>
      <c r="D8873" s="5" t="s">
        <v>20507</v>
      </c>
      <c r="E8873" s="4">
        <v>317232</v>
      </c>
      <c r="F8873">
        <v>1</v>
      </c>
    </row>
    <row r="8874" spans="1:6" ht="13.5" hidden="1" customHeight="1">
      <c r="A8874" s="4" t="s">
        <v>19930</v>
      </c>
      <c r="B8874" s="4" t="s">
        <v>19931</v>
      </c>
      <c r="C8874" s="4" t="str">
        <f ca="1">IFERROR(__xludf.DUMMYFUNCTION("GOOGLETRANSLATE(D:D,""auto"",""en"")"),"Queen of England")</f>
        <v>Queen of England</v>
      </c>
      <c r="D8874" s="5" t="s">
        <v>19932</v>
      </c>
      <c r="E8874" s="4">
        <v>316497</v>
      </c>
    </row>
    <row r="8875" spans="1:6" ht="13.5" hidden="1" customHeight="1">
      <c r="A8875" s="4" t="s">
        <v>20508</v>
      </c>
      <c r="B8875" s="4" t="s">
        <v>20305</v>
      </c>
      <c r="C8875" s="4" t="str">
        <f ca="1">IFERROR(__xludf.DUMMYFUNCTION("GOOGLETRANSLATE(D:D,""auto"",""en"")"),"Beijing does not ask the public to non-essential travel")</f>
        <v>Beijing does not ask the public to non-essential travel</v>
      </c>
      <c r="D8875" s="5" t="s">
        <v>20509</v>
      </c>
      <c r="E8875" s="4">
        <v>307745</v>
      </c>
    </row>
    <row r="8876" spans="1:6" ht="13.5" hidden="1" customHeight="1">
      <c r="A8876" s="4" t="s">
        <v>18822</v>
      </c>
      <c r="B8876" s="4" t="s">
        <v>18823</v>
      </c>
      <c r="C8876" s="4" t="str">
        <f ca="1">IFERROR(__xludf.DUMMYFUNCTION("GOOGLETRANSLATE(D:D,""auto"",""en"")"),"Edge to your oath")</f>
        <v>Edge to your oath</v>
      </c>
      <c r="D8876" s="5" t="s">
        <v>18824</v>
      </c>
      <c r="E8876" s="4">
        <v>280115</v>
      </c>
    </row>
    <row r="8877" spans="1:6" ht="13.5" hidden="1" customHeight="1">
      <c r="C8877" s="4" t="str">
        <f ca="1">IFERROR(__xludf.DUMMYFUNCTION("GOOGLETRANSLATE(D:D,""auto"",""en"")"),"#VALUE!")</f>
        <v>#VALUE!</v>
      </c>
    </row>
    <row r="8878" spans="1:6" ht="13.5" hidden="1" customHeight="1">
      <c r="A8878" s="4" t="s">
        <v>20510</v>
      </c>
      <c r="B8878" s="4" t="s">
        <v>20511</v>
      </c>
      <c r="C8878" s="4" t="str">
        <f ca="1">IFERROR(__xludf.DUMMYFUNCTION("GOOGLETRANSLATE(D:D,""auto"",""en"")"),"Cai Shen Jie Xu Kun Lisa questioned the center position")</f>
        <v>Cai Shen Jie Xu Kun Lisa questioned the center position</v>
      </c>
      <c r="D8878" s="4" t="s">
        <v>20512</v>
      </c>
      <c r="E8878" s="4">
        <v>3793199</v>
      </c>
    </row>
    <row r="8879" spans="1:6" ht="13.5" customHeight="1">
      <c r="A8879" s="4" t="s">
        <v>20513</v>
      </c>
      <c r="B8879" s="4" t="s">
        <v>20514</v>
      </c>
      <c r="C8879" s="4" t="str">
        <f ca="1">IFERROR(__xludf.DUMMYFUNCTION("GOOGLETRANSLATE(D:D,""auto"",""en"")"),"Iceland found the world's first dual infection")</f>
        <v>Iceland found the world's first dual infection</v>
      </c>
      <c r="D8879" s="5" t="s">
        <v>20515</v>
      </c>
      <c r="E8879" s="4">
        <v>1775149</v>
      </c>
      <c r="F8879">
        <v>1</v>
      </c>
    </row>
    <row r="8880" spans="1:6" ht="13.5" hidden="1" customHeight="1">
      <c r="A8880" s="4" t="s">
        <v>20516</v>
      </c>
      <c r="B8880" s="4" t="s">
        <v>20517</v>
      </c>
      <c r="C8880" s="4" t="str">
        <f ca="1">IFERROR(__xludf.DUMMYFUNCTION("GOOGLETRANSLATE(D:D,""auto"",""en"")"),"Xiaozhan studio rumor")</f>
        <v>Xiaozhan studio rumor</v>
      </c>
      <c r="D8880" s="5" t="s">
        <v>20518</v>
      </c>
      <c r="E8880" s="4">
        <v>1773033</v>
      </c>
    </row>
    <row r="8881" spans="1:6" ht="13.5" hidden="1" customHeight="1">
      <c r="A8881" s="4" t="s">
        <v>3591</v>
      </c>
      <c r="B8881" s="4" t="s">
        <v>20519</v>
      </c>
      <c r="C8881" s="4" t="str">
        <f ca="1">IFERROR(__xludf.DUMMYFUNCTION("GOOGLETRANSLATE(D:D,""auto"",""en"")"),"Guo Xiaoting due to the incident room number N sent a long article")</f>
        <v>Guo Xiaoting due to the incident room number N sent a long article</v>
      </c>
      <c r="D8881" s="5" t="s">
        <v>20520</v>
      </c>
      <c r="E8881" s="4">
        <v>1743731</v>
      </c>
    </row>
    <row r="8882" spans="1:6" ht="13.5" hidden="1" customHeight="1">
      <c r="A8882" s="4" t="s">
        <v>3591</v>
      </c>
      <c r="B8882" s="4" t="s">
        <v>3592</v>
      </c>
      <c r="C8882" s="4" t="str">
        <f ca="1">IFERROR(__xludf.DUMMYFUNCTION("GOOGLETRANSLATE(D:D,""auto"",""en"")"),"Bingqingyujie")</f>
        <v>Bingqingyujie</v>
      </c>
      <c r="D8882" s="5" t="s">
        <v>3593</v>
      </c>
      <c r="E8882" s="4">
        <v>1574815</v>
      </c>
    </row>
    <row r="8883" spans="1:6" ht="13.5" customHeight="1">
      <c r="A8883" s="4" t="s">
        <v>20521</v>
      </c>
      <c r="B8883" s="4" t="s">
        <v>20522</v>
      </c>
      <c r="C8883" s="4" t="str">
        <f ca="1">IFERROR(__xludf.DUMMYFUNCTION("GOOGLETRANSLATE(D:D,""auto"",""en"")"),"The world's largest condom manufacturers to stop production due to the epidemic")</f>
        <v>The world's largest condom manufacturers to stop production due to the epidemic</v>
      </c>
      <c r="D8883" s="5" t="s">
        <v>20523</v>
      </c>
      <c r="E8883" s="4">
        <v>1441988</v>
      </c>
      <c r="F8883">
        <v>1</v>
      </c>
    </row>
    <row r="8884" spans="1:6" ht="13.5" customHeight="1">
      <c r="A8884" s="4" t="s">
        <v>20524</v>
      </c>
      <c r="B8884" s="4" t="s">
        <v>20525</v>
      </c>
      <c r="C8884" s="4" t="str">
        <f ca="1">IFERROR(__xludf.DUMMYFUNCTION("GOOGLETRANSLATE(D:D,""auto"",""en"")"),"France ordering one billion masks to China")</f>
        <v>France ordering one billion masks to China</v>
      </c>
      <c r="D8884" s="5" t="s">
        <v>20526</v>
      </c>
      <c r="E8884" s="4">
        <v>1228721</v>
      </c>
      <c r="F8884">
        <v>1</v>
      </c>
    </row>
    <row r="8885" spans="1:6" ht="13.5" hidden="1" customHeight="1">
      <c r="A8885" s="4" t="s">
        <v>1155</v>
      </c>
      <c r="B8885" s="4" t="s">
        <v>1156</v>
      </c>
      <c r="C8885" s="4" t="str">
        <f ca="1">IFERROR(__xludf.DUMMYFUNCTION("GOOGLETRANSLATE(D:D,""auto"",""en"")"),"Happy Camp")</f>
        <v>Happy Camp</v>
      </c>
      <c r="D8885" s="5" t="s">
        <v>1157</v>
      </c>
      <c r="E8885" s="4">
        <v>1018069</v>
      </c>
    </row>
    <row r="8886" spans="1:6" ht="13.5" hidden="1" customHeight="1">
      <c r="A8886" s="4" t="s">
        <v>20527</v>
      </c>
      <c r="B8886" s="4" t="s">
        <v>20528</v>
      </c>
      <c r="C8886" s="4" t="str">
        <f ca="1">IFERROR(__xludf.DUMMYFUNCTION("GOOGLETRANSLATE(D:D,""auto"",""en"")"),"Russia since March 30 entry and exit restrictions")</f>
        <v>Russia since March 30 entry and exit restrictions</v>
      </c>
      <c r="D8886" s="5" t="s">
        <v>20529</v>
      </c>
      <c r="E8886" s="4">
        <v>933544</v>
      </c>
    </row>
    <row r="8887" spans="1:6" ht="13.5" hidden="1" customHeight="1">
      <c r="A8887" s="4" t="s">
        <v>20530</v>
      </c>
      <c r="B8887" s="4" t="s">
        <v>20531</v>
      </c>
      <c r="C8887" s="4" t="str">
        <f ca="1">IFERROR(__xludf.DUMMYFUNCTION("GOOGLETRANSLATE(D:D,""auto"",""en"")"),"An Kawasaki slay")</f>
        <v>An Kawasaki slay</v>
      </c>
      <c r="D8887" s="5" t="s">
        <v>20532</v>
      </c>
      <c r="E8887" s="4">
        <v>919594</v>
      </c>
    </row>
    <row r="8888" spans="1:6" ht="13.5" hidden="1" customHeight="1">
      <c r="A8888" s="4" t="s">
        <v>20524</v>
      </c>
      <c r="B8888" s="4" t="s">
        <v>20522</v>
      </c>
      <c r="C8888" s="4" t="str">
        <f ca="1">IFERROR(__xludf.DUMMYFUNCTION("GOOGLETRANSLATE(D:D,""auto"",""en"")"),"Ju Jing Yi almost fell")</f>
        <v>Ju Jing Yi almost fell</v>
      </c>
      <c r="D8888" s="5" t="s">
        <v>20533</v>
      </c>
      <c r="E8888" s="4">
        <v>907676</v>
      </c>
    </row>
    <row r="8889" spans="1:6" ht="13.5" hidden="1" customHeight="1">
      <c r="A8889" s="4" t="s">
        <v>20534</v>
      </c>
      <c r="B8889" s="4" t="s">
        <v>20535</v>
      </c>
      <c r="C8889" s="4" t="str">
        <f ca="1">IFERROR(__xludf.DUMMYFUNCTION("GOOGLETRANSLATE(D:D,""auto"",""en"")"),"Liu Ling Zi temperament")</f>
        <v>Liu Ling Zi temperament</v>
      </c>
      <c r="D8889" s="5" t="s">
        <v>20536</v>
      </c>
      <c r="E8889" s="4">
        <v>827019</v>
      </c>
    </row>
    <row r="8890" spans="1:6" ht="13.5" customHeight="1">
      <c r="A8890" s="4" t="s">
        <v>20537</v>
      </c>
      <c r="B8890" s="4" t="s">
        <v>20538</v>
      </c>
      <c r="C8890" s="4" t="str">
        <f ca="1">IFERROR(__xludf.DUMMYFUNCTION("GOOGLETRANSLATE(D:D,""auto"",""en"")"),"Badaling Great Wall was restored and opened to the first day of lettering")</f>
        <v>Badaling Great Wall was restored and opened to the first day of lettering</v>
      </c>
      <c r="D8890" s="5" t="s">
        <v>20539</v>
      </c>
      <c r="E8890" s="4">
        <v>824404</v>
      </c>
      <c r="F8890">
        <v>1</v>
      </c>
    </row>
    <row r="8891" spans="1:6" ht="13.5" customHeight="1">
      <c r="A8891" s="4" t="s">
        <v>20540</v>
      </c>
      <c r="B8891" s="4" t="s">
        <v>20467</v>
      </c>
      <c r="C8891" s="4" t="str">
        <f ca="1">IFERROR(__xludf.DUMMYFUNCTION("GOOGLETRANSLATE(D:D,""auto"",""en"")"),"Abe said Japan is likely to widen the epidemic in a short time")</f>
        <v>Abe said Japan is likely to widen the epidemic in a short time</v>
      </c>
      <c r="D8891" s="5" t="s">
        <v>20541</v>
      </c>
      <c r="E8891" s="4">
        <v>810824</v>
      </c>
      <c r="F8891">
        <v>1</v>
      </c>
    </row>
    <row r="8892" spans="1:6" ht="13.5" customHeight="1">
      <c r="A8892" s="4" t="s">
        <v>20542</v>
      </c>
      <c r="B8892" s="4" t="s">
        <v>20543</v>
      </c>
      <c r="C8892" s="4" t="str">
        <f ca="1">IFERROR(__xludf.DUMMYFUNCTION("GOOGLETRANSLATE(D:D,""auto"",""en"")"),"More than 60,000 people to restore the station to return the first day of Wuhan")</f>
        <v>More than 60,000 people to restore the station to return the first day of Wuhan</v>
      </c>
      <c r="D8892" s="5" t="s">
        <v>20544</v>
      </c>
      <c r="E8892" s="4">
        <v>793740</v>
      </c>
      <c r="F8892">
        <v>1</v>
      </c>
    </row>
    <row r="8893" spans="1:6" ht="13.5" hidden="1" customHeight="1">
      <c r="A8893" s="4" t="s">
        <v>20545</v>
      </c>
      <c r="B8893" s="4" t="s">
        <v>20546</v>
      </c>
      <c r="C8893" s="4" t="str">
        <f ca="1">IFERROR(__xludf.DUMMYFUNCTION("GOOGLETRANSLATE(D:D,""auto"",""en"")"),"Lin small house big progress")</f>
        <v>Lin small house big progress</v>
      </c>
      <c r="D8893" s="5" t="s">
        <v>20547</v>
      </c>
      <c r="E8893" s="4">
        <v>776269</v>
      </c>
    </row>
    <row r="8894" spans="1:6" ht="13.5" hidden="1" customHeight="1">
      <c r="A8894" s="4" t="s">
        <v>20548</v>
      </c>
      <c r="B8894" s="4" t="s">
        <v>20549</v>
      </c>
      <c r="C8894" s="4" t="str">
        <f ca="1">IFERROR(__xludf.DUMMYFUNCTION("GOOGLETRANSLATE(D:D,""auto"",""en"")"),"FBI warned the United States against Asian hate crime or surge")</f>
        <v>FBI warned the United States against Asian hate crime or surge</v>
      </c>
      <c r="D8894" s="5" t="s">
        <v>20550</v>
      </c>
      <c r="E8894" s="4">
        <v>770430</v>
      </c>
    </row>
    <row r="8895" spans="1:6" ht="13.5" hidden="1" customHeight="1">
      <c r="A8895" s="4" t="s">
        <v>20551</v>
      </c>
      <c r="B8895" s="4" t="s">
        <v>20552</v>
      </c>
      <c r="C8895" s="4" t="str">
        <f ca="1">IFERROR(__xludf.DUMMYFUNCTION("GOOGLETRANSLATE(D:D,""auto"",""en"")"),"My own English vocabulary")</f>
        <v>My own English vocabulary</v>
      </c>
      <c r="D8895" s="5" t="s">
        <v>20553</v>
      </c>
      <c r="E8895" s="4">
        <v>762478</v>
      </c>
    </row>
    <row r="8896" spans="1:6" ht="13.5" customHeight="1">
      <c r="A8896" s="4" t="s">
        <v>974</v>
      </c>
      <c r="B8896" s="4" t="s">
        <v>20554</v>
      </c>
      <c r="C8896" s="4" t="str">
        <f ca="1">IFERROR(__xludf.DUMMYFUNCTION("GOOGLETRANSLATE(D:D,""auto"",""en"")"),"Wuhan eStar win")</f>
        <v>Wuhan eStar win</v>
      </c>
      <c r="D8896" s="5" t="s">
        <v>20555</v>
      </c>
      <c r="E8896" s="4">
        <v>756976</v>
      </c>
      <c r="F8896">
        <v>1</v>
      </c>
    </row>
    <row r="8897" spans="1:6" ht="13.5" hidden="1" customHeight="1">
      <c r="A8897" s="4" t="s">
        <v>20534</v>
      </c>
      <c r="B8897" s="4" t="s">
        <v>20556</v>
      </c>
      <c r="C8897" s="4" t="str">
        <f ca="1">IFERROR(__xludf.DUMMYFUNCTION("GOOGLETRANSLATE(D:D,""auto"",""en"")"),"15-year-old girl lost to Yunnan hotel falls seriously injured")</f>
        <v>15-year-old girl lost to Yunnan hotel falls seriously injured</v>
      </c>
      <c r="D8897" s="5" t="s">
        <v>20557</v>
      </c>
      <c r="E8897" s="4">
        <v>730661</v>
      </c>
    </row>
    <row r="8898" spans="1:6" ht="13.5" hidden="1" customHeight="1">
      <c r="A8898" s="4" t="s">
        <v>20558</v>
      </c>
      <c r="B8898" s="4" t="s">
        <v>20559</v>
      </c>
      <c r="C8898" s="4" t="str">
        <f ca="1">IFERROR(__xludf.DUMMYFUNCTION("GOOGLETRANSLATE(D:D,""auto"",""en"")"),"Explosive bomb")</f>
        <v>Explosive bomb</v>
      </c>
      <c r="D8898" s="5" t="s">
        <v>20560</v>
      </c>
      <c r="E8898" s="4">
        <v>698122</v>
      </c>
    </row>
    <row r="8899" spans="1:6" ht="13.5" hidden="1" customHeight="1">
      <c r="A8899" s="4" t="s">
        <v>20561</v>
      </c>
      <c r="B8899" s="4" t="s">
        <v>20562</v>
      </c>
      <c r="C8899" s="4" t="str">
        <f ca="1">IFERROR(__xludf.DUMMYFUNCTION("GOOGLETRANSLATE(D:D,""auto"",""en"")"),"When Siri encounter yellow dress")</f>
        <v>When Siri encounter yellow dress</v>
      </c>
      <c r="D8899" s="5" t="s">
        <v>20563</v>
      </c>
      <c r="E8899" s="4">
        <v>596087</v>
      </c>
    </row>
    <row r="8900" spans="1:6" ht="13.5" hidden="1" customHeight="1">
      <c r="A8900" s="4" t="s">
        <v>20564</v>
      </c>
      <c r="B8900" s="4" t="s">
        <v>20565</v>
      </c>
      <c r="C8900" s="4" t="str">
        <f ca="1">IFERROR(__xludf.DUMMYFUNCTION("GOOGLETRANSLATE(D:D,""auto"",""en"")"),"The original does not like the things you like now")</f>
        <v>The original does not like the things you like now</v>
      </c>
      <c r="D8900" s="5" t="s">
        <v>20566</v>
      </c>
      <c r="E8900" s="4">
        <v>488525</v>
      </c>
    </row>
    <row r="8901" spans="1:6" ht="13.5" hidden="1" customHeight="1">
      <c r="A8901" s="4" t="s">
        <v>20567</v>
      </c>
      <c r="B8901" s="4" t="s">
        <v>20568</v>
      </c>
      <c r="C8901" s="4" t="str">
        <f ca="1">IFERROR(__xludf.DUMMYFUNCTION("GOOGLETRANSLATE(D:D,""auto"",""en"")"),"2.35 m fishermen catch sturgeon sturgeon")</f>
        <v>2.35 m fishermen catch sturgeon sturgeon</v>
      </c>
      <c r="D8901" s="5" t="s">
        <v>20569</v>
      </c>
      <c r="E8901" s="4">
        <v>481503</v>
      </c>
    </row>
    <row r="8902" spans="1:6" ht="13.5" hidden="1" customHeight="1">
      <c r="A8902" s="4" t="s">
        <v>20570</v>
      </c>
      <c r="B8902" s="4" t="s">
        <v>20571</v>
      </c>
      <c r="C8902" s="4" t="str">
        <f ca="1">IFERROR(__xludf.DUMMYFUNCTION("GOOGLETRANSLATE(D:D,""auto"",""en"")"),"What is tone deaf singing experience")</f>
        <v>What is tone deaf singing experience</v>
      </c>
      <c r="D8902" s="5" t="s">
        <v>20572</v>
      </c>
      <c r="E8902" s="4">
        <v>449463</v>
      </c>
    </row>
    <row r="8903" spans="1:6" ht="13.5" hidden="1" customHeight="1">
      <c r="A8903" s="4" t="s">
        <v>20573</v>
      </c>
      <c r="B8903" s="4" t="s">
        <v>20531</v>
      </c>
      <c r="C8903" s="4" t="str">
        <f ca="1">IFERROR(__xludf.DUMMYFUNCTION("GOOGLETRANSLATE(D:D,""auto"",""en"")"),"Zhang Yu Jian sentences")</f>
        <v>Zhang Yu Jian sentences</v>
      </c>
      <c r="D8903" s="5" t="s">
        <v>20574</v>
      </c>
      <c r="E8903" s="4">
        <v>448532</v>
      </c>
    </row>
    <row r="8904" spans="1:6" ht="13.5" hidden="1" customHeight="1">
      <c r="A8904" s="4" t="s">
        <v>20575</v>
      </c>
      <c r="B8904" s="4" t="s">
        <v>20559</v>
      </c>
      <c r="C8904" s="4" t="str">
        <f ca="1">IFERROR(__xludf.DUMMYFUNCTION("GOOGLETRANSLATE(D:D,""auto"",""en"")"),"Parable strength")</f>
        <v>Parable strength</v>
      </c>
      <c r="D8904" s="5" t="s">
        <v>20576</v>
      </c>
      <c r="E8904" s="4">
        <v>443119</v>
      </c>
    </row>
    <row r="8905" spans="1:6" ht="13.5" hidden="1" customHeight="1">
      <c r="A8905" s="4" t="s">
        <v>20551</v>
      </c>
      <c r="B8905" s="4" t="s">
        <v>20577</v>
      </c>
      <c r="C8905" s="4" t="str">
        <f ca="1">IFERROR(__xludf.DUMMYFUNCTION("GOOGLETRANSLATE(D:D,""auto"",""en"")"),"Coffin bag")</f>
        <v>Coffin bag</v>
      </c>
      <c r="D8905" s="5" t="s">
        <v>20578</v>
      </c>
      <c r="E8905" s="4">
        <v>411670</v>
      </c>
    </row>
    <row r="8906" spans="1:6" ht="13.5" customHeight="1">
      <c r="A8906" s="4" t="s">
        <v>20579</v>
      </c>
      <c r="B8906" s="4" t="s">
        <v>20559</v>
      </c>
      <c r="C8906" s="4" t="str">
        <f ca="1">IFERROR(__xludf.DUMMYFUNCTION("GOOGLETRANSLATE(D:D,""auto"",""en"")"),"8 new crown pneumonia area is closed")</f>
        <v>8 new crown pneumonia area is closed</v>
      </c>
      <c r="D8906" s="5" t="s">
        <v>20580</v>
      </c>
      <c r="E8906" s="4">
        <v>410925</v>
      </c>
      <c r="F8906">
        <v>1</v>
      </c>
    </row>
    <row r="8907" spans="1:6" ht="13.5" hidden="1" customHeight="1">
      <c r="A8907" s="4" t="s">
        <v>20581</v>
      </c>
      <c r="B8907" s="4" t="s">
        <v>20582</v>
      </c>
      <c r="C8907" s="4" t="str">
        <f ca="1">IFERROR(__xludf.DUMMYFUNCTION("GOOGLETRANSLATE(D:D,""auto"",""en"")"),"Italian couple put the apartment building when the curtain movie")</f>
        <v>Italian couple put the apartment building when the curtain movie</v>
      </c>
      <c r="D8907" s="5" t="s">
        <v>20583</v>
      </c>
      <c r="E8907" s="4">
        <v>371168</v>
      </c>
    </row>
    <row r="8908" spans="1:6" ht="13.5" hidden="1" customHeight="1">
      <c r="A8908" s="4" t="s">
        <v>20584</v>
      </c>
      <c r="B8908" s="4" t="s">
        <v>20585</v>
      </c>
      <c r="C8908" s="4" t="str">
        <f ca="1">IFERROR(__xludf.DUMMYFUNCTION("GOOGLETRANSLATE(D:D,""auto"",""en"")"),"Yiyangqianxi astronaut modeling")</f>
        <v>Yiyangqianxi astronaut modeling</v>
      </c>
      <c r="D8908" s="5" t="s">
        <v>20586</v>
      </c>
      <c r="E8908" s="4">
        <v>353573</v>
      </c>
    </row>
    <row r="8909" spans="1:6" ht="13.5" hidden="1" customHeight="1">
      <c r="A8909" s="4" t="s">
        <v>20587</v>
      </c>
      <c r="B8909" s="4" t="s">
        <v>20588</v>
      </c>
      <c r="C8909" s="4" t="str">
        <f ca="1">IFERROR(__xludf.DUMMYFUNCTION("GOOGLETRANSLATE(D:D,""auto"",""en"")"),"Huang Yiming")</f>
        <v>Huang Yiming</v>
      </c>
      <c r="D8909" s="5" t="s">
        <v>20589</v>
      </c>
      <c r="E8909" s="4">
        <v>346912</v>
      </c>
    </row>
    <row r="8910" spans="1:6" ht="13.5" hidden="1" customHeight="1">
      <c r="A8910" s="4" t="s">
        <v>20590</v>
      </c>
      <c r="B8910" s="4" t="s">
        <v>20591</v>
      </c>
      <c r="C8910" s="4" t="str">
        <f ca="1">IFERROR(__xludf.DUMMYFUNCTION("GOOGLETRANSLATE(D:D,""auto"",""en"")"),"Beijing traffic a shared bike 900 000")</f>
        <v>Beijing traffic a shared bike 900 000</v>
      </c>
      <c r="D8910" s="5" t="s">
        <v>20592</v>
      </c>
      <c r="E8910" s="4">
        <v>308918</v>
      </c>
    </row>
    <row r="8911" spans="1:6" ht="13.5" hidden="1" customHeight="1">
      <c r="A8911" s="4" t="s">
        <v>20593</v>
      </c>
      <c r="B8911" s="4" t="s">
        <v>20594</v>
      </c>
      <c r="C8911" s="4" t="str">
        <f ca="1">IFERROR(__xludf.DUMMYFUNCTION("GOOGLETRANSLATE(D:D,""auto"",""en"")"),"Trump Zhu Yingguo Prime Minister a speedy recovery")</f>
        <v>Trump Zhu Yingguo Prime Minister a speedy recovery</v>
      </c>
      <c r="D8911" s="5" t="s">
        <v>20595</v>
      </c>
      <c r="E8911" s="4">
        <v>307100</v>
      </c>
    </row>
    <row r="8912" spans="1:6" ht="13.5" hidden="1" customHeight="1">
      <c r="A8912" s="4" t="s">
        <v>20596</v>
      </c>
      <c r="B8912" s="4" t="s">
        <v>20597</v>
      </c>
      <c r="C8912" s="4" t="str">
        <f ca="1">IFERROR(__xludf.DUMMYFUNCTION("GOOGLETRANSLATE(D:D,""auto"",""en"")"),"Matcha milk tea 脏脏")</f>
        <v>Matcha milk tea 脏脏</v>
      </c>
      <c r="D8912" s="5" t="s">
        <v>20598</v>
      </c>
      <c r="E8912" s="4">
        <v>293102</v>
      </c>
    </row>
    <row r="8913" spans="1:6" ht="13.5" hidden="1" customHeight="1">
      <c r="A8913" s="4" t="s">
        <v>20599</v>
      </c>
      <c r="B8913" s="4" t="s">
        <v>20600</v>
      </c>
      <c r="C8913" s="4" t="str">
        <f ca="1">IFERROR(__xludf.DUMMYFUNCTION("GOOGLETRANSLATE(D:D,""auto"",""en"")"),"Jackson Wang live")</f>
        <v>Jackson Wang live</v>
      </c>
      <c r="D8913" s="5" t="s">
        <v>20601</v>
      </c>
      <c r="E8913" s="4">
        <v>290899</v>
      </c>
    </row>
    <row r="8914" spans="1:6" ht="13.5" hidden="1" customHeight="1">
      <c r="A8914" s="4" t="s">
        <v>20602</v>
      </c>
      <c r="B8914" s="4" t="s">
        <v>20603</v>
      </c>
      <c r="C8914" s="4" t="str">
        <f ca="1">IFERROR(__xludf.DUMMYFUNCTION("GOOGLETRANSLATE(D:D,""auto"",""en"")"),"What up boys perfunctory")</f>
        <v>What up boys perfunctory</v>
      </c>
      <c r="D8914" s="5" t="s">
        <v>20604</v>
      </c>
      <c r="E8914" s="4">
        <v>287901</v>
      </c>
    </row>
    <row r="8915" spans="1:6" ht="13.5" customHeight="1">
      <c r="A8915" s="4" t="s">
        <v>18159</v>
      </c>
      <c r="B8915" s="4" t="s">
        <v>20605</v>
      </c>
      <c r="C8915" s="4" t="str">
        <f ca="1">IFERROR(__xludf.DUMMYFUNCTION("GOOGLETRANSLATE(D:D,""auto"",""en"")"),"Hubei Post Express has been achieved over five percent service capabilities")</f>
        <v>Hubei Post Express has been achieved over five percent service capabilities</v>
      </c>
      <c r="D8915" s="5" t="s">
        <v>20606</v>
      </c>
      <c r="E8915" s="4">
        <v>287750</v>
      </c>
      <c r="F8915">
        <v>1</v>
      </c>
    </row>
    <row r="8916" spans="1:6" ht="13.5" hidden="1" customHeight="1">
      <c r="A8916" s="4" t="s">
        <v>20607</v>
      </c>
      <c r="B8916" s="4" t="s">
        <v>20535</v>
      </c>
      <c r="C8916" s="4" t="str">
        <f ca="1">IFERROR(__xludf.DUMMYFUNCTION("GOOGLETRANSLATE(D:D,""auto"",""en"")"),"The difference between mathematics and language examinations of")</f>
        <v>The difference between mathematics and language examinations of</v>
      </c>
      <c r="D8916" s="5" t="s">
        <v>20608</v>
      </c>
      <c r="E8916" s="4">
        <v>275922</v>
      </c>
    </row>
    <row r="8917" spans="1:6" ht="13.5" hidden="1" customHeight="1">
      <c r="A8917" s="4" t="s">
        <v>20551</v>
      </c>
      <c r="B8917" s="4" t="s">
        <v>20609</v>
      </c>
      <c r="C8917" s="4" t="str">
        <f ca="1">IFERROR(__xludf.DUMMYFUNCTION("GOOGLETRANSLATE(D:D,""auto"",""en"")"),"Wang Yang dubbing")</f>
        <v>Wang Yang dubbing</v>
      </c>
      <c r="D8917" s="5" t="s">
        <v>20610</v>
      </c>
      <c r="E8917" s="4">
        <v>267710</v>
      </c>
    </row>
    <row r="8918" spans="1:6" ht="13.5" hidden="1" customHeight="1">
      <c r="A8918" s="4" t="s">
        <v>20611</v>
      </c>
      <c r="B8918" s="4" t="s">
        <v>20612</v>
      </c>
      <c r="C8918" s="4" t="str">
        <f ca="1">IFERROR(__xludf.DUMMYFUNCTION("GOOGLETRANSLATE(D:D,""auto"",""en"")"),"Tathagata old man")</f>
        <v>Tathagata old man</v>
      </c>
      <c r="D8918" s="5" t="s">
        <v>20613</v>
      </c>
      <c r="E8918" s="4">
        <v>265964</v>
      </c>
    </row>
    <row r="8919" spans="1:6" ht="13.5" hidden="1" customHeight="1">
      <c r="A8919" s="4" t="s">
        <v>20614</v>
      </c>
      <c r="B8919" s="4" t="s">
        <v>20585</v>
      </c>
      <c r="C8919" s="4" t="str">
        <f ca="1">IFERROR(__xludf.DUMMYFUNCTION("GOOGLETRANSLATE(D:D,""auto"",""en"")"),"Italian Ministry of Finance set the exam venue formula")</f>
        <v>Italian Ministry of Finance set the exam venue formula</v>
      </c>
      <c r="D8919" s="5" t="s">
        <v>20615</v>
      </c>
      <c r="E8919" s="4">
        <v>244070</v>
      </c>
    </row>
    <row r="8920" spans="1:6" ht="13.5" customHeight="1">
      <c r="A8920" s="4" t="s">
        <v>20616</v>
      </c>
      <c r="B8920" s="4" t="s">
        <v>20617</v>
      </c>
      <c r="C8920" s="4" t="str">
        <f ca="1">IFERROR(__xludf.DUMMYFUNCTION("GOOGLETRANSLATE(D:D,""auto"",""en"")"),"British crown new 2546 cases of new confirmed cases of pneumonia")</f>
        <v>British crown new 2546 cases of new confirmed cases of pneumonia</v>
      </c>
      <c r="D8920" s="5" t="s">
        <v>20618</v>
      </c>
      <c r="E8920" s="4">
        <v>226930</v>
      </c>
      <c r="F8920">
        <v>1</v>
      </c>
    </row>
    <row r="8921" spans="1:6" ht="13.5" hidden="1" customHeight="1">
      <c r="A8921" s="4" t="s">
        <v>20619</v>
      </c>
      <c r="B8921" s="4" t="s">
        <v>20620</v>
      </c>
      <c r="C8921" s="4" t="str">
        <f ca="1">IFERROR(__xludf.DUMMYFUNCTION("GOOGLETRANSLATE(D:D,""auto"",""en"")"),"More than 7901 million members make voluntary contributions 8.26 billion yuan")</f>
        <v>More than 7901 million members make voluntary contributions 8.26 billion yuan</v>
      </c>
      <c r="D8921" s="5" t="s">
        <v>20621</v>
      </c>
      <c r="E8921" s="4">
        <v>226891</v>
      </c>
    </row>
    <row r="8922" spans="1:6" ht="13.5" hidden="1" customHeight="1">
      <c r="A8922" s="4" t="s">
        <v>20570</v>
      </c>
      <c r="B8922" s="4" t="s">
        <v>20622</v>
      </c>
      <c r="C8922" s="4" t="str">
        <f ca="1">IFERROR(__xludf.DUMMYFUNCTION("GOOGLETRANSLATE(D:D,""auto"",""en"")"),"Official rumor network transmission tumbled Shenzhen Port")</f>
        <v>Official rumor network transmission tumbled Shenzhen Port</v>
      </c>
      <c r="D8922" s="5" t="s">
        <v>20623</v>
      </c>
      <c r="E8922" s="4">
        <v>224529</v>
      </c>
    </row>
    <row r="8923" spans="1:6" ht="13.5" hidden="1" customHeight="1">
      <c r="A8923" s="4" t="s">
        <v>20596</v>
      </c>
      <c r="B8923" s="4" t="s">
        <v>20624</v>
      </c>
      <c r="C8923" s="4" t="str">
        <f ca="1">IFERROR(__xludf.DUMMYFUNCTION("GOOGLETRANSLATE(D:D,""auto"",""en"")"),"After 90 years the number will turn to stand nearly 3 times")</f>
        <v>After 90 years the number will turn to stand nearly 3 times</v>
      </c>
      <c r="D8923" s="5" t="s">
        <v>20625</v>
      </c>
      <c r="E8923" s="4">
        <v>206629</v>
      </c>
    </row>
    <row r="8924" spans="1:6" ht="13.5" hidden="1" customHeight="1">
      <c r="A8924" s="4" t="s">
        <v>20626</v>
      </c>
      <c r="B8924" s="4" t="s">
        <v>20467</v>
      </c>
      <c r="C8924" s="4" t="str">
        <f ca="1">IFERROR(__xludf.DUMMYFUNCTION("GOOGLETRANSLATE(D:D,""auto"",""en"")"),"TheShy Orne injury")</f>
        <v>TheShy Orne injury</v>
      </c>
      <c r="D8924" s="5" t="s">
        <v>20627</v>
      </c>
      <c r="E8924" s="4">
        <v>196719</v>
      </c>
    </row>
    <row r="8925" spans="1:6" ht="13.5" customHeight="1">
      <c r="A8925" s="4" t="s">
        <v>18159</v>
      </c>
      <c r="B8925" s="4" t="s">
        <v>18160</v>
      </c>
      <c r="C8925" s="4" t="str">
        <f ca="1">IFERROR(__xludf.DUMMYFUNCTION("GOOGLETRANSLATE(D:D,""auto"",""en"")"),"And more specifically school time")</f>
        <v>And more specifically school time</v>
      </c>
      <c r="D8925" s="5" t="s">
        <v>18161</v>
      </c>
      <c r="E8925" s="4">
        <v>194189</v>
      </c>
      <c r="F8925">
        <v>1</v>
      </c>
    </row>
    <row r="8926" spans="1:6" ht="13.5" hidden="1" customHeight="1">
      <c r="A8926" s="4" t="s">
        <v>20602</v>
      </c>
      <c r="B8926" s="4" t="s">
        <v>20628</v>
      </c>
      <c r="C8926" s="4" t="str">
        <f ca="1">IFERROR(__xludf.DUMMYFUNCTION("GOOGLETRANSLATE(D:D,""auto"",""en"")"),"Play good fried group")</f>
        <v>Play good fried group</v>
      </c>
      <c r="D8926" s="5" t="s">
        <v>20629</v>
      </c>
      <c r="E8926" s="4">
        <v>102859</v>
      </c>
    </row>
    <row r="8927" spans="1:6" ht="13.5" hidden="1" customHeight="1">
      <c r="A8927" s="4" t="s">
        <v>20630</v>
      </c>
      <c r="B8927" s="4" t="s">
        <v>20554</v>
      </c>
      <c r="C8927" s="4" t="str">
        <f ca="1">IFERROR(__xludf.DUMMYFUNCTION("GOOGLETRANSLATE(D:D,""auto"",""en"")"),"Pope Francis to speak face open plaza")</f>
        <v>Pope Francis to speak face open plaza</v>
      </c>
      <c r="D8927" s="5" t="s">
        <v>20631</v>
      </c>
      <c r="E8927" s="4">
        <v>99739</v>
      </c>
    </row>
    <row r="8928" spans="1:6" ht="13.5" hidden="1" customHeight="1">
      <c r="C8928" s="4" t="str">
        <f ca="1">IFERROR(__xludf.DUMMYFUNCTION("GOOGLETRANSLATE(D:D,""auto"",""en"")"),"#VALUE!")</f>
        <v>#VALUE!</v>
      </c>
    </row>
    <row r="8929" spans="1:6" ht="13.5" customHeight="1">
      <c r="A8929" s="4" t="s">
        <v>20632</v>
      </c>
      <c r="B8929" s="4" t="s">
        <v>20633</v>
      </c>
      <c r="C8929" s="4" t="str">
        <f ca="1">IFERROR(__xludf.DUMMYFUNCTION("GOOGLETRANSLATE(D:D,""auto"",""en"")"),"Scientists said the Wuhan origin of the virus is by no means new crown")</f>
        <v>Scientists said the Wuhan origin of the virus is by no means new crown</v>
      </c>
      <c r="D8929" s="4" t="s">
        <v>20634</v>
      </c>
      <c r="E8929" s="4">
        <v>3254384</v>
      </c>
      <c r="F8929">
        <v>1</v>
      </c>
    </row>
    <row r="8930" spans="1:6" ht="13.5" customHeight="1">
      <c r="A8930" s="4" t="s">
        <v>20635</v>
      </c>
      <c r="B8930" s="4" t="s">
        <v>20636</v>
      </c>
      <c r="C8930" s="4" t="str">
        <f ca="1">IFERROR(__xludf.DUMMYFUNCTION("GOOGLETRANSLATE(D:D,""auto"",""en"")"),"US crown a new virus infected baby death")</f>
        <v>US crown a new virus infected baby death</v>
      </c>
      <c r="D8930" s="5" t="s">
        <v>20637</v>
      </c>
      <c r="E8930" s="4">
        <v>2814466</v>
      </c>
      <c r="F8930">
        <v>1</v>
      </c>
    </row>
    <row r="8931" spans="1:6" ht="13.5" customHeight="1">
      <c r="A8931" s="4" t="s">
        <v>20638</v>
      </c>
      <c r="B8931" s="4" t="s">
        <v>20639</v>
      </c>
      <c r="C8931" s="4" t="str">
        <f ca="1">IFERROR(__xludf.DUMMYFUNCTION("GOOGLETRANSLATE(D:D,""auto"",""en"")"),"Zhong Nanshan respond asymptomatic infection cases")</f>
        <v>Zhong Nanshan respond asymptomatic infection cases</v>
      </c>
      <c r="D8931" s="5" t="s">
        <v>20640</v>
      </c>
      <c r="E8931" s="4">
        <v>2153623</v>
      </c>
      <c r="F8931">
        <v>1</v>
      </c>
    </row>
    <row r="8932" spans="1:6" ht="13.5" hidden="1" customHeight="1">
      <c r="A8932" s="4" t="s">
        <v>20641</v>
      </c>
      <c r="B8932" s="4" t="s">
        <v>20642</v>
      </c>
      <c r="C8932" s="4" t="str">
        <f ca="1">IFERROR(__xludf.DUMMYFUNCTION("GOOGLETRANSLATE(D:D,""auto"",""en"")"),"China has entered the flood season")</f>
        <v>China has entered the flood season</v>
      </c>
      <c r="D8932" s="5" t="s">
        <v>20643</v>
      </c>
      <c r="E8932" s="4">
        <v>2118794</v>
      </c>
    </row>
    <row r="8933" spans="1:6" ht="13.5" hidden="1" customHeight="1">
      <c r="A8933" s="4" t="s">
        <v>20644</v>
      </c>
      <c r="B8933" s="4" t="s">
        <v>20645</v>
      </c>
      <c r="C8933" s="4" t="str">
        <f ca="1">IFERROR(__xludf.DUMMYFUNCTION("GOOGLETRANSLATE(D:D,""auto"",""en"")"),"Ultimate challenge")</f>
        <v>Ultimate challenge</v>
      </c>
      <c r="D8933" s="5" t="s">
        <v>20646</v>
      </c>
      <c r="E8933" s="4">
        <v>1544494</v>
      </c>
    </row>
    <row r="8934" spans="1:6" ht="13.5" hidden="1" customHeight="1">
      <c r="A8934" s="4" t="s">
        <v>20647</v>
      </c>
      <c r="B8934" s="4" t="s">
        <v>20648</v>
      </c>
      <c r="C8934" s="4" t="str">
        <f ca="1">IFERROR(__xludf.DUMMYFUNCTION("GOOGLETRANSLATE(D:D,""auto"",""en"")"),"Amber is Shirley birthday")</f>
        <v>Amber is Shirley birthday</v>
      </c>
      <c r="D8934" s="5" t="s">
        <v>20649</v>
      </c>
      <c r="E8934" s="4">
        <v>1521898</v>
      </c>
    </row>
    <row r="8935" spans="1:6" ht="13.5" customHeight="1">
      <c r="A8935" s="4" t="s">
        <v>20650</v>
      </c>
      <c r="B8935" s="4" t="s">
        <v>20651</v>
      </c>
      <c r="C8935" s="4" t="str">
        <f ca="1">IFERROR(__xludf.DUMMYFUNCTION("GOOGLETRANSLATE(D:D,""auto"",""en"")"),"The new crown vaccine volunteers isolation life")</f>
        <v>The new crown vaccine volunteers isolation life</v>
      </c>
      <c r="D8935" s="5" t="s">
        <v>20652</v>
      </c>
      <c r="E8935" s="4">
        <v>1410265</v>
      </c>
      <c r="F8935">
        <v>1</v>
      </c>
    </row>
    <row r="8936" spans="1:6" ht="13.5" hidden="1" customHeight="1">
      <c r="A8936" s="4" t="s">
        <v>20653</v>
      </c>
      <c r="B8936" s="4" t="s">
        <v>20654</v>
      </c>
      <c r="C8936" s="4" t="str">
        <f ca="1">IFERROR(__xludf.DUMMYFUNCTION("GOOGLETRANSLATE(D:D,""auto"",""en"")"),"Luohe")</f>
        <v>Luohe</v>
      </c>
      <c r="D8936" s="5" t="s">
        <v>20655</v>
      </c>
      <c r="E8936" s="4">
        <v>1270833</v>
      </c>
    </row>
    <row r="8937" spans="1:6" ht="13.5" hidden="1" customHeight="1">
      <c r="A8937" s="4" t="s">
        <v>20656</v>
      </c>
      <c r="B8937" s="4" t="s">
        <v>20636</v>
      </c>
      <c r="C8937" s="4" t="str">
        <f ca="1">IFERROR(__xludf.DUMMYFUNCTION("GOOGLETRANSLATE(D:D,""auto"",""en"")"),"Japan will launch the largest-ever economic stimulus plan")</f>
        <v>Japan will launch the largest-ever economic stimulus plan</v>
      </c>
      <c r="D8937" s="5" t="s">
        <v>20657</v>
      </c>
      <c r="E8937" s="4">
        <v>1117076</v>
      </c>
    </row>
    <row r="8938" spans="1:6" ht="13.5" customHeight="1">
      <c r="A8938" s="4" t="s">
        <v>20658</v>
      </c>
      <c r="B8938" s="4" t="s">
        <v>20659</v>
      </c>
      <c r="C8938" s="4" t="str">
        <f ca="1">IFERROR(__xludf.DUMMYFUNCTION("GOOGLETRANSLATE(D:D,""auto"",""en"")"),"The new crown pneumonia patients is how much the average cost")</f>
        <v>The new crown pneumonia patients is how much the average cost</v>
      </c>
      <c r="D8938" s="5" t="s">
        <v>20660</v>
      </c>
      <c r="E8938" s="4">
        <v>1073239</v>
      </c>
      <c r="F8938">
        <v>1</v>
      </c>
    </row>
    <row r="8939" spans="1:6" ht="13.5" hidden="1" customHeight="1">
      <c r="A8939" s="4" t="s">
        <v>20098</v>
      </c>
      <c r="B8939" s="4" t="s">
        <v>20099</v>
      </c>
      <c r="C8939" s="4" t="str">
        <f ca="1">IFERROR(__xludf.DUMMYFUNCTION("GOOGLETRANSLATE(D:D,""auto"",""en"")"),"Long Song")</f>
        <v>Long Song</v>
      </c>
      <c r="D8939" s="5" t="s">
        <v>20100</v>
      </c>
      <c r="E8939" s="4">
        <v>1051166</v>
      </c>
    </row>
    <row r="8940" spans="1:6" ht="13.5" hidden="1" customHeight="1">
      <c r="A8940" s="4" t="s">
        <v>20661</v>
      </c>
      <c r="B8940" s="4" t="s">
        <v>20662</v>
      </c>
      <c r="C8940" s="4" t="str">
        <f ca="1">IFERROR(__xludf.DUMMYFUNCTION("GOOGLETRANSLATE(D:D,""auto"",""en"")"),"Stray dogs rescued three days off the asphalt tank cleaning")</f>
        <v>Stray dogs rescued three days off the asphalt tank cleaning</v>
      </c>
      <c r="D8940" s="5" t="s">
        <v>20663</v>
      </c>
      <c r="E8940" s="4">
        <v>870648</v>
      </c>
    </row>
    <row r="8941" spans="1:6" ht="13.5" customHeight="1">
      <c r="A8941" s="4" t="s">
        <v>20664</v>
      </c>
      <c r="B8941" s="4" t="s">
        <v>20665</v>
      </c>
      <c r="C8941" s="4" t="str">
        <f ca="1">IFERROR(__xludf.DUMMYFUNCTION("GOOGLETRANSLATE(D:D,""auto"",""en"")"),"Henan confirmed cases of the new one cases of local")</f>
        <v>Henan confirmed cases of the new one cases of local</v>
      </c>
      <c r="D8941" s="5" t="s">
        <v>20666</v>
      </c>
      <c r="E8941" s="4">
        <v>831290</v>
      </c>
      <c r="F8941">
        <v>1</v>
      </c>
    </row>
    <row r="8942" spans="1:6" ht="13.5" hidden="1" customHeight="1">
      <c r="A8942" s="4" t="s">
        <v>20667</v>
      </c>
      <c r="B8942" s="4" t="s">
        <v>20668</v>
      </c>
      <c r="C8942" s="4" t="str">
        <f ca="1">IFERROR(__xludf.DUMMYFUNCTION("GOOGLETRANSLATE(D:D,""auto"",""en"")"),"Sichuan and Chongqing will be mutual recognition of mutual fund loans")</f>
        <v>Sichuan and Chongqing will be mutual recognition of mutual fund loans</v>
      </c>
      <c r="D8942" s="5" t="s">
        <v>20669</v>
      </c>
      <c r="E8942" s="4">
        <v>800582</v>
      </c>
    </row>
    <row r="8943" spans="1:6" ht="13.5" hidden="1" customHeight="1">
      <c r="A8943" s="4" t="s">
        <v>20670</v>
      </c>
      <c r="B8943" s="4" t="s">
        <v>20602</v>
      </c>
      <c r="C8943" s="4" t="str">
        <f ca="1">IFERROR(__xludf.DUMMYFUNCTION("GOOGLETRANSLATE(D:D,""auto"",""en"")"),"Trump said the United States from China's experience learn a lot")</f>
        <v>Trump said the United States from China's experience learn a lot</v>
      </c>
      <c r="D8943" s="5" t="s">
        <v>20671</v>
      </c>
      <c r="E8943" s="4">
        <v>788262</v>
      </c>
    </row>
    <row r="8944" spans="1:6" ht="13.5" hidden="1" customHeight="1">
      <c r="A8944" s="4" t="s">
        <v>20672</v>
      </c>
      <c r="B8944" s="4" t="s">
        <v>20673</v>
      </c>
      <c r="C8944" s="4" t="str">
        <f ca="1">IFERROR(__xludf.DUMMYFUNCTION("GOOGLETRANSLATE(D:D,""auto"",""en"")"),"Shen Qing")</f>
        <v>Shen Qing</v>
      </c>
      <c r="D8944" s="5" t="s">
        <v>20674</v>
      </c>
      <c r="E8944" s="4">
        <v>787119</v>
      </c>
    </row>
    <row r="8945" spans="1:6" ht="13.5" hidden="1" customHeight="1">
      <c r="A8945" s="4" t="s">
        <v>20675</v>
      </c>
      <c r="B8945" s="4" t="s">
        <v>20676</v>
      </c>
      <c r="C8945" s="4" t="str">
        <f ca="1">IFERROR(__xludf.DUMMYFUNCTION("GOOGLETRANSLATE(D:D,""auto"",""en"")"),"There Xuwen pineapple sea")</f>
        <v>There Xuwen pineapple sea</v>
      </c>
      <c r="D8945" s="5" t="s">
        <v>20677</v>
      </c>
      <c r="E8945" s="4">
        <v>786153</v>
      </c>
    </row>
    <row r="8946" spans="1:6" ht="13.5" hidden="1" customHeight="1">
      <c r="A8946" s="4" t="s">
        <v>20678</v>
      </c>
      <c r="B8946" s="4" t="s">
        <v>20648</v>
      </c>
      <c r="C8946" s="4" t="str">
        <f ca="1">IFERROR(__xludf.DUMMYFUNCTION("GOOGLETRANSLATE(D:D,""auto"",""en"")"),"Q. Xin Wang imitate rap-style reader")</f>
        <v>Q. Xin Wang imitate rap-style reader</v>
      </c>
      <c r="D8946" s="5" t="s">
        <v>20679</v>
      </c>
      <c r="E8946" s="4">
        <v>768488</v>
      </c>
    </row>
    <row r="8947" spans="1:6" ht="13.5" hidden="1" customHeight="1">
      <c r="A8947" s="4" t="s">
        <v>20680</v>
      </c>
      <c r="B8947" s="4" t="s">
        <v>20681</v>
      </c>
      <c r="C8947" s="4" t="str">
        <f ca="1">IFERROR(__xludf.DUMMYFUNCTION("GOOGLETRANSLATE(D:D,""auto"",""en"")"),"How to lose weight bread unpalatable")</f>
        <v>How to lose weight bread unpalatable</v>
      </c>
      <c r="D8947" s="5" t="s">
        <v>20682</v>
      </c>
      <c r="E8947" s="4">
        <v>736604</v>
      </c>
    </row>
    <row r="8948" spans="1:6" ht="13.5" customHeight="1">
      <c r="A8948" s="4" t="s">
        <v>20683</v>
      </c>
      <c r="B8948" s="4" t="s">
        <v>20684</v>
      </c>
      <c r="C8948" s="4" t="str">
        <f ca="1">IFERROR(__xludf.DUMMYFUNCTION("GOOGLETRANSLATE(D:D,""auto"",""en"")"),"Britain's new crown pneumonia over a thousand people have been fatal")</f>
        <v>Britain's new crown pneumonia over a thousand people have been fatal</v>
      </c>
      <c r="D8948" s="5" t="s">
        <v>20685</v>
      </c>
      <c r="E8948" s="4">
        <v>723764</v>
      </c>
      <c r="F8948">
        <v>1</v>
      </c>
    </row>
    <row r="8949" spans="1:6" ht="13.5" hidden="1" customHeight="1">
      <c r="A8949" s="4" t="s">
        <v>20686</v>
      </c>
      <c r="B8949" s="4" t="s">
        <v>20687</v>
      </c>
      <c r="C8949" s="4" t="str">
        <f ca="1">IFERROR(__xludf.DUMMYFUNCTION("GOOGLETRANSLATE(D:D,""auto"",""en"")"),"JR Smith angrily Trump")</f>
        <v>JR Smith angrily Trump</v>
      </c>
      <c r="D8949" s="5" t="s">
        <v>20688</v>
      </c>
      <c r="E8949" s="4">
        <v>689430</v>
      </c>
    </row>
    <row r="8950" spans="1:6" ht="13.5" customHeight="1">
      <c r="A8950" s="4" t="s">
        <v>20670</v>
      </c>
      <c r="B8950" s="4" t="s">
        <v>20689</v>
      </c>
      <c r="C8950" s="4" t="str">
        <f ca="1">IFERROR(__xludf.DUMMYFUNCTION("GOOGLETRANSLATE(D:D,""auto"",""en"")"),"The United Nations donated 250,000 masks to the United States")</f>
        <v>The United Nations donated 250,000 masks to the United States</v>
      </c>
      <c r="D8950" s="5" t="s">
        <v>20690</v>
      </c>
      <c r="E8950" s="4">
        <v>672664</v>
      </c>
      <c r="F8950">
        <v>1</v>
      </c>
    </row>
    <row r="8951" spans="1:6" ht="13.5" hidden="1" customHeight="1">
      <c r="A8951" s="4" t="s">
        <v>20691</v>
      </c>
      <c r="B8951" s="4" t="s">
        <v>20513</v>
      </c>
      <c r="C8951" s="4" t="str">
        <f ca="1">IFERROR(__xludf.DUMMYFUNCTION("GOOGLETRANSLATE(D:D,""auto"",""en"")"),"Yunnan police informed the 15-year-old girl falls hotel")</f>
        <v>Yunnan police informed the 15-year-old girl falls hotel</v>
      </c>
      <c r="D8951" s="5" t="s">
        <v>20692</v>
      </c>
      <c r="E8951" s="4">
        <v>526127</v>
      </c>
    </row>
    <row r="8952" spans="1:6" ht="13.5" customHeight="1">
      <c r="A8952" s="4" t="s">
        <v>20693</v>
      </c>
      <c r="B8952" s="4" t="s">
        <v>20575</v>
      </c>
      <c r="C8952" s="4" t="str">
        <f ca="1">IFERROR(__xludf.DUMMYFUNCTION("GOOGLETRANSLATE(D:D,""auto"",""en"")"),"31 provinces added 45 cases of confirmed cases")</f>
        <v>31 provinces added 45 cases of confirmed cases</v>
      </c>
      <c r="D8952" s="5" t="s">
        <v>20694</v>
      </c>
      <c r="E8952" s="4">
        <v>500507</v>
      </c>
      <c r="F8952">
        <v>1</v>
      </c>
    </row>
    <row r="8953" spans="1:6" ht="13.5" hidden="1" customHeight="1">
      <c r="A8953" s="4" t="s">
        <v>20695</v>
      </c>
      <c r="B8953" s="4" t="s">
        <v>20696</v>
      </c>
      <c r="C8953" s="4" t="str">
        <f ca="1">IFERROR(__xludf.DUMMYFUNCTION("GOOGLETRANSLATE(D:D,""auto"",""en"")"),"Canadian Prime Minister announced healed Mrs.")</f>
        <v>Canadian Prime Minister announced healed Mrs.</v>
      </c>
      <c r="D8953" s="5" t="s">
        <v>20697</v>
      </c>
      <c r="E8953" s="4">
        <v>488547</v>
      </c>
    </row>
    <row r="8954" spans="1:6" ht="13.5" hidden="1" customHeight="1">
      <c r="A8954" s="4" t="s">
        <v>10721</v>
      </c>
      <c r="B8954" s="4" t="s">
        <v>10722</v>
      </c>
      <c r="C8954" s="4" t="str">
        <f ca="1">IFERROR(__xludf.DUMMYFUNCTION("GOOGLETRANSLATE(D:D,""auto"",""en"")"),"Chalk mold test")</f>
        <v>Chalk mold test</v>
      </c>
      <c r="D8954" s="5" t="s">
        <v>10723</v>
      </c>
      <c r="E8954" s="4">
        <v>446923</v>
      </c>
    </row>
    <row r="8955" spans="1:6" ht="13.5" hidden="1" customHeight="1">
      <c r="A8955" s="4" t="s">
        <v>20638</v>
      </c>
      <c r="B8955" s="4" t="s">
        <v>20698</v>
      </c>
      <c r="C8955" s="4" t="str">
        <f ca="1">IFERROR(__xludf.DUMMYFUNCTION("GOOGLETRANSLATE(D:D,""auto"",""en"")"),"Those who drop out how kind")</f>
        <v>Those who drop out how kind</v>
      </c>
      <c r="D8955" s="5" t="s">
        <v>20699</v>
      </c>
      <c r="E8955" s="4">
        <v>442539</v>
      </c>
    </row>
    <row r="8956" spans="1:6" ht="13.5" hidden="1" customHeight="1">
      <c r="A8956" s="4" t="s">
        <v>20700</v>
      </c>
      <c r="B8956" s="4" t="s">
        <v>20676</v>
      </c>
      <c r="C8956" s="4" t="str">
        <f ca="1">IFERROR(__xludf.DUMMYFUNCTION("GOOGLETRANSLATE(D:D,""auto"",""en"")"),"ZHANG Wen-hong new book offers a free copyright to multinational")</f>
        <v>ZHANG Wen-hong new book offers a free copyright to multinational</v>
      </c>
      <c r="D8956" s="5" t="s">
        <v>20701</v>
      </c>
      <c r="E8956" s="4">
        <v>414276</v>
      </c>
    </row>
    <row r="8957" spans="1:6" ht="13.5" customHeight="1">
      <c r="A8957" s="4" t="s">
        <v>20702</v>
      </c>
      <c r="B8957" s="4" t="s">
        <v>20703</v>
      </c>
      <c r="C8957" s="4" t="str">
        <f ca="1">IFERROR(__xludf.DUMMYFUNCTION("GOOGLETRANSLATE(D:D,""auto"",""en"")"),"The new confirmed cases of pneumonia global crown to break 660,000 cases")</f>
        <v>The new confirmed cases of pneumonia global crown to break 660,000 cases</v>
      </c>
      <c r="D8957" s="5" t="s">
        <v>20704</v>
      </c>
      <c r="E8957" s="4">
        <v>406871</v>
      </c>
      <c r="F8957">
        <v>1</v>
      </c>
    </row>
    <row r="8958" spans="1:6" ht="13.5" hidden="1" customHeight="1">
      <c r="A8958" s="4" t="s">
        <v>20678</v>
      </c>
      <c r="B8958" s="4" t="s">
        <v>20567</v>
      </c>
      <c r="C8958" s="4" t="str">
        <f ca="1">IFERROR(__xludf.DUMMYFUNCTION("GOOGLETRANSLATE(D:D,""auto"",""en"")"),"Jia County")</f>
        <v>Jia County</v>
      </c>
      <c r="D8958" s="5" t="s">
        <v>20705</v>
      </c>
      <c r="E8958" s="4">
        <v>402510</v>
      </c>
    </row>
    <row r="8959" spans="1:6" ht="13.5" hidden="1" customHeight="1">
      <c r="A8959" s="4" t="s">
        <v>20706</v>
      </c>
      <c r="B8959" s="4" t="s">
        <v>20707</v>
      </c>
      <c r="C8959" s="4" t="str">
        <f ca="1">IFERROR(__xludf.DUMMYFUNCTION("GOOGLETRANSLATE(D:D,""auto"",""en"")"),"Juve team gave up four 'salary")</f>
        <v>Juve team gave up four 'salary</v>
      </c>
      <c r="D8959" s="5" t="s">
        <v>20708</v>
      </c>
      <c r="E8959" s="4">
        <v>399881</v>
      </c>
    </row>
    <row r="8960" spans="1:6" ht="13.5" hidden="1" customHeight="1">
      <c r="A8960" s="4" t="s">
        <v>20709</v>
      </c>
      <c r="B8960" s="4" t="s">
        <v>20648</v>
      </c>
      <c r="C8960" s="4" t="str">
        <f ca="1">IFERROR(__xludf.DUMMYFUNCTION("GOOGLETRANSLATE(D:D,""auto"",""en"")"),"Green opened with rap you 2")</f>
        <v>Green opened with rap you 2</v>
      </c>
      <c r="D8960" s="5" t="s">
        <v>20710</v>
      </c>
      <c r="E8960" s="4">
        <v>385896</v>
      </c>
    </row>
    <row r="8961" spans="1:6" ht="13.5" customHeight="1">
      <c r="A8961" s="4" t="s">
        <v>20711</v>
      </c>
      <c r="B8961" s="4" t="s">
        <v>20579</v>
      </c>
      <c r="C8961" s="4" t="str">
        <f ca="1">IFERROR(__xludf.DUMMYFUNCTION("GOOGLETRANSLATE(D:D,""auto"",""en"")"),"US new crown over 120,000 cases diagnosed pneumonia")</f>
        <v>US new crown over 120,000 cases diagnosed pneumonia</v>
      </c>
      <c r="D8961" s="5" t="s">
        <v>20712</v>
      </c>
      <c r="E8961" s="4">
        <v>366171</v>
      </c>
      <c r="F8961">
        <v>1</v>
      </c>
    </row>
    <row r="8962" spans="1:6" ht="13.5" hidden="1" customHeight="1">
      <c r="A8962" s="4" t="s">
        <v>20527</v>
      </c>
      <c r="B8962" s="4" t="s">
        <v>20528</v>
      </c>
      <c r="C8962" s="4" t="str">
        <f ca="1">IFERROR(__xludf.DUMMYFUNCTION("GOOGLETRANSLATE(D:D,""auto"",""en"")"),"Russia since March 30 entry and exit restrictions")</f>
        <v>Russia since March 30 entry and exit restrictions</v>
      </c>
      <c r="D8962" s="5" t="s">
        <v>20529</v>
      </c>
      <c r="E8962" s="4">
        <v>340791</v>
      </c>
    </row>
    <row r="8963" spans="1:6" ht="13.5" hidden="1" customHeight="1">
      <c r="A8963" s="4" t="s">
        <v>20713</v>
      </c>
      <c r="B8963" s="4" t="s">
        <v>20714</v>
      </c>
      <c r="C8963" s="4" t="str">
        <f ca="1">IFERROR(__xludf.DUMMYFUNCTION("GOOGLETRANSLATE(D:D,""auto"",""en"")"),"Tigers climb Hanbok")</f>
        <v>Tigers climb Hanbok</v>
      </c>
      <c r="D8963" s="5" t="s">
        <v>20715</v>
      </c>
      <c r="E8963" s="4">
        <v>323017</v>
      </c>
    </row>
    <row r="8964" spans="1:6" ht="13.5" hidden="1" customHeight="1">
      <c r="A8964" s="4" t="s">
        <v>20716</v>
      </c>
      <c r="B8964" s="4" t="s">
        <v>20717</v>
      </c>
      <c r="C8964" s="4" t="str">
        <f ca="1">IFERROR(__xludf.DUMMYFUNCTION("GOOGLETRANSLATE(D:D,""auto"",""en"")"),"Peruvian construction worker sad weeping")</f>
        <v>Peruvian construction worker sad weeping</v>
      </c>
      <c r="D8964" s="5" t="s">
        <v>20718</v>
      </c>
      <c r="E8964" s="4">
        <v>320934</v>
      </c>
    </row>
    <row r="8965" spans="1:6" ht="13.5" hidden="1" customHeight="1">
      <c r="A8965" s="4" t="s">
        <v>20719</v>
      </c>
      <c r="B8965" s="4" t="s">
        <v>3591</v>
      </c>
      <c r="C8965" s="4" t="str">
        <f ca="1">IFERROR(__xludf.DUMMYFUNCTION("GOOGLETRANSLATE(D:D,""auto"",""en"")"),"New York Governor announced the postponement of the presidential election primaries process")</f>
        <v>New York Governor announced the postponement of the presidential election primaries process</v>
      </c>
      <c r="D8965" s="5" t="s">
        <v>20720</v>
      </c>
      <c r="E8965" s="4">
        <v>316610</v>
      </c>
    </row>
    <row r="8966" spans="1:6" ht="13.5" hidden="1" customHeight="1">
      <c r="A8966" s="4" t="s">
        <v>20721</v>
      </c>
      <c r="B8966" s="4" t="s">
        <v>20722</v>
      </c>
      <c r="C8966" s="4" t="str">
        <f ca="1">IFERROR(__xludf.DUMMYFUNCTION("GOOGLETRANSLATE(D:D,""auto"",""en"")"),"Over the Saudi capital, several loud explosions sound transmission")</f>
        <v>Over the Saudi capital, several loud explosions sound transmission</v>
      </c>
      <c r="D8966" s="5" t="s">
        <v>20723</v>
      </c>
      <c r="E8966" s="4">
        <v>307726</v>
      </c>
    </row>
    <row r="8967" spans="1:6" ht="13.5" hidden="1" customHeight="1">
      <c r="A8967" s="4" t="s">
        <v>20724</v>
      </c>
      <c r="B8967" s="4" t="s">
        <v>20540</v>
      </c>
      <c r="C8967" s="4" t="str">
        <f ca="1">IFERROR(__xludf.DUMMYFUNCTION("GOOGLETRANSLATE(D:D,""auto"",""en"")"),"Kohlrabi")</f>
        <v>Kohlrabi</v>
      </c>
      <c r="D8967" s="5" t="s">
        <v>20725</v>
      </c>
      <c r="E8967" s="4">
        <v>284656</v>
      </c>
    </row>
    <row r="8968" spans="1:6" ht="13.5" hidden="1" customHeight="1">
      <c r="A8968" s="4" t="s">
        <v>20721</v>
      </c>
      <c r="B8968" s="4" t="s">
        <v>20726</v>
      </c>
      <c r="C8968" s="4" t="str">
        <f ca="1">IFERROR(__xludf.DUMMYFUNCTION("GOOGLETRANSLATE(D:D,""auto"",""en"")"),"When you do not eat a good friend of Amway")</f>
        <v>When you do not eat a good friend of Amway</v>
      </c>
      <c r="D8968" s="5" t="s">
        <v>20727</v>
      </c>
      <c r="E8968" s="4">
        <v>284031</v>
      </c>
    </row>
    <row r="8969" spans="1:6" ht="13.5" customHeight="1">
      <c r="A8969" s="4" t="s">
        <v>20728</v>
      </c>
      <c r="B8969" s="4" t="s">
        <v>20714</v>
      </c>
      <c r="C8969" s="4" t="str">
        <f ca="1">IFERROR(__xludf.DUMMYFUNCTION("GOOGLETRANSLATE(D:D,""auto"",""en"")"),"New York Governor said forced isolation is equivalent to a declaration of war")</f>
        <v>New York Governor said forced isolation is equivalent to a declaration of war</v>
      </c>
      <c r="D8969" s="5" t="s">
        <v>20729</v>
      </c>
      <c r="E8969" s="4">
        <v>274897</v>
      </c>
      <c r="F8969">
        <v>1</v>
      </c>
    </row>
    <row r="8970" spans="1:6" ht="13.5" customHeight="1">
      <c r="A8970" s="4" t="s">
        <v>20730</v>
      </c>
      <c r="B8970" s="4" t="s">
        <v>20731</v>
      </c>
      <c r="C8970" s="4" t="str">
        <f ca="1">IFERROR(__xludf.DUMMYFUNCTION("GOOGLETRANSLATE(D:D,""auto"",""en"")"),"Ma responded Community Foundation funding the fight against SARS")</f>
        <v>Ma responded Community Foundation funding the fight against SARS</v>
      </c>
      <c r="D8970" s="5" t="s">
        <v>20732</v>
      </c>
      <c r="E8970" s="4">
        <v>266991</v>
      </c>
      <c r="F8970">
        <v>1</v>
      </c>
    </row>
    <row r="8971" spans="1:6" ht="13.5" customHeight="1">
      <c r="A8971" s="4" t="s">
        <v>20733</v>
      </c>
      <c r="B8971" s="4" t="s">
        <v>20734</v>
      </c>
      <c r="C8971" s="4" t="str">
        <f ca="1">IFERROR(__xludf.DUMMYFUNCTION("GOOGLETRANSLATE(D:D,""auto"",""en"")"),"Knicks boss Dolan diagnosed with pneumonia new crown")</f>
        <v>Knicks boss Dolan diagnosed with pneumonia new crown</v>
      </c>
      <c r="D8971" s="5" t="s">
        <v>20735</v>
      </c>
      <c r="E8971" s="4">
        <v>263680</v>
      </c>
      <c r="F8971">
        <v>1</v>
      </c>
    </row>
    <row r="8972" spans="1:6" ht="13.5" customHeight="1">
      <c r="A8972" s="4" t="s">
        <v>20736</v>
      </c>
      <c r="B8972" s="4" t="s">
        <v>20737</v>
      </c>
      <c r="C8972" s="4" t="str">
        <f ca="1">IFERROR(__xludf.DUMMYFUNCTION("GOOGLETRANSLATE(D:D,""auto"",""en"")"),"China tariff being dragged down the US fight against SARS")</f>
        <v>China tariff being dragged down the US fight against SARS</v>
      </c>
      <c r="D8972" s="5" t="s">
        <v>20738</v>
      </c>
      <c r="E8972" s="4">
        <v>239663</v>
      </c>
      <c r="F8972">
        <v>1</v>
      </c>
    </row>
    <row r="8973" spans="1:6" ht="13.5" hidden="1" customHeight="1">
      <c r="A8973" s="4" t="s">
        <v>20733</v>
      </c>
      <c r="B8973" s="4" t="s">
        <v>20645</v>
      </c>
      <c r="C8973" s="4" t="str">
        <f ca="1">IFERROR(__xludf.DUMMYFUNCTION("GOOGLETRANSLATE(D:D,""auto"",""en"")"),"King of glory this season time")</f>
        <v>King of glory this season time</v>
      </c>
      <c r="D8973" s="5" t="s">
        <v>20739</v>
      </c>
      <c r="E8973" s="4">
        <v>228186</v>
      </c>
    </row>
    <row r="8974" spans="1:6" ht="13.5" customHeight="1">
      <c r="A8974" s="4" t="s">
        <v>20740</v>
      </c>
      <c r="B8974" s="4" t="s">
        <v>20741</v>
      </c>
      <c r="C8974" s="4" t="str">
        <f ca="1">IFERROR(__xludf.DUMMYFUNCTION("GOOGLETRANSLATE(D:D,""auto"",""en"")"),"3D video shows the process of lung damage in patients with new crown")</f>
        <v>3D video shows the process of lung damage in patients with new crown</v>
      </c>
      <c r="D8974" s="5" t="s">
        <v>20742</v>
      </c>
      <c r="E8974" s="4">
        <v>221496</v>
      </c>
      <c r="F8974">
        <v>1</v>
      </c>
    </row>
    <row r="8975" spans="1:6" ht="13.5" hidden="1" customHeight="1">
      <c r="A8975" s="4" t="s">
        <v>20733</v>
      </c>
      <c r="B8975" s="4" t="s">
        <v>20743</v>
      </c>
      <c r="C8975" s="4" t="str">
        <f ca="1">IFERROR(__xludf.DUMMYFUNCTION("GOOGLETRANSLATE(D:D,""auto"",""en"")"),"Shandong Province, China Working Group arrived in England support")</f>
        <v>Shandong Province, China Working Group arrived in England support</v>
      </c>
      <c r="D8975" s="5" t="s">
        <v>20744</v>
      </c>
      <c r="E8975" s="4">
        <v>219574</v>
      </c>
    </row>
    <row r="8976" spans="1:6" ht="13.5" hidden="1" customHeight="1">
      <c r="A8976" s="4" t="s">
        <v>20745</v>
      </c>
      <c r="B8976" s="4" t="s">
        <v>20542</v>
      </c>
      <c r="C8976" s="4" t="str">
        <f ca="1">IFERROR(__xludf.DUMMYFUNCTION("GOOGLETRANSLATE(D:D,""auto"",""en"")"),"North Korean east coast launch UFO direction")</f>
        <v>North Korean east coast launch UFO direction</v>
      </c>
      <c r="D8976" s="5" t="s">
        <v>20746</v>
      </c>
      <c r="E8976" s="4">
        <v>210019</v>
      </c>
    </row>
    <row r="8977" spans="1:6" ht="13.5" hidden="1" customHeight="1">
      <c r="A8977" s="4" t="s">
        <v>20747</v>
      </c>
      <c r="B8977" s="4" t="s">
        <v>20551</v>
      </c>
      <c r="C8977" s="4" t="str">
        <f ca="1">IFERROR(__xludf.DUMMYFUNCTION("GOOGLETRANSLATE(D:D,""auto"",""en"")"),"Jia Nailiang dubbing Xuejian")</f>
        <v>Jia Nailiang dubbing Xuejian</v>
      </c>
      <c r="D8977" s="5" t="s">
        <v>20748</v>
      </c>
      <c r="E8977" s="4">
        <v>202469</v>
      </c>
    </row>
    <row r="8978" spans="1:6" ht="13.5" hidden="1" customHeight="1">
      <c r="A8978" s="4" t="s">
        <v>20749</v>
      </c>
      <c r="B8978" s="4" t="s">
        <v>20750</v>
      </c>
      <c r="C8978" s="4" t="str">
        <f ca="1">IFERROR(__xludf.DUMMYFUNCTION("GOOGLETRANSLATE(D:D,""auto"",""en"")"),"Wang Junkai open annual documentary trailer")</f>
        <v>Wang Junkai open annual documentary trailer</v>
      </c>
      <c r="D8978" s="5" t="s">
        <v>20751</v>
      </c>
      <c r="E8978" s="4">
        <v>185494</v>
      </c>
    </row>
    <row r="8979" spans="1:6" ht="13.5" hidden="1" customHeight="1">
      <c r="C8979" s="4" t="str">
        <f ca="1">IFERROR(__xludf.DUMMYFUNCTION("GOOGLETRANSLATE(D:D,""auto"",""en"")"),"#VALUE!")</f>
        <v>#VALUE!</v>
      </c>
    </row>
    <row r="8980" spans="1:6" ht="13.5" hidden="1" customHeight="1">
      <c r="A8980" s="4" t="s">
        <v>20752</v>
      </c>
      <c r="B8980" s="4" t="s">
        <v>20753</v>
      </c>
      <c r="C8980" s="4" t="str">
        <f ca="1">IFERROR(__xludf.DUMMYFUNCTION("GOOGLETRANSLATE(D:D,""auto"",""en"")"),"Meng Meiqi drink table Baiwu Xuan instrument")</f>
        <v>Meng Meiqi drink table Baiwu Xuan instrument</v>
      </c>
      <c r="D8980" s="4" t="s">
        <v>20754</v>
      </c>
      <c r="E8980" s="4">
        <v>2487980</v>
      </c>
    </row>
    <row r="8981" spans="1:6" ht="13.5" hidden="1" customHeight="1">
      <c r="A8981" s="4" t="s">
        <v>20755</v>
      </c>
      <c r="B8981" s="4" t="s">
        <v>20756</v>
      </c>
      <c r="C8981" s="4" t="str">
        <f ca="1">IFERROR(__xludf.DUMMYFUNCTION("GOOGLETRANSLATE(D:D,""auto"",""en"")"),"Global rush to buy China ventilator")</f>
        <v>Global rush to buy China ventilator</v>
      </c>
      <c r="D8981" s="5" t="s">
        <v>20757</v>
      </c>
      <c r="E8981" s="4">
        <v>1630491</v>
      </c>
    </row>
    <row r="8982" spans="1:6" ht="13.5" hidden="1" customHeight="1">
      <c r="A8982" s="4" t="s">
        <v>20758</v>
      </c>
      <c r="B8982" s="4" t="s">
        <v>20759</v>
      </c>
      <c r="C8982" s="4" t="str">
        <f ca="1">IFERROR(__xludf.DUMMYFUNCTION("GOOGLETRANSLATE(D:D,""auto"",""en"")"),"Trump requires Boeing-made Ford ventilator")</f>
        <v>Trump requires Boeing-made Ford ventilator</v>
      </c>
      <c r="D8982" s="5" t="s">
        <v>20760</v>
      </c>
      <c r="E8982" s="4">
        <v>1520068</v>
      </c>
    </row>
    <row r="8983" spans="1:6" ht="13.5" hidden="1" customHeight="1">
      <c r="A8983" s="4" t="s">
        <v>8884</v>
      </c>
      <c r="B8983" s="4" t="s">
        <v>8885</v>
      </c>
      <c r="C8983" s="4" t="str">
        <f ca="1">IFERROR(__xludf.DUMMYFUNCTION("GOOGLETRANSLATE(D:D,""auto"",""en"")"),"Tang Yan")</f>
        <v>Tang Yan</v>
      </c>
      <c r="D8983" s="5" t="s">
        <v>8886</v>
      </c>
      <c r="E8983" s="4">
        <v>1158120</v>
      </c>
    </row>
    <row r="8984" spans="1:6" ht="13.5" customHeight="1">
      <c r="A8984" s="4" t="s">
        <v>20761</v>
      </c>
      <c r="B8984" s="4" t="s">
        <v>20762</v>
      </c>
      <c r="C8984" s="4" t="str">
        <f ca="1">IFERROR(__xludf.DUMMYFUNCTION("GOOGLETRANSLATE(D:D,""auto"",""en"")"),"Zhong Nanshan said that China is not deduce a large number of asymptomatic infection")</f>
        <v>Zhong Nanshan said that China is not deduce a large number of asymptomatic infection</v>
      </c>
      <c r="D8984" s="5" t="s">
        <v>20763</v>
      </c>
      <c r="E8984" s="4">
        <v>1074661</v>
      </c>
      <c r="F8984">
        <v>1</v>
      </c>
    </row>
    <row r="8985" spans="1:6" ht="13.5" customHeight="1">
      <c r="A8985" s="4" t="s">
        <v>20764</v>
      </c>
      <c r="B8985" s="4" t="s">
        <v>20765</v>
      </c>
      <c r="C8985" s="4" t="str">
        <f ca="1">IFERROR(__xludf.DUMMYFUNCTION("GOOGLETRANSLATE(D:D,""auto"",""en"")"),"ZHANG Wen-hong forecast in October or after the epidemic peak")</f>
        <v>ZHANG Wen-hong forecast in October or after the epidemic peak</v>
      </c>
      <c r="D8985" s="5" t="s">
        <v>20766</v>
      </c>
      <c r="E8985" s="4">
        <v>1074576</v>
      </c>
      <c r="F8985">
        <v>1</v>
      </c>
    </row>
    <row r="8986" spans="1:6" ht="13.5" hidden="1" customHeight="1">
      <c r="A8986" s="4" t="s">
        <v>20767</v>
      </c>
      <c r="B8986" s="4" t="s">
        <v>20768</v>
      </c>
      <c r="C8986" s="4" t="str">
        <f ca="1">IFERROR(__xludf.DUMMYFUNCTION("GOOGLETRANSLATE(D:D,""auto"",""en"")"),"Your birthday of the universe")</f>
        <v>Your birthday of the universe</v>
      </c>
      <c r="D8986" s="5" t="s">
        <v>20769</v>
      </c>
      <c r="E8986" s="4">
        <v>1074102</v>
      </c>
    </row>
    <row r="8987" spans="1:6" ht="13.5" customHeight="1">
      <c r="A8987" s="4" t="s">
        <v>20770</v>
      </c>
      <c r="B8987" s="4" t="s">
        <v>20771</v>
      </c>
      <c r="C8987" s="4" t="str">
        <f ca="1">IFERROR(__xludf.DUMMYFUNCTION("GOOGLETRANSLATE(D:D,""auto"",""en"")"),"Foreign man refused to wear a mask insubordination ordered to leave")</f>
        <v>Foreign man refused to wear a mask insubordination ordered to leave</v>
      </c>
      <c r="D8987" s="5" t="s">
        <v>20772</v>
      </c>
      <c r="E8987" s="4">
        <v>1073905</v>
      </c>
      <c r="F8987">
        <v>1</v>
      </c>
    </row>
    <row r="8988" spans="1:6" ht="13.5" hidden="1" customHeight="1">
      <c r="A8988" s="4" t="s">
        <v>20773</v>
      </c>
      <c r="B8988" s="4" t="s">
        <v>20774</v>
      </c>
      <c r="C8988" s="4" t="str">
        <f ca="1">IFERROR(__xludf.DUMMYFUNCTION("GOOGLETRANSLATE(D:D,""auto"",""en"")"),"Japan or the United States will be denied entry as a target")</f>
        <v>Japan or the United States will be denied entry as a target</v>
      </c>
      <c r="D8988" s="5" t="s">
        <v>20775</v>
      </c>
      <c r="E8988" s="4">
        <v>1073390</v>
      </c>
    </row>
    <row r="8989" spans="1:6" ht="13.5" hidden="1" customHeight="1">
      <c r="A8989" s="4" t="s">
        <v>20776</v>
      </c>
      <c r="B8989" s="4" t="s">
        <v>20777</v>
      </c>
      <c r="C8989" s="4" t="str">
        <f ca="1">IFERROR(__xludf.DUMMYFUNCTION("GOOGLETRANSLATE(D:D,""auto"",""en"")"),"Philippines plane crash")</f>
        <v>Philippines plane crash</v>
      </c>
      <c r="D8989" s="5" t="s">
        <v>20778</v>
      </c>
      <c r="E8989" s="4">
        <v>1073045</v>
      </c>
    </row>
    <row r="8990" spans="1:6" ht="13.5" hidden="1" customHeight="1">
      <c r="A8990" s="4" t="s">
        <v>1209</v>
      </c>
      <c r="B8990" s="4" t="s">
        <v>1210</v>
      </c>
      <c r="C8990" s="4" t="str">
        <f ca="1">IFERROR(__xludf.DUMMYFUNCTION("GOOGLETRANSLATE(D:D,""auto"",""en"")"),"Every day")</f>
        <v>Every day</v>
      </c>
      <c r="D8990" s="5" t="s">
        <v>1211</v>
      </c>
      <c r="E8990" s="4">
        <v>1072561</v>
      </c>
    </row>
    <row r="8991" spans="1:6" ht="13.5" hidden="1" customHeight="1">
      <c r="A8991" s="4" t="s">
        <v>18462</v>
      </c>
      <c r="B8991" s="4" t="s">
        <v>18463</v>
      </c>
      <c r="C8991" s="4" t="str">
        <f ca="1">IFERROR(__xludf.DUMMYFUNCTION("GOOGLETRANSLATE(D:D,""auto"",""en"")"),"Rock candy stew Sydney")</f>
        <v>Rock candy stew Sydney</v>
      </c>
      <c r="D8991" s="5" t="s">
        <v>18464</v>
      </c>
      <c r="E8991" s="4">
        <v>1072234</v>
      </c>
    </row>
    <row r="8992" spans="1:6" ht="13.5" customHeight="1">
      <c r="A8992" s="4" t="s">
        <v>20779</v>
      </c>
      <c r="B8992" s="4" t="s">
        <v>20780</v>
      </c>
      <c r="C8992" s="4" t="str">
        <f ca="1">IFERROR(__xludf.DUMMYFUNCTION("GOOGLETRANSLATE(D:D,""auto"",""en"")"),"Hubei, Gansu new one cases of imported cases")</f>
        <v>Hubei, Gansu new one cases of imported cases</v>
      </c>
      <c r="D8992" s="5" t="s">
        <v>20781</v>
      </c>
      <c r="E8992" s="4">
        <v>1071842</v>
      </c>
      <c r="F8992">
        <v>1</v>
      </c>
    </row>
    <row r="8993" spans="1:6" ht="13.5" customHeight="1">
      <c r="A8993" s="4" t="s">
        <v>20782</v>
      </c>
      <c r="B8993" s="4" t="s">
        <v>20783</v>
      </c>
      <c r="C8993" s="4" t="str">
        <f ca="1">IFERROR(__xludf.DUMMYFUNCTION("GOOGLETRANSLATE(D:D,""auto"",""en"")"),"Mayor Italy resumed business as a nurse")</f>
        <v>Mayor Italy resumed business as a nurse</v>
      </c>
      <c r="D8993" s="5" t="s">
        <v>20784</v>
      </c>
      <c r="E8993" s="4">
        <v>1071469</v>
      </c>
      <c r="F8993">
        <v>1</v>
      </c>
    </row>
    <row r="8994" spans="1:6" ht="13.5" hidden="1" customHeight="1">
      <c r="A8994" s="4" t="s">
        <v>20785</v>
      </c>
      <c r="B8994" s="4" t="s">
        <v>20765</v>
      </c>
      <c r="C8994" s="4" t="str">
        <f ca="1">IFERROR(__xludf.DUMMYFUNCTION("GOOGLETRANSLATE(D:D,""auto"",""en"")"),"13 foreigners were repatriated in the mountains of Guangxi entry")</f>
        <v>13 foreigners were repatriated in the mountains of Guangxi entry</v>
      </c>
      <c r="D8994" s="5" t="s">
        <v>20786</v>
      </c>
      <c r="E8994" s="4">
        <v>1070974</v>
      </c>
    </row>
    <row r="8995" spans="1:6" ht="13.5" hidden="1" customHeight="1">
      <c r="A8995" s="4" t="s">
        <v>20787</v>
      </c>
      <c r="B8995" s="4" t="s">
        <v>20788</v>
      </c>
      <c r="C8995" s="4" t="str">
        <f ca="1">IFERROR(__xludf.DUMMYFUNCTION("GOOGLETRANSLATE(D:D,""auto"",""en"")"),"Gree will recruit 5,000 college students as research and development team")</f>
        <v>Gree will recruit 5,000 college students as research and development team</v>
      </c>
      <c r="D8995" s="5" t="s">
        <v>20789</v>
      </c>
      <c r="E8995" s="4">
        <v>1070675</v>
      </c>
    </row>
    <row r="8996" spans="1:6" ht="13.5" hidden="1" customHeight="1">
      <c r="A8996" s="4" t="s">
        <v>20790</v>
      </c>
      <c r="B8996" s="4" t="s">
        <v>20791</v>
      </c>
      <c r="C8996" s="4" t="str">
        <f ca="1">IFERROR(__xludf.DUMMYFUNCTION("GOOGLETRANSLATE(D:D,""auto"",""en"")"),"Comfort my wife call")</f>
        <v>Comfort my wife call</v>
      </c>
      <c r="D8996" s="5" t="s">
        <v>20792</v>
      </c>
      <c r="E8996" s="4">
        <v>1070347</v>
      </c>
    </row>
    <row r="8997" spans="1:6" ht="13.5" hidden="1" customHeight="1">
      <c r="A8997" s="4" t="s">
        <v>20793</v>
      </c>
      <c r="B8997" s="4" t="s">
        <v>20794</v>
      </c>
      <c r="C8997" s="4" t="str">
        <f ca="1">IFERROR(__xludf.DUMMYFUNCTION("GOOGLETRANSLATE(D:D,""auto"",""en"")"),"Three sons to help father to marry his girlfriend")</f>
        <v>Three sons to help father to marry his girlfriend</v>
      </c>
      <c r="D8997" s="5" t="s">
        <v>20795</v>
      </c>
      <c r="E8997" s="4">
        <v>1070133</v>
      </c>
    </row>
    <row r="8998" spans="1:6" ht="13.5" hidden="1" customHeight="1">
      <c r="A8998" s="4" t="s">
        <v>20796</v>
      </c>
      <c r="B8998" s="4" t="s">
        <v>20797</v>
      </c>
      <c r="C8998" s="4" t="str">
        <f ca="1">IFERROR(__xludf.DUMMYFUNCTION("GOOGLETRANSLATE(D:D,""auto"",""en"")"),"Fox apologized")</f>
        <v>Fox apologized</v>
      </c>
      <c r="D8998" s="5" t="s">
        <v>20798</v>
      </c>
      <c r="E8998" s="4">
        <v>1032976</v>
      </c>
    </row>
    <row r="8999" spans="1:6" ht="13.5" hidden="1" customHeight="1">
      <c r="A8999" s="4" t="s">
        <v>20799</v>
      </c>
      <c r="B8999" s="4" t="s">
        <v>20800</v>
      </c>
      <c r="C8999" s="4" t="str">
        <f ca="1">IFERROR(__xludf.DUMMYFUNCTION("GOOGLETRANSLATE(D:D,""auto"",""en"")"),"License Xin")</f>
        <v>License Xin</v>
      </c>
      <c r="D8999" s="5" t="s">
        <v>20801</v>
      </c>
      <c r="E8999" s="4">
        <v>1009602</v>
      </c>
    </row>
    <row r="9000" spans="1:6" ht="13.5" customHeight="1">
      <c r="A9000" s="4" t="s">
        <v>20802</v>
      </c>
      <c r="B9000" s="4" t="s">
        <v>20788</v>
      </c>
      <c r="C9000" s="4" t="str">
        <f ca="1">IFERROR(__xludf.DUMMYFUNCTION("GOOGLETRANSLATE(D:D,""auto"",""en"")"),"Foreign man refused medical personnel wearing masks abusive attacks")</f>
        <v>Foreign man refused medical personnel wearing masks abusive attacks</v>
      </c>
      <c r="D9000" s="5" t="s">
        <v>20803</v>
      </c>
      <c r="E9000" s="4">
        <v>902083</v>
      </c>
      <c r="F9000">
        <v>1</v>
      </c>
    </row>
    <row r="9001" spans="1:6" ht="13.5" hidden="1" customHeight="1">
      <c r="A9001" s="4" t="s">
        <v>20804</v>
      </c>
      <c r="B9001" s="4" t="s">
        <v>20805</v>
      </c>
      <c r="C9001" s="4" t="str">
        <f ca="1">IFERROR(__xludf.DUMMYFUNCTION("GOOGLETRANSLATE(D:D,""auto"",""en"")"),"Xianning")</f>
        <v>Xianning</v>
      </c>
      <c r="D9001" s="5" t="s">
        <v>20806</v>
      </c>
      <c r="E9001" s="4">
        <v>785838</v>
      </c>
    </row>
    <row r="9002" spans="1:6" ht="13.5" hidden="1" customHeight="1">
      <c r="A9002" s="4" t="s">
        <v>8884</v>
      </c>
      <c r="B9002" s="4" t="s">
        <v>20807</v>
      </c>
      <c r="C9002" s="4" t="str">
        <f ca="1">IFERROR(__xludf.DUMMYFUNCTION("GOOGLETRANSLATE(D:D,""auto"",""en"")"),"4 hours witnessed the death of four patients")</f>
        <v>4 hours witnessed the death of four patients</v>
      </c>
      <c r="D9002" s="5" t="s">
        <v>20808</v>
      </c>
      <c r="E9002" s="4">
        <v>736291</v>
      </c>
    </row>
    <row r="9003" spans="1:6" ht="13.5" hidden="1" customHeight="1">
      <c r="A9003" s="4" t="s">
        <v>20809</v>
      </c>
      <c r="B9003" s="4" t="s">
        <v>20810</v>
      </c>
      <c r="C9003" s="4" t="str">
        <f ca="1">IFERROR(__xludf.DUMMYFUNCTION("GOOGLETRANSLATE(D:D,""auto"",""en"")"),"Uzi KyuRyo")</f>
        <v>Uzi KyuRyo</v>
      </c>
      <c r="D9003" s="5" t="s">
        <v>20811</v>
      </c>
      <c r="E9003" s="4">
        <v>709989</v>
      </c>
    </row>
    <row r="9004" spans="1:6" ht="13.5" customHeight="1">
      <c r="A9004" s="4" t="s">
        <v>20812</v>
      </c>
      <c r="B9004" s="4" t="s">
        <v>20813</v>
      </c>
      <c r="C9004" s="4" t="str">
        <f ca="1">IFERROR(__xludf.DUMMYFUNCTION("GOOGLETRANSLATE(D:D,""auto"",""en"")"),"Trump consulting epidemic countermeasures to retired baseball star")</f>
        <v>Trump consulting epidemic countermeasures to retired baseball star</v>
      </c>
      <c r="D9004" s="5" t="s">
        <v>20814</v>
      </c>
      <c r="E9004" s="4">
        <v>672303</v>
      </c>
      <c r="F9004">
        <v>1</v>
      </c>
    </row>
    <row r="9005" spans="1:6" ht="13.5" hidden="1" customHeight="1">
      <c r="A9005" s="4" t="s">
        <v>20815</v>
      </c>
      <c r="B9005" s="4" t="s">
        <v>20816</v>
      </c>
      <c r="C9005" s="4" t="str">
        <f ca="1">IFERROR(__xludf.DUMMYFUNCTION("GOOGLETRANSLATE(D:D,""auto"",""en"")"),"Girls covered their faces from photographs Competition")</f>
        <v>Girls covered their faces from photographs Competition</v>
      </c>
      <c r="D9005" s="5" t="s">
        <v>20817</v>
      </c>
      <c r="E9005" s="4">
        <v>622126</v>
      </c>
    </row>
    <row r="9006" spans="1:6" ht="13.5" hidden="1" customHeight="1">
      <c r="A9006" s="4" t="s">
        <v>20818</v>
      </c>
      <c r="B9006" s="4" t="s">
        <v>20819</v>
      </c>
      <c r="C9006" s="4" t="str">
        <f ca="1">IFERROR(__xludf.DUMMYFUNCTION("GOOGLETRANSLATE(D:D,""auto"",""en"")"),"Young laughing beyond the sea")</f>
        <v>Young laughing beyond the sea</v>
      </c>
      <c r="D9006" s="5" t="s">
        <v>20820</v>
      </c>
      <c r="E9006" s="4">
        <v>595522</v>
      </c>
    </row>
    <row r="9007" spans="1:6" ht="13.5" hidden="1" customHeight="1">
      <c r="A9007" s="4" t="s">
        <v>20812</v>
      </c>
      <c r="B9007" s="4" t="s">
        <v>20821</v>
      </c>
      <c r="C9007" s="4" t="str">
        <f ca="1">IFERROR(__xludf.DUMMYFUNCTION("GOOGLETRANSLATE(D:D,""auto"",""en"")"),"Yang Mi vest line")</f>
        <v>Yang Mi vest line</v>
      </c>
      <c r="D9007" s="5" t="s">
        <v>20822</v>
      </c>
      <c r="E9007" s="4">
        <v>562451</v>
      </c>
    </row>
    <row r="9008" spans="1:6" ht="13.5" hidden="1" customHeight="1">
      <c r="A9008" s="4" t="s">
        <v>20823</v>
      </c>
      <c r="B9008" s="4" t="s">
        <v>20824</v>
      </c>
      <c r="C9008" s="4" t="str">
        <f ca="1">IFERROR(__xludf.DUMMYFUNCTION("GOOGLETRANSLATE(D:D,""auto"",""en"")"),"Serbian Prime Minister intends to erect monument to the friendship between the two countries")</f>
        <v>Serbian Prime Minister intends to erect monument to the friendship between the two countries</v>
      </c>
      <c r="D9008" s="5" t="s">
        <v>20825</v>
      </c>
      <c r="E9008" s="4">
        <v>395372</v>
      </c>
    </row>
    <row r="9009" spans="1:6" ht="13.5" hidden="1" customHeight="1">
      <c r="A9009" s="4" t="s">
        <v>20826</v>
      </c>
      <c r="B9009" s="4" t="s">
        <v>20827</v>
      </c>
      <c r="C9009" s="4" t="str">
        <f ca="1">IFERROR(__xludf.DUMMYFUNCTION("GOOGLETRANSLATE(D:D,""auto"",""en"")"),"Cirque du Soleil to consider filing for bankruptcy")</f>
        <v>Cirque du Soleil to consider filing for bankruptcy</v>
      </c>
      <c r="D9009" s="5" t="s">
        <v>20828</v>
      </c>
      <c r="E9009" s="4">
        <v>379997</v>
      </c>
    </row>
    <row r="9010" spans="1:6" ht="13.5" hidden="1" customHeight="1">
      <c r="A9010" s="4" t="s">
        <v>20829</v>
      </c>
      <c r="B9010" s="4" t="s">
        <v>20756</v>
      </c>
      <c r="C9010" s="4" t="str">
        <f ca="1">IFERROR(__xludf.DUMMYFUNCTION("GOOGLETRANSLATE(D:D,""auto"",""en"")"),"Freezing rain fire")</f>
        <v>Freezing rain fire</v>
      </c>
      <c r="D9010" s="5" t="s">
        <v>20830</v>
      </c>
      <c r="E9010" s="4">
        <v>360395</v>
      </c>
    </row>
    <row r="9011" spans="1:6" ht="13.5" hidden="1" customHeight="1">
      <c r="A9011" s="4" t="s">
        <v>20340</v>
      </c>
      <c r="B9011" s="4" t="s">
        <v>20831</v>
      </c>
      <c r="C9011" s="4" t="str">
        <f ca="1">IFERROR(__xludf.DUMMYFUNCTION("GOOGLETRANSLATE(D:D,""auto"",""en"")"),"Luhan Britain toilet paper")</f>
        <v>Luhan Britain toilet paper</v>
      </c>
      <c r="D9011" s="5" t="s">
        <v>20832</v>
      </c>
      <c r="E9011" s="4">
        <v>357354</v>
      </c>
    </row>
    <row r="9012" spans="1:6" ht="13.5" hidden="1" customHeight="1">
      <c r="A9012" s="4" t="s">
        <v>20340</v>
      </c>
      <c r="B9012" s="4" t="s">
        <v>20341</v>
      </c>
      <c r="C9012" s="4" t="str">
        <f ca="1">IFERROR(__xludf.DUMMYFUNCTION("GOOGLETRANSLATE(D:D,""auto"",""en"")"),"She is not perfect")</f>
        <v>She is not perfect</v>
      </c>
      <c r="D9012" s="5" t="s">
        <v>20342</v>
      </c>
      <c r="E9012" s="4">
        <v>353981</v>
      </c>
    </row>
    <row r="9013" spans="1:6" ht="13.5" customHeight="1">
      <c r="A9013" s="4" t="s">
        <v>20833</v>
      </c>
      <c r="B9013" s="4" t="s">
        <v>20834</v>
      </c>
      <c r="C9013" s="4" t="str">
        <f ca="1">IFERROR(__xludf.DUMMYFUNCTION("GOOGLETRANSLATE(D:D,""auto"",""en"")"),"China's assistance to Mongolia delivery of materials first fight against SARS")</f>
        <v>China's assistance to Mongolia delivery of materials first fight against SARS</v>
      </c>
      <c r="D9013" s="5" t="s">
        <v>20835</v>
      </c>
      <c r="E9013" s="4">
        <v>347465</v>
      </c>
      <c r="F9013">
        <v>1</v>
      </c>
    </row>
    <row r="9014" spans="1:6" ht="13.5" hidden="1" customHeight="1">
      <c r="A9014" s="4" t="s">
        <v>20836</v>
      </c>
      <c r="B9014" s="4" t="s">
        <v>20805</v>
      </c>
      <c r="C9014" s="4" t="str">
        <f ca="1">IFERROR(__xludf.DUMMYFUNCTION("GOOGLETRANSLATE(D:D,""auto"",""en"")"),"Huanggang each canteens shall not provide drinks")</f>
        <v>Huanggang each canteens shall not provide drinks</v>
      </c>
      <c r="D9014" s="5" t="s">
        <v>20837</v>
      </c>
      <c r="E9014" s="4">
        <v>347113</v>
      </c>
    </row>
    <row r="9015" spans="1:6" ht="13.5" hidden="1" customHeight="1">
      <c r="A9015" s="4" t="s">
        <v>20785</v>
      </c>
      <c r="B9015" s="4" t="s">
        <v>20838</v>
      </c>
      <c r="C9015" s="4" t="str">
        <f ca="1">IFERROR(__xludf.DUMMYFUNCTION("GOOGLETRANSLATE(D:D,""auto"",""en"")"),"Yunnan forest fire")</f>
        <v>Yunnan forest fire</v>
      </c>
      <c r="D9015" s="5" t="s">
        <v>20839</v>
      </c>
      <c r="E9015" s="4">
        <v>326414</v>
      </c>
    </row>
    <row r="9016" spans="1:6" ht="13.5" hidden="1" customHeight="1">
      <c r="A9016" s="4" t="s">
        <v>20840</v>
      </c>
      <c r="B9016" s="4" t="s">
        <v>20756</v>
      </c>
      <c r="C9016" s="4" t="str">
        <f ca="1">IFERROR(__xludf.DUMMYFUNCTION("GOOGLETRANSLATE(D:D,""auto"",""en"")"),"Spain street pigeons fed a nobody")</f>
        <v>Spain street pigeons fed a nobody</v>
      </c>
      <c r="D9016" s="5" t="s">
        <v>20841</v>
      </c>
      <c r="E9016" s="4">
        <v>321458</v>
      </c>
    </row>
    <row r="9017" spans="1:6" ht="13.5" hidden="1" customHeight="1">
      <c r="A9017" s="4" t="s">
        <v>20812</v>
      </c>
      <c r="B9017" s="4" t="s">
        <v>20842</v>
      </c>
      <c r="C9017" s="4" t="str">
        <f ca="1">IFERROR(__xludf.DUMMYFUNCTION("GOOGLETRANSLATE(D:D,""auto"",""en"")"),"The right to travel direwolf actor's death")</f>
        <v>The right to travel direwolf actor's death</v>
      </c>
      <c r="D9017" s="5" t="s">
        <v>20843</v>
      </c>
      <c r="E9017" s="4">
        <v>320930</v>
      </c>
    </row>
    <row r="9018" spans="1:6" ht="13.5" hidden="1" customHeight="1">
      <c r="A9018" s="4" t="s">
        <v>20844</v>
      </c>
      <c r="B9018" s="4" t="s">
        <v>20845</v>
      </c>
      <c r="C9018" s="4" t="str">
        <f ca="1">IFERROR(__xludf.DUMMYFUNCTION("GOOGLETRANSLATE(D:D,""auto"",""en"")"),"Yichang section of the Yangtze finless porpoise reproduction flocks")</f>
        <v>Yichang section of the Yangtze finless porpoise reproduction flocks</v>
      </c>
      <c r="D9018" s="5" t="s">
        <v>20846</v>
      </c>
      <c r="E9018" s="4">
        <v>292116</v>
      </c>
    </row>
    <row r="9019" spans="1:6" ht="13.5" hidden="1" customHeight="1">
      <c r="A9019" s="4" t="s">
        <v>20847</v>
      </c>
      <c r="B9019" s="4" t="s">
        <v>20848</v>
      </c>
      <c r="C9019" s="4" t="str">
        <f ca="1">IFERROR(__xludf.DUMMYFUNCTION("GOOGLETRANSLATE(D:D,""auto"",""en"")"),"Li Xin'ai")</f>
        <v>Li Xin'ai</v>
      </c>
      <c r="D9019" s="5" t="s">
        <v>20849</v>
      </c>
      <c r="E9019" s="4">
        <v>291157</v>
      </c>
    </row>
    <row r="9020" spans="1:6" ht="13.5" hidden="1" customHeight="1">
      <c r="A9020" s="4" t="s">
        <v>20850</v>
      </c>
      <c r="B9020" s="4" t="s">
        <v>20851</v>
      </c>
      <c r="C9020" s="4" t="str">
        <f ca="1">IFERROR(__xludf.DUMMYFUNCTION("GOOGLETRANSLATE(D:D,""auto"",""en"")"),"Student certain things done")</f>
        <v>Student certain things done</v>
      </c>
      <c r="D9020" s="5" t="s">
        <v>20852</v>
      </c>
      <c r="E9020" s="4">
        <v>275424</v>
      </c>
    </row>
    <row r="9021" spans="1:6" ht="13.5" hidden="1" customHeight="1">
      <c r="A9021" s="4" t="s">
        <v>20853</v>
      </c>
      <c r="B9021" s="4" t="s">
        <v>20854</v>
      </c>
      <c r="C9021" s="4" t="str">
        <f ca="1">IFERROR(__xludf.DUMMYFUNCTION("GOOGLETRANSLATE(D:D,""auto"",""en"")"),"LGD champion")</f>
        <v>LGD champion</v>
      </c>
      <c r="D9021" s="5" t="s">
        <v>20855</v>
      </c>
      <c r="E9021" s="4">
        <v>272957</v>
      </c>
    </row>
    <row r="9022" spans="1:6" ht="13.5" customHeight="1">
      <c r="A9022" s="4" t="s">
        <v>20856</v>
      </c>
      <c r="B9022" s="4" t="s">
        <v>20771</v>
      </c>
      <c r="C9022" s="4" t="str">
        <f ca="1">IFERROR(__xludf.DUMMYFUNCTION("GOOGLETRANSLATE(D:D,""auto"",""en"")"),"Gansu enter new confirmed cases holding green code")</f>
        <v>Gansu enter new confirmed cases holding green code</v>
      </c>
      <c r="D9022" s="5" t="s">
        <v>20857</v>
      </c>
      <c r="E9022" s="4">
        <v>265351</v>
      </c>
      <c r="F9022">
        <v>1</v>
      </c>
    </row>
    <row r="9023" spans="1:6" ht="13.5" hidden="1" customHeight="1">
      <c r="A9023" s="4" t="s">
        <v>20340</v>
      </c>
      <c r="B9023" s="4" t="s">
        <v>20858</v>
      </c>
      <c r="C9023" s="4" t="str">
        <f ca="1">IFERROR(__xludf.DUMMYFUNCTION("GOOGLETRANSLATE(D:D,""auto"",""en"")"),"Confident fans of the make-up")</f>
        <v>Confident fans of the make-up</v>
      </c>
      <c r="D9023" s="5" t="s">
        <v>20859</v>
      </c>
      <c r="E9023" s="4">
        <v>245609</v>
      </c>
    </row>
    <row r="9024" spans="1:6" ht="13.5" customHeight="1">
      <c r="A9024" s="4" t="s">
        <v>20860</v>
      </c>
      <c r="B9024" s="4" t="s">
        <v>20861</v>
      </c>
      <c r="C9024" s="4" t="str">
        <f ca="1">IFERROR(__xludf.DUMMYFUNCTION("GOOGLETRANSLATE(D:D,""auto"",""en"")"),"Chinese girl to send masks Pakistan police")</f>
        <v>Chinese girl to send masks Pakistan police</v>
      </c>
      <c r="D9024" s="5" t="s">
        <v>20862</v>
      </c>
      <c r="E9024" s="4">
        <v>229489</v>
      </c>
      <c r="F9024">
        <v>1</v>
      </c>
    </row>
    <row r="9025" spans="1:6" ht="13.5" customHeight="1">
      <c r="A9025" s="4" t="s">
        <v>20863</v>
      </c>
      <c r="B9025" s="4" t="s">
        <v>20864</v>
      </c>
      <c r="C9025" s="4" t="str">
        <f ca="1">IFERROR(__xludf.DUMMYFUNCTION("GOOGLETRANSLATE(D:D,""auto"",""en"")"),"Wuhan Union Hospital in New York to connect more than 90 doctors")</f>
        <v>Wuhan Union Hospital in New York to connect more than 90 doctors</v>
      </c>
      <c r="D9025" s="5" t="s">
        <v>20865</v>
      </c>
      <c r="E9025" s="4">
        <v>226471</v>
      </c>
      <c r="F9025">
        <v>1</v>
      </c>
    </row>
    <row r="9026" spans="1:6" ht="13.5" hidden="1" customHeight="1">
      <c r="A9026" s="4" t="s">
        <v>20866</v>
      </c>
      <c r="B9026" s="4" t="s">
        <v>20867</v>
      </c>
      <c r="C9026" s="4" t="str">
        <f ca="1">IFERROR(__xludf.DUMMYFUNCTION("GOOGLETRANSLATE(D:D,""auto"",""en"")"),"Ono office party responded added as a defendant")</f>
        <v>Ono office party responded added as a defendant</v>
      </c>
      <c r="D9026" s="5" t="s">
        <v>20868</v>
      </c>
      <c r="E9026" s="4">
        <v>222233</v>
      </c>
    </row>
    <row r="9027" spans="1:6" ht="13.5" customHeight="1">
      <c r="A9027" s="4" t="s">
        <v>20869</v>
      </c>
      <c r="B9027" s="4" t="s">
        <v>20870</v>
      </c>
      <c r="C9027" s="4" t="str">
        <f ca="1">IFERROR(__xludf.DUMMYFUNCTION("GOOGLETRANSLATE(D:D,""auto"",""en"")"),"Germany beat Chinese daily video recording epidemic")</f>
        <v>Germany beat Chinese daily video recording epidemic</v>
      </c>
      <c r="D9027" s="5" t="s">
        <v>20871</v>
      </c>
      <c r="E9027" s="4">
        <v>212557</v>
      </c>
      <c r="F9027">
        <v>1</v>
      </c>
    </row>
    <row r="9028" spans="1:6" ht="13.5" hidden="1" customHeight="1">
      <c r="A9028" s="4" t="s">
        <v>20869</v>
      </c>
      <c r="B9028" s="4" t="s">
        <v>20872</v>
      </c>
      <c r="C9028" s="4" t="str">
        <f ca="1">IFERROR(__xludf.DUMMYFUNCTION("GOOGLETRANSLATE(D:D,""auto"",""en"")"),"Hello life")</f>
        <v>Hello life</v>
      </c>
      <c r="D9028" s="5" t="s">
        <v>20873</v>
      </c>
      <c r="E9028" s="4">
        <v>186749</v>
      </c>
    </row>
    <row r="9029" spans="1:6" ht="13.5" hidden="1" customHeight="1">
      <c r="A9029" s="4" t="s">
        <v>20874</v>
      </c>
      <c r="B9029" s="4" t="s">
        <v>20851</v>
      </c>
      <c r="C9029" s="4" t="str">
        <f ca="1">IFERROR(__xludf.DUMMYFUNCTION("GOOGLETRANSLATE(D:D,""auto"",""en"")"),"How parents love to watch")</f>
        <v>How parents love to watch</v>
      </c>
      <c r="D9029" s="5" t="s">
        <v>20875</v>
      </c>
      <c r="E9029" s="4">
        <v>119755</v>
      </c>
    </row>
    <row r="9030" spans="1:6" ht="13.5" hidden="1" customHeight="1">
      <c r="C9030" s="4" t="str">
        <f ca="1">IFERROR(__xludf.DUMMYFUNCTION("GOOGLETRANSLATE(D:D,""auto"",""en"")"),"#VALUE!")</f>
        <v>#VALUE!</v>
      </c>
    </row>
    <row r="9031" spans="1:6" ht="13.5" customHeight="1">
      <c r="A9031" s="4" t="s">
        <v>20876</v>
      </c>
      <c r="B9031" s="4" t="s">
        <v>20767</v>
      </c>
      <c r="C9031" s="4" t="str">
        <f ca="1">IFERROR(__xludf.DUMMYFUNCTION("GOOGLETRANSLATE(D:D,""auto"",""en"")"),"Wuhan strayed cleaning guy to go home")</f>
        <v>Wuhan strayed cleaning guy to go home</v>
      </c>
      <c r="D9031" s="4" t="s">
        <v>20877</v>
      </c>
      <c r="E9031" s="4">
        <v>3061271</v>
      </c>
      <c r="F9031">
        <v>1</v>
      </c>
    </row>
    <row r="9032" spans="1:6" ht="13.5" customHeight="1">
      <c r="A9032" s="4" t="s">
        <v>20878</v>
      </c>
      <c r="B9032" s="4" t="s">
        <v>20879</v>
      </c>
      <c r="C9032" s="4" t="str">
        <f ca="1">IFERROR(__xludf.DUMMYFUNCTION("GOOGLETRANSLATE(D:D,""auto"",""en"")"),"The epidemic could result in 200,000 American deaths")</f>
        <v>The epidemic could result in 200,000 American deaths</v>
      </c>
      <c r="D9032" s="5" t="s">
        <v>20880</v>
      </c>
      <c r="E9032" s="4">
        <v>2490231</v>
      </c>
      <c r="F9032">
        <v>1</v>
      </c>
    </row>
    <row r="9033" spans="1:6" ht="13.5" hidden="1" customHeight="1">
      <c r="A9033" s="4" t="s">
        <v>20881</v>
      </c>
      <c r="B9033" s="4" t="s">
        <v>20882</v>
      </c>
      <c r="C9033" s="4" t="str">
        <f ca="1">IFERROR(__xludf.DUMMYFUNCTION("GOOGLETRANSLATE(D:D,""auto"",""en"")"),"Our provides more than 1,700 emergency ventilator abroad")</f>
        <v>Our provides more than 1,700 emergency ventilator abroad</v>
      </c>
      <c r="D9033" s="5" t="s">
        <v>20883</v>
      </c>
      <c r="E9033" s="4">
        <v>2078144</v>
      </c>
    </row>
    <row r="9034" spans="1:6" ht="13.5" hidden="1" customHeight="1">
      <c r="A9034" s="4" t="s">
        <v>20884</v>
      </c>
      <c r="B9034" s="4" t="s">
        <v>20885</v>
      </c>
      <c r="C9034" s="4" t="str">
        <f ca="1">IFERROR(__xludf.DUMMYFUNCTION("GOOGLETRANSLATE(D:D,""auto"",""en"")"),"Ethiopia")</f>
        <v>Ethiopia</v>
      </c>
      <c r="D9034" s="5" t="s">
        <v>20886</v>
      </c>
      <c r="E9034" s="4">
        <v>1993430</v>
      </c>
    </row>
    <row r="9035" spans="1:6" ht="13.5" hidden="1" customHeight="1">
      <c r="A9035" s="4" t="s">
        <v>20887</v>
      </c>
      <c r="B9035" s="4" t="s">
        <v>20888</v>
      </c>
      <c r="C9035" s="4" t="str">
        <f ca="1">IFERROR(__xludf.DUMMYFUNCTION("GOOGLETRANSLATE(D:D,""auto"",""en"")"),"Thailand, a prison riot")</f>
        <v>Thailand, a prison riot</v>
      </c>
      <c r="D9035" s="5" t="s">
        <v>20889</v>
      </c>
      <c r="E9035" s="4">
        <v>1972154</v>
      </c>
    </row>
    <row r="9036" spans="1:6" ht="13.5" customHeight="1">
      <c r="A9036" s="4" t="s">
        <v>20890</v>
      </c>
      <c r="B9036" s="4" t="s">
        <v>8884</v>
      </c>
      <c r="C9036" s="4" t="str">
        <f ca="1">IFERROR(__xludf.DUMMYFUNCTION("GOOGLETRANSLATE(D:D,""auto"",""en"")"),"Shimura new crown death due to infection")</f>
        <v>Shimura new crown death due to infection</v>
      </c>
      <c r="D9036" s="5" t="s">
        <v>20891</v>
      </c>
      <c r="E9036" s="4">
        <v>1799778</v>
      </c>
      <c r="F9036">
        <v>1</v>
      </c>
    </row>
    <row r="9037" spans="1:6" ht="13.5" hidden="1" customHeight="1">
      <c r="A9037" s="4" t="s">
        <v>20892</v>
      </c>
      <c r="B9037" s="4" t="s">
        <v>20823</v>
      </c>
      <c r="C9037" s="4" t="str">
        <f ca="1">IFERROR(__xludf.DUMMYFUNCTION("GOOGLETRANSLATE(D:D,""auto"",""en"")"),"Li Jiaqi expression")</f>
        <v>Li Jiaqi expression</v>
      </c>
      <c r="D9037" s="5" t="s">
        <v>20893</v>
      </c>
      <c r="E9037" s="4">
        <v>1554517</v>
      </c>
    </row>
    <row r="9038" spans="1:6" ht="13.5" hidden="1" customHeight="1">
      <c r="A9038" s="4" t="s">
        <v>20894</v>
      </c>
      <c r="B9038" s="4" t="s">
        <v>20833</v>
      </c>
      <c r="C9038" s="4" t="str">
        <f ca="1">IFERROR(__xludf.DUMMYFUNCTION("GOOGLETRANSLATE(D:D,""auto"",""en"")"),"Hesse Minister of Finance suicide")</f>
        <v>Hesse Minister of Finance suicide</v>
      </c>
      <c r="D9038" s="5" t="s">
        <v>20895</v>
      </c>
      <c r="E9038" s="4">
        <v>1237492</v>
      </c>
    </row>
    <row r="9039" spans="1:6" ht="13.5" customHeight="1">
      <c r="A9039" s="4" t="s">
        <v>20896</v>
      </c>
      <c r="B9039" s="4" t="s">
        <v>20897</v>
      </c>
      <c r="C9039" s="4" t="str">
        <f ca="1">IFERROR(__xludf.DUMMYFUNCTION("GOOGLETRANSLATE(D:D,""auto"",""en"")"),"Marbury purchase masks to help New York")</f>
        <v>Marbury purchase masks to help New York</v>
      </c>
      <c r="D9039" s="5" t="s">
        <v>20898</v>
      </c>
      <c r="E9039" s="4">
        <v>1186119</v>
      </c>
      <c r="F9039">
        <v>1</v>
      </c>
    </row>
    <row r="9040" spans="1:6" ht="13.5" hidden="1" customHeight="1">
      <c r="A9040" s="4" t="s">
        <v>20899</v>
      </c>
      <c r="B9040" s="4" t="s">
        <v>20900</v>
      </c>
      <c r="C9040" s="4" t="str">
        <f ca="1">IFERROR(__xludf.DUMMYFUNCTION("GOOGLETRANSLATE(D:D,""auto"",""en"")"),"No members of the highest room N or life imprisonment")</f>
        <v>No members of the highest room N or life imprisonment</v>
      </c>
      <c r="D9040" s="5" t="s">
        <v>20901</v>
      </c>
      <c r="E9040" s="4">
        <v>1182294</v>
      </c>
    </row>
    <row r="9041" spans="1:6" ht="13.5" hidden="1" customHeight="1">
      <c r="A9041" s="4" t="s">
        <v>20902</v>
      </c>
      <c r="B9041" s="4" t="s">
        <v>20903</v>
      </c>
      <c r="C9041" s="4" t="str">
        <f ca="1">IFERROR(__xludf.DUMMYFUNCTION("GOOGLETRANSLATE(D:D,""auto"",""en"")"),"Liu Zhen cremation")</f>
        <v>Liu Zhen cremation</v>
      </c>
      <c r="D9041" s="5" t="s">
        <v>20904</v>
      </c>
      <c r="E9041" s="4">
        <v>1150920</v>
      </c>
    </row>
    <row r="9042" spans="1:6" ht="13.5" hidden="1" customHeight="1">
      <c r="A9042" s="4" t="s">
        <v>20905</v>
      </c>
      <c r="B9042" s="4" t="s">
        <v>20773</v>
      </c>
      <c r="C9042" s="4" t="str">
        <f ca="1">IFERROR(__xludf.DUMMYFUNCTION("GOOGLETRANSLATE(D:D,""auto"",""en"")"),"You have more than seven years of friendship it")</f>
        <v>You have more than seven years of friendship it</v>
      </c>
      <c r="D9042" s="5" t="s">
        <v>20906</v>
      </c>
      <c r="E9042" s="4">
        <v>890759</v>
      </c>
    </row>
    <row r="9043" spans="1:6" ht="13.5" customHeight="1">
      <c r="A9043" s="4" t="s">
        <v>20907</v>
      </c>
      <c r="B9043" s="4" t="s">
        <v>20770</v>
      </c>
      <c r="C9043" s="4" t="str">
        <f ca="1">IFERROR(__xludf.DUMMYFUNCTION("GOOGLETRANSLATE(D:D,""auto"",""en"")"),"Examination difference between net and offline exam")</f>
        <v>Examination difference between net and offline exam</v>
      </c>
      <c r="D9043" s="5" t="s">
        <v>20908</v>
      </c>
      <c r="E9043" s="4">
        <v>879178</v>
      </c>
      <c r="F9043">
        <v>1</v>
      </c>
    </row>
    <row r="9044" spans="1:6" ht="13.5" customHeight="1">
      <c r="A9044" s="4" t="s">
        <v>20909</v>
      </c>
      <c r="B9044" s="4" t="s">
        <v>20910</v>
      </c>
      <c r="C9044" s="4" t="str">
        <f ca="1">IFERROR(__xludf.DUMMYFUNCTION("GOOGLETRANSLATE(D:D,""auto"",""en"")"),"Hohhot high school students wear masks to report")</f>
        <v>Hohhot high school students wear masks to report</v>
      </c>
      <c r="D9044" s="5" t="s">
        <v>20911</v>
      </c>
      <c r="E9044" s="4">
        <v>803622</v>
      </c>
      <c r="F9044">
        <v>1</v>
      </c>
    </row>
    <row r="9045" spans="1:6" ht="13.5" hidden="1" customHeight="1">
      <c r="A9045" s="4" t="s">
        <v>20890</v>
      </c>
      <c r="B9045" s="4" t="s">
        <v>20897</v>
      </c>
      <c r="C9045" s="4" t="str">
        <f ca="1">IFERROR(__xludf.DUMMYFUNCTION("GOOGLETRANSLATE(D:D,""auto"",""en"")"),"Dorm room most of the things you care")</f>
        <v>Dorm room most of the things you care</v>
      </c>
      <c r="D9045" s="5" t="s">
        <v>20912</v>
      </c>
      <c r="E9045" s="4">
        <v>781803</v>
      </c>
    </row>
    <row r="9046" spans="1:6" ht="13.5" hidden="1" customHeight="1">
      <c r="A9046" s="4" t="s">
        <v>20887</v>
      </c>
      <c r="B9046" s="4" t="s">
        <v>20913</v>
      </c>
      <c r="C9046" s="4" t="str">
        <f ca="1">IFERROR(__xludf.DUMMYFUNCTION("GOOGLETRANSLATE(D:D,""auto"",""en"")"),"China has found a near-Earth asteroid")</f>
        <v>China has found a near-Earth asteroid</v>
      </c>
      <c r="D9046" s="5" t="s">
        <v>20914</v>
      </c>
      <c r="E9046" s="4">
        <v>760404</v>
      </c>
    </row>
    <row r="9047" spans="1:6" ht="13.5" hidden="1" customHeight="1">
      <c r="A9047" s="4" t="s">
        <v>20915</v>
      </c>
      <c r="B9047" s="4" t="s">
        <v>20916</v>
      </c>
      <c r="C9047" s="4" t="str">
        <f ca="1">IFERROR(__xludf.DUMMYFUNCTION("GOOGLETRANSLATE(D:D,""auto"",""en"")"),"Bryant retired war towels sold for $ 33,000")</f>
        <v>Bryant retired war towels sold for $ 33,000</v>
      </c>
      <c r="D9047" s="5" t="s">
        <v>20917</v>
      </c>
      <c r="E9047" s="4">
        <v>722702</v>
      </c>
    </row>
    <row r="9048" spans="1:6" ht="13.5" hidden="1" customHeight="1">
      <c r="A9048" s="4" t="s">
        <v>20918</v>
      </c>
      <c r="B9048" s="4" t="s">
        <v>20856</v>
      </c>
      <c r="C9048" s="4" t="str">
        <f ca="1">IFERROR(__xludf.DUMMYFUNCTION("GOOGLETRANSLATE(D:D,""auto"",""en"")"),"US students did not go out in four weeks")</f>
        <v>US students did not go out in four weeks</v>
      </c>
      <c r="D9048" s="5" t="s">
        <v>20919</v>
      </c>
      <c r="E9048" s="4">
        <v>691300</v>
      </c>
    </row>
    <row r="9049" spans="1:6" ht="13.5" hidden="1" customHeight="1">
      <c r="A9049" s="4" t="s">
        <v>20920</v>
      </c>
      <c r="B9049" s="4" t="s">
        <v>20921</v>
      </c>
      <c r="C9049" s="4" t="str">
        <f ca="1">IFERROR(__xludf.DUMMYFUNCTION("GOOGLETRANSLATE(D:D,""auto"",""en"")"),"The original is so snails lay eggs")</f>
        <v>The original is so snails lay eggs</v>
      </c>
      <c r="D9049" s="5" t="s">
        <v>20922</v>
      </c>
      <c r="E9049" s="4">
        <v>640049</v>
      </c>
    </row>
    <row r="9050" spans="1:6" ht="13.5" customHeight="1">
      <c r="A9050" s="4" t="s">
        <v>20923</v>
      </c>
      <c r="B9050" s="4" t="s">
        <v>20815</v>
      </c>
      <c r="C9050" s="4" t="str">
        <f ca="1">IFERROR(__xludf.DUMMYFUNCTION("GOOGLETRANSLATE(D:D,""auto"",""en"")"),"Only wear masks covering the mouth")</f>
        <v>Only wear masks covering the mouth</v>
      </c>
      <c r="D9050" s="5" t="s">
        <v>20924</v>
      </c>
      <c r="E9050" s="4">
        <v>629837</v>
      </c>
      <c r="F9050">
        <v>1</v>
      </c>
    </row>
    <row r="9051" spans="1:6" ht="13.5" customHeight="1">
      <c r="A9051" s="4" t="s">
        <v>20899</v>
      </c>
      <c r="B9051" s="4" t="s">
        <v>20925</v>
      </c>
      <c r="C9051" s="4" t="str">
        <f ca="1">IFERROR(__xludf.DUMMYFUNCTION("GOOGLETRANSLATE(D:D,""auto"",""en"")"),"Chairman of the major areas of the Italian Civil Protection Department masks tucao")</f>
        <v>Chairman of the major areas of the Italian Civil Protection Department masks tucao</v>
      </c>
      <c r="D9051" s="5" t="s">
        <v>20926</v>
      </c>
      <c r="E9051" s="4">
        <v>597382</v>
      </c>
      <c r="F9051">
        <v>1</v>
      </c>
    </row>
    <row r="9052" spans="1:6" ht="13.5" hidden="1" customHeight="1">
      <c r="A9052" s="4" t="s">
        <v>20927</v>
      </c>
      <c r="B9052" s="4" t="s">
        <v>20793</v>
      </c>
      <c r="C9052" s="4" t="str">
        <f ca="1">IFERROR(__xludf.DUMMYFUNCTION("GOOGLETRANSLATE(D:D,""auto"",""en"")"),"I can not touch like no one is chasing")</f>
        <v>I can not touch like no one is chasing</v>
      </c>
      <c r="D9052" s="5" t="s">
        <v>20928</v>
      </c>
      <c r="E9052" s="4">
        <v>562810</v>
      </c>
    </row>
    <row r="9053" spans="1:6" ht="13.5" hidden="1" customHeight="1">
      <c r="A9053" s="4" t="s">
        <v>20929</v>
      </c>
      <c r="B9053" s="4" t="s">
        <v>20930</v>
      </c>
      <c r="C9053" s="4" t="str">
        <f ca="1">IFERROR(__xludf.DUMMYFUNCTION("GOOGLETRANSLATE(D:D,""auto"",""en"")"),"Girls chat logic")</f>
        <v>Girls chat logic</v>
      </c>
      <c r="D9053" s="5" t="s">
        <v>20931</v>
      </c>
      <c r="E9053" s="4">
        <v>560828</v>
      </c>
    </row>
    <row r="9054" spans="1:6" ht="13.5" customHeight="1">
      <c r="A9054" s="4" t="s">
        <v>20932</v>
      </c>
      <c r="B9054" s="4" t="s">
        <v>20933</v>
      </c>
      <c r="C9054" s="4" t="str">
        <f ca="1">IFERROR(__xludf.DUMMYFUNCTION("GOOGLETRANSLATE(D:D,""auto"",""en"")"),"Hubei existing confirmed cases dropped to two thousand the following")</f>
        <v>Hubei existing confirmed cases dropped to two thousand the following</v>
      </c>
      <c r="D9054" s="5" t="s">
        <v>20934</v>
      </c>
      <c r="E9054" s="4">
        <v>520688</v>
      </c>
      <c r="F9054">
        <v>1</v>
      </c>
    </row>
    <row r="9055" spans="1:6" ht="13.5" hidden="1" customHeight="1">
      <c r="A9055" s="4" t="s">
        <v>20935</v>
      </c>
      <c r="B9055" s="4" t="s">
        <v>20936</v>
      </c>
      <c r="C9055" s="4" t="str">
        <f ca="1">IFERROR(__xludf.DUMMYFUNCTION("GOOGLETRANSLATE(D:D,""auto"",""en"")"),"Birmingham Airport set up a temporary morgue")</f>
        <v>Birmingham Airport set up a temporary morgue</v>
      </c>
      <c r="D9055" s="5" t="s">
        <v>20937</v>
      </c>
      <c r="E9055" s="4">
        <v>505648</v>
      </c>
    </row>
    <row r="9056" spans="1:6" ht="13.5" hidden="1" customHeight="1">
      <c r="A9056" s="4" t="s">
        <v>20938</v>
      </c>
      <c r="B9056" s="4" t="s">
        <v>20844</v>
      </c>
      <c r="C9056" s="4" t="str">
        <f ca="1">IFERROR(__xludf.DUMMYFUNCTION("GOOGLETRANSLATE(D:D,""auto"",""en"")"),"The difference between freshman and senior")</f>
        <v>The difference between freshman and senior</v>
      </c>
      <c r="D9056" s="5" t="s">
        <v>20939</v>
      </c>
      <c r="E9056" s="4">
        <v>493075</v>
      </c>
    </row>
    <row r="9057" spans="1:6" ht="13.5" customHeight="1">
      <c r="A9057" s="4" t="s">
        <v>20940</v>
      </c>
      <c r="B9057" s="4" t="s">
        <v>20941</v>
      </c>
      <c r="C9057" s="4" t="str">
        <f ca="1">IFERROR(__xludf.DUMMYFUNCTION("GOOGLETRANSLATE(D:D,""auto"",""en"")"),"Trump announced new guidelines crown epidemic extended to the end of April")</f>
        <v>Trump announced new guidelines crown epidemic extended to the end of April</v>
      </c>
      <c r="D9057" s="5" t="s">
        <v>20942</v>
      </c>
      <c r="E9057" s="4">
        <v>480330</v>
      </c>
      <c r="F9057">
        <v>1</v>
      </c>
    </row>
    <row r="9058" spans="1:6" ht="13.5" customHeight="1">
      <c r="A9058" s="4" t="s">
        <v>20943</v>
      </c>
      <c r="B9058" s="4" t="s">
        <v>20793</v>
      </c>
      <c r="C9058" s="4" t="str">
        <f ca="1">IFERROR(__xludf.DUMMYFUNCTION("GOOGLETRANSLATE(D:D,""auto"",""en"")"),"Xiaotangshan Hospital, the first patient was discharged cured")</f>
        <v>Xiaotangshan Hospital, the first patient was discharged cured</v>
      </c>
      <c r="D9058" s="5" t="s">
        <v>20944</v>
      </c>
      <c r="E9058" s="4">
        <v>458249</v>
      </c>
      <c r="F9058">
        <v>1</v>
      </c>
    </row>
    <row r="9059" spans="1:6" ht="13.5" hidden="1" customHeight="1">
      <c r="A9059" s="4" t="s">
        <v>20945</v>
      </c>
      <c r="B9059" s="4" t="s">
        <v>20946</v>
      </c>
      <c r="C9059" s="4" t="str">
        <f ca="1">IFERROR(__xludf.DUMMYFUNCTION("GOOGLETRANSLATE(D:D,""auto"",""en"")"),"Rihanna ridicule Durant")</f>
        <v>Rihanna ridicule Durant</v>
      </c>
      <c r="D9059" s="5" t="s">
        <v>20947</v>
      </c>
      <c r="E9059" s="4">
        <v>431544</v>
      </c>
    </row>
    <row r="9060" spans="1:6" ht="13.5" hidden="1" customHeight="1">
      <c r="A9060" s="4" t="s">
        <v>9371</v>
      </c>
      <c r="B9060" s="4" t="s">
        <v>9372</v>
      </c>
      <c r="C9060" s="4" t="str">
        <f ca="1">IFERROR(__xludf.DUMMYFUNCTION("GOOGLETRANSLATE(D:D,""auto"",""en"")"),"stock market")</f>
        <v>stock market</v>
      </c>
      <c r="D9060" s="5" t="s">
        <v>9373</v>
      </c>
      <c r="E9060" s="4">
        <v>379463</v>
      </c>
    </row>
    <row r="9061" spans="1:6" ht="13.5" hidden="1" customHeight="1">
      <c r="A9061" s="4" t="s">
        <v>20790</v>
      </c>
      <c r="B9061" s="4" t="s">
        <v>20948</v>
      </c>
      <c r="C9061" s="4" t="str">
        <f ca="1">IFERROR(__xludf.DUMMYFUNCTION("GOOGLETRANSLATE(D:D,""auto"",""en"")"),"Shijiazhuang")</f>
        <v>Shijiazhuang</v>
      </c>
      <c r="D9061" s="5" t="s">
        <v>20949</v>
      </c>
      <c r="E9061" s="4">
        <v>345755</v>
      </c>
    </row>
    <row r="9062" spans="1:6" ht="13.5" customHeight="1">
      <c r="A9062" s="4" t="s">
        <v>20950</v>
      </c>
      <c r="B9062" s="4" t="s">
        <v>20951</v>
      </c>
      <c r="C9062" s="4" t="str">
        <f ca="1">IFERROR(__xludf.DUMMYFUNCTION("GOOGLETRANSLATE(D:D,""auto"",""en"")"),"Wuhan many shopping malls and business recovery")</f>
        <v>Wuhan many shopping malls and business recovery</v>
      </c>
      <c r="D9062" s="5" t="s">
        <v>20952</v>
      </c>
      <c r="E9062" s="4">
        <v>330453</v>
      </c>
      <c r="F9062">
        <v>1</v>
      </c>
    </row>
    <row r="9063" spans="1:6" ht="13.5" hidden="1" customHeight="1">
      <c r="A9063" s="4" t="s">
        <v>20896</v>
      </c>
      <c r="B9063" s="4" t="s">
        <v>20953</v>
      </c>
      <c r="C9063" s="4" t="str">
        <f ca="1">IFERROR(__xludf.DUMMYFUNCTION("GOOGLETRANSLATE(D:D,""auto"",""en"")"),"Dirty drawing glutinous rice cake")</f>
        <v>Dirty drawing glutinous rice cake</v>
      </c>
      <c r="D9063" s="5" t="s">
        <v>20954</v>
      </c>
      <c r="E9063" s="4">
        <v>315082</v>
      </c>
    </row>
    <row r="9064" spans="1:6" ht="13.5" customHeight="1">
      <c r="A9064" s="4" t="s">
        <v>20955</v>
      </c>
      <c r="B9064" s="4" t="s">
        <v>20956</v>
      </c>
      <c r="C9064" s="4" t="str">
        <f ca="1">IFERROR(__xludf.DUMMYFUNCTION("GOOGLETRANSLATE(D:D,""auto"",""en"")"),"Can Trump respond before the end of the epidemic Easter")</f>
        <v>Can Trump respond before the end of the epidemic Easter</v>
      </c>
      <c r="D9064" s="5" t="s">
        <v>20957</v>
      </c>
      <c r="E9064" s="4">
        <v>309876</v>
      </c>
      <c r="F9064">
        <v>1</v>
      </c>
    </row>
    <row r="9065" spans="1:6" ht="13.5" hidden="1" customHeight="1">
      <c r="A9065" s="4" t="s">
        <v>20943</v>
      </c>
      <c r="B9065" s="4" t="s">
        <v>20785</v>
      </c>
      <c r="C9065" s="4" t="str">
        <f ca="1">IFERROR(__xludf.DUMMYFUNCTION("GOOGLETRANSLATE(D:D,""auto"",""en"")"),"When dad Alan Kuo")</f>
        <v>When dad Alan Kuo</v>
      </c>
      <c r="D9065" s="5" t="s">
        <v>20958</v>
      </c>
      <c r="E9065" s="4">
        <v>289701</v>
      </c>
    </row>
    <row r="9066" spans="1:6" ht="13.5" customHeight="1">
      <c r="A9066" s="4" t="s">
        <v>20959</v>
      </c>
      <c r="B9066" s="4" t="s">
        <v>20921</v>
      </c>
      <c r="C9066" s="4" t="str">
        <f ca="1">IFERROR(__xludf.DUMMYFUNCTION("GOOGLETRANSLATE(D:D,""auto"",""en"")"),"Philippine medical rescue aircraft crash no survivors")</f>
        <v>Philippine medical rescue aircraft crash no survivors</v>
      </c>
      <c r="D9066" s="5" t="s">
        <v>20960</v>
      </c>
      <c r="E9066" s="4">
        <v>279434</v>
      </c>
      <c r="F9066">
        <v>1</v>
      </c>
    </row>
    <row r="9067" spans="1:6" ht="13.5" customHeight="1">
      <c r="A9067" s="4" t="s">
        <v>20961</v>
      </c>
      <c r="B9067" s="4" t="s">
        <v>20962</v>
      </c>
      <c r="C9067" s="4" t="str">
        <f ca="1">IFERROR(__xludf.DUMMYFUNCTION("GOOGLETRANSLATE(D:D,""auto"",""en"")"),"The economic impact of the epidemic on China's industry is the stage")</f>
        <v>The economic impact of the epidemic on China's industry is the stage</v>
      </c>
      <c r="D9067" s="5" t="s">
        <v>20963</v>
      </c>
      <c r="E9067" s="4">
        <v>269737</v>
      </c>
      <c r="F9067">
        <v>1</v>
      </c>
    </row>
    <row r="9068" spans="1:6" ht="13.5" customHeight="1">
      <c r="A9068" s="4" t="s">
        <v>20964</v>
      </c>
      <c r="B9068" s="4" t="s">
        <v>20853</v>
      </c>
      <c r="C9068" s="4" t="str">
        <f ca="1">IFERROR(__xludf.DUMMYFUNCTION("GOOGLETRANSLATE(D:D,""auto"",""en"")"),"The first batch of 5.5 million Chinese masks arrived in Paris")</f>
        <v>The first batch of 5.5 million Chinese masks arrived in Paris</v>
      </c>
      <c r="D9068" s="5" t="s">
        <v>20965</v>
      </c>
      <c r="E9068" s="4">
        <v>261991</v>
      </c>
      <c r="F9068">
        <v>1</v>
      </c>
    </row>
    <row r="9069" spans="1:6" ht="13.5" hidden="1" customHeight="1">
      <c r="A9069" s="4" t="s">
        <v>20790</v>
      </c>
      <c r="B9069" s="4" t="s">
        <v>20791</v>
      </c>
      <c r="C9069" s="4" t="str">
        <f ca="1">IFERROR(__xludf.DUMMYFUNCTION("GOOGLETRANSLATE(D:D,""auto"",""en"")"),"Comfort my wife call")</f>
        <v>Comfort my wife call</v>
      </c>
      <c r="D9069" s="5" t="s">
        <v>20792</v>
      </c>
      <c r="E9069" s="4">
        <v>258543</v>
      </c>
    </row>
    <row r="9070" spans="1:6" ht="13.5" hidden="1" customHeight="1">
      <c r="A9070" s="4" t="s">
        <v>20966</v>
      </c>
      <c r="B9070" s="4" t="s">
        <v>20755</v>
      </c>
      <c r="C9070" s="4" t="str">
        <f ca="1">IFERROR(__xludf.DUMMYFUNCTION("GOOGLETRANSLATE(D:D,""auto"",""en"")"),"And a cruise ship carrying nearly 2,000 people have nowhere to dock")</f>
        <v>And a cruise ship carrying nearly 2,000 people have nowhere to dock</v>
      </c>
      <c r="D9070" s="5" t="s">
        <v>20967</v>
      </c>
      <c r="E9070" s="4">
        <v>252253</v>
      </c>
    </row>
    <row r="9071" spans="1:6" ht="13.5" hidden="1" customHeight="1">
      <c r="A9071" s="4" t="s">
        <v>20968</v>
      </c>
      <c r="B9071" s="4" t="s">
        <v>20916</v>
      </c>
      <c r="C9071" s="4" t="str">
        <f ca="1">IFERROR(__xludf.DUMMYFUNCTION("GOOGLETRANSLATE(D:D,""auto"",""en"")"),"Honey twist")</f>
        <v>Honey twist</v>
      </c>
      <c r="D9071" s="5" t="s">
        <v>20969</v>
      </c>
      <c r="E9071" s="4">
        <v>249628</v>
      </c>
    </row>
    <row r="9072" spans="1:6" ht="13.5" customHeight="1">
      <c r="A9072" s="4" t="s">
        <v>20970</v>
      </c>
      <c r="B9072" s="4" t="s">
        <v>20971</v>
      </c>
      <c r="C9072" s="4" t="str">
        <f ca="1">IFERROR(__xludf.DUMMYFUNCTION("GOOGLETRANSLATE(D:D,""auto"",""en"")"),"US new crown nearly 140,000 cases of viral infection")</f>
        <v>US new crown nearly 140,000 cases of viral infection</v>
      </c>
      <c r="D9072" s="5" t="s">
        <v>20972</v>
      </c>
      <c r="E9072" s="4">
        <v>249515</v>
      </c>
      <c r="F9072">
        <v>1</v>
      </c>
    </row>
    <row r="9073" spans="1:6" ht="13.5" hidden="1" customHeight="1">
      <c r="A9073" s="4" t="s">
        <v>20973</v>
      </c>
      <c r="B9073" s="4" t="s">
        <v>20974</v>
      </c>
      <c r="C9073" s="4" t="str">
        <f ca="1">IFERROR(__xludf.DUMMYFUNCTION("GOOGLETRANSLATE(D:D,""auto"",""en"")"),"Butterfly musician playing on a balcony Italy")</f>
        <v>Butterfly musician playing on a balcony Italy</v>
      </c>
      <c r="D9073" s="5" t="s">
        <v>20975</v>
      </c>
      <c r="E9073" s="4">
        <v>234336</v>
      </c>
    </row>
    <row r="9074" spans="1:6" ht="13.5" hidden="1" customHeight="1">
      <c r="A9074" s="4" t="s">
        <v>20907</v>
      </c>
      <c r="B9074" s="4" t="s">
        <v>20976</v>
      </c>
      <c r="C9074" s="4" t="str">
        <f ca="1">IFERROR(__xludf.DUMMYFUNCTION("GOOGLETRANSLATE(D:D,""auto"",""en"")"),"Sichuan Muli sacrifice the first anniversary of the fire warrior")</f>
        <v>Sichuan Muli sacrifice the first anniversary of the fire warrior</v>
      </c>
      <c r="D9074" s="5" t="s">
        <v>20977</v>
      </c>
      <c r="E9074" s="4">
        <v>233998</v>
      </c>
    </row>
    <row r="9075" spans="1:6" ht="13.5" hidden="1" customHeight="1">
      <c r="A9075" s="4" t="s">
        <v>20978</v>
      </c>
      <c r="B9075" s="4" t="s">
        <v>20948</v>
      </c>
      <c r="C9075" s="4" t="str">
        <f ca="1">IFERROR(__xludf.DUMMYFUNCTION("GOOGLETRANSLATE(D:D,""auto"",""en"")"),"Composer Penderecki's death")</f>
        <v>Composer Penderecki's death</v>
      </c>
      <c r="D9075" s="5" t="s">
        <v>20979</v>
      </c>
      <c r="E9075" s="4">
        <v>233775</v>
      </c>
    </row>
    <row r="9076" spans="1:6" ht="13.5" hidden="1" customHeight="1">
      <c r="A9076" s="4" t="s">
        <v>20980</v>
      </c>
      <c r="B9076" s="4" t="s">
        <v>20796</v>
      </c>
      <c r="C9076" s="4" t="str">
        <f ca="1">IFERROR(__xludf.DUMMYFUNCTION("GOOGLETRANSLATE(D:D,""auto"",""en"")"),"The first two months exports fell 15.9%")</f>
        <v>The first two months exports fell 15.9%</v>
      </c>
      <c r="D9076" s="5" t="s">
        <v>20981</v>
      </c>
      <c r="E9076" s="4">
        <v>231874</v>
      </c>
    </row>
    <row r="9077" spans="1:6" ht="13.5" customHeight="1">
      <c r="A9077" s="4" t="s">
        <v>20980</v>
      </c>
      <c r="B9077" s="4" t="s">
        <v>20910</v>
      </c>
      <c r="C9077" s="4" t="str">
        <f ca="1">IFERROR(__xludf.DUMMYFUNCTION("GOOGLETRANSLATE(D:D,""auto"",""en"")"),"Hubei recruiting civil servants planned to increase by 20%")</f>
        <v>Hubei recruiting civil servants planned to increase by 20%</v>
      </c>
      <c r="D9077" s="5" t="s">
        <v>20982</v>
      </c>
      <c r="E9077" s="4">
        <v>215180</v>
      </c>
      <c r="F9077">
        <v>1</v>
      </c>
    </row>
    <row r="9078" spans="1:6" ht="13.5" customHeight="1">
      <c r="A9078" s="4" t="s">
        <v>20983</v>
      </c>
      <c r="B9078" s="4" t="s">
        <v>20946</v>
      </c>
      <c r="C9078" s="4" t="str">
        <f ca="1">IFERROR(__xludf.DUMMYFUNCTION("GOOGLETRANSLATE(D:D,""auto"",""en"")"),"Wuhan medical waste has been achieved Nissan Nissin")</f>
        <v>Wuhan medical waste has been achieved Nissan Nissin</v>
      </c>
      <c r="D9078" s="5" t="s">
        <v>20984</v>
      </c>
      <c r="E9078" s="4">
        <v>208472</v>
      </c>
      <c r="F9078">
        <v>1</v>
      </c>
    </row>
    <row r="9079" spans="1:6" ht="13.5" hidden="1" customHeight="1">
      <c r="A9079" s="4" t="s">
        <v>20799</v>
      </c>
      <c r="B9079" s="4" t="s">
        <v>20800</v>
      </c>
      <c r="C9079" s="4" t="str">
        <f ca="1">IFERROR(__xludf.DUMMYFUNCTION("GOOGLETRANSLATE(D:D,""auto"",""en"")"),"License Xin")</f>
        <v>License Xin</v>
      </c>
      <c r="D9079" s="5" t="s">
        <v>20801</v>
      </c>
      <c r="E9079" s="4">
        <v>206990</v>
      </c>
    </row>
    <row r="9080" spans="1:6" ht="13.5" hidden="1" customHeight="1">
      <c r="C9080" s="4" t="str">
        <f ca="1">IFERROR(__xludf.DUMMYFUNCTION("GOOGLETRANSLATE(D:D,""auto"",""en"")"),"#VALUE!")</f>
        <v>#VALUE!</v>
      </c>
    </row>
    <row r="9081" spans="1:6" ht="13.5" customHeight="1">
      <c r="A9081" s="4" t="s">
        <v>20985</v>
      </c>
      <c r="B9081" s="4" t="s">
        <v>20986</v>
      </c>
      <c r="C9081" s="4" t="str">
        <f ca="1">IFERROR(__xludf.DUMMYFUNCTION("GOOGLETRANSLATE(D:D,""auto"",""en"")"),"Trump said that the death toll dropped to 100,000 doing pretty well")</f>
        <v>Trump said that the death toll dropped to 100,000 doing pretty well</v>
      </c>
      <c r="D9081" s="4" t="s">
        <v>20987</v>
      </c>
      <c r="E9081" s="4">
        <v>1981394</v>
      </c>
      <c r="F9081">
        <v>1</v>
      </c>
    </row>
    <row r="9082" spans="1:6" ht="13.5" customHeight="1">
      <c r="A9082" s="4" t="s">
        <v>20988</v>
      </c>
      <c r="B9082" s="4" t="s">
        <v>20989</v>
      </c>
      <c r="C9082" s="4" t="str">
        <f ca="1">IFERROR(__xludf.DUMMYFUNCTION("GOOGLETRANSLATE(D:D,""auto"",""en"")"),"Italian mayor to talk about the real death toll")</f>
        <v>Italian mayor to talk about the real death toll</v>
      </c>
      <c r="D9082" s="5" t="s">
        <v>20990</v>
      </c>
      <c r="E9082" s="4">
        <v>1488267</v>
      </c>
      <c r="F9082">
        <v>1</v>
      </c>
    </row>
    <row r="9083" spans="1:6" ht="13.5" customHeight="1">
      <c r="A9083" s="4" t="s">
        <v>20991</v>
      </c>
      <c r="B9083" s="4" t="s">
        <v>20992</v>
      </c>
      <c r="C9083" s="4" t="str">
        <f ca="1">IFERROR(__xludf.DUMMYFUNCTION("GOOGLETRANSLATE(D:D,""auto"",""en"")"),"Li Lanjuan remind importance of asymptomatic infection")</f>
        <v>Li Lanjuan remind importance of asymptomatic infection</v>
      </c>
      <c r="D9083" s="5" t="s">
        <v>20993</v>
      </c>
      <c r="E9083" s="4">
        <v>1265040</v>
      </c>
      <c r="F9083">
        <v>1</v>
      </c>
    </row>
    <row r="9084" spans="1:6" ht="13.5" hidden="1" customHeight="1">
      <c r="A9084" s="4" t="s">
        <v>20994</v>
      </c>
      <c r="B9084" s="4" t="s">
        <v>20995</v>
      </c>
      <c r="C9084" s="4" t="str">
        <f ca="1">IFERROR(__xludf.DUMMYFUNCTION("GOOGLETRANSLATE(D:D,""auto"",""en"")"),"William Chan Liu Wen")</f>
        <v>William Chan Liu Wen</v>
      </c>
      <c r="D9084" s="5" t="s">
        <v>20996</v>
      </c>
      <c r="E9084" s="4">
        <v>1259794</v>
      </c>
    </row>
    <row r="9085" spans="1:6" ht="13.5" customHeight="1">
      <c r="A9085" s="4" t="s">
        <v>20997</v>
      </c>
      <c r="B9085" s="4" t="s">
        <v>20998</v>
      </c>
      <c r="C9085" s="4" t="str">
        <f ca="1">IFERROR(__xludf.DUMMYFUNCTION("GOOGLETRANSLATE(D:D,""auto"",""en"")"),"It does not allow the pursuit of zero cases reported and concealed omission")</f>
        <v>It does not allow the pursuit of zero cases reported and concealed omission</v>
      </c>
      <c r="D9085" s="5" t="s">
        <v>20999</v>
      </c>
      <c r="E9085" s="4">
        <v>987080</v>
      </c>
      <c r="F9085">
        <v>1</v>
      </c>
    </row>
    <row r="9086" spans="1:6" ht="13.5" hidden="1" customHeight="1">
      <c r="A9086" s="4" t="s">
        <v>13737</v>
      </c>
      <c r="B9086" s="4" t="s">
        <v>20992</v>
      </c>
      <c r="C9086" s="4" t="str">
        <f ca="1">IFERROR(__xludf.DUMMYFUNCTION("GOOGLETRANSLATE(D:D,""auto"",""en"")"),"Dutch Van Gogh paintings stolen from a museum")</f>
        <v>Dutch Van Gogh paintings stolen from a museum</v>
      </c>
      <c r="D9086" s="5" t="s">
        <v>21000</v>
      </c>
      <c r="E9086" s="4">
        <v>924184</v>
      </c>
    </row>
    <row r="9087" spans="1:6" ht="13.5" customHeight="1">
      <c r="A9087" s="4" t="s">
        <v>21001</v>
      </c>
      <c r="B9087" s="4" t="s">
        <v>20989</v>
      </c>
      <c r="C9087" s="4" t="str">
        <f ca="1">IFERROR(__xludf.DUMMYFUNCTION("GOOGLETRANSLATE(D:D,""auto"",""en"")"),"Xiamen Airlines to cancel all cross-strait flights")</f>
        <v>Xiamen Airlines to cancel all cross-strait flights</v>
      </c>
      <c r="D9087" s="5" t="s">
        <v>21002</v>
      </c>
      <c r="E9087" s="4">
        <v>905848</v>
      </c>
      <c r="F9087">
        <v>1</v>
      </c>
    </row>
    <row r="9088" spans="1:6" ht="13.5" customHeight="1">
      <c r="A9088" s="4" t="s">
        <v>21003</v>
      </c>
      <c r="B9088" s="4" t="s">
        <v>21004</v>
      </c>
      <c r="C9088" s="4" t="str">
        <f ca="1">IFERROR(__xludf.DUMMYFUNCTION("GOOGLETRANSLATE(D:D,""auto"",""en"")"),"Prince Charles ending self-isolation")</f>
        <v>Prince Charles ending self-isolation</v>
      </c>
      <c r="D9088" s="5" t="s">
        <v>21005</v>
      </c>
      <c r="E9088" s="4">
        <v>702006</v>
      </c>
      <c r="F9088">
        <v>1</v>
      </c>
    </row>
    <row r="9089" spans="1:6" ht="13.5" customHeight="1">
      <c r="A9089" s="4" t="s">
        <v>21006</v>
      </c>
      <c r="B9089" s="4" t="s">
        <v>21007</v>
      </c>
      <c r="C9089" s="4" t="str">
        <f ca="1">IFERROR(__xludf.DUMMYFUNCTION("GOOGLETRANSLATE(D:D,""auto"",""en"")"),"Trump serious differences with the state government and epidemic prevention")</f>
        <v>Trump serious differences with the state government and epidemic prevention</v>
      </c>
      <c r="D9089" s="5" t="s">
        <v>21008</v>
      </c>
      <c r="E9089" s="4">
        <v>688999</v>
      </c>
      <c r="F9089">
        <v>1</v>
      </c>
    </row>
    <row r="9090" spans="1:6" ht="13.5" hidden="1" customHeight="1">
      <c r="A9090" s="4" t="s">
        <v>21009</v>
      </c>
      <c r="B9090" s="4" t="s">
        <v>21010</v>
      </c>
      <c r="C9090" s="4" t="str">
        <f ca="1">IFERROR(__xludf.DUMMYFUNCTION("GOOGLETRANSLATE(D:D,""auto"",""en"")"),"SHE is Hebe birthday")</f>
        <v>SHE is Hebe birthday</v>
      </c>
      <c r="D9090" s="5" t="s">
        <v>21011</v>
      </c>
      <c r="E9090" s="4">
        <v>685290</v>
      </c>
    </row>
    <row r="9091" spans="1:6" ht="13.5" hidden="1" customHeight="1">
      <c r="A9091" s="4" t="s">
        <v>21012</v>
      </c>
      <c r="B9091" s="4" t="s">
        <v>21013</v>
      </c>
      <c r="C9091" s="4" t="str">
        <f ca="1">IFERROR(__xludf.DUMMYFUNCTION("GOOGLETRANSLATE(D:D,""auto"",""en"")"),"Li confession of ice success")</f>
        <v>Li confession of ice success</v>
      </c>
      <c r="D9091" s="5" t="s">
        <v>21014</v>
      </c>
      <c r="E9091" s="4">
        <v>622124</v>
      </c>
    </row>
    <row r="9092" spans="1:6" ht="13.5" hidden="1" customHeight="1">
      <c r="A9092" s="4" t="s">
        <v>21015</v>
      </c>
      <c r="B9092" s="4" t="s">
        <v>21016</v>
      </c>
      <c r="C9092" s="4" t="str">
        <f ca="1">IFERROR(__xludf.DUMMYFUNCTION("GOOGLETRANSLATE(D:D,""auto"",""en"")"),"South Korea 40 million people petition the judge to replace the number N Room")</f>
        <v>South Korea 40 million people petition the judge to replace the number N Room</v>
      </c>
      <c r="D9092" s="5" t="s">
        <v>21017</v>
      </c>
      <c r="E9092" s="4">
        <v>559935</v>
      </c>
    </row>
    <row r="9093" spans="1:6" ht="13.5" customHeight="1">
      <c r="A9093" s="4" t="s">
        <v>21018</v>
      </c>
      <c r="B9093" s="4" t="s">
        <v>21019</v>
      </c>
      <c r="C9093" s="4" t="str">
        <f ca="1">IFERROR(__xludf.DUMMYFUNCTION("GOOGLETRANSLATE(D:D,""auto"",""en"")"),"The United Nations says food crisis could trigger outbreaks")</f>
        <v>The United Nations says food crisis could trigger outbreaks</v>
      </c>
      <c r="D9093" s="5" t="s">
        <v>21020</v>
      </c>
      <c r="E9093" s="4">
        <v>524061</v>
      </c>
      <c r="F9093">
        <v>1</v>
      </c>
    </row>
    <row r="9094" spans="1:6" ht="13.5" hidden="1" customHeight="1">
      <c r="A9094" s="4" t="s">
        <v>21021</v>
      </c>
      <c r="B9094" s="4" t="s">
        <v>9371</v>
      </c>
      <c r="C9094" s="4" t="str">
        <f ca="1">IFERROR(__xludf.DUMMYFUNCTION("GOOGLETRANSLATE(D:D,""auto"",""en"")"),"Fleshy grape homemade brittle ice hockey")</f>
        <v>Fleshy grape homemade brittle ice hockey</v>
      </c>
      <c r="D9094" s="5" t="s">
        <v>21022</v>
      </c>
      <c r="E9094" s="4">
        <v>513146</v>
      </c>
    </row>
    <row r="9095" spans="1:6" ht="13.5" hidden="1" customHeight="1">
      <c r="A9095" s="4" t="s">
        <v>21023</v>
      </c>
      <c r="B9095" s="4" t="s">
        <v>21024</v>
      </c>
      <c r="C9095" s="4" t="str">
        <f ca="1">IFERROR(__xludf.DUMMYFUNCTION("GOOGLETRANSLATE(D:D,""auto"",""en"")"),"Xichang fire")</f>
        <v>Xichang fire</v>
      </c>
      <c r="D9095" s="5" t="s">
        <v>21025</v>
      </c>
      <c r="E9095" s="4">
        <v>513126</v>
      </c>
    </row>
    <row r="9096" spans="1:6" ht="13.5" hidden="1" customHeight="1">
      <c r="A9096" s="4" t="s">
        <v>21026</v>
      </c>
      <c r="B9096" s="4" t="s">
        <v>21027</v>
      </c>
      <c r="C9096" s="4" t="str">
        <f ca="1">IFERROR(__xludf.DUMMYFUNCTION("GOOGLETRANSLATE(D:D,""auto"",""en"")"),"Zhang Xin Yi Lou Yi Xiao Jin Chen Jing Ait")</f>
        <v>Zhang Xin Yi Lou Yi Xiao Jin Chen Jing Ait</v>
      </c>
      <c r="D9096" s="5" t="s">
        <v>21028</v>
      </c>
      <c r="E9096" s="4">
        <v>510931</v>
      </c>
    </row>
    <row r="9097" spans="1:6" ht="13.5" hidden="1" customHeight="1">
      <c r="A9097" s="4" t="s">
        <v>21029</v>
      </c>
      <c r="B9097" s="4" t="s">
        <v>21030</v>
      </c>
      <c r="C9097" s="4" t="str">
        <f ca="1">IFERROR(__xludf.DUMMYFUNCTION("GOOGLETRANSLATE(D:D,""auto"",""en"")"),"Boys usually before going to bed thinking about what")</f>
        <v>Boys usually before going to bed thinking about what</v>
      </c>
      <c r="D9097" s="5" t="s">
        <v>21031</v>
      </c>
      <c r="E9097" s="4">
        <v>510374</v>
      </c>
    </row>
    <row r="9098" spans="1:6" ht="13.5" hidden="1" customHeight="1">
      <c r="A9098" s="4" t="s">
        <v>21032</v>
      </c>
      <c r="B9098" s="4" t="s">
        <v>21033</v>
      </c>
      <c r="C9098" s="4" t="str">
        <f ca="1">IFERROR(__xludf.DUMMYFUNCTION("GOOGLETRANSLATE(D:D,""auto"",""en"")"),"Wei segment Hoshino")</f>
        <v>Wei segment Hoshino</v>
      </c>
      <c r="D9098" s="5" t="s">
        <v>21034</v>
      </c>
      <c r="E9098" s="4">
        <v>508489</v>
      </c>
    </row>
    <row r="9099" spans="1:6" ht="13.5" hidden="1" customHeight="1">
      <c r="A9099" s="4" t="s">
        <v>21035</v>
      </c>
      <c r="B9099" s="4" t="s">
        <v>21036</v>
      </c>
      <c r="C9099" s="4" t="str">
        <f ca="1">IFERROR(__xludf.DUMMYFUNCTION("GOOGLETRANSLATE(D:D,""auto"",""en"")"),"Li Jiaqi dancing should aid Jackson Wang")</f>
        <v>Li Jiaqi dancing should aid Jackson Wang</v>
      </c>
      <c r="D9099" s="5" t="s">
        <v>21037</v>
      </c>
      <c r="E9099" s="4">
        <v>508258</v>
      </c>
    </row>
    <row r="9100" spans="1:6" ht="13.5" customHeight="1">
      <c r="A9100" s="4" t="s">
        <v>21038</v>
      </c>
      <c r="B9100" s="4" t="s">
        <v>21039</v>
      </c>
      <c r="C9100" s="4" t="str">
        <f ca="1">IFERROR(__xludf.DUMMYFUNCTION("GOOGLETRANSLATE(D:D,""auto"",""en"")"),"Jiangsu third year in succession the third grade school back to school")</f>
        <v>Jiangsu third year in succession the third grade school back to school</v>
      </c>
      <c r="D9100" s="5" t="s">
        <v>21040</v>
      </c>
      <c r="E9100" s="4">
        <v>507324</v>
      </c>
      <c r="F9100">
        <v>1</v>
      </c>
    </row>
    <row r="9101" spans="1:6" ht="13.5" customHeight="1">
      <c r="A9101" s="4" t="s">
        <v>21041</v>
      </c>
      <c r="B9101" s="4" t="s">
        <v>21042</v>
      </c>
      <c r="C9101" s="4" t="str">
        <f ca="1">IFERROR(__xludf.DUMMYFUNCTION("GOOGLETRANSLATE(D:D,""auto"",""en"")"),"China's first only masks")</f>
        <v>China's first only masks</v>
      </c>
      <c r="D9101" s="5" t="s">
        <v>21043</v>
      </c>
      <c r="E9101" s="4">
        <v>502055</v>
      </c>
      <c r="F9101">
        <v>1</v>
      </c>
    </row>
    <row r="9102" spans="1:6" ht="13.5" customHeight="1">
      <c r="A9102" s="4" t="s">
        <v>21044</v>
      </c>
      <c r="B9102" s="4" t="s">
        <v>21045</v>
      </c>
      <c r="C9102" s="4" t="str">
        <f ca="1">IFERROR(__xludf.DUMMYFUNCTION("GOOGLETRANSLATE(D:D,""auto"",""en"")"),"Syrian armed by the United States to transport supplies epidemic")</f>
        <v>Syrian armed by the United States to transport supplies epidemic</v>
      </c>
      <c r="D9102" s="5" t="s">
        <v>21046</v>
      </c>
      <c r="E9102" s="4">
        <v>471584</v>
      </c>
      <c r="F9102">
        <v>1</v>
      </c>
    </row>
    <row r="9103" spans="1:6" ht="13.5" hidden="1" customHeight="1">
      <c r="A9103" s="4" t="s">
        <v>21047</v>
      </c>
      <c r="B9103" s="4" t="s">
        <v>21048</v>
      </c>
      <c r="C9103" s="4" t="str">
        <f ca="1">IFERROR(__xludf.DUMMYFUNCTION("GOOGLETRANSLATE(D:D,""auto"",""en"")"),"Kim Jong Kook challenge fate")</f>
        <v>Kim Jong Kook challenge fate</v>
      </c>
      <c r="D9103" s="5" t="s">
        <v>21049</v>
      </c>
      <c r="E9103" s="4">
        <v>467160</v>
      </c>
    </row>
    <row r="9104" spans="1:6" ht="13.5" customHeight="1">
      <c r="A9104" s="4" t="s">
        <v>21050</v>
      </c>
      <c r="B9104" s="4" t="s">
        <v>21051</v>
      </c>
      <c r="C9104" s="4" t="str">
        <f ca="1">IFERROR(__xludf.DUMMYFUNCTION("GOOGLETRANSLATE(D:D,""auto"",""en"")"),"2 new crown pneumonia ill beaten hospital CT technician")</f>
        <v>2 new crown pneumonia ill beaten hospital CT technician</v>
      </c>
      <c r="D9104" s="5" t="s">
        <v>21052</v>
      </c>
      <c r="E9104" s="4">
        <v>458329</v>
      </c>
      <c r="F9104">
        <v>1</v>
      </c>
    </row>
    <row r="9105" spans="1:6" ht="13.5" hidden="1" customHeight="1">
      <c r="A9105" s="4" t="s">
        <v>21053</v>
      </c>
      <c r="B9105" s="4" t="s">
        <v>21054</v>
      </c>
      <c r="C9105" s="4" t="str">
        <f ca="1">IFERROR(__xludf.DUMMYFUNCTION("GOOGLETRANSLATE(D:D,""auto"",""en"")"),"Indian markets are still drawing huge crowds")</f>
        <v>Indian markets are still drawing huge crowds</v>
      </c>
      <c r="D9105" s="5" t="s">
        <v>21055</v>
      </c>
      <c r="E9105" s="4">
        <v>457504</v>
      </c>
    </row>
    <row r="9106" spans="1:6" ht="13.5" hidden="1" customHeight="1">
      <c r="A9106" s="4" t="s">
        <v>21056</v>
      </c>
      <c r="B9106" s="4" t="s">
        <v>21057</v>
      </c>
      <c r="C9106" s="4" t="str">
        <f ca="1">IFERROR(__xludf.DUMMYFUNCTION("GOOGLETRANSLATE(D:D,""auto"",""en"")"),"The most significant hand black nail color")</f>
        <v>The most significant hand black nail color</v>
      </c>
      <c r="D9106" s="5" t="s">
        <v>21058</v>
      </c>
      <c r="E9106" s="4">
        <v>427634</v>
      </c>
    </row>
    <row r="9107" spans="1:6" ht="13.5" customHeight="1">
      <c r="A9107" s="4" t="s">
        <v>21059</v>
      </c>
      <c r="B9107" s="4" t="s">
        <v>21060</v>
      </c>
      <c r="C9107" s="4" t="str">
        <f ca="1">IFERROR(__xludf.DUMMYFUNCTION("GOOGLETRANSLATE(D:D,""auto"",""en"")"),"Suddenly I do not want the school")</f>
        <v>Suddenly I do not want the school</v>
      </c>
      <c r="D9107" s="5" t="s">
        <v>21061</v>
      </c>
      <c r="E9107" s="4">
        <v>381545</v>
      </c>
      <c r="F9107">
        <v>1</v>
      </c>
    </row>
    <row r="9108" spans="1:6" ht="13.5" customHeight="1">
      <c r="A9108" s="4" t="s">
        <v>21062</v>
      </c>
      <c r="B9108" s="4" t="s">
        <v>21063</v>
      </c>
      <c r="C9108" s="4" t="str">
        <f ca="1">IFERROR(__xludf.DUMMYFUNCTION("GOOGLETRANSLATE(D:D,""auto"",""en"")"),"British minister suggesting that the low number of detected because of China")</f>
        <v>British minister suggesting that the low number of detected because of China</v>
      </c>
      <c r="D9108" s="5" t="s">
        <v>21064</v>
      </c>
      <c r="E9108" s="4">
        <v>376455</v>
      </c>
      <c r="F9108">
        <v>1</v>
      </c>
    </row>
    <row r="9109" spans="1:6" ht="13.5" hidden="1" customHeight="1">
      <c r="A9109" s="4" t="s">
        <v>21065</v>
      </c>
      <c r="B9109" s="4" t="s">
        <v>21066</v>
      </c>
      <c r="C9109" s="4" t="str">
        <f ca="1">IFERROR(__xludf.DUMMYFUNCTION("GOOGLETRANSLATE(D:D,""auto"",""en"")"),"Hau Pei-tsun's death")</f>
        <v>Hau Pei-tsun's death</v>
      </c>
      <c r="D9109" s="5" t="s">
        <v>21067</v>
      </c>
      <c r="E9109" s="4">
        <v>356137</v>
      </c>
    </row>
    <row r="9110" spans="1:6" ht="13.5" customHeight="1">
      <c r="A9110" s="4" t="s">
        <v>21068</v>
      </c>
      <c r="B9110" s="4" t="s">
        <v>21069</v>
      </c>
      <c r="C9110" s="4" t="str">
        <f ca="1">IFERROR(__xludf.DUMMYFUNCTION("GOOGLETRANSLATE(D:D,""auto"",""en"")"),"8 Taiwan compatriots stranded Wuhan volunteer")</f>
        <v>8 Taiwan compatriots stranded Wuhan volunteer</v>
      </c>
      <c r="D9110" s="5" t="s">
        <v>21070</v>
      </c>
      <c r="E9110" s="4">
        <v>339541</v>
      </c>
      <c r="F9110">
        <v>1</v>
      </c>
    </row>
    <row r="9111" spans="1:6" ht="13.5" hidden="1" customHeight="1">
      <c r="A9111" s="4" t="s">
        <v>14434</v>
      </c>
      <c r="B9111" s="4" t="s">
        <v>14435</v>
      </c>
      <c r="C9111" s="4" t="str">
        <f ca="1">IFERROR(__xludf.DUMMYFUNCTION("GOOGLETRANSLATE(D:D,""auto"",""en"")"),"US stocks")</f>
        <v>US stocks</v>
      </c>
      <c r="D9111" s="5" t="s">
        <v>14436</v>
      </c>
      <c r="E9111" s="4">
        <v>328777</v>
      </c>
    </row>
    <row r="9112" spans="1:6" ht="13.5" customHeight="1">
      <c r="A9112" s="4" t="s">
        <v>21053</v>
      </c>
      <c r="B9112" s="4" t="s">
        <v>21045</v>
      </c>
      <c r="C9112" s="4" t="str">
        <f ca="1">IFERROR(__xludf.DUMMYFUNCTION("GOOGLETRANSLATE(D:D,""auto"",""en"")"),"New York's Central Park to build a field hospital")</f>
        <v>New York's Central Park to build a field hospital</v>
      </c>
      <c r="D9112" s="5" t="s">
        <v>21071</v>
      </c>
      <c r="E9112" s="4">
        <v>327052</v>
      </c>
      <c r="F9112">
        <v>1</v>
      </c>
    </row>
    <row r="9113" spans="1:6" ht="13.5" customHeight="1">
      <c r="A9113" s="4" t="s">
        <v>21072</v>
      </c>
      <c r="B9113" s="4" t="s">
        <v>21048</v>
      </c>
      <c r="C9113" s="4" t="str">
        <f ca="1">IFERROR(__xludf.DUMMYFUNCTION("GOOGLETRANSLATE(D:D,""auto"",""en"")"),"Guangxi Nanning aid E nurse Liang Xiaoxia back treatment")</f>
        <v>Guangxi Nanning aid E nurse Liang Xiaoxia back treatment</v>
      </c>
      <c r="D9113" s="5" t="s">
        <v>21073</v>
      </c>
      <c r="E9113" s="4">
        <v>287820</v>
      </c>
      <c r="F9113">
        <v>1</v>
      </c>
    </row>
    <row r="9114" spans="1:6" ht="13.5" customHeight="1">
      <c r="A9114" s="4" t="s">
        <v>21074</v>
      </c>
      <c r="B9114" s="4" t="s">
        <v>21075</v>
      </c>
      <c r="C9114" s="4" t="str">
        <f ca="1">IFERROR(__xludf.DUMMYFUNCTION("GOOGLETRANSLATE(D:D,""auto"",""en"")"),"Trump describes the horrors of New York Hospital")</f>
        <v>Trump describes the horrors of New York Hospital</v>
      </c>
      <c r="D9114" s="5" t="s">
        <v>21076</v>
      </c>
      <c r="E9114" s="4">
        <v>284263</v>
      </c>
      <c r="F9114">
        <v>1</v>
      </c>
    </row>
    <row r="9115" spans="1:6" ht="13.5" hidden="1" customHeight="1">
      <c r="A9115" s="4" t="s">
        <v>21077</v>
      </c>
      <c r="B9115" s="4" t="s">
        <v>21036</v>
      </c>
      <c r="C9115" s="4" t="str">
        <f ca="1">IFERROR(__xludf.DUMMYFUNCTION("GOOGLETRANSLATE(D:D,""auto"",""en"")"),"Tokyo Olympic Games schedule determined")</f>
        <v>Tokyo Olympic Games schedule determined</v>
      </c>
      <c r="D9115" s="5" t="s">
        <v>21078</v>
      </c>
      <c r="E9115" s="4">
        <v>280708</v>
      </c>
    </row>
    <row r="9116" spans="1:6" ht="13.5" hidden="1" customHeight="1">
      <c r="A9116" s="4" t="s">
        <v>21079</v>
      </c>
      <c r="B9116" s="4" t="s">
        <v>21080</v>
      </c>
      <c r="C9116" s="4" t="str">
        <f ca="1">IFERROR(__xludf.DUMMYFUNCTION("GOOGLETRANSLATE(D:D,""auto"",""en"")"),"Hua Chunying cynical and sarcastic by asking questions")</f>
        <v>Hua Chunying cynical and sarcastic by asking questions</v>
      </c>
      <c r="D9116" s="5" t="s">
        <v>21081</v>
      </c>
      <c r="E9116" s="4">
        <v>263014</v>
      </c>
    </row>
    <row r="9117" spans="1:6" ht="13.5" customHeight="1">
      <c r="A9117" s="4" t="s">
        <v>21082</v>
      </c>
      <c r="B9117" s="4" t="s">
        <v>21083</v>
      </c>
      <c r="C9117" s="4" t="str">
        <f ca="1">IFERROR(__xludf.DUMMYFUNCTION("GOOGLETRANSLATE(D:D,""auto"",""en"")"),"Iran's defense industry has produced 60,000 protective clothing")</f>
        <v>Iran's defense industry has produced 60,000 protective clothing</v>
      </c>
      <c r="D9117" s="5" t="s">
        <v>21084</v>
      </c>
      <c r="E9117" s="4">
        <v>259575</v>
      </c>
      <c r="F9117">
        <v>1</v>
      </c>
    </row>
    <row r="9118" spans="1:6" ht="13.5" customHeight="1">
      <c r="A9118" s="4" t="s">
        <v>21085</v>
      </c>
      <c r="B9118" s="4" t="s">
        <v>21086</v>
      </c>
      <c r="C9118" s="4" t="str">
        <f ca="1">IFERROR(__xludf.DUMMYFUNCTION("GOOGLETRANSLATE(D:D,""auto"",""en"")"),"New patient oldest British crown pneumonia died")</f>
        <v>New patient oldest British crown pneumonia died</v>
      </c>
      <c r="D9118" s="5" t="s">
        <v>21087</v>
      </c>
      <c r="E9118" s="4">
        <v>259092</v>
      </c>
      <c r="F9118">
        <v>1</v>
      </c>
    </row>
    <row r="9119" spans="1:6" ht="13.5" hidden="1" customHeight="1">
      <c r="A9119" s="4" t="s">
        <v>21088</v>
      </c>
      <c r="B9119" s="4" t="s">
        <v>21089</v>
      </c>
      <c r="C9119" s="4" t="str">
        <f ca="1">IFERROR(__xludf.DUMMYFUNCTION("GOOGLETRANSLATE(D:D,""auto"",""en"")"),"I have not seen a teacher guitar lessons")</f>
        <v>I have not seen a teacher guitar lessons</v>
      </c>
      <c r="D9119" s="5" t="s">
        <v>21090</v>
      </c>
      <c r="E9119" s="4">
        <v>256188</v>
      </c>
    </row>
    <row r="9120" spans="1:6" ht="13.5" customHeight="1">
      <c r="A9120" s="4" t="s">
        <v>21091</v>
      </c>
      <c r="B9120" s="4" t="s">
        <v>21039</v>
      </c>
      <c r="C9120" s="4" t="str">
        <f ca="1">IFERROR(__xludf.DUMMYFUNCTION("GOOGLETRANSLATE(D:D,""auto"",""en"")"),"New York ICU nurses day")</f>
        <v>New York ICU nurses day</v>
      </c>
      <c r="D9120" s="5" t="s">
        <v>21092</v>
      </c>
      <c r="E9120" s="4">
        <v>255530</v>
      </c>
      <c r="F9120">
        <v>1</v>
      </c>
    </row>
    <row r="9121" spans="1:6" ht="13.5" customHeight="1">
      <c r="A9121" s="4" t="s">
        <v>21093</v>
      </c>
      <c r="B9121" s="4" t="s">
        <v>21094</v>
      </c>
      <c r="C9121" s="4" t="str">
        <f ca="1">IFERROR(__xludf.DUMMYFUNCTION("GOOGLETRANSLATE(D:D,""auto"",""en"")"),"Italy has over 8,000 health care workers infected")</f>
        <v>Italy has over 8,000 health care workers infected</v>
      </c>
      <c r="D9121" s="5" t="s">
        <v>21095</v>
      </c>
      <c r="E9121" s="4">
        <v>226852</v>
      </c>
      <c r="F9121">
        <v>1</v>
      </c>
    </row>
    <row r="9122" spans="1:6" ht="13.5" customHeight="1">
      <c r="A9122" s="4" t="s">
        <v>21096</v>
      </c>
      <c r="B9122" s="4" t="s">
        <v>21097</v>
      </c>
      <c r="C9122" s="4" t="str">
        <f ca="1">IFERROR(__xludf.DUMMYFUNCTION("GOOGLETRANSLATE(D:D,""auto"",""en"")"),"Qingdao, a student refused entry isolation jumping through the window to escape")</f>
        <v>Qingdao, a student refused entry isolation jumping through the window to escape</v>
      </c>
      <c r="D9122" s="5" t="s">
        <v>21098</v>
      </c>
      <c r="E9122" s="4">
        <v>210290</v>
      </c>
      <c r="F9122">
        <v>1</v>
      </c>
    </row>
    <row r="9123" spans="1:6" ht="13.5" hidden="1" customHeight="1">
      <c r="A9123" s="4" t="s">
        <v>21099</v>
      </c>
      <c r="B9123" s="4" t="s">
        <v>21100</v>
      </c>
      <c r="C9123" s="4" t="str">
        <f ca="1">IFERROR(__xludf.DUMMYFUNCTION("GOOGLETRANSLATE(D:D,""auto"",""en"")"),"Wang Yibo single three")</f>
        <v>Wang Yibo single three</v>
      </c>
      <c r="D9123" s="5" t="s">
        <v>21101</v>
      </c>
      <c r="E9123" s="4">
        <v>193670</v>
      </c>
    </row>
    <row r="9124" spans="1:6" ht="13.5" hidden="1" customHeight="1">
      <c r="A9124" s="4" t="s">
        <v>21009</v>
      </c>
      <c r="B9124" s="4" t="s">
        <v>21102</v>
      </c>
      <c r="C9124" s="4" t="str">
        <f ca="1">IFERROR(__xludf.DUMMYFUNCTION("GOOGLETRANSLATE(D:D,""auto"",""en"")"),"500 armed police practice Qi snow assassination")</f>
        <v>500 armed police practice Qi snow assassination</v>
      </c>
      <c r="D9124" s="5" t="s">
        <v>21103</v>
      </c>
      <c r="E9124" s="4">
        <v>189446</v>
      </c>
    </row>
    <row r="9125" spans="1:6" ht="13.5" customHeight="1">
      <c r="A9125" s="4" t="s">
        <v>21104</v>
      </c>
      <c r="B9125" s="4" t="s">
        <v>21102</v>
      </c>
      <c r="C9125" s="4" t="str">
        <f ca="1">IFERROR(__xludf.DUMMYFUNCTION("GOOGLETRANSLATE(D:D,""auto"",""en"")"),"Zhengzhou concentrate from the port of entry quarantine personnel expense")</f>
        <v>Zhengzhou concentrate from the port of entry quarantine personnel expense</v>
      </c>
      <c r="D9125" s="5" t="s">
        <v>21105</v>
      </c>
      <c r="E9125" s="4">
        <v>169448</v>
      </c>
      <c r="F9125">
        <v>1</v>
      </c>
    </row>
    <row r="9126" spans="1:6" ht="13.5" customHeight="1">
      <c r="A9126" s="4" t="s">
        <v>21104</v>
      </c>
      <c r="B9126" s="4" t="s">
        <v>21106</v>
      </c>
      <c r="C9126" s="4" t="str">
        <f ca="1">IFERROR(__xludf.DUMMYFUNCTION("GOOGLETRANSLATE(D:D,""auto"",""en"")"),"Requirements of the central prominence to the asymptomatic infection prevention and control")</f>
        <v>Requirements of the central prominence to the asymptomatic infection prevention and control</v>
      </c>
      <c r="D9126" s="5" t="s">
        <v>21107</v>
      </c>
      <c r="E9126" s="4">
        <v>165664</v>
      </c>
      <c r="F9126">
        <v>1</v>
      </c>
    </row>
    <row r="9127" spans="1:6" ht="13.5" customHeight="1">
      <c r="A9127" s="4" t="s">
        <v>21108</v>
      </c>
      <c r="B9127" s="4" t="s">
        <v>21109</v>
      </c>
      <c r="C9127" s="4" t="str">
        <f ca="1">IFERROR(__xludf.DUMMYFUNCTION("GOOGLETRANSLATE(D:D,""auto"",""en"")"),"American disinfection reuse masks big expansion")</f>
        <v>American disinfection reuse masks big expansion</v>
      </c>
      <c r="D9127" s="5" t="s">
        <v>21110</v>
      </c>
      <c r="E9127" s="4">
        <v>162364</v>
      </c>
      <c r="F9127">
        <v>1</v>
      </c>
    </row>
    <row r="9128" spans="1:6" ht="13.5" customHeight="1">
      <c r="A9128" s="4" t="s">
        <v>21096</v>
      </c>
      <c r="B9128" s="4" t="s">
        <v>21111</v>
      </c>
      <c r="C9128" s="4" t="str">
        <f ca="1">IFERROR(__xludf.DUMMYFUNCTION("GOOGLETRANSLATE(D:D,""auto"",""en"")"),"US new crown over 2500 cases of pneumonia deaths")</f>
        <v>US new crown over 2500 cases of pneumonia deaths</v>
      </c>
      <c r="D9128" s="5" t="s">
        <v>21112</v>
      </c>
      <c r="E9128" s="4">
        <v>161560</v>
      </c>
      <c r="F9128">
        <v>1</v>
      </c>
    </row>
    <row r="9129" spans="1:6" ht="13.5" hidden="1" customHeight="1">
      <c r="A9129" s="4" t="s">
        <v>13737</v>
      </c>
      <c r="B9129" s="4" t="s">
        <v>13738</v>
      </c>
      <c r="C9129" s="4" t="str">
        <f ca="1">IFERROR(__xludf.DUMMYFUNCTION("GOOGLETRANSLATE(D:D,""auto"",""en"")"),"Dow Jones")</f>
        <v>Dow Jones</v>
      </c>
      <c r="D9129" s="5" t="s">
        <v>13739</v>
      </c>
      <c r="E9129" s="4">
        <v>148019</v>
      </c>
    </row>
    <row r="9130" spans="1:6" ht="13.5" hidden="1" customHeight="1">
      <c r="A9130" s="4" t="s">
        <v>21077</v>
      </c>
      <c r="B9130" s="4" t="s">
        <v>21113</v>
      </c>
      <c r="C9130" s="4" t="str">
        <f ca="1">IFERROR(__xludf.DUMMYFUNCTION("GOOGLETRANSLATE(D:D,""auto"",""en"")"),"How love beans cappella Su")</f>
        <v>How love beans cappella Su</v>
      </c>
      <c r="D9130" s="5" t="s">
        <v>21114</v>
      </c>
      <c r="E9130" s="4">
        <v>77251</v>
      </c>
    </row>
    <row r="9131" spans="1:6" ht="13.5" hidden="1" customHeight="1">
      <c r="C9131" s="4" t="str">
        <f ca="1">IFERROR(__xludf.DUMMYFUNCTION("GOOGLETRANSLATE(D:D,""auto"",""en"")"),"#VALUE!")</f>
        <v>#VALUE!</v>
      </c>
    </row>
    <row r="9132" spans="1:6" ht="13.5" hidden="1" customHeight="1">
      <c r="A9132" s="4" t="s">
        <v>21115</v>
      </c>
      <c r="B9132" s="4" t="s">
        <v>21116</v>
      </c>
      <c r="C9132" s="4" t="str">
        <f ca="1">IFERROR(__xludf.DUMMYFUNCTION("GOOGLETRANSLATE(D:D,""auto"",""en"")"),"College entrance examination to confirm one-month extension")</f>
        <v>College entrance examination to confirm one-month extension</v>
      </c>
      <c r="D9132" s="4" t="s">
        <v>21117</v>
      </c>
      <c r="E9132" s="4">
        <v>10805143</v>
      </c>
    </row>
    <row r="9133" spans="1:6" ht="13.5" hidden="1" customHeight="1">
      <c r="A9133" s="4" t="s">
        <v>21118</v>
      </c>
      <c r="B9133" s="4" t="s">
        <v>21119</v>
      </c>
      <c r="C9133" s="4" t="str">
        <f ca="1">IFERROR(__xludf.DUMMYFUNCTION("GOOGLETRANSLATE(D:D,""auto"",""en"")"),"Liu Wen Fang denied the affair with William Chan")</f>
        <v>Liu Wen Fang denied the affair with William Chan</v>
      </c>
      <c r="D9133" s="5" t="s">
        <v>21120</v>
      </c>
      <c r="E9133" s="4">
        <v>2054900</v>
      </c>
    </row>
    <row r="9134" spans="1:6" ht="13.5" hidden="1" customHeight="1">
      <c r="A9134" s="4" t="s">
        <v>21121</v>
      </c>
      <c r="B9134" s="4" t="s">
        <v>21122</v>
      </c>
      <c r="C9134" s="4" t="str">
        <f ca="1">IFERROR(__xludf.DUMMYFUNCTION("GOOGLETRANSLATE(D:D,""auto"",""en"")"),"April new rules")</f>
        <v>April new rules</v>
      </c>
      <c r="D9134" s="5" t="s">
        <v>21123</v>
      </c>
      <c r="E9134" s="4">
        <v>1930956</v>
      </c>
    </row>
    <row r="9135" spans="1:6" ht="13.5" hidden="1" customHeight="1">
      <c r="A9135" s="4" t="s">
        <v>21124</v>
      </c>
      <c r="B9135" s="4" t="s">
        <v>21116</v>
      </c>
      <c r="C9135" s="4" t="str">
        <f ca="1">IFERROR(__xludf.DUMMYFUNCTION("GOOGLETRANSLATE(D:D,""auto"",""en"")"),"College entrance examination")</f>
        <v>College entrance examination</v>
      </c>
      <c r="D9135" s="5" t="s">
        <v>21125</v>
      </c>
      <c r="E9135" s="4">
        <v>1910411</v>
      </c>
    </row>
    <row r="9136" spans="1:6" ht="13.5" hidden="1" customHeight="1">
      <c r="A9136" s="4" t="s">
        <v>21126</v>
      </c>
      <c r="B9136" s="4" t="s">
        <v>21127</v>
      </c>
      <c r="C9136" s="4" t="str">
        <f ca="1">IFERROR(__xludf.DUMMYFUNCTION("GOOGLETRANSLATE(D:D,""auto"",""en"")"),"Those who repeat later how kind")</f>
        <v>Those who repeat later how kind</v>
      </c>
      <c r="D9136" s="5" t="s">
        <v>21128</v>
      </c>
      <c r="E9136" s="4">
        <v>1586415</v>
      </c>
    </row>
    <row r="9137" spans="1:6" ht="13.5" hidden="1" customHeight="1">
      <c r="A9137" s="4" t="s">
        <v>21129</v>
      </c>
      <c r="B9137" s="4" t="s">
        <v>21130</v>
      </c>
      <c r="C9137" s="4" t="str">
        <f ca="1">IFERROR(__xludf.DUMMYFUNCTION("GOOGLETRANSLATE(D:D,""auto"",""en"")"),"Xichang fires caused by the expense of 19 local fire fighting personnel")</f>
        <v>Xichang fires caused by the expense of 19 local fire fighting personnel</v>
      </c>
      <c r="D9137" s="5" t="s">
        <v>21131</v>
      </c>
      <c r="E9137" s="4">
        <v>1552675</v>
      </c>
    </row>
    <row r="9138" spans="1:6" ht="13.5" customHeight="1">
      <c r="A9138" s="4" t="s">
        <v>21132</v>
      </c>
      <c r="B9138" s="4" t="s">
        <v>21133</v>
      </c>
      <c r="C9138" s="4" t="str">
        <f ca="1">IFERROR(__xludf.DUMMYFUNCTION("GOOGLETRANSLATE(D:D,""auto"",""en"")"),"US troops have its first new crown pneumonia deaths")</f>
        <v>US troops have its first new crown pneumonia deaths</v>
      </c>
      <c r="D9138" s="5" t="s">
        <v>21134</v>
      </c>
      <c r="E9138" s="4">
        <v>1187927</v>
      </c>
      <c r="F9138">
        <v>1</v>
      </c>
    </row>
    <row r="9139" spans="1:6" ht="13.5" customHeight="1">
      <c r="A9139" s="4" t="s">
        <v>21135</v>
      </c>
      <c r="B9139" s="4" t="s">
        <v>21012</v>
      </c>
      <c r="C9139" s="4" t="str">
        <f ca="1">IFERROR(__xludf.DUMMYFUNCTION("GOOGLETRANSLATE(D:D,""auto"",""en"")"),"Students are returning to abandon a suspected diagnosis of infection")</f>
        <v>Students are returning to abandon a suspected diagnosis of infection</v>
      </c>
      <c r="D9139" s="5" t="s">
        <v>21136</v>
      </c>
      <c r="E9139" s="4">
        <v>1032584</v>
      </c>
      <c r="F9139">
        <v>1</v>
      </c>
    </row>
    <row r="9140" spans="1:6" ht="13.5" hidden="1" customHeight="1">
      <c r="A9140" s="4" t="s">
        <v>21137</v>
      </c>
      <c r="B9140" s="4" t="s">
        <v>21082</v>
      </c>
      <c r="C9140" s="4" t="str">
        <f ca="1">IFERROR(__xludf.DUMMYFUNCTION("GOOGLETRANSLATE(D:D,""auto"",""en"")"),"Boris support for new high")</f>
        <v>Boris support for new high</v>
      </c>
      <c r="D9140" s="5" t="s">
        <v>21138</v>
      </c>
      <c r="E9140" s="4">
        <v>984717</v>
      </c>
    </row>
    <row r="9141" spans="1:6" ht="13.5" hidden="1" customHeight="1">
      <c r="A9141" s="4" t="s">
        <v>21139</v>
      </c>
      <c r="B9141" s="4" t="s">
        <v>21077</v>
      </c>
      <c r="C9141" s="4" t="str">
        <f ca="1">IFERROR(__xludf.DUMMYFUNCTION("GOOGLETRANSLATE(D:D,""auto"",""en"")"),"Online request to return fugitives to surrender")</f>
        <v>Online request to return fugitives to surrender</v>
      </c>
      <c r="D9141" s="5" t="s">
        <v>21140</v>
      </c>
      <c r="E9141" s="4">
        <v>966946</v>
      </c>
    </row>
    <row r="9142" spans="1:6" ht="13.5" hidden="1" customHeight="1">
      <c r="A9142" s="4" t="s">
        <v>21141</v>
      </c>
      <c r="B9142" s="4" t="s">
        <v>21142</v>
      </c>
      <c r="C9142" s="4" t="str">
        <f ca="1">IFERROR(__xludf.DUMMYFUNCTION("GOOGLETRANSLATE(D:D,""auto"",""en"")"),"China's first underwater topography data measured Hoh Xil")</f>
        <v>China's first underwater topography data measured Hoh Xil</v>
      </c>
      <c r="D9142" s="5" t="s">
        <v>21143</v>
      </c>
      <c r="E9142" s="4">
        <v>853611</v>
      </c>
    </row>
    <row r="9143" spans="1:6" ht="13.5" hidden="1" customHeight="1">
      <c r="A9143" s="4" t="s">
        <v>21144</v>
      </c>
      <c r="B9143" s="4" t="s">
        <v>21145</v>
      </c>
      <c r="C9143" s="4" t="str">
        <f ca="1">IFERROR(__xludf.DUMMYFUNCTION("GOOGLETRANSLATE(D:D,""auto"",""en"")"),"Spain Many animals walking the streets calm")</f>
        <v>Spain Many animals walking the streets calm</v>
      </c>
      <c r="D9143" s="5" t="s">
        <v>21146</v>
      </c>
      <c r="E9143" s="4">
        <v>797654</v>
      </c>
    </row>
    <row r="9144" spans="1:6" ht="13.5" hidden="1" customHeight="1">
      <c r="A9144" s="4" t="s">
        <v>21147</v>
      </c>
      <c r="B9144" s="4" t="s">
        <v>21148</v>
      </c>
      <c r="C9144" s="4" t="str">
        <f ca="1">IFERROR(__xludf.DUMMYFUNCTION("GOOGLETRANSLATE(D:D,""auto"",""en"")"),"Dunhuang large freshwater lake in the sand now")</f>
        <v>Dunhuang large freshwater lake in the sand now</v>
      </c>
      <c r="D9144" s="5" t="s">
        <v>21149</v>
      </c>
      <c r="E9144" s="4">
        <v>744074</v>
      </c>
    </row>
    <row r="9145" spans="1:6" ht="13.5" hidden="1" customHeight="1">
      <c r="A9145" s="4" t="s">
        <v>21150</v>
      </c>
      <c r="B9145" s="4" t="s">
        <v>21151</v>
      </c>
      <c r="C9145" s="4" t="str">
        <f ca="1">IFERROR(__xludf.DUMMYFUNCTION("GOOGLETRANSLATE(D:D,""auto"",""en"")"),"Sichuan Liangshan satellite emergency rush to the rescue scores of forest fires")</f>
        <v>Sichuan Liangshan satellite emergency rush to the rescue scores of forest fires</v>
      </c>
      <c r="D9145" s="5" t="s">
        <v>21152</v>
      </c>
      <c r="E9145" s="4">
        <v>710884</v>
      </c>
    </row>
    <row r="9146" spans="1:6" ht="13.5" customHeight="1">
      <c r="A9146" s="4" t="s">
        <v>21147</v>
      </c>
      <c r="B9146" s="4" t="s">
        <v>21108</v>
      </c>
      <c r="C9146" s="4" t="str">
        <f ca="1">IFERROR(__xludf.DUMMYFUNCTION("GOOGLETRANSLATE(D:D,""auto"",""en"")"),"Wuhan citizens 70 days to go for the first time")</f>
        <v>Wuhan citizens 70 days to go for the first time</v>
      </c>
      <c r="D9146" s="5" t="s">
        <v>21153</v>
      </c>
      <c r="E9146" s="4">
        <v>693655</v>
      </c>
      <c r="F9146">
        <v>1</v>
      </c>
    </row>
    <row r="9147" spans="1:6" ht="13.5" hidden="1" customHeight="1">
      <c r="A9147" s="4" t="s">
        <v>21154</v>
      </c>
      <c r="B9147" s="4" t="s">
        <v>21155</v>
      </c>
      <c r="C9147" s="4" t="str">
        <f ca="1">IFERROR(__xludf.DUMMYFUNCTION("GOOGLETRANSLATE(D:D,""auto"",""en"")"),"Standard sleeping girls")</f>
        <v>Standard sleeping girls</v>
      </c>
      <c r="D9147" s="5" t="s">
        <v>21156</v>
      </c>
      <c r="E9147" s="4">
        <v>693387</v>
      </c>
    </row>
    <row r="9148" spans="1:6" ht="13.5" customHeight="1">
      <c r="A9148" s="4" t="s">
        <v>21157</v>
      </c>
      <c r="B9148" s="4" t="s">
        <v>21158</v>
      </c>
      <c r="C9148" s="4" t="str">
        <f ca="1">IFERROR(__xludf.DUMMYFUNCTION("GOOGLETRANSLATE(D:D,""auto"",""en"")"),"Four people very much like school")</f>
        <v>Four people very much like school</v>
      </c>
      <c r="D9148" s="5" t="s">
        <v>21159</v>
      </c>
      <c r="E9148" s="4">
        <v>691979</v>
      </c>
      <c r="F9148">
        <v>1</v>
      </c>
    </row>
    <row r="9149" spans="1:6" ht="13.5" hidden="1" customHeight="1">
      <c r="A9149" s="4" t="s">
        <v>21160</v>
      </c>
      <c r="B9149" s="4" t="s">
        <v>21161</v>
      </c>
      <c r="C9149" s="4" t="str">
        <f ca="1">IFERROR(__xludf.DUMMYFUNCTION("GOOGLETRANSLATE(D:D,""auto"",""en"")"),"Faji Te empty microblogging")</f>
        <v>Faji Te empty microblogging</v>
      </c>
      <c r="D9149" s="5" t="s">
        <v>21162</v>
      </c>
      <c r="E9149" s="4">
        <v>691457</v>
      </c>
    </row>
    <row r="9150" spans="1:6" ht="13.5" hidden="1" customHeight="1">
      <c r="A9150" s="4" t="s">
        <v>21144</v>
      </c>
      <c r="B9150" s="4" t="s">
        <v>21163</v>
      </c>
      <c r="C9150" s="4" t="str">
        <f ca="1">IFERROR(__xludf.DUMMYFUNCTION("GOOGLETRANSLATE(D:D,""auto"",""en"")"),"Fast and Furious sequel rumor Development")</f>
        <v>Fast and Furious sequel rumor Development</v>
      </c>
      <c r="D9150" s="5" t="s">
        <v>21164</v>
      </c>
      <c r="E9150" s="4">
        <v>690227</v>
      </c>
    </row>
    <row r="9151" spans="1:6" ht="13.5" hidden="1" customHeight="1">
      <c r="A9151" s="4" t="s">
        <v>21165</v>
      </c>
      <c r="B9151" s="4" t="s">
        <v>21166</v>
      </c>
      <c r="C9151" s="4" t="str">
        <f ca="1">IFERROR(__xludf.DUMMYFUNCTION("GOOGLETRANSLATE(D:D,""auto"",""en"")"),"Trump was asked US media reporters soul")</f>
        <v>Trump was asked US media reporters soul</v>
      </c>
      <c r="D9151" s="5" t="s">
        <v>21167</v>
      </c>
      <c r="E9151" s="4">
        <v>689781</v>
      </c>
    </row>
    <row r="9152" spans="1:6" ht="13.5" hidden="1" customHeight="1">
      <c r="A9152" s="4" t="s">
        <v>21168</v>
      </c>
      <c r="B9152" s="4" t="s">
        <v>21169</v>
      </c>
      <c r="C9152" s="4" t="str">
        <f ca="1">IFERROR(__xludf.DUMMYFUNCTION("GOOGLETRANSLATE(D:D,""auto"",""en"")"),"Cp-style love nibbling")</f>
        <v>Cp-style love nibbling</v>
      </c>
      <c r="D9152" s="5" t="s">
        <v>21170</v>
      </c>
      <c r="E9152" s="4">
        <v>688953</v>
      </c>
    </row>
    <row r="9153" spans="1:6" ht="13.5" hidden="1" customHeight="1">
      <c r="A9153" s="4" t="s">
        <v>21171</v>
      </c>
      <c r="B9153" s="4" t="s">
        <v>21172</v>
      </c>
      <c r="C9153" s="4" t="str">
        <f ca="1">IFERROR(__xludf.DUMMYFUNCTION("GOOGLETRANSLATE(D:D,""auto"",""en"")"),"You used the old phone go where the")</f>
        <v>You used the old phone go where the</v>
      </c>
      <c r="D9153" s="5" t="s">
        <v>21173</v>
      </c>
      <c r="E9153" s="4">
        <v>687680</v>
      </c>
    </row>
    <row r="9154" spans="1:6" ht="13.5" hidden="1" customHeight="1">
      <c r="A9154" s="4" t="s">
        <v>21174</v>
      </c>
      <c r="B9154" s="4" t="s">
        <v>21093</v>
      </c>
      <c r="C9154" s="4" t="str">
        <f ca="1">IFERROR(__xludf.DUMMYFUNCTION("GOOGLETRANSLATE(D:D,""auto"",""en"")"),"King of glory this season")</f>
        <v>King of glory this season</v>
      </c>
      <c r="D9154" s="5" t="s">
        <v>21175</v>
      </c>
      <c r="E9154" s="4">
        <v>686889</v>
      </c>
    </row>
    <row r="9155" spans="1:6" ht="13.5" hidden="1" customHeight="1">
      <c r="A9155" s="4" t="s">
        <v>21176</v>
      </c>
      <c r="B9155" s="4" t="s">
        <v>21177</v>
      </c>
      <c r="C9155" s="4" t="str">
        <f ca="1">IFERROR(__xludf.DUMMYFUNCTION("GOOGLETRANSLATE(D:D,""auto"",""en"")"),"2 months before the national tax cuts reduce costs 402.7 billion yuan")</f>
        <v>2 months before the national tax cuts reduce costs 402.7 billion yuan</v>
      </c>
      <c r="D9155" s="5" t="s">
        <v>21178</v>
      </c>
      <c r="E9155" s="4">
        <v>686256</v>
      </c>
    </row>
    <row r="9156" spans="1:6" ht="13.5" customHeight="1">
      <c r="A9156" s="4" t="s">
        <v>21179</v>
      </c>
      <c r="B9156" s="4" t="s">
        <v>21180</v>
      </c>
      <c r="C9156" s="4" t="str">
        <f ca="1">IFERROR(__xludf.DUMMYFUNCTION("GOOGLETRANSLATE(D:D,""auto"",""en"")"),"After the school cafeteria seats")</f>
        <v>After the school cafeteria seats</v>
      </c>
      <c r="D9156" s="5" t="s">
        <v>21181</v>
      </c>
      <c r="E9156" s="4">
        <v>685463</v>
      </c>
      <c r="F9156">
        <v>1</v>
      </c>
    </row>
    <row r="9157" spans="1:6" ht="13.5" customHeight="1">
      <c r="A9157" s="4" t="s">
        <v>21182</v>
      </c>
      <c r="B9157" s="4" t="s">
        <v>21068</v>
      </c>
      <c r="C9157" s="4" t="str">
        <f ca="1">IFERROR(__xludf.DUMMYFUNCTION("GOOGLETRANSLATE(D:D,""auto"",""en"")"),"The new crown over the United States in patients with pneumonia 160,000")</f>
        <v>The new crown over the United States in patients with pneumonia 160,000</v>
      </c>
      <c r="D9157" s="5" t="s">
        <v>21183</v>
      </c>
      <c r="E9157" s="4">
        <v>600843</v>
      </c>
      <c r="F9157">
        <v>1</v>
      </c>
    </row>
    <row r="9158" spans="1:6" ht="13.5" hidden="1" customHeight="1">
      <c r="A9158" s="4" t="s">
        <v>21184</v>
      </c>
      <c r="B9158" s="4" t="s">
        <v>21185</v>
      </c>
      <c r="C9158" s="4" t="str">
        <f ca="1">IFERROR(__xludf.DUMMYFUNCTION("GOOGLETRANSLATE(D:D,""auto"",""en"")"),"Guangzhou Dongxiao Road subsidence")</f>
        <v>Guangzhou Dongxiao Road subsidence</v>
      </c>
      <c r="D9158" s="5" t="s">
        <v>21186</v>
      </c>
      <c r="E9158" s="4">
        <v>510844</v>
      </c>
    </row>
    <row r="9159" spans="1:6" ht="13.5" hidden="1" customHeight="1">
      <c r="A9159" s="4" t="s">
        <v>21187</v>
      </c>
      <c r="B9159" s="4" t="s">
        <v>21188</v>
      </c>
      <c r="C9159" s="4" t="str">
        <f ca="1">IFERROR(__xludf.DUMMYFUNCTION("GOOGLETRANSLATE(D:D,""auto"",""en"")"),"In March last day")</f>
        <v>In March last day</v>
      </c>
      <c r="D9159" s="5" t="s">
        <v>21189</v>
      </c>
      <c r="E9159" s="4">
        <v>396819</v>
      </c>
    </row>
    <row r="9160" spans="1:6" ht="13.5" hidden="1" customHeight="1">
      <c r="A9160" s="4" t="s">
        <v>21190</v>
      </c>
      <c r="B9160" s="4" t="s">
        <v>21142</v>
      </c>
      <c r="C9160" s="4" t="str">
        <f ca="1">IFERROR(__xludf.DUMMYFUNCTION("GOOGLETRANSLATE(D:D,""auto"",""en"")"),"Banknotes dresses")</f>
        <v>Banknotes dresses</v>
      </c>
      <c r="D9160" s="5" t="s">
        <v>21191</v>
      </c>
      <c r="E9160" s="4">
        <v>383146</v>
      </c>
    </row>
    <row r="9161" spans="1:6" ht="13.5" hidden="1" customHeight="1">
      <c r="A9161" s="4" t="s">
        <v>21192</v>
      </c>
      <c r="B9161" s="4" t="s">
        <v>21021</v>
      </c>
      <c r="C9161" s="4" t="str">
        <f ca="1">IFERROR(__xludf.DUMMYFUNCTION("GOOGLETRANSLATE(D:D,""auto"",""en"")"),"Always remember your birthday friends")</f>
        <v>Always remember your birthday friends</v>
      </c>
      <c r="D9161" s="5" t="s">
        <v>21193</v>
      </c>
      <c r="E9161" s="4">
        <v>381925</v>
      </c>
    </row>
    <row r="9162" spans="1:6" ht="13.5" hidden="1" customHeight="1">
      <c r="A9162" s="4" t="s">
        <v>21026</v>
      </c>
      <c r="B9162" s="4" t="s">
        <v>21027</v>
      </c>
      <c r="C9162" s="4" t="str">
        <f ca="1">IFERROR(__xludf.DUMMYFUNCTION("GOOGLETRANSLATE(D:D,""auto"",""en"")"),"Zhang Xin Yi Lou Yi Xiao Jin Chen Jing Ait")</f>
        <v>Zhang Xin Yi Lou Yi Xiao Jin Chen Jing Ait</v>
      </c>
      <c r="D9162" s="5" t="s">
        <v>21028</v>
      </c>
      <c r="E9162" s="4">
        <v>373921</v>
      </c>
    </row>
    <row r="9163" spans="1:6" ht="13.5" hidden="1" customHeight="1">
      <c r="A9163" s="4" t="s">
        <v>21194</v>
      </c>
      <c r="B9163" s="4" t="s">
        <v>21122</v>
      </c>
      <c r="C9163" s="4" t="str">
        <f ca="1">IFERROR(__xludf.DUMMYFUNCTION("GOOGLETRANSLATE(D:D,""auto"",""en"")"),"200 kg of ostrich running Kunming")</f>
        <v>200 kg of ostrich running Kunming</v>
      </c>
      <c r="D9163" s="5" t="s">
        <v>21195</v>
      </c>
      <c r="E9163" s="4">
        <v>358280</v>
      </c>
    </row>
    <row r="9164" spans="1:6" ht="13.5" customHeight="1">
      <c r="A9164" s="4" t="s">
        <v>21144</v>
      </c>
      <c r="B9164" s="4" t="s">
        <v>21196</v>
      </c>
      <c r="C9164" s="4" t="str">
        <f ca="1">IFERROR(__xludf.DUMMYFUNCTION("GOOGLETRANSLATE(D:D,""auto"",""en"")"),"Academician Li Lanjuan medical team triumph")</f>
        <v>Academician Li Lanjuan medical team triumph</v>
      </c>
      <c r="D9164" s="5" t="s">
        <v>21197</v>
      </c>
      <c r="E9164" s="4">
        <v>343803</v>
      </c>
      <c r="F9164">
        <v>1</v>
      </c>
    </row>
    <row r="9165" spans="1:6" ht="13.5" customHeight="1">
      <c r="A9165" s="4" t="s">
        <v>21006</v>
      </c>
      <c r="B9165" s="4" t="s">
        <v>21007</v>
      </c>
      <c r="C9165" s="4" t="str">
        <f ca="1">IFERROR(__xludf.DUMMYFUNCTION("GOOGLETRANSLATE(D:D,""auto"",""en"")"),"Trump serious differences with the state government and epidemic prevention")</f>
        <v>Trump serious differences with the state government and epidemic prevention</v>
      </c>
      <c r="D9165" s="5" t="s">
        <v>21008</v>
      </c>
      <c r="E9165" s="4">
        <v>321856</v>
      </c>
      <c r="F9165">
        <v>1</v>
      </c>
    </row>
    <row r="9166" spans="1:6" ht="13.5" customHeight="1">
      <c r="A9166" s="4" t="s">
        <v>21032</v>
      </c>
      <c r="B9166" s="4" t="s">
        <v>21198</v>
      </c>
      <c r="C9166" s="4" t="str">
        <f ca="1">IFERROR(__xludf.DUMMYFUNCTION("GOOGLETRANSLATE(D:D,""auto"",""en"")"),"Marbury comment Americans do not go out wearing masks")</f>
        <v>Marbury comment Americans do not go out wearing masks</v>
      </c>
      <c r="D9166" s="5" t="s">
        <v>21199</v>
      </c>
      <c r="E9166" s="4">
        <v>311902</v>
      </c>
      <c r="F9166">
        <v>1</v>
      </c>
    </row>
    <row r="9167" spans="1:6" ht="13.5" hidden="1" customHeight="1">
      <c r="A9167" s="4" t="s">
        <v>21200</v>
      </c>
      <c r="B9167" s="4" t="s">
        <v>21133</v>
      </c>
      <c r="C9167" s="4" t="str">
        <f ca="1">IFERROR(__xludf.DUMMYFUNCTION("GOOGLETRANSLATE(D:D,""auto"",""en"")"),"Brokers hair long article mourn Liu Zhen")</f>
        <v>Brokers hair long article mourn Liu Zhen</v>
      </c>
      <c r="D9167" s="5" t="s">
        <v>21201</v>
      </c>
      <c r="E9167" s="4">
        <v>300905</v>
      </c>
    </row>
    <row r="9168" spans="1:6" ht="13.5" hidden="1" customHeight="1">
      <c r="A9168" s="4" t="s">
        <v>21202</v>
      </c>
      <c r="B9168" s="4" t="s">
        <v>21021</v>
      </c>
      <c r="C9168" s="4" t="str">
        <f ca="1">IFERROR(__xludf.DUMMYFUNCTION("GOOGLETRANSLATE(D:D,""auto"",""en"")"),"Very accurate sixth sense of an experience")</f>
        <v>Very accurate sixth sense of an experience</v>
      </c>
      <c r="D9168" s="5" t="s">
        <v>21203</v>
      </c>
      <c r="E9168" s="4">
        <v>292997</v>
      </c>
    </row>
    <row r="9169" spans="1:6" ht="13.5" hidden="1" customHeight="1">
      <c r="A9169" s="4" t="s">
        <v>21032</v>
      </c>
      <c r="B9169" s="4" t="s">
        <v>21033</v>
      </c>
      <c r="C9169" s="4" t="str">
        <f ca="1">IFERROR(__xludf.DUMMYFUNCTION("GOOGLETRANSLATE(D:D,""auto"",""en"")"),"Wei segment Hoshino")</f>
        <v>Wei segment Hoshino</v>
      </c>
      <c r="D9169" s="5" t="s">
        <v>21034</v>
      </c>
      <c r="E9169" s="4">
        <v>265177</v>
      </c>
    </row>
    <row r="9170" spans="1:6" ht="13.5" customHeight="1">
      <c r="A9170" s="4" t="s">
        <v>21204</v>
      </c>
      <c r="B9170" s="4" t="s">
        <v>21148</v>
      </c>
      <c r="C9170" s="4" t="str">
        <f ca="1">IFERROR(__xludf.DUMMYFUNCTION("GOOGLETRANSLATE(D:D,""auto"",""en"")"),"New foreign input 48 cases")</f>
        <v>New foreign input 48 cases</v>
      </c>
      <c r="D9170" s="5" t="s">
        <v>21205</v>
      </c>
      <c r="E9170" s="4">
        <v>249038</v>
      </c>
      <c r="F9170">
        <v>1</v>
      </c>
    </row>
    <row r="9171" spans="1:6" ht="13.5" hidden="1" customHeight="1">
      <c r="A9171" s="4" t="s">
        <v>21204</v>
      </c>
      <c r="B9171" s="4" t="s">
        <v>21206</v>
      </c>
      <c r="C9171" s="4" t="str">
        <f ca="1">IFERROR(__xludf.DUMMYFUNCTION("GOOGLETRANSLATE(D:D,""auto"",""en"")"),"Nanjing Tong Xi foreign aid apologize Basketball Club")</f>
        <v>Nanjing Tong Xi foreign aid apologize Basketball Club</v>
      </c>
      <c r="D9171" s="5" t="s">
        <v>21207</v>
      </c>
      <c r="E9171" s="4">
        <v>242337</v>
      </c>
    </row>
    <row r="9172" spans="1:6" ht="13.5" hidden="1" customHeight="1">
      <c r="A9172" s="4" t="s">
        <v>21208</v>
      </c>
      <c r="B9172" s="4" t="s">
        <v>21029</v>
      </c>
      <c r="C9172" s="4" t="str">
        <f ca="1">IFERROR(__xludf.DUMMYFUNCTION("GOOGLETRANSLATE(D:D,""auto"",""en"")"),"Xichang Camp farm forest fire out West Line")</f>
        <v>Xichang Camp farm forest fire out West Line</v>
      </c>
      <c r="D9172" s="5" t="s">
        <v>21209</v>
      </c>
      <c r="E9172" s="4">
        <v>241100</v>
      </c>
    </row>
    <row r="9173" spans="1:6" ht="13.5" hidden="1" customHeight="1">
      <c r="A9173" s="4" t="s">
        <v>21210</v>
      </c>
      <c r="B9173" s="4" t="s">
        <v>21211</v>
      </c>
      <c r="C9173" s="4" t="str">
        <f ca="1">IFERROR(__xludf.DUMMYFUNCTION("GOOGLETRANSLATE(D:D,""auto"",""en"")"),"Cupcakes lipstick")</f>
        <v>Cupcakes lipstick</v>
      </c>
      <c r="D9173" s="5" t="s">
        <v>21212</v>
      </c>
      <c r="E9173" s="4">
        <v>241086</v>
      </c>
    </row>
    <row r="9174" spans="1:6" ht="13.5" hidden="1" customHeight="1">
      <c r="A9174" s="4" t="s">
        <v>21213</v>
      </c>
      <c r="B9174" s="4" t="s">
        <v>21214</v>
      </c>
      <c r="C9174" s="4" t="str">
        <f ca="1">IFERROR(__xludf.DUMMYFUNCTION("GOOGLETRANSLATE(D:D,""auto"",""en"")"),"Xichang fire sacrifice expedition team last picture")</f>
        <v>Xichang fire sacrifice expedition team last picture</v>
      </c>
      <c r="D9174" s="5" t="s">
        <v>21215</v>
      </c>
      <c r="E9174" s="4">
        <v>241013</v>
      </c>
    </row>
    <row r="9175" spans="1:6" ht="13.5" hidden="1" customHeight="1">
      <c r="A9175" s="4" t="s">
        <v>21216</v>
      </c>
      <c r="B9175" s="4" t="s">
        <v>21217</v>
      </c>
      <c r="C9175" s="4" t="str">
        <f ca="1">IFERROR(__xludf.DUMMYFUNCTION("GOOGLETRANSLATE(D:D,""auto"",""en"")"),"The new king of glory hero mirror")</f>
        <v>The new king of glory hero mirror</v>
      </c>
      <c r="D9175" s="5" t="s">
        <v>21218</v>
      </c>
      <c r="E9175" s="4">
        <v>240977</v>
      </c>
    </row>
    <row r="9176" spans="1:6" ht="13.5" customHeight="1">
      <c r="A9176" s="4" t="s">
        <v>21219</v>
      </c>
      <c r="B9176" s="4" t="s">
        <v>21220</v>
      </c>
      <c r="C9176" s="4" t="str">
        <f ca="1">IFERROR(__xludf.DUMMYFUNCTION("GOOGLETRANSLATE(D:D,""auto"",""en"")"),"Medical team wearing a skirt little brother")</f>
        <v>Medical team wearing a skirt little brother</v>
      </c>
      <c r="D9176" s="5" t="s">
        <v>21221</v>
      </c>
      <c r="E9176" s="4">
        <v>240885</v>
      </c>
      <c r="F9176">
        <v>1</v>
      </c>
    </row>
    <row r="9177" spans="1:6" ht="13.5" customHeight="1">
      <c r="A9177" s="4" t="s">
        <v>21222</v>
      </c>
      <c r="B9177" s="4" t="s">
        <v>21223</v>
      </c>
      <c r="C9177" s="4" t="str">
        <f ca="1">IFERROR(__xludf.DUMMYFUNCTION("GOOGLETRANSLATE(D:D,""auto"",""en"")"),"Vulcan Mind teams Mountains")</f>
        <v>Vulcan Mind teams Mountains</v>
      </c>
      <c r="D9177" s="5" t="s">
        <v>21224</v>
      </c>
      <c r="E9177" s="4">
        <v>240847</v>
      </c>
      <c r="F9177">
        <v>1</v>
      </c>
    </row>
    <row r="9178" spans="1:6" ht="13.5" customHeight="1">
      <c r="A9178" s="4" t="s">
        <v>21225</v>
      </c>
      <c r="B9178" s="4" t="s">
        <v>21226</v>
      </c>
      <c r="C9178" s="4" t="str">
        <f ca="1">IFERROR(__xludf.DUMMYFUNCTION("GOOGLETRANSLATE(D:D,""auto"",""en"")"),"Hubei two new crown ill persons assaulted a doctor arrested on the 10th")</f>
        <v>Hubei two new crown ill persons assaulted a doctor arrested on the 10th</v>
      </c>
      <c r="D9178" s="5" t="s">
        <v>21227</v>
      </c>
      <c r="E9178" s="4">
        <v>240820</v>
      </c>
      <c r="F9178">
        <v>1</v>
      </c>
    </row>
    <row r="9179" spans="1:6" ht="13.5" customHeight="1">
      <c r="A9179" s="4" t="s">
        <v>21176</v>
      </c>
      <c r="B9179" s="4" t="s">
        <v>21206</v>
      </c>
      <c r="C9179" s="4" t="str">
        <f ca="1">IFERROR(__xludf.DUMMYFUNCTION("GOOGLETRANSLATE(D:D,""auto"",""en"")"),"Kenya hardcore fight against SARS")</f>
        <v>Kenya hardcore fight against SARS</v>
      </c>
      <c r="D9179" s="5" t="s">
        <v>21228</v>
      </c>
      <c r="E9179" s="4">
        <v>221663</v>
      </c>
      <c r="F9179">
        <v>1</v>
      </c>
    </row>
    <row r="9180" spans="1:6" ht="13.5" hidden="1" customHeight="1">
      <c r="A9180" s="4" t="s">
        <v>20994</v>
      </c>
      <c r="B9180" s="4" t="s">
        <v>20995</v>
      </c>
      <c r="C9180" s="4" t="str">
        <f ca="1">IFERROR(__xludf.DUMMYFUNCTION("GOOGLETRANSLATE(D:D,""auto"",""en"")"),"William Chan Liu Wen")</f>
        <v>William Chan Liu Wen</v>
      </c>
      <c r="D9180" s="5" t="s">
        <v>20996</v>
      </c>
      <c r="E9180" s="4">
        <v>213165</v>
      </c>
    </row>
    <row r="9181" spans="1:6" ht="13.5" hidden="1" customHeight="1">
      <c r="C9181" s="4" t="str">
        <f ca="1">IFERROR(__xludf.DUMMYFUNCTION("GOOGLETRANSLATE(D:D,""auto"",""en"")"),"#VALUE!")</f>
        <v>#VALUE!</v>
      </c>
    </row>
    <row r="9182" spans="1:6" ht="13.5" hidden="1" customHeight="1">
      <c r="A9182" s="4" t="s">
        <v>21229</v>
      </c>
      <c r="B9182" s="4" t="s">
        <v>21230</v>
      </c>
      <c r="C9182" s="4" t="str">
        <f ca="1">IFERROR(__xludf.DUMMYFUNCTION("GOOGLETRANSLATE(D:D,""auto"",""en"")"),"Miao Miao belly")</f>
        <v>Miao Miao belly</v>
      </c>
      <c r="D9182" s="4" t="s">
        <v>21231</v>
      </c>
      <c r="E9182" s="4">
        <v>2003239</v>
      </c>
    </row>
    <row r="9183" spans="1:6" ht="13.5" hidden="1" customHeight="1">
      <c r="A9183" s="4" t="s">
        <v>21232</v>
      </c>
      <c r="B9183" s="4" t="s">
        <v>21233</v>
      </c>
      <c r="C9183" s="4" t="str">
        <f ca="1">IFERROR(__xludf.DUMMYFUNCTION("GOOGLETRANSLATE(D:D,""auto"",""en"")"),"Italy throughout lowered to half")</f>
        <v>Italy throughout lowered to half</v>
      </c>
      <c r="D9183" s="5" t="s">
        <v>21234</v>
      </c>
      <c r="E9183" s="4">
        <v>1423772</v>
      </c>
    </row>
    <row r="9184" spans="1:6" ht="13.5" hidden="1" customHeight="1">
      <c r="A9184" s="4" t="s">
        <v>21235</v>
      </c>
      <c r="B9184" s="4" t="s">
        <v>21236</v>
      </c>
      <c r="C9184" s="4" t="str">
        <f ca="1">IFERROR(__xludf.DUMMYFUNCTION("GOOGLETRANSLATE(D:D,""auto"",""en"")"),"Director Sasabe clear death")</f>
        <v>Director Sasabe clear death</v>
      </c>
      <c r="D9184" s="5" t="s">
        <v>21237</v>
      </c>
      <c r="E9184" s="4">
        <v>1371746</v>
      </c>
    </row>
    <row r="9185" spans="1:6" ht="13.5" hidden="1" customHeight="1">
      <c r="A9185" s="4" t="s">
        <v>21238</v>
      </c>
      <c r="B9185" s="4" t="s">
        <v>21239</v>
      </c>
      <c r="C9185" s="4" t="str">
        <f ca="1">IFERROR(__xludf.DUMMYFUNCTION("GOOGLETRANSLATE(D:D,""auto"",""en"")"),"Wenna family wedding differences")</f>
        <v>Wenna family wedding differences</v>
      </c>
      <c r="D9185" s="5" t="s">
        <v>21240</v>
      </c>
      <c r="E9185" s="4">
        <v>1323739</v>
      </c>
    </row>
    <row r="9186" spans="1:6" ht="13.5" hidden="1" customHeight="1">
      <c r="A9186" s="4" t="s">
        <v>20799</v>
      </c>
      <c r="B9186" s="4" t="s">
        <v>20800</v>
      </c>
      <c r="C9186" s="4" t="str">
        <f ca="1">IFERROR(__xludf.DUMMYFUNCTION("GOOGLETRANSLATE(D:D,""auto"",""en"")"),"License Xin")</f>
        <v>License Xin</v>
      </c>
      <c r="D9186" s="5" t="s">
        <v>20801</v>
      </c>
      <c r="E9186" s="4">
        <v>1241735</v>
      </c>
    </row>
    <row r="9187" spans="1:6" ht="13.5" hidden="1" customHeight="1">
      <c r="A9187" s="4" t="s">
        <v>21241</v>
      </c>
      <c r="B9187" s="4" t="s">
        <v>21242</v>
      </c>
      <c r="C9187" s="4" t="str">
        <f ca="1">IFERROR(__xludf.DUMMYFUNCTION("GOOGLETRANSLATE(D:D,""auto"",""en"")"),"Ministry of Foreign Affairs to respond to Chinese students want to return home")</f>
        <v>Ministry of Foreign Affairs to respond to Chinese students want to return home</v>
      </c>
      <c r="D9187" s="5" t="s">
        <v>21243</v>
      </c>
      <c r="E9187" s="4">
        <v>1128399</v>
      </c>
    </row>
    <row r="9188" spans="1:6" ht="13.5" hidden="1" customHeight="1">
      <c r="A9188" s="4" t="s">
        <v>21244</v>
      </c>
      <c r="B9188" s="4" t="s">
        <v>21245</v>
      </c>
      <c r="C9188" s="4" t="str">
        <f ca="1">IFERROR(__xludf.DUMMYFUNCTION("GOOGLETRANSLATE(D:D,""auto"",""en"")"),"Leslie")</f>
        <v>Leslie</v>
      </c>
      <c r="D9188" s="5" t="s">
        <v>21246</v>
      </c>
      <c r="E9188" s="4">
        <v>1127625</v>
      </c>
    </row>
    <row r="9189" spans="1:6" ht="13.5" hidden="1" customHeight="1">
      <c r="A9189" s="4" t="s">
        <v>21247</v>
      </c>
      <c r="B9189" s="4" t="s">
        <v>21248</v>
      </c>
      <c r="C9189" s="4" t="str">
        <f ca="1">IFERROR(__xludf.DUMMYFUNCTION("GOOGLETRANSLATE(D:D,""auto"",""en"")"),"Academician Li Lanjuan return Hang husband Summe Academy of pick-up")</f>
        <v>Academician Li Lanjuan return Hang husband Summe Academy of pick-up</v>
      </c>
      <c r="D9189" s="5" t="s">
        <v>21249</v>
      </c>
      <c r="E9189" s="4">
        <v>924229</v>
      </c>
    </row>
    <row r="9190" spans="1:6" ht="13.5" customHeight="1">
      <c r="A9190" s="4" t="s">
        <v>21250</v>
      </c>
      <c r="B9190" s="4" t="s">
        <v>21251</v>
      </c>
      <c r="C9190" s="4" t="str">
        <f ca="1">IFERROR(__xludf.DUMMYFUNCTION("GOOGLETRANSLATE(D:D,""auto"",""en"")"),"New York mayor said the actual number of infections is much higher than the number of confirmed")</f>
        <v>New York mayor said the actual number of infections is much higher than the number of confirmed</v>
      </c>
      <c r="D9190" s="5" t="s">
        <v>21252</v>
      </c>
      <c r="E9190" s="4">
        <v>890073</v>
      </c>
      <c r="F9190">
        <v>1</v>
      </c>
    </row>
    <row r="9191" spans="1:6" ht="13.5" hidden="1" customHeight="1">
      <c r="A9191" s="4" t="s">
        <v>21253</v>
      </c>
      <c r="B9191" s="4" t="s">
        <v>21254</v>
      </c>
      <c r="C9191" s="4" t="str">
        <f ca="1">IFERROR(__xludf.DUMMYFUNCTION("GOOGLETRANSLATE(D:D,""auto"",""en"")"),"Xingtai criticized five teachers go abroad without authorization")</f>
        <v>Xingtai criticized five teachers go abroad without authorization</v>
      </c>
      <c r="D9191" s="5" t="s">
        <v>21255</v>
      </c>
      <c r="E9191" s="4">
        <v>768507</v>
      </c>
    </row>
    <row r="9192" spans="1:6" ht="13.5" hidden="1" customHeight="1">
      <c r="A9192" s="4" t="s">
        <v>21256</v>
      </c>
      <c r="B9192" s="4" t="s">
        <v>21257</v>
      </c>
      <c r="C9192" s="4" t="str">
        <f ca="1">IFERROR(__xludf.DUMMYFUNCTION("GOOGLETRANSLATE(D:D,""auto"",""en"")"),"Annie Rose")</f>
        <v>Annie Rose</v>
      </c>
      <c r="D9192" s="5" t="s">
        <v>21258</v>
      </c>
      <c r="E9192" s="4">
        <v>720314</v>
      </c>
    </row>
    <row r="9193" spans="1:6" ht="13.5" customHeight="1">
      <c r="A9193" s="4" t="s">
        <v>21259</v>
      </c>
      <c r="B9193" s="4" t="s">
        <v>21260</v>
      </c>
      <c r="C9193" s="4" t="str">
        <f ca="1">IFERROR(__xludf.DUMMYFUNCTION("GOOGLETRANSLATE(D:D,""auto"",""en"")"),"South Korean female students return to reject a claim is isolated")</f>
        <v>South Korean female students return to reject a claim is isolated</v>
      </c>
      <c r="D9193" s="5" t="s">
        <v>21261</v>
      </c>
      <c r="E9193" s="4">
        <v>717943</v>
      </c>
      <c r="F9193">
        <v>1</v>
      </c>
    </row>
    <row r="9194" spans="1:6" ht="13.5" hidden="1" customHeight="1">
      <c r="A9194" s="4" t="s">
        <v>21232</v>
      </c>
      <c r="B9194" s="4" t="s">
        <v>21262</v>
      </c>
      <c r="C9194" s="4" t="str">
        <f ca="1">IFERROR(__xludf.DUMMYFUNCTION("GOOGLETRANSLATE(D:D,""auto"",""en"")"),"Personal Income Tax")</f>
        <v>Personal Income Tax</v>
      </c>
      <c r="D9194" s="5" t="s">
        <v>21263</v>
      </c>
      <c r="E9194" s="4">
        <v>714998</v>
      </c>
    </row>
    <row r="9195" spans="1:6" ht="13.5" hidden="1" customHeight="1">
      <c r="A9195" s="4" t="s">
        <v>21238</v>
      </c>
      <c r="B9195" s="4" t="s">
        <v>21264</v>
      </c>
      <c r="C9195" s="4" t="str">
        <f ca="1">IFERROR(__xludf.DUMMYFUNCTION("GOOGLETRANSLATE(D:D,""auto"",""en"")"),"This behavior how to achieve national unity")</f>
        <v>This behavior how to achieve national unity</v>
      </c>
      <c r="D9195" s="5" t="s">
        <v>21265</v>
      </c>
      <c r="E9195" s="4">
        <v>713614</v>
      </c>
    </row>
    <row r="9196" spans="1:6" ht="13.5" hidden="1" customHeight="1">
      <c r="A9196" s="4" t="s">
        <v>21266</v>
      </c>
      <c r="B9196" s="4" t="s">
        <v>21248</v>
      </c>
      <c r="C9196" s="4" t="str">
        <f ca="1">IFERROR(__xludf.DUMMYFUNCTION("GOOGLETRANSLATE(D:D,""auto"",""en"")"),"Beijing Municipal Education Commission in response to the college entrance examination postponed")</f>
        <v>Beijing Municipal Education Commission in response to the college entrance examination postponed</v>
      </c>
      <c r="D9196" s="5" t="s">
        <v>21267</v>
      </c>
      <c r="E9196" s="4">
        <v>709183</v>
      </c>
    </row>
    <row r="9197" spans="1:6" ht="13.5" hidden="1" customHeight="1">
      <c r="A9197" s="4" t="s">
        <v>21268</v>
      </c>
      <c r="B9197" s="4" t="s">
        <v>21269</v>
      </c>
      <c r="C9197" s="4" t="str">
        <f ca="1">IFERROR(__xludf.DUMMYFUNCTION("GOOGLETRANSLATE(D:D,""auto"",""en"")"),"Sansei III worry-free cake")</f>
        <v>Sansei III worry-free cake</v>
      </c>
      <c r="D9197" s="5" t="s">
        <v>21270</v>
      </c>
      <c r="E9197" s="4">
        <v>705219</v>
      </c>
    </row>
    <row r="9198" spans="1:6" ht="13.5" hidden="1" customHeight="1">
      <c r="A9198" s="4" t="s">
        <v>21271</v>
      </c>
      <c r="B9198" s="4" t="s">
        <v>21272</v>
      </c>
      <c r="C9198" s="4" t="str">
        <f ca="1">IFERROR(__xludf.DUMMYFUNCTION("GOOGLETRANSLATE(D:D,""auto"",""en"")"),"Li hand of ice slide")</f>
        <v>Li hand of ice slide</v>
      </c>
      <c r="D9198" s="5" t="s">
        <v>21273</v>
      </c>
      <c r="E9198" s="4">
        <v>702575</v>
      </c>
    </row>
    <row r="9199" spans="1:6" ht="13.5" hidden="1" customHeight="1">
      <c r="A9199" s="4" t="s">
        <v>21232</v>
      </c>
      <c r="B9199" s="4" t="s">
        <v>21251</v>
      </c>
      <c r="C9199" s="4" t="str">
        <f ca="1">IFERROR(__xludf.DUMMYFUNCTION("GOOGLETRANSLATE(D:D,""auto"",""en"")"),"Forest fires have occurred mostly human-induced")</f>
        <v>Forest fires have occurred mostly human-induced</v>
      </c>
      <c r="D9199" s="5" t="s">
        <v>21274</v>
      </c>
      <c r="E9199" s="4">
        <v>702110</v>
      </c>
    </row>
    <row r="9200" spans="1:6" ht="13.5" hidden="1" customHeight="1">
      <c r="A9200" s="4" t="s">
        <v>21275</v>
      </c>
      <c r="B9200" s="4" t="s">
        <v>21276</v>
      </c>
      <c r="C9200" s="4" t="str">
        <f ca="1">IFERROR(__xludf.DUMMYFUNCTION("GOOGLETRANSLATE(D:D,""auto"",""en"")"),"Hsiao broker")</f>
        <v>Hsiao broker</v>
      </c>
      <c r="D9200" s="5" t="s">
        <v>21277</v>
      </c>
      <c r="E9200" s="4">
        <v>657901</v>
      </c>
    </row>
    <row r="9201" spans="1:6" ht="13.5" hidden="1" customHeight="1">
      <c r="A9201" s="4" t="s">
        <v>21278</v>
      </c>
      <c r="B9201" s="4" t="s">
        <v>21279</v>
      </c>
      <c r="C9201" s="4" t="str">
        <f ca="1">IFERROR(__xludf.DUMMYFUNCTION("GOOGLETRANSLATE(D:D,""auto"",""en"")"),"US chain giant will lay off 130,000 workers")</f>
        <v>US chain giant will lay off 130,000 workers</v>
      </c>
      <c r="D9201" s="5" t="s">
        <v>21280</v>
      </c>
      <c r="E9201" s="4">
        <v>580930</v>
      </c>
    </row>
    <row r="9202" spans="1:6" ht="13.5" hidden="1" customHeight="1">
      <c r="A9202" s="4" t="s">
        <v>21281</v>
      </c>
      <c r="B9202" s="4" t="s">
        <v>21282</v>
      </c>
      <c r="C9202" s="4" t="str">
        <f ca="1">IFERROR(__xludf.DUMMYFUNCTION("GOOGLETRANSLATE(D:D,""auto"",""en"")"),"Dorm aunt to help students be more than 100 sun beds")</f>
        <v>Dorm aunt to help students be more than 100 sun beds</v>
      </c>
      <c r="D9202" s="5" t="s">
        <v>21283</v>
      </c>
      <c r="E9202" s="4">
        <v>549784</v>
      </c>
    </row>
    <row r="9203" spans="1:6" ht="13.5" hidden="1" customHeight="1">
      <c r="A9203" s="4" t="s">
        <v>18462</v>
      </c>
      <c r="B9203" s="4" t="s">
        <v>18463</v>
      </c>
      <c r="C9203" s="4" t="str">
        <f ca="1">IFERROR(__xludf.DUMMYFUNCTION("GOOGLETRANSLATE(D:D,""auto"",""en"")"),"Rock candy stew Sydney")</f>
        <v>Rock candy stew Sydney</v>
      </c>
      <c r="D9203" s="5" t="s">
        <v>18464</v>
      </c>
      <c r="E9203" s="4">
        <v>510705</v>
      </c>
    </row>
    <row r="9204" spans="1:6" ht="13.5" hidden="1" customHeight="1">
      <c r="A9204" s="4" t="s">
        <v>21284</v>
      </c>
      <c r="B9204" s="4" t="s">
        <v>21285</v>
      </c>
      <c r="C9204" s="4" t="str">
        <f ca="1">IFERROR(__xludf.DUMMYFUNCTION("GOOGLETRANSLATE(D:D,""auto"",""en"")"),"Chen Feiyu")</f>
        <v>Chen Feiyu</v>
      </c>
      <c r="D9204" s="5" t="s">
        <v>21286</v>
      </c>
      <c r="E9204" s="4">
        <v>491023</v>
      </c>
    </row>
    <row r="9205" spans="1:6" ht="13.5" customHeight="1">
      <c r="A9205" s="4" t="s">
        <v>21287</v>
      </c>
      <c r="B9205" s="4" t="s">
        <v>21288</v>
      </c>
      <c r="C9205" s="4" t="str">
        <f ca="1">IFERROR(__xludf.DUMMYFUNCTION("GOOGLETRANSLATE(D:D,""auto"",""en"")"),"Hubei, Guangdong, Fujian medical aid team met")</f>
        <v>Hubei, Guangdong, Fujian medical aid team met</v>
      </c>
      <c r="D9205" s="5" t="s">
        <v>21289</v>
      </c>
      <c r="E9205" s="4">
        <v>454536</v>
      </c>
      <c r="F9205">
        <v>1</v>
      </c>
    </row>
    <row r="9206" spans="1:6" ht="13.5" hidden="1" customHeight="1">
      <c r="A9206" s="4" t="s">
        <v>21290</v>
      </c>
      <c r="B9206" s="4" t="s">
        <v>21233</v>
      </c>
      <c r="C9206" s="4" t="str">
        <f ca="1">IFERROR(__xludf.DUMMYFUNCTION("GOOGLETRANSLATE(D:D,""auto"",""en"")"),"People used to have big courage")</f>
        <v>People used to have big courage</v>
      </c>
      <c r="D9206" s="5" t="s">
        <v>21291</v>
      </c>
      <c r="E9206" s="4">
        <v>435341</v>
      </c>
    </row>
    <row r="9207" spans="1:6" ht="13.5" customHeight="1">
      <c r="A9207" s="4" t="s">
        <v>21292</v>
      </c>
      <c r="B9207" s="4" t="s">
        <v>21293</v>
      </c>
      <c r="C9207" s="4" t="str">
        <f ca="1">IFERROR(__xludf.DUMMYFUNCTION("GOOGLETRANSLATE(D:D,""auto"",""en"")"),"Asymptomatic infection of 4 found ways")</f>
        <v>Asymptomatic infection of 4 found ways</v>
      </c>
      <c r="D9207" s="5" t="s">
        <v>21294</v>
      </c>
      <c r="E9207" s="4">
        <v>418899</v>
      </c>
      <c r="F9207">
        <v>1</v>
      </c>
    </row>
    <row r="9208" spans="1:6" ht="13.5" hidden="1" customHeight="1">
      <c r="A9208" s="4" t="s">
        <v>21295</v>
      </c>
      <c r="B9208" s="4" t="s">
        <v>21296</v>
      </c>
      <c r="C9208" s="4" t="str">
        <f ca="1">IFERROR(__xludf.DUMMYFUNCTION("GOOGLETRANSLATE(D:D,""auto"",""en"")"),"Liang Chao")</f>
        <v>Liang Chao</v>
      </c>
      <c r="D9208" s="5" t="s">
        <v>21297</v>
      </c>
      <c r="E9208" s="4">
        <v>415775</v>
      </c>
    </row>
    <row r="9209" spans="1:6" ht="13.5" hidden="1" customHeight="1">
      <c r="A9209" s="4" t="s">
        <v>21298</v>
      </c>
      <c r="B9209" s="4" t="s">
        <v>21299</v>
      </c>
      <c r="C9209" s="4" t="str">
        <f ca="1">IFERROR(__xludf.DUMMYFUNCTION("GOOGLETRANSLATE(D:D,""auto"",""en"")"),"Xichang Lu Shan ignition point resurgence")</f>
        <v>Xichang Lu Shan ignition point resurgence</v>
      </c>
      <c r="D9209" s="5" t="s">
        <v>21300</v>
      </c>
      <c r="E9209" s="4">
        <v>380264</v>
      </c>
    </row>
    <row r="9210" spans="1:6" ht="13.5" hidden="1" customHeight="1">
      <c r="A9210" s="4" t="s">
        <v>21301</v>
      </c>
      <c r="B9210" s="4" t="s">
        <v>21302</v>
      </c>
      <c r="C9210" s="4" t="str">
        <f ca="1">IFERROR(__xludf.DUMMYFUNCTION("GOOGLETRANSLATE(D:D,""auto"",""en"")"),"Entrance end of the day what has been done")</f>
        <v>Entrance end of the day what has been done</v>
      </c>
      <c r="D9210" s="5" t="s">
        <v>21303</v>
      </c>
      <c r="E9210" s="4">
        <v>356875</v>
      </c>
    </row>
    <row r="9211" spans="1:6" ht="13.5" hidden="1" customHeight="1">
      <c r="A9211" s="4" t="s">
        <v>21304</v>
      </c>
      <c r="B9211" s="4" t="s">
        <v>21305</v>
      </c>
      <c r="C9211" s="4" t="str">
        <f ca="1">IFERROR(__xludf.DUMMYFUNCTION("GOOGLETRANSLATE(D:D,""auto"",""en"")"),"Do not forget to remember the miracle of miracles they")</f>
        <v>Do not forget to remember the miracle of miracles they</v>
      </c>
      <c r="D9211" s="5" t="s">
        <v>21306</v>
      </c>
      <c r="E9211" s="4">
        <v>305586</v>
      </c>
    </row>
    <row r="9212" spans="1:6" ht="13.5" customHeight="1">
      <c r="A9212" s="4" t="s">
        <v>21307</v>
      </c>
      <c r="B9212" s="4" t="s">
        <v>21308</v>
      </c>
      <c r="C9212" s="4" t="str">
        <f ca="1">IFERROR(__xludf.DUMMYFUNCTION("GOOGLETRANSLATE(D:D,""auto"",""en"")"),"Accompanied by Putin visited doctors diagnosed pneumonia new crown")</f>
        <v>Accompanied by Putin visited doctors diagnosed pneumonia new crown</v>
      </c>
      <c r="D9212" s="5" t="s">
        <v>21309</v>
      </c>
      <c r="E9212" s="4">
        <v>301107</v>
      </c>
      <c r="F9212">
        <v>1</v>
      </c>
    </row>
    <row r="9213" spans="1:6" ht="13.5" hidden="1" customHeight="1">
      <c r="A9213" s="4" t="s">
        <v>21310</v>
      </c>
      <c r="B9213" s="4" t="s">
        <v>21311</v>
      </c>
      <c r="C9213" s="4" t="str">
        <f ca="1">IFERROR(__xludf.DUMMYFUNCTION("GOOGLETRANSLATE(D:D,""auto"",""en"")"),"Rookie five killed")</f>
        <v>Rookie five killed</v>
      </c>
      <c r="D9213" s="5" t="s">
        <v>21312</v>
      </c>
      <c r="E9213" s="4">
        <v>284321</v>
      </c>
    </row>
    <row r="9214" spans="1:6" ht="13.5" hidden="1" customHeight="1">
      <c r="A9214" s="4" t="s">
        <v>21304</v>
      </c>
      <c r="B9214" s="4" t="s">
        <v>21313</v>
      </c>
      <c r="C9214" s="4" t="str">
        <f ca="1">IFERROR(__xludf.DUMMYFUNCTION("GOOGLETRANSLATE(D:D,""auto"",""en"")"),"Xichang forest fire sacrifice the list of persons")</f>
        <v>Xichang forest fire sacrifice the list of persons</v>
      </c>
      <c r="D9214" s="5" t="s">
        <v>21314</v>
      </c>
      <c r="E9214" s="4">
        <v>281107</v>
      </c>
    </row>
    <row r="9215" spans="1:6" ht="13.5" hidden="1" customHeight="1">
      <c r="A9215" s="4" t="s">
        <v>21301</v>
      </c>
      <c r="B9215" s="4" t="s">
        <v>21315</v>
      </c>
      <c r="C9215" s="4" t="str">
        <f ca="1">IFERROR(__xludf.DUMMYFUNCTION("GOOGLETRANSLATE(D:D,""auto"",""en"")"),"SCHOOL EDITION yellow dress")</f>
        <v>SCHOOL EDITION yellow dress</v>
      </c>
      <c r="D9215" s="5" t="s">
        <v>21316</v>
      </c>
      <c r="E9215" s="4">
        <v>274194</v>
      </c>
    </row>
    <row r="9216" spans="1:6" ht="13.5" hidden="1" customHeight="1">
      <c r="A9216" s="4" t="s">
        <v>21317</v>
      </c>
      <c r="B9216" s="4" t="s">
        <v>21318</v>
      </c>
      <c r="C9216" s="4" t="str">
        <f ca="1">IFERROR(__xludf.DUMMYFUNCTION("GOOGLETRANSLATE(D:D,""auto"",""en"")"),"Suzhou Wong Kan Tai car accident")</f>
        <v>Suzhou Wong Kan Tai car accident</v>
      </c>
      <c r="D9216" s="5" t="s">
        <v>21319</v>
      </c>
      <c r="E9216" s="4">
        <v>266637</v>
      </c>
    </row>
    <row r="9217" spans="1:6" ht="13.5" hidden="1" customHeight="1">
      <c r="A9217" s="4" t="s">
        <v>21320</v>
      </c>
      <c r="B9217" s="4" t="s">
        <v>21321</v>
      </c>
      <c r="C9217" s="4" t="str">
        <f ca="1">IFERROR(__xludf.DUMMYFUNCTION("GOOGLETRANSLATE(D:D,""auto"",""en"")"),"No longer afraid of bald")</f>
        <v>No longer afraid of bald</v>
      </c>
      <c r="D9217" s="5" t="s">
        <v>21322</v>
      </c>
      <c r="E9217" s="4">
        <v>262729</v>
      </c>
    </row>
    <row r="9218" spans="1:6" ht="13.5" hidden="1" customHeight="1">
      <c r="A9218" s="4" t="s">
        <v>21287</v>
      </c>
      <c r="B9218" s="4" t="s">
        <v>21323</v>
      </c>
      <c r="C9218" s="4" t="str">
        <f ca="1">IFERROR(__xludf.DUMMYFUNCTION("GOOGLETRANSLATE(D:D,""auto"",""en"")"),"Indian returnees are using water disinfection")</f>
        <v>Indian returnees are using water disinfection</v>
      </c>
      <c r="D9218" s="5" t="s">
        <v>21324</v>
      </c>
      <c r="E9218" s="4">
        <v>261059</v>
      </c>
    </row>
    <row r="9219" spans="1:6" ht="13.5" hidden="1" customHeight="1">
      <c r="A9219" s="4" t="s">
        <v>21301</v>
      </c>
      <c r="B9219" s="4" t="s">
        <v>21325</v>
      </c>
      <c r="C9219" s="4" t="str">
        <f ca="1">IFERROR(__xludf.DUMMYFUNCTION("GOOGLETRANSLATE(D:D,""auto"",""en"")"),"Girls' high throw apples hit 1.85 million paralysis Pipan Pei baby girl")</f>
        <v>Girls' high throw apples hit 1.85 million paralysis Pipan Pei baby girl</v>
      </c>
      <c r="D9219" s="5" t="s">
        <v>21326</v>
      </c>
      <c r="E9219" s="4">
        <v>258371</v>
      </c>
    </row>
    <row r="9220" spans="1:6" ht="13.5" customHeight="1">
      <c r="A9220" s="4" t="s">
        <v>21327</v>
      </c>
      <c r="B9220" s="4" t="s">
        <v>21299</v>
      </c>
      <c r="C9220" s="4" t="str">
        <f ca="1">IFERROR(__xludf.DUMMYFUNCTION("GOOGLETRANSLATE(D:D,""auto"",""en"")"),"This corridor was quiet began bustling Wuhan")</f>
        <v>This corridor was quiet began bustling Wuhan</v>
      </c>
      <c r="D9220" s="5" t="s">
        <v>21328</v>
      </c>
      <c r="E9220" s="4">
        <v>239803</v>
      </c>
      <c r="F9220">
        <v>1</v>
      </c>
    </row>
    <row r="9221" spans="1:6" ht="13.5" customHeight="1">
      <c r="A9221" s="4" t="s">
        <v>21329</v>
      </c>
      <c r="B9221" s="4" t="s">
        <v>21330</v>
      </c>
      <c r="C9221" s="4" t="str">
        <f ca="1">IFERROR(__xludf.DUMMYFUNCTION("GOOGLETRANSLATE(D:D,""auto"",""en"")"),"Hua Chunying response to the so-called China 's hoard medical supplies")</f>
        <v>Hua Chunying response to the so-called China 's hoard medical supplies</v>
      </c>
      <c r="D9221" s="5" t="s">
        <v>21331</v>
      </c>
      <c r="E9221" s="4">
        <v>226109</v>
      </c>
      <c r="F9221">
        <v>1</v>
      </c>
    </row>
    <row r="9222" spans="1:6" ht="13.5" hidden="1" customHeight="1">
      <c r="A9222" s="4" t="s">
        <v>21332</v>
      </c>
      <c r="B9222" s="4" t="s">
        <v>21333</v>
      </c>
      <c r="C9222" s="4" t="str">
        <f ca="1">IFERROR(__xludf.DUMMYFUNCTION("GOOGLETRANSLATE(D:D,""auto"",""en"")"),"Can you step down accommodation")</f>
        <v>Can you step down accommodation</v>
      </c>
      <c r="D9222" s="5" t="s">
        <v>21334</v>
      </c>
      <c r="E9222" s="4">
        <v>223255</v>
      </c>
    </row>
    <row r="9223" spans="1:6" ht="13.5" hidden="1" customHeight="1">
      <c r="A9223" s="4" t="s">
        <v>21304</v>
      </c>
      <c r="B9223" s="4" t="s">
        <v>21335</v>
      </c>
      <c r="C9223" s="4" t="str">
        <f ca="1">IFERROR(__xludf.DUMMYFUNCTION("GOOGLETRANSLATE(D:D,""auto"",""en"")"),"Chigua eat their suspects")</f>
        <v>Chigua eat their suspects</v>
      </c>
      <c r="D9223" s="5" t="s">
        <v>21336</v>
      </c>
      <c r="E9223" s="4">
        <v>211964</v>
      </c>
    </row>
    <row r="9224" spans="1:6" ht="13.5" hidden="1" customHeight="1">
      <c r="A9224" s="4" t="s">
        <v>21337</v>
      </c>
      <c r="B9224" s="4" t="s">
        <v>21338</v>
      </c>
      <c r="C9224" s="4" t="str">
        <f ca="1">IFERROR(__xludf.DUMMYFUNCTION("GOOGLETRANSLATE(D:D,""auto"",""en"")"),"Ni Ni Basha Cover")</f>
        <v>Ni Ni Basha Cover</v>
      </c>
      <c r="D9224" s="5" t="s">
        <v>21339</v>
      </c>
      <c r="E9224" s="4">
        <v>207893</v>
      </c>
    </row>
    <row r="9225" spans="1:6" ht="13.5" hidden="1" customHeight="1">
      <c r="A9225" s="4" t="s">
        <v>21340</v>
      </c>
      <c r="B9225" s="4" t="s">
        <v>21341</v>
      </c>
      <c r="C9225" s="4" t="str">
        <f ca="1">IFERROR(__xludf.DUMMYFUNCTION("GOOGLETRANSLATE(D:D,""auto"",""en"")"),"Song Qian hair band")</f>
        <v>Song Qian hair band</v>
      </c>
      <c r="D9225" s="5" t="s">
        <v>21342</v>
      </c>
      <c r="E9225" s="4">
        <v>205510</v>
      </c>
    </row>
    <row r="9226" spans="1:6" ht="13.5" hidden="1" customHeight="1">
      <c r="A9226" s="4" t="s">
        <v>21343</v>
      </c>
      <c r="B9226" s="4" t="s">
        <v>21333</v>
      </c>
      <c r="C9226" s="4" t="str">
        <f ca="1">IFERROR(__xludf.DUMMYFUNCTION("GOOGLETRANSLATE(D:D,""auto"",""en"")"),"What a thing down")</f>
        <v>What a thing down</v>
      </c>
      <c r="D9226" s="5" t="s">
        <v>21344</v>
      </c>
      <c r="E9226" s="4">
        <v>202516</v>
      </c>
    </row>
    <row r="9227" spans="1:6" ht="13.5" hidden="1" customHeight="1">
      <c r="A9227" s="4" t="s">
        <v>21345</v>
      </c>
      <c r="B9227" s="4" t="s">
        <v>21296</v>
      </c>
      <c r="C9227" s="4" t="str">
        <f ca="1">IFERROR(__xludf.DUMMYFUNCTION("GOOGLETRANSLATE(D:D,""auto"",""en"")"),"Wong Tai car accident on his way again escape system driver accident")</f>
        <v>Wong Tai car accident on his way again escape system driver accident</v>
      </c>
      <c r="D9227" s="5" t="s">
        <v>21346</v>
      </c>
      <c r="E9227" s="4">
        <v>182436</v>
      </c>
    </row>
    <row r="9228" spans="1:6" ht="13.5" hidden="1" customHeight="1">
      <c r="A9228" s="4" t="s">
        <v>21347</v>
      </c>
      <c r="B9228" s="4" t="s">
        <v>21348</v>
      </c>
      <c r="C9228" s="4" t="str">
        <f ca="1">IFERROR(__xludf.DUMMYFUNCTION("GOOGLETRANSLATE(D:D,""auto"",""en"")"),"Yunnan border and arrested 91 persons illegally crossing the border")</f>
        <v>Yunnan border and arrested 91 persons illegally crossing the border</v>
      </c>
      <c r="D9228" s="5" t="s">
        <v>21349</v>
      </c>
      <c r="E9228" s="4">
        <v>165251</v>
      </c>
    </row>
    <row r="9229" spans="1:6" ht="13.5" customHeight="1">
      <c r="A9229" s="4" t="s">
        <v>21350</v>
      </c>
      <c r="B9229" s="4" t="s">
        <v>21351</v>
      </c>
      <c r="C9229" s="4" t="str">
        <f ca="1">IFERROR(__xludf.DUMMYFUNCTION("GOOGLETRANSLATE(D:D,""auto"",""en"")"),"Three conditions are not met no school")</f>
        <v>Three conditions are not met no school</v>
      </c>
      <c r="D9229" s="5" t="s">
        <v>21352</v>
      </c>
      <c r="E9229" s="4">
        <v>150324</v>
      </c>
      <c r="F9229">
        <v>1</v>
      </c>
    </row>
    <row r="9230" spans="1:6" ht="13.5" customHeight="1">
      <c r="A9230" s="4" t="s">
        <v>21353</v>
      </c>
      <c r="B9230" s="4" t="s">
        <v>21354</v>
      </c>
      <c r="C9230" s="4" t="str">
        <f ca="1">IFERROR(__xludf.DUMMYFUNCTION("GOOGLETRANSLATE(D:D,""auto"",""en"")"),"Zhejiang 1 thousand medical personnel to come home")</f>
        <v>Zhejiang 1 thousand medical personnel to come home</v>
      </c>
      <c r="D9230" s="5" t="s">
        <v>21355</v>
      </c>
      <c r="E9230" s="4">
        <v>146494</v>
      </c>
      <c r="F9230">
        <v>1</v>
      </c>
    </row>
    <row r="9231" spans="1:6" ht="13.5" hidden="1" customHeight="1">
      <c r="C9231" s="4" t="str">
        <f ca="1">IFERROR(__xludf.DUMMYFUNCTION("GOOGLETRANSLATE(D:D,""auto"",""en"")"),"#VALUE!")</f>
        <v>#VALUE!</v>
      </c>
    </row>
    <row r="9232" spans="1:6" ht="13.5" hidden="1" customHeight="1">
      <c r="A9232" s="4" t="s">
        <v>21356</v>
      </c>
      <c r="B9232" s="4" t="s">
        <v>21357</v>
      </c>
      <c r="C9232" s="4" t="str">
        <f ca="1">IFERROR(__xludf.DUMMYFUNCTION("GOOGLETRANSLATE(D:D,""auto"",""en"")"),"81192")</f>
        <v>81192</v>
      </c>
      <c r="D9232" s="4">
        <v>81192</v>
      </c>
      <c r="E9232" s="4">
        <v>2595057</v>
      </c>
    </row>
    <row r="9233" spans="1:6" ht="13.5" hidden="1" customHeight="1">
      <c r="A9233" s="4" t="s">
        <v>21358</v>
      </c>
      <c r="B9233" s="4" t="s">
        <v>21359</v>
      </c>
      <c r="C9233" s="4" t="str">
        <f ca="1">IFERROR(__xludf.DUMMYFUNCTION("GOOGLETRANSLATE(D:D,""auto"",""en"")"),"Guangdong fasting all terrestrial wildlife in captivity")</f>
        <v>Guangdong fasting all terrestrial wildlife in captivity</v>
      </c>
      <c r="D9233" s="5" t="s">
        <v>21360</v>
      </c>
      <c r="E9233" s="4">
        <v>2274028</v>
      </c>
    </row>
    <row r="9234" spans="1:6" ht="13.5" hidden="1" customHeight="1">
      <c r="A9234" s="4" t="s">
        <v>21361</v>
      </c>
      <c r="B9234" s="4" t="s">
        <v>21362</v>
      </c>
      <c r="C9234" s="4" t="str">
        <f ca="1">IFERROR(__xludf.DUMMYFUNCTION("GOOGLETRANSLATE(D:D,""auto"",""en"")"),"16 years ago, Henan poisoning murder retrial acquitted")</f>
        <v>16 years ago, Henan poisoning murder retrial acquitted</v>
      </c>
      <c r="D9234" s="5" t="s">
        <v>21363</v>
      </c>
      <c r="E9234" s="4">
        <v>1854730</v>
      </c>
    </row>
    <row r="9235" spans="1:6" ht="13.5" hidden="1" customHeight="1">
      <c r="A9235" s="4" t="s">
        <v>21364</v>
      </c>
      <c r="B9235" s="4" t="s">
        <v>21362</v>
      </c>
      <c r="C9235" s="4" t="str">
        <f ca="1">IFERROR(__xludf.DUMMYFUNCTION("GOOGLETRANSLATE(D:D,""auto"",""en"")"),"Song Joey")</f>
        <v>Song Joey</v>
      </c>
      <c r="D9235" s="5" t="s">
        <v>21365</v>
      </c>
      <c r="E9235" s="4">
        <v>1814888</v>
      </c>
    </row>
    <row r="9236" spans="1:6" ht="13.5" hidden="1" customHeight="1">
      <c r="A9236" s="4" t="s">
        <v>21366</v>
      </c>
      <c r="B9236" s="4" t="s">
        <v>21367</v>
      </c>
      <c r="C9236" s="4" t="str">
        <f ca="1">IFERROR(__xludf.DUMMYFUNCTION("GOOGLETRANSLATE(D:D,""auto"",""en"")"),"Marber Qian's home")</f>
        <v>Marber Qian's home</v>
      </c>
      <c r="D9236" s="5" t="s">
        <v>21368</v>
      </c>
      <c r="E9236" s="4">
        <v>1763776</v>
      </c>
    </row>
    <row r="9237" spans="1:6" ht="13.5" hidden="1" customHeight="1">
      <c r="A9237" s="4" t="s">
        <v>21369</v>
      </c>
      <c r="B9237" s="4" t="s">
        <v>21256</v>
      </c>
      <c r="C9237" s="4" t="str">
        <f ca="1">IFERROR(__xludf.DUMMYFUNCTION("GOOGLETRANSLATE(D:D,""auto"",""en"")"),"April Fool's Day joke unified national")</f>
        <v>April Fool's Day joke unified national</v>
      </c>
      <c r="D9237" s="5" t="s">
        <v>21370</v>
      </c>
      <c r="E9237" s="4">
        <v>1497685</v>
      </c>
    </row>
    <row r="9238" spans="1:6" ht="13.5" hidden="1" customHeight="1">
      <c r="A9238" s="4" t="s">
        <v>21371</v>
      </c>
      <c r="B9238" s="4" t="s">
        <v>21372</v>
      </c>
      <c r="C9238" s="4" t="str">
        <f ca="1">IFERROR(__xludf.DUMMYFUNCTION("GOOGLETRANSLATE(D:D,""auto"",""en"")"),"Bryant ins updated")</f>
        <v>Bryant ins updated</v>
      </c>
      <c r="D9238" s="5" t="s">
        <v>21373</v>
      </c>
      <c r="E9238" s="4">
        <v>1328713</v>
      </c>
    </row>
    <row r="9239" spans="1:6" ht="13.5" hidden="1" customHeight="1">
      <c r="A9239" s="4" t="s">
        <v>21374</v>
      </c>
      <c r="B9239" s="4" t="s">
        <v>21235</v>
      </c>
      <c r="C9239" s="4" t="str">
        <f ca="1">IFERROR(__xludf.DUMMYFUNCTION("GOOGLETRANSLATE(D:D,""auto"",""en"")"),"Cherish the memory of Leslie Tang Hede")</f>
        <v>Cherish the memory of Leslie Tang Hede</v>
      </c>
      <c r="D9239" s="5" t="s">
        <v>21375</v>
      </c>
      <c r="E9239" s="4">
        <v>1261282</v>
      </c>
    </row>
    <row r="9240" spans="1:6" ht="13.5" customHeight="1">
      <c r="A9240" s="4" t="s">
        <v>21376</v>
      </c>
      <c r="B9240" s="4" t="s">
        <v>21377</v>
      </c>
      <c r="C9240" s="4" t="str">
        <f ca="1">IFERROR(__xludf.DUMMYFUNCTION("GOOGLETRANSLATE(D:D,""auto"",""en"")"),"The new crown epidemic is the greatest test since the establishment of the United Nations")</f>
        <v>The new crown epidemic is the greatest test since the establishment of the United Nations</v>
      </c>
      <c r="D9240" s="5" t="s">
        <v>21378</v>
      </c>
      <c r="E9240" s="4">
        <v>1003089</v>
      </c>
      <c r="F9240">
        <v>1</v>
      </c>
    </row>
    <row r="9241" spans="1:6" ht="13.5" hidden="1" customHeight="1">
      <c r="A9241" s="4" t="s">
        <v>21379</v>
      </c>
      <c r="B9241" s="4" t="s">
        <v>21380</v>
      </c>
      <c r="C9241" s="4" t="str">
        <f ca="1">IFERROR(__xludf.DUMMYFUNCTION("GOOGLETRANSLATE(D:D,""auto"",""en"")"),"Shanghai Sakura Station")</f>
        <v>Shanghai Sakura Station</v>
      </c>
      <c r="D9241" s="5" t="s">
        <v>21381</v>
      </c>
      <c r="E9241" s="4">
        <v>990851</v>
      </c>
    </row>
    <row r="9242" spans="1:6" ht="13.5" hidden="1" customHeight="1">
      <c r="A9242" s="4" t="s">
        <v>21382</v>
      </c>
      <c r="B9242" s="4" t="s">
        <v>21383</v>
      </c>
      <c r="C9242" s="4" t="str">
        <f ca="1">IFERROR(__xludf.DUMMYFUNCTION("GOOGLETRANSLATE(D:D,""auto"",""en"")"),"Apricot decided to divorce and Masahiro Higashide")</f>
        <v>Apricot decided to divorce and Masahiro Higashide</v>
      </c>
      <c r="D9242" s="5" t="s">
        <v>21384</v>
      </c>
      <c r="E9242" s="4">
        <v>934922</v>
      </c>
    </row>
    <row r="9243" spans="1:6" ht="13.5" customHeight="1">
      <c r="A9243" s="4" t="s">
        <v>21385</v>
      </c>
      <c r="B9243" s="4" t="s">
        <v>21253</v>
      </c>
      <c r="C9243" s="4" t="str">
        <f ca="1">IFERROR(__xludf.DUMMYFUNCTION("GOOGLETRANSLATE(D:D,""auto"",""en"")"),"Students return to complete isolation and had met with fire")</f>
        <v>Students return to complete isolation and had met with fire</v>
      </c>
      <c r="D9243" s="5" t="s">
        <v>21386</v>
      </c>
      <c r="E9243" s="4">
        <v>737816</v>
      </c>
      <c r="F9243">
        <v>1</v>
      </c>
    </row>
    <row r="9244" spans="1:6" ht="13.5" customHeight="1">
      <c r="A9244" s="4" t="s">
        <v>21387</v>
      </c>
      <c r="B9244" s="4" t="s">
        <v>21388</v>
      </c>
      <c r="C9244" s="4" t="str">
        <f ca="1">IFERROR(__xludf.DUMMYFUNCTION("GOOGLETRANSLATE(D:D,""auto"",""en"")"),"Hainan school time")</f>
        <v>Hainan school time</v>
      </c>
      <c r="D9244" s="5" t="s">
        <v>21389</v>
      </c>
      <c r="E9244" s="4">
        <v>693288</v>
      </c>
      <c r="F9244">
        <v>1</v>
      </c>
    </row>
    <row r="9245" spans="1:6" ht="13.5" hidden="1" customHeight="1">
      <c r="A9245" s="4" t="s">
        <v>21390</v>
      </c>
      <c r="B9245" s="4" t="s">
        <v>21391</v>
      </c>
      <c r="C9245" s="4" t="str">
        <f ca="1">IFERROR(__xludf.DUMMYFUNCTION("GOOGLETRANSLATE(D:D,""auto"",""en"")"),"A water managers concerned TES")</f>
        <v>A water managers concerned TES</v>
      </c>
      <c r="D9245" s="5" t="s">
        <v>21392</v>
      </c>
      <c r="E9245" s="4">
        <v>634877</v>
      </c>
    </row>
    <row r="9246" spans="1:6" ht="13.5" customHeight="1">
      <c r="A9246" s="4" t="s">
        <v>21393</v>
      </c>
      <c r="B9246" s="4" t="s">
        <v>21394</v>
      </c>
      <c r="C9246" s="4" t="str">
        <f ca="1">IFERROR(__xludf.DUMMYFUNCTION("GOOGLETRANSLATE(D:D,""auto"",""en"")"),"Japan's Olympic silver medal athletes infect new crown")</f>
        <v>Japan's Olympic silver medal athletes infect new crown</v>
      </c>
      <c r="D9246" s="5" t="s">
        <v>21395</v>
      </c>
      <c r="E9246" s="4">
        <v>611083</v>
      </c>
      <c r="F9246">
        <v>1</v>
      </c>
    </row>
    <row r="9247" spans="1:6" ht="13.5" hidden="1" customHeight="1">
      <c r="A9247" s="4" t="s">
        <v>21366</v>
      </c>
      <c r="B9247" s="4" t="s">
        <v>21396</v>
      </c>
      <c r="C9247" s="4" t="str">
        <f ca="1">IFERROR(__xludf.DUMMYFUNCTION("GOOGLETRANSLATE(D:D,""auto"",""en"")"),"Shangfen smoke induced mu wildfires")</f>
        <v>Shangfen smoke induced mu wildfires</v>
      </c>
      <c r="D9247" s="5" t="s">
        <v>21397</v>
      </c>
      <c r="E9247" s="4">
        <v>602314</v>
      </c>
    </row>
    <row r="9248" spans="1:6" ht="13.5" hidden="1" customHeight="1">
      <c r="A9248" s="4" t="s">
        <v>21398</v>
      </c>
      <c r="B9248" s="4" t="s">
        <v>21399</v>
      </c>
      <c r="C9248" s="4" t="str">
        <f ca="1">IFERROR(__xludf.DUMMYFUNCTION("GOOGLETRANSLATE(D:D,""auto"",""en"")"),"Wang Wei before the long-cherished wish come true")</f>
        <v>Wang Wei before the long-cherished wish come true</v>
      </c>
      <c r="D9248" s="5" t="s">
        <v>21400</v>
      </c>
      <c r="E9248" s="4">
        <v>599534</v>
      </c>
    </row>
    <row r="9249" spans="1:6" ht="13.5" hidden="1" customHeight="1">
      <c r="A9249" s="4" t="s">
        <v>21401</v>
      </c>
      <c r="B9249" s="4" t="s">
        <v>21402</v>
      </c>
      <c r="C9249" s="4" t="str">
        <f ca="1">IFERROR(__xludf.DUMMYFUNCTION("GOOGLETRANSLATE(D:D,""auto"",""en"")"),"April Fool's really scary thing")</f>
        <v>April Fool's really scary thing</v>
      </c>
      <c r="D9249" s="5" t="s">
        <v>21403</v>
      </c>
      <c r="E9249" s="4">
        <v>592130</v>
      </c>
    </row>
    <row r="9250" spans="1:6" ht="13.5" customHeight="1">
      <c r="A9250" s="4" t="s">
        <v>21404</v>
      </c>
      <c r="B9250" s="4" t="s">
        <v>21380</v>
      </c>
      <c r="C9250" s="4" t="str">
        <f ca="1">IFERROR(__xludf.DUMMYFUNCTION("GOOGLETRANSLATE(D:D,""auto"",""en"")"),"Andrew Jack died infect new crown")</f>
        <v>Andrew Jack died infect new crown</v>
      </c>
      <c r="D9250" s="5" t="s">
        <v>21405</v>
      </c>
      <c r="E9250" s="4">
        <v>578113</v>
      </c>
      <c r="F9250">
        <v>1</v>
      </c>
    </row>
    <row r="9251" spans="1:6" ht="13.5" hidden="1" customHeight="1">
      <c r="A9251" s="4" t="s">
        <v>21406</v>
      </c>
      <c r="B9251" s="4" t="s">
        <v>21359</v>
      </c>
      <c r="C9251" s="4" t="str">
        <f ca="1">IFERROR(__xludf.DUMMYFUNCTION("GOOGLETRANSLATE(D:D,""auto"",""en"")"),"Take small holds extraordinary temperament")</f>
        <v>Take small holds extraordinary temperament</v>
      </c>
      <c r="D9251" s="5" t="s">
        <v>21407</v>
      </c>
      <c r="E9251" s="4">
        <v>574425</v>
      </c>
    </row>
    <row r="9252" spans="1:6" ht="13.5" hidden="1" customHeight="1">
      <c r="A9252" s="4" t="s">
        <v>21408</v>
      </c>
      <c r="B9252" s="4" t="s">
        <v>21409</v>
      </c>
      <c r="C9252" s="4" t="str">
        <f ca="1">IFERROR(__xludf.DUMMYFUNCTION("GOOGLETRANSLATE(D:D,""auto"",""en"")"),"Lu Han Wu Yifan song")</f>
        <v>Lu Han Wu Yifan song</v>
      </c>
      <c r="D9252" s="5" t="s">
        <v>21410</v>
      </c>
      <c r="E9252" s="4">
        <v>569880</v>
      </c>
    </row>
    <row r="9253" spans="1:6" ht="13.5" hidden="1" customHeight="1">
      <c r="A9253" s="4" t="s">
        <v>21411</v>
      </c>
      <c r="B9253" s="4" t="s">
        <v>21412</v>
      </c>
      <c r="C9253" s="4" t="str">
        <f ca="1">IFERROR(__xludf.DUMMYFUNCTION("GOOGLETRANSLATE(D:D,""auto"",""en"")"),"Like most of you do not like gregarious")</f>
        <v>Like most of you do not like gregarious</v>
      </c>
      <c r="D9253" s="5" t="s">
        <v>21413</v>
      </c>
      <c r="E9253" s="4">
        <v>558988</v>
      </c>
    </row>
    <row r="9254" spans="1:6" ht="13.5" customHeight="1">
      <c r="A9254" s="4" t="s">
        <v>21414</v>
      </c>
      <c r="B9254" s="4" t="s">
        <v>21266</v>
      </c>
      <c r="C9254" s="4" t="str">
        <f ca="1">IFERROR(__xludf.DUMMYFUNCTION("GOOGLETRANSLATE(D:D,""auto"",""en"")"),"Wuhan Hankou fuchsia bloom")</f>
        <v>Wuhan Hankou fuchsia bloom</v>
      </c>
      <c r="D9254" s="5" t="s">
        <v>21415</v>
      </c>
      <c r="E9254" s="4">
        <v>540599</v>
      </c>
      <c r="F9254">
        <v>1</v>
      </c>
    </row>
    <row r="9255" spans="1:6" ht="13.5" hidden="1" customHeight="1">
      <c r="A9255" s="4" t="s">
        <v>21416</v>
      </c>
      <c r="B9255" s="4" t="s">
        <v>21417</v>
      </c>
      <c r="C9255" s="4" t="str">
        <f ca="1">IFERROR(__xludf.DUMMYFUNCTION("GOOGLETRANSLATE(D:D,""auto"",""en"")"),"My friend and I only understanding")</f>
        <v>My friend and I only understanding</v>
      </c>
      <c r="D9255" s="5" t="s">
        <v>21418</v>
      </c>
      <c r="E9255" s="4">
        <v>534174</v>
      </c>
    </row>
    <row r="9256" spans="1:6" ht="13.5" hidden="1" customHeight="1">
      <c r="A9256" s="4" t="s">
        <v>21419</v>
      </c>
      <c r="B9256" s="4" t="s">
        <v>21420</v>
      </c>
      <c r="C9256" s="4" t="str">
        <f ca="1">IFERROR(__xludf.DUMMYFUNCTION("GOOGLETRANSLATE(D:D,""auto"",""en"")"),"Variety in the S-class cover")</f>
        <v>Variety in the S-class cover</v>
      </c>
      <c r="D9256" s="5" t="s">
        <v>21421</v>
      </c>
      <c r="E9256" s="4">
        <v>528251</v>
      </c>
    </row>
    <row r="9257" spans="1:6" ht="13.5" hidden="1" customHeight="1">
      <c r="A9257" s="4" t="s">
        <v>21422</v>
      </c>
      <c r="B9257" s="4" t="s">
        <v>21423</v>
      </c>
      <c r="C9257" s="4" t="str">
        <f ca="1">IFERROR(__xludf.DUMMYFUNCTION("GOOGLETRANSLATE(D:D,""auto"",""en"")"),"April Fool's Day joke rollover site")</f>
        <v>April Fool's Day joke rollover site</v>
      </c>
      <c r="D9257" s="5" t="s">
        <v>21424</v>
      </c>
      <c r="E9257" s="4">
        <v>465522</v>
      </c>
    </row>
    <row r="9258" spans="1:6" ht="13.5" hidden="1" customHeight="1">
      <c r="A9258" s="4" t="s">
        <v>21425</v>
      </c>
      <c r="B9258" s="4" t="s">
        <v>21426</v>
      </c>
      <c r="C9258" s="4" t="str">
        <f ca="1">IFERROR(__xludf.DUMMYFUNCTION("GOOGLETRANSLATE(D:D,""auto"",""en"")"),"BWF world ranking frozen")</f>
        <v>BWF world ranking frozen</v>
      </c>
      <c r="D9258" s="5" t="s">
        <v>21427</v>
      </c>
      <c r="E9258" s="4">
        <v>436648</v>
      </c>
    </row>
    <row r="9259" spans="1:6" ht="13.5" hidden="1" customHeight="1">
      <c r="A9259" s="4" t="s">
        <v>21390</v>
      </c>
      <c r="B9259" s="4" t="s">
        <v>21317</v>
      </c>
      <c r="C9259" s="4" t="str">
        <f ca="1">IFERROR(__xludf.DUMMYFUNCTION("GOOGLETRANSLATE(D:D,""auto"",""en"")"),"New York from China ordered 17 000 ventilator")</f>
        <v>New York from China ordered 17 000 ventilator</v>
      </c>
      <c r="D9259" s="5" t="s">
        <v>21428</v>
      </c>
      <c r="E9259" s="4">
        <v>409165</v>
      </c>
    </row>
    <row r="9260" spans="1:6" ht="13.5" hidden="1" customHeight="1">
      <c r="A9260" s="4" t="s">
        <v>21241</v>
      </c>
      <c r="B9260" s="4" t="s">
        <v>21242</v>
      </c>
      <c r="C9260" s="4" t="str">
        <f ca="1">IFERROR(__xludf.DUMMYFUNCTION("GOOGLETRANSLATE(D:D,""auto"",""en"")"),"Ministry of Foreign Affairs to respond to Chinese students want to return home")</f>
        <v>Ministry of Foreign Affairs to respond to Chinese students want to return home</v>
      </c>
      <c r="D9260" s="5" t="s">
        <v>21243</v>
      </c>
      <c r="E9260" s="4">
        <v>397398</v>
      </c>
    </row>
    <row r="9261" spans="1:6" ht="13.5" hidden="1" customHeight="1">
      <c r="A9261" s="4" t="s">
        <v>21429</v>
      </c>
      <c r="B9261" s="4" t="s">
        <v>21275</v>
      </c>
      <c r="C9261" s="4" t="str">
        <f ca="1">IFERROR(__xludf.DUMMYFUNCTION("GOOGLETRANSLATE(D:D,""auto"",""en"")"),"There are 14 provinces and cities to open tax year Huisuan")</f>
        <v>There are 14 provinces and cities to open tax year Huisuan</v>
      </c>
      <c r="D9261" s="5" t="s">
        <v>21430</v>
      </c>
      <c r="E9261" s="4">
        <v>389957</v>
      </c>
    </row>
    <row r="9262" spans="1:6" ht="13.5" hidden="1" customHeight="1">
      <c r="A9262" s="4" t="s">
        <v>21244</v>
      </c>
      <c r="B9262" s="4" t="s">
        <v>21245</v>
      </c>
      <c r="C9262" s="4" t="str">
        <f ca="1">IFERROR(__xludf.DUMMYFUNCTION("GOOGLETRANSLATE(D:D,""auto"",""en"")"),"Leslie")</f>
        <v>Leslie</v>
      </c>
      <c r="D9262" s="5" t="s">
        <v>21246</v>
      </c>
      <c r="E9262" s="4">
        <v>378000</v>
      </c>
    </row>
    <row r="9263" spans="1:6" ht="13.5" customHeight="1">
      <c r="A9263" s="4" t="s">
        <v>21431</v>
      </c>
      <c r="B9263" s="4" t="s">
        <v>21432</v>
      </c>
      <c r="C9263" s="4" t="str">
        <f ca="1">IFERROR(__xludf.DUMMYFUNCTION("GOOGLETRANSLATE(D:D,""auto"",""en"")"),"US new crown over 180,000 confirmed cases of pneumonia")</f>
        <v>US new crown over 180,000 confirmed cases of pneumonia</v>
      </c>
      <c r="D9263" s="5" t="s">
        <v>21433</v>
      </c>
      <c r="E9263" s="4">
        <v>364072</v>
      </c>
      <c r="F9263">
        <v>1</v>
      </c>
    </row>
    <row r="9264" spans="1:6" ht="13.5" hidden="1" customHeight="1">
      <c r="A9264" s="4" t="s">
        <v>21434</v>
      </c>
      <c r="B9264" s="4" t="s">
        <v>21435</v>
      </c>
      <c r="C9264" s="4" t="str">
        <f ca="1">IFERROR(__xludf.DUMMYFUNCTION("GOOGLETRANSLATE(D:D,""auto"",""en"")"),"April Fool's Day")</f>
        <v>April Fool's Day</v>
      </c>
      <c r="D9264" s="5" t="s">
        <v>21436</v>
      </c>
      <c r="E9264" s="4">
        <v>355378</v>
      </c>
    </row>
    <row r="9265" spans="1:6" ht="13.5" hidden="1" customHeight="1">
      <c r="A9265" s="4" t="s">
        <v>21437</v>
      </c>
      <c r="B9265" s="4" t="s">
        <v>21317</v>
      </c>
      <c r="C9265" s="4" t="str">
        <f ca="1">IFERROR(__xludf.DUMMYFUNCTION("GOOGLETRANSLATE(D:D,""auto"",""en"")"),"The British production company ventilator")</f>
        <v>The British production company ventilator</v>
      </c>
      <c r="D9265" s="5" t="s">
        <v>21438</v>
      </c>
      <c r="E9265" s="4">
        <v>346846</v>
      </c>
    </row>
    <row r="9266" spans="1:6" ht="13.5" hidden="1" customHeight="1">
      <c r="A9266" s="4" t="s">
        <v>21431</v>
      </c>
      <c r="B9266" s="4" t="s">
        <v>21439</v>
      </c>
      <c r="C9266" s="4" t="str">
        <f ca="1">IFERROR(__xludf.DUMMYFUNCTION("GOOGLETRANSLATE(D:D,""auto"",""en"")"),"Cantonese version of the Van Doo poetry leisure Chodo")</f>
        <v>Cantonese version of the Van Doo poetry leisure Chodo</v>
      </c>
      <c r="D9266" s="5" t="s">
        <v>21440</v>
      </c>
      <c r="E9266" s="4">
        <v>346315</v>
      </c>
    </row>
    <row r="9267" spans="1:6" ht="13.5" hidden="1" customHeight="1">
      <c r="A9267" s="4" t="s">
        <v>21441</v>
      </c>
      <c r="B9267" s="4" t="s">
        <v>21442</v>
      </c>
      <c r="C9267" s="4" t="str">
        <f ca="1">IFERROR(__xludf.DUMMYFUNCTION("GOOGLETRANSLATE(D:D,""auto"",""en"")"),"April hello")</f>
        <v>April hello</v>
      </c>
      <c r="D9267" s="5" t="s">
        <v>21443</v>
      </c>
      <c r="E9267" s="4">
        <v>337572</v>
      </c>
    </row>
    <row r="9268" spans="1:6" ht="13.5" customHeight="1">
      <c r="A9268" s="4" t="s">
        <v>21444</v>
      </c>
      <c r="B9268" s="4" t="s">
        <v>21327</v>
      </c>
      <c r="C9268" s="4" t="str">
        <f ca="1">IFERROR(__xludf.DUMMYFUNCTION("GOOGLETRANSLATE(D:D,""auto"",""en"")"),"Italy's new crown pneumonia epidemic is entering a plateau phase")</f>
        <v>Italy's new crown pneumonia epidemic is entering a plateau phase</v>
      </c>
      <c r="D9268" s="5" t="s">
        <v>21445</v>
      </c>
      <c r="E9268" s="4">
        <v>305863</v>
      </c>
      <c r="F9268">
        <v>1</v>
      </c>
    </row>
    <row r="9269" spans="1:6" ht="13.5" customHeight="1">
      <c r="A9269" s="4" t="s">
        <v>21446</v>
      </c>
      <c r="B9269" s="4" t="s">
        <v>21447</v>
      </c>
      <c r="C9269" s="4" t="str">
        <f ca="1">IFERROR(__xludf.DUMMYFUNCTION("GOOGLETRANSLATE(D:D,""auto"",""en"")"),"Watching the sunset old man playing the violin farewell Shanghai medical team")</f>
        <v>Watching the sunset old man playing the violin farewell Shanghai medical team</v>
      </c>
      <c r="D9269" s="5" t="s">
        <v>21448</v>
      </c>
      <c r="E9269" s="4">
        <v>291552</v>
      </c>
      <c r="F9269">
        <v>1</v>
      </c>
    </row>
    <row r="9270" spans="1:6" ht="13.5" customHeight="1">
      <c r="A9270" s="4" t="s">
        <v>21449</v>
      </c>
      <c r="B9270" s="4" t="s">
        <v>21229</v>
      </c>
      <c r="C9270" s="4" t="str">
        <f ca="1">IFERROR(__xludf.DUMMYFUNCTION("GOOGLETRANSLATE(D:D,""auto"",""en"")"),"South Korea confirmed a total of 9887 cases")</f>
        <v>South Korea confirmed a total of 9887 cases</v>
      </c>
      <c r="D9270" s="5" t="s">
        <v>21450</v>
      </c>
      <c r="E9270" s="4">
        <v>270386</v>
      </c>
      <c r="F9270">
        <v>1</v>
      </c>
    </row>
    <row r="9271" spans="1:6" ht="13.5" customHeight="1">
      <c r="A9271" s="4" t="s">
        <v>21446</v>
      </c>
      <c r="B9271" s="4" t="s">
        <v>21451</v>
      </c>
      <c r="C9271" s="4" t="str">
        <f ca="1">IFERROR(__xludf.DUMMYFUNCTION("GOOGLETRANSLATE(D:D,""auto"",""en"")"),"Li Lanjuan said that Zhejiang will continue to focus on returning Wuhan")</f>
        <v>Li Lanjuan said that Zhejiang will continue to focus on returning Wuhan</v>
      </c>
      <c r="D9271" s="5" t="s">
        <v>21452</v>
      </c>
      <c r="E9271" s="4">
        <v>268164</v>
      </c>
      <c r="F9271">
        <v>1</v>
      </c>
    </row>
    <row r="9272" spans="1:6" ht="13.5" customHeight="1">
      <c r="A9272" s="4" t="s">
        <v>21453</v>
      </c>
      <c r="B9272" s="4" t="s">
        <v>21454</v>
      </c>
      <c r="C9272" s="4" t="str">
        <f ca="1">IFERROR(__xludf.DUMMYFUNCTION("GOOGLETRANSLATE(D:D,""auto"",""en"")"),"CNN ANCHOR confirmed infected with the new crown pneumonia")</f>
        <v>CNN ANCHOR confirmed infected with the new crown pneumonia</v>
      </c>
      <c r="D9272" s="5" t="s">
        <v>21455</v>
      </c>
      <c r="E9272" s="4">
        <v>257069</v>
      </c>
      <c r="F9272">
        <v>1</v>
      </c>
    </row>
    <row r="9273" spans="1:6" ht="13.5" customHeight="1">
      <c r="A9273" s="4" t="s">
        <v>21456</v>
      </c>
      <c r="B9273" s="4" t="s">
        <v>21457</v>
      </c>
      <c r="C9273" s="4" t="str">
        <f ca="1">IFERROR(__xludf.DUMMYFUNCTION("GOOGLETRANSLATE(D:D,""auto"",""en"")"),"Wuhan restart sound")</f>
        <v>Wuhan restart sound</v>
      </c>
      <c r="D9273" s="5" t="s">
        <v>21458</v>
      </c>
      <c r="E9273" s="4">
        <v>256741</v>
      </c>
      <c r="F9273">
        <v>1</v>
      </c>
    </row>
    <row r="9274" spans="1:6" ht="13.5" customHeight="1">
      <c r="A9274" s="4" t="s">
        <v>21459</v>
      </c>
      <c r="B9274" s="4" t="s">
        <v>21460</v>
      </c>
      <c r="C9274" s="4" t="str">
        <f ca="1">IFERROR(__xludf.DUMMYFUNCTION("GOOGLETRANSLATE(D:D,""auto"",""en"")"),"US aircraft carrier over a hundred people infected with the new crown pneumonia")</f>
        <v>US aircraft carrier over a hundred people infected with the new crown pneumonia</v>
      </c>
      <c r="D9274" s="5" t="s">
        <v>21461</v>
      </c>
      <c r="E9274" s="4">
        <v>256684</v>
      </c>
      <c r="F9274">
        <v>1</v>
      </c>
    </row>
    <row r="9275" spans="1:6" ht="13.5" hidden="1" customHeight="1">
      <c r="A9275" s="4" t="s">
        <v>21462</v>
      </c>
      <c r="B9275" s="4" t="s">
        <v>21463</v>
      </c>
      <c r="C9275" s="4" t="str">
        <f ca="1">IFERROR(__xludf.DUMMYFUNCTION("GOOGLETRANSLATE(D:D,""auto"",""en"")"),"Salted egg yolk sand shrimp slide")</f>
        <v>Salted egg yolk sand shrimp slide</v>
      </c>
      <c r="D9275" s="5" t="s">
        <v>21464</v>
      </c>
      <c r="E9275" s="4">
        <v>253398</v>
      </c>
    </row>
    <row r="9276" spans="1:6" ht="13.5" hidden="1" customHeight="1">
      <c r="A9276" s="4" t="s">
        <v>21465</v>
      </c>
      <c r="B9276" s="4" t="s">
        <v>21457</v>
      </c>
      <c r="C9276" s="4" t="str">
        <f ca="1">IFERROR(__xludf.DUMMYFUNCTION("GOOGLETRANSLATE(D:D,""auto"",""en"")"),"The underwater world of cherry blossoms")</f>
        <v>The underwater world of cherry blossoms</v>
      </c>
      <c r="D9276" s="5" t="s">
        <v>21466</v>
      </c>
      <c r="E9276" s="4">
        <v>240173</v>
      </c>
    </row>
    <row r="9277" spans="1:6" ht="13.5" hidden="1" customHeight="1">
      <c r="A9277" s="4" t="s">
        <v>21467</v>
      </c>
      <c r="B9277" s="4" t="s">
        <v>21468</v>
      </c>
      <c r="C9277" s="4" t="str">
        <f ca="1">IFERROR(__xludf.DUMMYFUNCTION("GOOGLETRANSLATE(D:D,""auto"",""en"")"),"Peace elite update")</f>
        <v>Peace elite update</v>
      </c>
      <c r="D9277" s="5" t="s">
        <v>21469</v>
      </c>
      <c r="E9277" s="4">
        <v>237050</v>
      </c>
    </row>
    <row r="9278" spans="1:6" ht="13.5" hidden="1" customHeight="1">
      <c r="A9278" s="4" t="s">
        <v>21470</v>
      </c>
      <c r="B9278" s="4" t="s">
        <v>21278</v>
      </c>
      <c r="C9278" s="4" t="str">
        <f ca="1">IFERROR(__xludf.DUMMYFUNCTION("GOOGLETRANSLATE(D:D,""auto"",""en"")"),"Non-contact fighting tournament held in the United States")</f>
        <v>Non-contact fighting tournament held in the United States</v>
      </c>
      <c r="D9278" s="5" t="s">
        <v>21471</v>
      </c>
      <c r="E9278" s="4">
        <v>221681</v>
      </c>
    </row>
    <row r="9279" spans="1:6" ht="13.5" hidden="1" customHeight="1">
      <c r="A9279" s="4" t="s">
        <v>18462</v>
      </c>
      <c r="B9279" s="4" t="s">
        <v>18463</v>
      </c>
      <c r="C9279" s="4" t="str">
        <f ca="1">IFERROR(__xludf.DUMMYFUNCTION("GOOGLETRANSLATE(D:D,""auto"",""en"")"),"Rock candy stew Sydney")</f>
        <v>Rock candy stew Sydney</v>
      </c>
      <c r="D9279" s="5" t="s">
        <v>18464</v>
      </c>
      <c r="E9279" s="4">
        <v>206153</v>
      </c>
    </row>
    <row r="9280" spans="1:6" ht="13.5" hidden="1" customHeight="1">
      <c r="A9280" s="4" t="s">
        <v>21457</v>
      </c>
      <c r="B9280" s="4" t="s">
        <v>21420</v>
      </c>
      <c r="C9280" s="4" t="str">
        <f ca="1">IFERROR(__xludf.DUMMYFUNCTION("GOOGLETRANSLATE(D:D,""auto"",""en"")"),"April Fool's Day contest copy")</f>
        <v>April Fool's Day contest copy</v>
      </c>
      <c r="D9280" s="5" t="s">
        <v>21472</v>
      </c>
      <c r="E9280" s="4">
        <v>195183</v>
      </c>
    </row>
    <row r="9281" spans="1:6" ht="13.5" customHeight="1">
      <c r="A9281" s="4" t="s">
        <v>21457</v>
      </c>
      <c r="B9281" s="4" t="s">
        <v>21473</v>
      </c>
      <c r="C9281" s="4" t="str">
        <f ca="1">IFERROR(__xludf.DUMMYFUNCTION("GOOGLETRANSLATE(D:D,""auto"",""en"")"),"New foreign imported cases 7 cases Shanghai")</f>
        <v>New foreign imported cases 7 cases Shanghai</v>
      </c>
      <c r="D9281" s="5" t="s">
        <v>21474</v>
      </c>
      <c r="E9281" s="4">
        <v>192091</v>
      </c>
      <c r="F9281">
        <v>1</v>
      </c>
    </row>
    <row r="9282" spans="1:6" ht="13.5" hidden="1" customHeight="1">
      <c r="C9282" s="4" t="str">
        <f ca="1">IFERROR(__xludf.DUMMYFUNCTION("GOOGLETRANSLATE(D:D,""auto"",""en"")"),"#VALUE!")</f>
        <v>#VALUE!</v>
      </c>
    </row>
    <row r="9283" spans="1:6" ht="13.5" hidden="1" customHeight="1">
      <c r="A9283" s="4" t="s">
        <v>21475</v>
      </c>
      <c r="B9283" s="4" t="s">
        <v>21476</v>
      </c>
      <c r="C9283" s="4" t="str">
        <f ca="1">IFERROR(__xludf.DUMMYFUNCTION("GOOGLETRANSLATE(D:D,""auto"",""en"")"),"Ghost Blows")</f>
        <v>Ghost Blows</v>
      </c>
      <c r="D9283" s="4" t="s">
        <v>21477</v>
      </c>
      <c r="E9283" s="4">
        <v>1700954</v>
      </c>
    </row>
    <row r="9284" spans="1:6" ht="13.5" customHeight="1">
      <c r="A9284" s="4" t="s">
        <v>21478</v>
      </c>
      <c r="B9284" s="4" t="s">
        <v>21479</v>
      </c>
      <c r="C9284" s="4" t="str">
        <f ca="1">IFERROR(__xludf.DUMMYFUNCTION("GOOGLETRANSLATE(D:D,""auto"",""en"")"),"Hua Chunying respond Taiwan donated 10 million masks to Europe")</f>
        <v>Hua Chunying respond Taiwan donated 10 million masks to Europe</v>
      </c>
      <c r="D9284" s="5" t="s">
        <v>21480</v>
      </c>
      <c r="E9284" s="4">
        <v>1591660</v>
      </c>
      <c r="F9284">
        <v>1</v>
      </c>
    </row>
    <row r="9285" spans="1:6" ht="13.5" hidden="1" customHeight="1">
      <c r="A9285" s="4" t="s">
        <v>21481</v>
      </c>
      <c r="B9285" s="4" t="s">
        <v>21482</v>
      </c>
      <c r="C9285" s="4" t="str">
        <f ca="1">IFERROR(__xludf.DUMMYFUNCTION("GOOGLETRANSLATE(D:D,""auto"",""en"")"),"Henan Jia County village full closure seal area")</f>
        <v>Henan Jia County village full closure seal area</v>
      </c>
      <c r="D9285" s="5" t="s">
        <v>21483</v>
      </c>
      <c r="E9285" s="4">
        <v>1492703</v>
      </c>
    </row>
    <row r="9286" spans="1:6" ht="13.5" hidden="1" customHeight="1">
      <c r="A9286" s="4" t="s">
        <v>21484</v>
      </c>
      <c r="B9286" s="4" t="s">
        <v>21485</v>
      </c>
      <c r="C9286" s="4" t="str">
        <f ca="1">IFERROR(__xludf.DUMMYFUNCTION("GOOGLETRANSLATE(D:D,""auto"",""en"")"),"Silvia had to sell rocket")</f>
        <v>Silvia had to sell rocket</v>
      </c>
      <c r="D9286" s="5" t="s">
        <v>21486</v>
      </c>
      <c r="E9286" s="4">
        <v>1490711</v>
      </c>
    </row>
    <row r="9287" spans="1:6" ht="13.5" hidden="1" customHeight="1">
      <c r="A9287" s="4" t="s">
        <v>21487</v>
      </c>
      <c r="B9287" s="4" t="s">
        <v>21488</v>
      </c>
      <c r="C9287" s="4" t="str">
        <f ca="1">IFERROR(__xludf.DUMMYFUNCTION("GOOGLETRANSLATE(D:D,""auto"",""en"")"),"Qi spring plum flowers feast")</f>
        <v>Qi spring plum flowers feast</v>
      </c>
      <c r="D9287" s="5" t="s">
        <v>21489</v>
      </c>
      <c r="E9287" s="4">
        <v>1485095</v>
      </c>
    </row>
    <row r="9288" spans="1:6" ht="13.5" hidden="1" customHeight="1">
      <c r="A9288" s="4" t="s">
        <v>21490</v>
      </c>
      <c r="B9288" s="4" t="s">
        <v>21491</v>
      </c>
      <c r="C9288" s="4" t="str">
        <f ca="1">IFERROR(__xludf.DUMMYFUNCTION("GOOGLETRANSLATE(D:D,""auto"",""en"")"),"Gold in the apology")</f>
        <v>Gold in the apology</v>
      </c>
      <c r="D9288" s="5" t="s">
        <v>21492</v>
      </c>
      <c r="E9288" s="4">
        <v>1052239</v>
      </c>
    </row>
    <row r="9289" spans="1:6" ht="13.5" hidden="1" customHeight="1">
      <c r="A9289" s="4" t="s">
        <v>21493</v>
      </c>
      <c r="B9289" s="4" t="s">
        <v>21366</v>
      </c>
      <c r="C9289" s="4" t="str">
        <f ca="1">IFERROR(__xludf.DUMMYFUNCTION("GOOGLETRANSLATE(D:D,""auto"",""en"")"),"Mixed")</f>
        <v>Mixed</v>
      </c>
      <c r="D9289" s="5" t="s">
        <v>21494</v>
      </c>
      <c r="E9289" s="4">
        <v>945989</v>
      </c>
    </row>
    <row r="9290" spans="1:6" ht="13.5" customHeight="1">
      <c r="A9290" s="4" t="s">
        <v>21495</v>
      </c>
      <c r="B9290" s="4" t="s">
        <v>21496</v>
      </c>
      <c r="C9290" s="4" t="str">
        <f ca="1">IFERROR(__xludf.DUMMYFUNCTION("GOOGLETRANSLATE(D:D,""auto"",""en"")"),"Zhong Nanshan indicate asymptomatic infection does not cause large outbreaks")</f>
        <v>Zhong Nanshan indicate asymptomatic infection does not cause large outbreaks</v>
      </c>
      <c r="D9290" s="5" t="s">
        <v>21497</v>
      </c>
      <c r="E9290" s="4">
        <v>804911</v>
      </c>
      <c r="F9290">
        <v>1</v>
      </c>
    </row>
    <row r="9291" spans="1:6" ht="13.5" customHeight="1">
      <c r="A9291" s="4" t="s">
        <v>21498</v>
      </c>
      <c r="B9291" s="4" t="s">
        <v>21499</v>
      </c>
      <c r="C9291" s="4" t="str">
        <f ca="1">IFERROR(__xludf.DUMMYFUNCTION("GOOGLETRANSLATE(D:D,""auto"",""en"")"),"Laoshan Health Agency Response nucleic acid detection foreigner to jump the queue")</f>
        <v>Laoshan Health Agency Response nucleic acid detection foreigner to jump the queue</v>
      </c>
      <c r="D9291" s="5" t="s">
        <v>21500</v>
      </c>
      <c r="E9291" s="4">
        <v>766395</v>
      </c>
      <c r="F9291">
        <v>1</v>
      </c>
    </row>
    <row r="9292" spans="1:6" ht="13.5" hidden="1" customHeight="1">
      <c r="A9292" s="4" t="s">
        <v>21490</v>
      </c>
      <c r="B9292" s="4" t="s">
        <v>21501</v>
      </c>
      <c r="C9292" s="4" t="str">
        <f ca="1">IFERROR(__xludf.DUMMYFUNCTION("GOOGLETRANSLATE(D:D,""auto"",""en"")"),"Sichuan, Yunnan forest fire red alert")</f>
        <v>Sichuan, Yunnan forest fire red alert</v>
      </c>
      <c r="D9292" s="5" t="s">
        <v>21502</v>
      </c>
      <c r="E9292" s="4">
        <v>695631</v>
      </c>
    </row>
    <row r="9293" spans="1:6" ht="13.5" hidden="1" customHeight="1">
      <c r="A9293" s="4" t="s">
        <v>21503</v>
      </c>
      <c r="B9293" s="4" t="s">
        <v>21504</v>
      </c>
      <c r="C9293" s="4" t="str">
        <f ca="1">IFERROR(__xludf.DUMMYFUNCTION("GOOGLETRANSLATE(D:D,""auto"",""en"")"),"Rabe offspring for help to China")</f>
        <v>Rabe offspring for help to China</v>
      </c>
      <c r="D9293" s="5" t="s">
        <v>21505</v>
      </c>
      <c r="E9293" s="4">
        <v>624359</v>
      </c>
    </row>
    <row r="9294" spans="1:6" ht="13.5" customHeight="1">
      <c r="A9294" s="4" t="s">
        <v>21506</v>
      </c>
      <c r="B9294" s="4" t="s">
        <v>21401</v>
      </c>
      <c r="C9294" s="4" t="str">
        <f ca="1">IFERROR(__xludf.DUMMYFUNCTION("GOOGLETRANSLATE(D:D,""auto"",""en"")"),"The United States refused to import Chinese masks KN95")</f>
        <v>The United States refused to import Chinese masks KN95</v>
      </c>
      <c r="D9294" s="5" t="s">
        <v>21507</v>
      </c>
      <c r="E9294" s="4">
        <v>624217</v>
      </c>
      <c r="F9294">
        <v>1</v>
      </c>
    </row>
    <row r="9295" spans="1:6" ht="13.5" customHeight="1">
      <c r="A9295" s="4" t="s">
        <v>21508</v>
      </c>
      <c r="B9295" s="4" t="s">
        <v>21509</v>
      </c>
      <c r="C9295" s="4" t="str">
        <f ca="1">IFERROR(__xludf.DUMMYFUNCTION("GOOGLETRANSLATE(D:D,""auto"",""en"")"),"ZHANG Wen-hong said that asymptomatic infection is not so terrible")</f>
        <v>ZHANG Wen-hong said that asymptomatic infection is not so terrible</v>
      </c>
      <c r="D9295" s="5" t="s">
        <v>21510</v>
      </c>
      <c r="E9295" s="4">
        <v>620979</v>
      </c>
      <c r="F9295">
        <v>1</v>
      </c>
    </row>
    <row r="9296" spans="1:6" ht="13.5" customHeight="1">
      <c r="A9296" s="4" t="s">
        <v>21511</v>
      </c>
      <c r="B9296" s="4" t="s">
        <v>21512</v>
      </c>
      <c r="C9296" s="4" t="str">
        <f ca="1">IFERROR(__xludf.DUMMYFUNCTION("GOOGLETRANSLATE(D:D,""auto"",""en"")"),"Chinese goods exported to tighten the fight against SARS")</f>
        <v>Chinese goods exported to tighten the fight against SARS</v>
      </c>
      <c r="D9296" s="5" t="s">
        <v>21513</v>
      </c>
      <c r="E9296" s="4">
        <v>618863</v>
      </c>
      <c r="F9296">
        <v>1</v>
      </c>
    </row>
    <row r="9297" spans="1:6" ht="13.5" customHeight="1">
      <c r="A9297" s="4" t="s">
        <v>21514</v>
      </c>
      <c r="B9297" s="4" t="s">
        <v>21515</v>
      </c>
      <c r="C9297" s="4" t="str">
        <f ca="1">IFERROR(__xludf.DUMMYFUNCTION("GOOGLETRANSLATE(D:D,""auto"",""en"")"),"Tokyo Kabuki-cho, a large number of infected persons")</f>
        <v>Tokyo Kabuki-cho, a large number of infected persons</v>
      </c>
      <c r="D9297" s="5" t="s">
        <v>21516</v>
      </c>
      <c r="E9297" s="4">
        <v>618042</v>
      </c>
      <c r="F9297">
        <v>1</v>
      </c>
    </row>
    <row r="9298" spans="1:6" ht="13.5" hidden="1" customHeight="1">
      <c r="A9298" s="4" t="s">
        <v>21517</v>
      </c>
      <c r="B9298" s="4" t="s">
        <v>21518</v>
      </c>
      <c r="C9298" s="4" t="str">
        <f ca="1">IFERROR(__xludf.DUMMYFUNCTION("GOOGLETRANSLATE(D:D,""auto"",""en"")"),"Qingdao")</f>
        <v>Qingdao</v>
      </c>
      <c r="D9298" s="5" t="s">
        <v>21519</v>
      </c>
      <c r="E9298" s="4">
        <v>614698</v>
      </c>
    </row>
    <row r="9299" spans="1:6" ht="13.5" hidden="1" customHeight="1">
      <c r="A9299" s="4" t="s">
        <v>21520</v>
      </c>
      <c r="B9299" s="4" t="s">
        <v>21521</v>
      </c>
      <c r="C9299" s="4" t="str">
        <f ca="1">IFERROR(__xludf.DUMMYFUNCTION("GOOGLETRANSLATE(D:D,""auto"",""en"")"),"15 seconds maximum deceleration shock endless belt be opened")</f>
        <v>15 seconds maximum deceleration shock endless belt be opened</v>
      </c>
      <c r="D9299" s="5" t="s">
        <v>21522</v>
      </c>
      <c r="E9299" s="4">
        <v>612912</v>
      </c>
    </row>
    <row r="9300" spans="1:6" ht="13.5" hidden="1" customHeight="1">
      <c r="A9300" s="4" t="s">
        <v>21523</v>
      </c>
      <c r="B9300" s="4" t="s">
        <v>21488</v>
      </c>
      <c r="C9300" s="4" t="str">
        <f ca="1">IFERROR(__xludf.DUMMYFUNCTION("GOOGLETRANSLATE(D:D,""auto"",""en"")"),"Overheating slip of the tongue")</f>
        <v>Overheating slip of the tongue</v>
      </c>
      <c r="D9300" s="5" t="s">
        <v>21524</v>
      </c>
      <c r="E9300" s="4">
        <v>609884</v>
      </c>
    </row>
    <row r="9301" spans="1:6" ht="13.5" hidden="1" customHeight="1">
      <c r="A9301" s="4" t="s">
        <v>21525</v>
      </c>
      <c r="B9301" s="4" t="s">
        <v>21526</v>
      </c>
      <c r="C9301" s="4" t="str">
        <f ca="1">IFERROR(__xludf.DUMMYFUNCTION("GOOGLETRANSLATE(D:D,""auto"",""en"")"),"Italian food hanging down from the balcony to help tramp")</f>
        <v>Italian food hanging down from the balcony to help tramp</v>
      </c>
      <c r="D9301" s="5" t="s">
        <v>21527</v>
      </c>
      <c r="E9301" s="4">
        <v>608428</v>
      </c>
    </row>
    <row r="9302" spans="1:6" ht="13.5" hidden="1" customHeight="1">
      <c r="A9302" s="4" t="s">
        <v>21528</v>
      </c>
      <c r="B9302" s="4" t="s">
        <v>21529</v>
      </c>
      <c r="C9302" s="4" t="str">
        <f ca="1">IFERROR(__xludf.DUMMYFUNCTION("GOOGLETRANSLATE(D:D,""auto"",""en"")"),"Song Qian Chong 3 tableaux")</f>
        <v>Song Qian Chong 3 tableaux</v>
      </c>
      <c r="D9302" s="5" t="s">
        <v>21530</v>
      </c>
      <c r="E9302" s="4">
        <v>607756</v>
      </c>
    </row>
    <row r="9303" spans="1:6" ht="13.5" customHeight="1">
      <c r="A9303" s="4" t="s">
        <v>21531</v>
      </c>
      <c r="B9303" s="4" t="s">
        <v>21532</v>
      </c>
      <c r="C9303" s="4" t="str">
        <f ca="1">IFERROR(__xludf.DUMMYFUNCTION("GOOGLETRANSLATE(D:D,""auto"",""en"")"),"Hubei, Jiangsu nurse aid in January lost 12 pounds")</f>
        <v>Hubei, Jiangsu nurse aid in January lost 12 pounds</v>
      </c>
      <c r="D9303" s="5" t="s">
        <v>21533</v>
      </c>
      <c r="E9303" s="4">
        <v>602219</v>
      </c>
      <c r="F9303">
        <v>1</v>
      </c>
    </row>
    <row r="9304" spans="1:6" ht="13.5" hidden="1" customHeight="1">
      <c r="A9304" s="4" t="s">
        <v>21534</v>
      </c>
      <c r="B9304" s="4" t="s">
        <v>21535</v>
      </c>
      <c r="C9304" s="4" t="str">
        <f ca="1">IFERROR(__xludf.DUMMYFUNCTION("GOOGLETRANSLATE(D:D,""auto"",""en"")"),"Even fake Tiancheng men should apologize to Win")</f>
        <v>Even fake Tiancheng men should apologize to Win</v>
      </c>
      <c r="D9304" s="5" t="s">
        <v>21536</v>
      </c>
      <c r="E9304" s="4">
        <v>548952</v>
      </c>
    </row>
    <row r="9305" spans="1:6" ht="13.5" hidden="1" customHeight="1">
      <c r="A9305" s="4" t="s">
        <v>21537</v>
      </c>
      <c r="B9305" s="4" t="s">
        <v>21538</v>
      </c>
      <c r="C9305" s="4" t="str">
        <f ca="1">IFERROR(__xludf.DUMMYFUNCTION("GOOGLETRANSLATE(D:D,""auto"",""en"")"),"Official Journal male teachers sexually abusing girls")</f>
        <v>Official Journal male teachers sexually abusing girls</v>
      </c>
      <c r="D9305" s="5" t="s">
        <v>21539</v>
      </c>
      <c r="E9305" s="4">
        <v>521614</v>
      </c>
    </row>
    <row r="9306" spans="1:6" ht="13.5" hidden="1" customHeight="1">
      <c r="A9306" s="4" t="s">
        <v>21540</v>
      </c>
      <c r="B9306" s="4" t="s">
        <v>21541</v>
      </c>
      <c r="C9306" s="4" t="str">
        <f ca="1">IFERROR(__xludf.DUMMYFUNCTION("GOOGLETRANSLATE(D:D,""auto"",""en"")"),"Zhang Xincheng live")</f>
        <v>Zhang Xincheng live</v>
      </c>
      <c r="D9306" s="5" t="s">
        <v>21542</v>
      </c>
      <c r="E9306" s="4">
        <v>515434</v>
      </c>
    </row>
    <row r="9307" spans="1:6" ht="13.5" hidden="1" customHeight="1">
      <c r="A9307" s="4" t="s">
        <v>21503</v>
      </c>
      <c r="B9307" s="4" t="s">
        <v>21543</v>
      </c>
      <c r="C9307" s="4" t="str">
        <f ca="1">IFERROR(__xludf.DUMMYFUNCTION("GOOGLETRANSLATE(D:D,""auto"",""en"")"),"Kunlun Mountains for the first time to take wild animals")</f>
        <v>Kunlun Mountains for the first time to take wild animals</v>
      </c>
      <c r="D9307" s="5" t="s">
        <v>21544</v>
      </c>
      <c r="E9307" s="4">
        <v>481691</v>
      </c>
    </row>
    <row r="9308" spans="1:6" ht="13.5" customHeight="1">
      <c r="A9308" s="4" t="s">
        <v>21545</v>
      </c>
      <c r="B9308" s="4" t="s">
        <v>21546</v>
      </c>
      <c r="C9308" s="4" t="str">
        <f ca="1">IFERROR(__xludf.DUMMYFUNCTION("GOOGLETRANSLATE(D:D,""auto"",""en"")"),"Tanzanian man refused centralized quarantine for Beijing")</f>
        <v>Tanzanian man refused centralized quarantine for Beijing</v>
      </c>
      <c r="D9308" s="5" t="s">
        <v>21547</v>
      </c>
      <c r="E9308" s="4">
        <v>437792</v>
      </c>
      <c r="F9308">
        <v>1</v>
      </c>
    </row>
    <row r="9309" spans="1:6" ht="13.5" hidden="1" customHeight="1">
      <c r="A9309" s="4" t="s">
        <v>21548</v>
      </c>
      <c r="B9309" s="4" t="s">
        <v>21549</v>
      </c>
      <c r="C9309" s="4" t="str">
        <f ca="1">IFERROR(__xludf.DUMMYFUNCTION("GOOGLETRANSLATE(D:D,""auto"",""en"")"),"Li Tong of ice snow Victory Kiss")</f>
        <v>Li Tong of ice snow Victory Kiss</v>
      </c>
      <c r="D9309" s="5" t="s">
        <v>21550</v>
      </c>
      <c r="E9309" s="4">
        <v>385762</v>
      </c>
    </row>
    <row r="9310" spans="1:6" ht="13.5" customHeight="1">
      <c r="A9310" s="4" t="s">
        <v>21551</v>
      </c>
      <c r="B9310" s="4" t="s">
        <v>21552</v>
      </c>
      <c r="C9310" s="4" t="str">
        <f ca="1">IFERROR(__xludf.DUMMYFUNCTION("GOOGLETRANSLATE(D:D,""auto"",""en"")"),"Hospital leadership to respond to the fight against SARS impersonator subsidies")</f>
        <v>Hospital leadership to respond to the fight against SARS impersonator subsidies</v>
      </c>
      <c r="D9310" s="5" t="s">
        <v>21553</v>
      </c>
      <c r="E9310" s="4">
        <v>357104</v>
      </c>
      <c r="F9310">
        <v>1</v>
      </c>
    </row>
    <row r="9311" spans="1:6" ht="13.5" hidden="1" customHeight="1">
      <c r="A9311" s="4" t="s">
        <v>21554</v>
      </c>
      <c r="B9311" s="4" t="s">
        <v>21555</v>
      </c>
      <c r="C9311" s="4" t="str">
        <f ca="1">IFERROR(__xludf.DUMMYFUNCTION("GOOGLETRANSLATE(D:D,""auto"",""en"")"),"The United States has two states into the state a major disaster")</f>
        <v>The United States has two states into the state a major disaster</v>
      </c>
      <c r="D9311" s="5" t="s">
        <v>21556</v>
      </c>
      <c r="E9311" s="4">
        <v>332937</v>
      </c>
    </row>
    <row r="9312" spans="1:6" ht="13.5" hidden="1" customHeight="1">
      <c r="A9312" s="4" t="s">
        <v>21557</v>
      </c>
      <c r="B9312" s="4" t="s">
        <v>21558</v>
      </c>
      <c r="C9312" s="4" t="str">
        <f ca="1">IFERROR(__xludf.DUMMYFUNCTION("GOOGLETRANSLATE(D:D,""auto"",""en"")"),"Clothes and how beautiful attractions are a good fit")</f>
        <v>Clothes and how beautiful attractions are a good fit</v>
      </c>
      <c r="D9312" s="5" t="s">
        <v>21559</v>
      </c>
      <c r="E9312" s="4">
        <v>330900</v>
      </c>
    </row>
    <row r="9313" spans="1:6" ht="13.5" hidden="1" customHeight="1">
      <c r="A9313" s="4" t="s">
        <v>21560</v>
      </c>
      <c r="B9313" s="4" t="s">
        <v>21561</v>
      </c>
      <c r="C9313" s="4" t="str">
        <f ca="1">IFERROR(__xludf.DUMMYFUNCTION("GOOGLETRANSLATE(D:D,""auto"",""en"")"),"Ganzi, Sichuan Province 5.6 earthquake")</f>
        <v>Ganzi, Sichuan Province 5.6 earthquake</v>
      </c>
      <c r="D9313" s="5" t="s">
        <v>21562</v>
      </c>
      <c r="E9313" s="4">
        <v>316115</v>
      </c>
    </row>
    <row r="9314" spans="1:6" ht="13.5" hidden="1" customHeight="1">
      <c r="A9314" s="4" t="s">
        <v>21563</v>
      </c>
      <c r="B9314" s="4" t="s">
        <v>21561</v>
      </c>
      <c r="C9314" s="4" t="str">
        <f ca="1">IFERROR(__xludf.DUMMYFUNCTION("GOOGLETRANSLATE(D:D,""auto"",""en"")"),"Chenghua fourteen years")</f>
        <v>Chenghua fourteen years</v>
      </c>
      <c r="D9314" s="5" t="s">
        <v>21564</v>
      </c>
      <c r="E9314" s="4">
        <v>300512</v>
      </c>
    </row>
    <row r="9315" spans="1:6" ht="13.5" hidden="1" customHeight="1">
      <c r="A9315" s="4" t="s">
        <v>21565</v>
      </c>
      <c r="B9315" s="4" t="s">
        <v>21566</v>
      </c>
      <c r="C9315" s="4" t="str">
        <f ca="1">IFERROR(__xludf.DUMMYFUNCTION("GOOGLETRANSLATE(D:D,""auto"",""en"")"),"April Fool's circle of friends")</f>
        <v>April Fool's circle of friends</v>
      </c>
      <c r="D9315" s="5" t="s">
        <v>21567</v>
      </c>
      <c r="E9315" s="4">
        <v>299695</v>
      </c>
    </row>
    <row r="9316" spans="1:6" ht="13.5" hidden="1" customHeight="1">
      <c r="A9316" s="4" t="s">
        <v>21568</v>
      </c>
      <c r="B9316" s="4" t="s">
        <v>21569</v>
      </c>
      <c r="C9316" s="4" t="str">
        <f ca="1">IFERROR(__xludf.DUMMYFUNCTION("GOOGLETRANSLATE(D:D,""auto"",""en"")"),"Ministry of Foreign Affairs to coordinate flights to the UK have difficulty students")</f>
        <v>Ministry of Foreign Affairs to coordinate flights to the UK have difficulty students</v>
      </c>
      <c r="D9316" s="5" t="s">
        <v>21570</v>
      </c>
      <c r="E9316" s="4">
        <v>296976</v>
      </c>
    </row>
    <row r="9317" spans="1:6" ht="13.5" hidden="1" customHeight="1">
      <c r="A9317" s="4" t="s">
        <v>21571</v>
      </c>
      <c r="B9317" s="4" t="s">
        <v>21572</v>
      </c>
      <c r="C9317" s="4" t="str">
        <f ca="1">IFERROR(__xludf.DUMMYFUNCTION("GOOGLETRANSLATE(D:D,""auto"",""en"")"),"Q2")</f>
        <v>Q2</v>
      </c>
      <c r="D9317" s="5" t="s">
        <v>21573</v>
      </c>
      <c r="E9317" s="4">
        <v>296663</v>
      </c>
    </row>
    <row r="9318" spans="1:6" ht="13.5" hidden="1" customHeight="1">
      <c r="A9318" s="4" t="s">
        <v>21506</v>
      </c>
      <c r="B9318" s="4" t="s">
        <v>21574</v>
      </c>
      <c r="C9318" s="4" t="str">
        <f ca="1">IFERROR(__xludf.DUMMYFUNCTION("GOOGLETRANSLATE(D:D,""auto"",""en"")"),"The most objectionable chat opening")</f>
        <v>The most objectionable chat opening</v>
      </c>
      <c r="D9318" s="5" t="s">
        <v>21575</v>
      </c>
      <c r="E9318" s="4">
        <v>257949</v>
      </c>
    </row>
    <row r="9319" spans="1:6" ht="13.5" hidden="1" customHeight="1">
      <c r="A9319" s="4" t="s">
        <v>21520</v>
      </c>
      <c r="B9319" s="4" t="s">
        <v>21576</v>
      </c>
      <c r="C9319" s="4" t="str">
        <f ca="1">IFERROR(__xludf.DUMMYFUNCTION("GOOGLETRANSLATE(D:D,""auto"",""en"")"),"Department of Social Buddha contemporary girls")</f>
        <v>Department of Social Buddha contemporary girls</v>
      </c>
      <c r="D9319" s="5" t="s">
        <v>21577</v>
      </c>
      <c r="E9319" s="4">
        <v>257303</v>
      </c>
    </row>
    <row r="9320" spans="1:6" ht="13.5" hidden="1" customHeight="1">
      <c r="A9320" s="4" t="s">
        <v>21578</v>
      </c>
      <c r="B9320" s="4" t="s">
        <v>21579</v>
      </c>
      <c r="C9320" s="4" t="str">
        <f ca="1">IFERROR(__xludf.DUMMYFUNCTION("GOOGLETRANSLATE(D:D,""auto"",""en"")"),"Beijing non-graduating class does not account for weekend and summer")</f>
        <v>Beijing non-graduating class does not account for weekend and summer</v>
      </c>
      <c r="D9320" s="5" t="s">
        <v>21580</v>
      </c>
      <c r="E9320" s="4">
        <v>255150</v>
      </c>
    </row>
    <row r="9321" spans="1:6" ht="13.5" hidden="1" customHeight="1">
      <c r="A9321" s="4" t="s">
        <v>21581</v>
      </c>
      <c r="B9321" s="4" t="s">
        <v>21582</v>
      </c>
      <c r="C9321" s="4" t="str">
        <f ca="1">IFERROR(__xludf.DUMMYFUNCTION("GOOGLETRANSLATE(D:D,""auto"",""en"")"),"Canadian Prime Minister Acknowledgments Chinese enterprises")</f>
        <v>Canadian Prime Minister Acknowledgments Chinese enterprises</v>
      </c>
      <c r="D9321" s="5" t="s">
        <v>21583</v>
      </c>
      <c r="E9321" s="4">
        <v>251766</v>
      </c>
    </row>
    <row r="9322" spans="1:6" ht="13.5" hidden="1" customHeight="1">
      <c r="A9322" s="4" t="s">
        <v>21584</v>
      </c>
      <c r="B9322" s="4" t="s">
        <v>21582</v>
      </c>
      <c r="C9322" s="4" t="str">
        <f ca="1">IFERROR(__xludf.DUMMYFUNCTION("GOOGLETRANSLATE(D:D,""auto"",""en"")"),"12-year-old boy learning roadside rub network")</f>
        <v>12-year-old boy learning roadside rub network</v>
      </c>
      <c r="D9322" s="5" t="s">
        <v>21585</v>
      </c>
      <c r="E9322" s="4">
        <v>240244</v>
      </c>
    </row>
    <row r="9323" spans="1:6" ht="13.5" customHeight="1">
      <c r="A9323" s="4" t="s">
        <v>21551</v>
      </c>
      <c r="B9323" s="4" t="s">
        <v>21515</v>
      </c>
      <c r="C9323" s="4" t="str">
        <f ca="1">IFERROR(__xludf.DUMMYFUNCTION("GOOGLETRANSLATE(D:D,""auto"",""en"")"),"New York, 1.8 million people half of positive detection")</f>
        <v>New York, 1.8 million people half of positive detection</v>
      </c>
      <c r="D9323" s="5" t="s">
        <v>21586</v>
      </c>
      <c r="E9323" s="4">
        <v>230933</v>
      </c>
      <c r="F9323">
        <v>1</v>
      </c>
    </row>
    <row r="9324" spans="1:6" ht="13.5" hidden="1" customHeight="1">
      <c r="A9324" s="4" t="s">
        <v>21587</v>
      </c>
      <c r="B9324" s="4" t="s">
        <v>21588</v>
      </c>
      <c r="C9324" s="4" t="str">
        <f ca="1">IFERROR(__xludf.DUMMYFUNCTION("GOOGLETRANSLATE(D:D,""auto"",""en"")"),"Let your character die off guard")</f>
        <v>Let your character die off guard</v>
      </c>
      <c r="D9324" s="5" t="s">
        <v>21589</v>
      </c>
      <c r="E9324" s="4">
        <v>220345</v>
      </c>
    </row>
    <row r="9325" spans="1:6" ht="13.5" hidden="1" customHeight="1">
      <c r="A9325" s="4" t="s">
        <v>21584</v>
      </c>
      <c r="B9325" s="4" t="s">
        <v>21558</v>
      </c>
      <c r="C9325" s="4" t="str">
        <f ca="1">IFERROR(__xludf.DUMMYFUNCTION("GOOGLETRANSLATE(D:D,""auto"",""en"")"),"This year the first Dayton crayfish")</f>
        <v>This year the first Dayton crayfish</v>
      </c>
      <c r="D9325" s="5" t="s">
        <v>21590</v>
      </c>
      <c r="E9325" s="4">
        <v>209156</v>
      </c>
    </row>
    <row r="9326" spans="1:6" ht="13.5" hidden="1" customHeight="1">
      <c r="A9326" s="4" t="s">
        <v>21560</v>
      </c>
      <c r="B9326" s="4" t="s">
        <v>21566</v>
      </c>
      <c r="C9326" s="4" t="str">
        <f ca="1">IFERROR(__xludf.DUMMYFUNCTION("GOOGLETRANSLATE(D:D,""auto"",""en"")"),"Stunning four women's big brother")</f>
        <v>Stunning four women's big brother</v>
      </c>
      <c r="D9326" s="5" t="s">
        <v>21591</v>
      </c>
      <c r="E9326" s="4">
        <v>204338</v>
      </c>
    </row>
    <row r="9327" spans="1:6" ht="13.5" hidden="1" customHeight="1">
      <c r="A9327" s="4" t="s">
        <v>21592</v>
      </c>
      <c r="B9327" s="4" t="s">
        <v>21552</v>
      </c>
      <c r="C9327" s="4" t="str">
        <f ca="1">IFERROR(__xludf.DUMMYFUNCTION("GOOGLETRANSLATE(D:D,""auto"",""en"")"),"Poached cappuccino")</f>
        <v>Poached cappuccino</v>
      </c>
      <c r="D9327" s="5" t="s">
        <v>21593</v>
      </c>
      <c r="E9327" s="4">
        <v>198131</v>
      </c>
    </row>
    <row r="9328" spans="1:6" ht="13.5" hidden="1" customHeight="1">
      <c r="A9328" s="4" t="s">
        <v>21594</v>
      </c>
      <c r="B9328" s="4" t="s">
        <v>21595</v>
      </c>
      <c r="C9328" s="4" t="str">
        <f ca="1">IFERROR(__xludf.DUMMYFUNCTION("GOOGLETRANSLATE(D:D,""auto"",""en"")"),"Korean netizens petition fined in")</f>
        <v>Korean netizens petition fined in</v>
      </c>
      <c r="D9328" s="5" t="s">
        <v>21596</v>
      </c>
      <c r="E9328" s="4">
        <v>181491</v>
      </c>
    </row>
    <row r="9329" spans="1:6" ht="13.5" hidden="1" customHeight="1">
      <c r="A9329" s="4" t="s">
        <v>21597</v>
      </c>
      <c r="B9329" s="4" t="s">
        <v>21598</v>
      </c>
      <c r="C9329" s="4" t="str">
        <f ca="1">IFERROR(__xludf.DUMMYFUNCTION("GOOGLETRANSLATE(D:D,""auto"",""en"")"),"Huang Zaitao Macaron fringed sweater")</f>
        <v>Huang Zaitao Macaron fringed sweater</v>
      </c>
      <c r="D9329" s="5" t="s">
        <v>21599</v>
      </c>
      <c r="E9329" s="4">
        <v>178158</v>
      </c>
    </row>
    <row r="9330" spans="1:6" ht="13.5" customHeight="1">
      <c r="A9330" s="4" t="s">
        <v>21594</v>
      </c>
      <c r="B9330" s="4" t="s">
        <v>21600</v>
      </c>
      <c r="C9330" s="4" t="str">
        <f ca="1">IFERROR(__xludf.DUMMYFUNCTION("GOOGLETRANSLATE(D:D,""auto"",""en"")"),"The Japanese government will send a mask National Household")</f>
        <v>The Japanese government will send a mask National Household</v>
      </c>
      <c r="D9330" s="5" t="s">
        <v>21601</v>
      </c>
      <c r="E9330" s="4">
        <v>168810</v>
      </c>
      <c r="F9330">
        <v>1</v>
      </c>
    </row>
    <row r="9331" spans="1:6" ht="13.5" hidden="1" customHeight="1">
      <c r="A9331" s="4" t="s">
        <v>21602</v>
      </c>
      <c r="B9331" s="4" t="s">
        <v>21603</v>
      </c>
      <c r="C9331" s="4" t="str">
        <f ca="1">IFERROR(__xludf.DUMMYFUNCTION("GOOGLETRANSLATE(D:D,""auto"",""en"")"),"Xichang forest fire sacrifice Firefighting team photo")</f>
        <v>Xichang forest fire sacrifice Firefighting team photo</v>
      </c>
      <c r="D9331" s="5" t="s">
        <v>21604</v>
      </c>
      <c r="E9331" s="4">
        <v>102825</v>
      </c>
    </row>
    <row r="9332" spans="1:6" ht="13.5" hidden="1" customHeight="1">
      <c r="C9332" s="4" t="str">
        <f ca="1">IFERROR(__xludf.DUMMYFUNCTION("GOOGLETRANSLATE(D:D,""auto"",""en"")"),"#VALUE!")</f>
        <v>#VALUE!</v>
      </c>
    </row>
    <row r="9333" spans="1:6" ht="13.5" hidden="1" customHeight="1">
      <c r="A9333" s="4" t="s">
        <v>21605</v>
      </c>
      <c r="B9333" s="4" t="s">
        <v>21606</v>
      </c>
      <c r="C9333" s="4" t="str">
        <f ca="1">IFERROR(__xludf.DUMMYFUNCTION("GOOGLETRANSLATE(D:D,""auto"",""en"")"),"Port of molecular chaos turned to Chinese Embassy")</f>
        <v>Port of molecular chaos turned to Chinese Embassy</v>
      </c>
      <c r="D9333" s="4" t="s">
        <v>21607</v>
      </c>
      <c r="E9333" s="4">
        <v>4325653</v>
      </c>
    </row>
    <row r="9334" spans="1:6" ht="13.5" hidden="1" customHeight="1">
      <c r="A9334" s="4" t="s">
        <v>21608</v>
      </c>
      <c r="B9334" s="4" t="s">
        <v>21498</v>
      </c>
      <c r="C9334" s="4" t="str">
        <f ca="1">IFERROR(__xludf.DUMMYFUNCTION("GOOGLETRANSLATE(D:D,""auto"",""en"")"),"Wu Chunhong demand an apology rehabilitation")</f>
        <v>Wu Chunhong demand an apology rehabilitation</v>
      </c>
      <c r="D9334" s="5" t="s">
        <v>21609</v>
      </c>
      <c r="E9334" s="4">
        <v>3223990</v>
      </c>
    </row>
    <row r="9335" spans="1:6" ht="13.5" customHeight="1">
      <c r="A9335" s="4" t="s">
        <v>21610</v>
      </c>
      <c r="B9335" s="4" t="s">
        <v>21611</v>
      </c>
      <c r="C9335" s="4" t="str">
        <f ca="1">IFERROR(__xludf.DUMMYFUNCTION("GOOGLETRANSLATE(D:D,""auto"",""en"")"),"When my father with daughter diapers masks")</f>
        <v>When my father with daughter diapers masks</v>
      </c>
      <c r="D9335" s="5" t="s">
        <v>21612</v>
      </c>
      <c r="E9335" s="4">
        <v>1544651</v>
      </c>
      <c r="F9335">
        <v>1</v>
      </c>
    </row>
    <row r="9336" spans="1:6" ht="13.5" hidden="1" customHeight="1">
      <c r="A9336" s="4" t="s">
        <v>21613</v>
      </c>
      <c r="B9336" s="4" t="s">
        <v>21614</v>
      </c>
      <c r="C9336" s="4" t="str">
        <f ca="1">IFERROR(__xludf.DUMMYFUNCTION("GOOGLETRANSLATE(D:D,""auto"",""en"")"),"Shi, long, straight black")</f>
        <v>Shi, long, straight black</v>
      </c>
      <c r="D9336" s="5" t="s">
        <v>21615</v>
      </c>
      <c r="E9336" s="4">
        <v>1522352</v>
      </c>
    </row>
    <row r="9337" spans="1:6" ht="13.5" hidden="1" customHeight="1">
      <c r="A9337" s="4" t="s">
        <v>21616</v>
      </c>
      <c r="B9337" s="4" t="s">
        <v>21617</v>
      </c>
      <c r="C9337" s="4" t="str">
        <f ca="1">IFERROR(__xludf.DUMMYFUNCTION("GOOGLETRANSLATE(D:D,""auto"",""en"")"),"Director Deng")</f>
        <v>Director Deng</v>
      </c>
      <c r="D9337" s="5" t="s">
        <v>21618</v>
      </c>
      <c r="E9337" s="4">
        <v>1522024</v>
      </c>
    </row>
    <row r="9338" spans="1:6" ht="13.5" customHeight="1">
      <c r="A9338" s="4" t="s">
        <v>21619</v>
      </c>
      <c r="B9338" s="4" t="s">
        <v>21620</v>
      </c>
      <c r="C9338" s="4" t="str">
        <f ca="1">IFERROR(__xludf.DUMMYFUNCTION("GOOGLETRANSLATE(D:D,""auto"",""en"")"),"India's largest slum was first reported confirmed cases of the new crown")</f>
        <v>India's largest slum was first reported confirmed cases of the new crown</v>
      </c>
      <c r="D9338" s="5" t="s">
        <v>21621</v>
      </c>
      <c r="E9338" s="4">
        <v>1479330</v>
      </c>
      <c r="F9338">
        <v>1</v>
      </c>
    </row>
    <row r="9339" spans="1:6" ht="13.5" hidden="1" customHeight="1">
      <c r="A9339" s="4" t="s">
        <v>21622</v>
      </c>
      <c r="B9339" s="4" t="s">
        <v>21623</v>
      </c>
      <c r="C9339" s="4" t="str">
        <f ca="1">IFERROR(__xludf.DUMMYFUNCTION("GOOGLETRANSLATE(D:D,""auto"",""en"")"),"Pentagon seeks 100,000 bags of corpses")</f>
        <v>Pentagon seeks 100,000 bags of corpses</v>
      </c>
      <c r="D9339" s="5" t="s">
        <v>21624</v>
      </c>
      <c r="E9339" s="4">
        <v>1262027</v>
      </c>
    </row>
    <row r="9340" spans="1:6" ht="13.5" customHeight="1">
      <c r="A9340" s="4" t="s">
        <v>21625</v>
      </c>
      <c r="B9340" s="4" t="s">
        <v>21626</v>
      </c>
      <c r="C9340" s="4" t="str">
        <f ca="1">IFERROR(__xludf.DUMMYFUNCTION("GOOGLETRANSLATE(D:D,""auto"",""en"")"),"At present, 36 Chinese students diagnosed")</f>
        <v>At present, 36 Chinese students diagnosed</v>
      </c>
      <c r="D9340" s="5" t="s">
        <v>21627</v>
      </c>
      <c r="E9340" s="4">
        <v>1216307</v>
      </c>
      <c r="F9340">
        <v>1</v>
      </c>
    </row>
    <row r="9341" spans="1:6" ht="13.5" customHeight="1">
      <c r="A9341" s="4" t="s">
        <v>21628</v>
      </c>
      <c r="B9341" s="4" t="s">
        <v>21629</v>
      </c>
      <c r="C9341" s="4" t="str">
        <f ca="1">IFERROR(__xludf.DUMMYFUNCTION("GOOGLETRANSLATE(D:D,""auto"",""en"")"),"United States suspended aid supplies to foreign medical supplies")</f>
        <v>United States suspended aid supplies to foreign medical supplies</v>
      </c>
      <c r="D9341" s="5" t="s">
        <v>21630</v>
      </c>
      <c r="E9341" s="4">
        <v>1107538</v>
      </c>
      <c r="F9341">
        <v>1</v>
      </c>
    </row>
    <row r="9342" spans="1:6" ht="13.5" customHeight="1">
      <c r="A9342" s="4" t="s">
        <v>21631</v>
      </c>
      <c r="B9342" s="4" t="s">
        <v>21632</v>
      </c>
      <c r="C9342" s="4" t="str">
        <f ca="1">IFERROR(__xludf.DUMMYFUNCTION("GOOGLETRANSLATE(D:D,""auto"",""en"")"),"Trump says it will not release the national home quarantine orders")</f>
        <v>Trump says it will not release the national home quarantine orders</v>
      </c>
      <c r="D9342" s="5" t="s">
        <v>21633</v>
      </c>
      <c r="E9342" s="4">
        <v>1066830</v>
      </c>
      <c r="F9342">
        <v>1</v>
      </c>
    </row>
    <row r="9343" spans="1:6" ht="13.5" customHeight="1">
      <c r="A9343" s="4" t="s">
        <v>21634</v>
      </c>
      <c r="B9343" s="4" t="s">
        <v>21635</v>
      </c>
      <c r="C9343" s="4" t="str">
        <f ca="1">IFERROR(__xludf.DUMMYFUNCTION("GOOGLETRANSLATE(D:D,""auto"",""en"")"),"Laoshan again responded nucleic acid detection foreigner to jump the queue")</f>
        <v>Laoshan again responded nucleic acid detection foreigner to jump the queue</v>
      </c>
      <c r="D9343" s="5" t="s">
        <v>21636</v>
      </c>
      <c r="E9343" s="4">
        <v>948510</v>
      </c>
      <c r="F9343">
        <v>1</v>
      </c>
    </row>
    <row r="9344" spans="1:6" ht="13.5" hidden="1" customHeight="1">
      <c r="A9344" s="4" t="s">
        <v>21637</v>
      </c>
      <c r="B9344" s="4" t="s">
        <v>21478</v>
      </c>
      <c r="C9344" s="4" t="str">
        <f ca="1">IFERROR(__xludf.DUMMYFUNCTION("GOOGLETRANSLATE(D:D,""auto"",""en"")"),"9 sorties charter flight back to 1457 Chinese citizens who")</f>
        <v>9 sorties charter flight back to 1457 Chinese citizens who</v>
      </c>
      <c r="D9344" s="5" t="s">
        <v>21638</v>
      </c>
      <c r="E9344" s="4">
        <v>788127</v>
      </c>
    </row>
    <row r="9345" spans="1:6" ht="13.5" hidden="1" customHeight="1">
      <c r="A9345" s="4" t="s">
        <v>21639</v>
      </c>
      <c r="B9345" s="4" t="s">
        <v>21640</v>
      </c>
      <c r="C9345" s="4" t="str">
        <f ca="1">IFERROR(__xludf.DUMMYFUNCTION("GOOGLETRANSLATE(D:D,""auto"",""en"")"),"Jiaxing, Zhejiang issuing 200 million coupons")</f>
        <v>Jiaxing, Zhejiang issuing 200 million coupons</v>
      </c>
      <c r="D9345" s="5" t="s">
        <v>21641</v>
      </c>
      <c r="E9345" s="4">
        <v>667845</v>
      </c>
    </row>
    <row r="9346" spans="1:6" ht="13.5" customHeight="1">
      <c r="A9346" s="4" t="s">
        <v>21642</v>
      </c>
      <c r="B9346" s="4" t="s">
        <v>21643</v>
      </c>
      <c r="C9346" s="4" t="str">
        <f ca="1">IFERROR(__xludf.DUMMYFUNCTION("GOOGLETRANSLATE(D:D,""auto"",""en"")"),"Ministry of Foreign Affairs students will distribute more than 11 million copies masks")</f>
        <v>Ministry of Foreign Affairs students will distribute more than 11 million copies masks</v>
      </c>
      <c r="D9346" s="5" t="s">
        <v>21644</v>
      </c>
      <c r="E9346" s="4">
        <v>656291</v>
      </c>
      <c r="F9346">
        <v>1</v>
      </c>
    </row>
    <row r="9347" spans="1:6" ht="13.5" hidden="1" customHeight="1">
      <c r="A9347" s="4" t="s">
        <v>21645</v>
      </c>
      <c r="B9347" s="4" t="s">
        <v>21606</v>
      </c>
      <c r="C9347" s="4" t="str">
        <f ca="1">IFERROR(__xludf.DUMMYFUNCTION("GOOGLETRANSLATE(D:D,""auto"",""en"")"),"Grandfather and mother lent patients also come back")</f>
        <v>Grandfather and mother lent patients also come back</v>
      </c>
      <c r="D9347" s="5" t="s">
        <v>21646</v>
      </c>
      <c r="E9347" s="4">
        <v>619532</v>
      </c>
    </row>
    <row r="9348" spans="1:6" ht="13.5" hidden="1" customHeight="1">
      <c r="A9348" s="4" t="s">
        <v>21647</v>
      </c>
      <c r="B9348" s="4" t="s">
        <v>21648</v>
      </c>
      <c r="C9348" s="4" t="str">
        <f ca="1">IFERROR(__xludf.DUMMYFUNCTION("GOOGLETRANSLATE(D:D,""auto"",""en"")"),"0:01 after declare April Fool")</f>
        <v>0:01 after declare April Fool</v>
      </c>
      <c r="D9348" s="5" t="s">
        <v>21649</v>
      </c>
      <c r="E9348" s="4">
        <v>619504</v>
      </c>
    </row>
    <row r="9349" spans="1:6" ht="13.5" customHeight="1">
      <c r="A9349" s="4" t="s">
        <v>21650</v>
      </c>
      <c r="B9349" s="4" t="s">
        <v>21651</v>
      </c>
      <c r="C9349" s="4" t="str">
        <f ca="1">IFERROR(__xludf.DUMMYFUNCTION("GOOGLETRANSLATE(D:D,""auto"",""en"")"),"The train hit the open man US Navy hospital ship")</f>
        <v>The train hit the open man US Navy hospital ship</v>
      </c>
      <c r="D9349" s="5" t="s">
        <v>21652</v>
      </c>
      <c r="E9349" s="4">
        <v>619461</v>
      </c>
      <c r="F9349">
        <v>1</v>
      </c>
    </row>
    <row r="9350" spans="1:6" ht="13.5" hidden="1" customHeight="1">
      <c r="A9350" s="4" t="s">
        <v>21653</v>
      </c>
      <c r="B9350" s="4" t="s">
        <v>21654</v>
      </c>
      <c r="C9350" s="4" t="str">
        <f ca="1">IFERROR(__xludf.DUMMYFUNCTION("GOOGLETRANSLATE(D:D,""auto"",""en"")"),"Jang Keun Suk mother was indicted on suspicion of tax evasion")</f>
        <v>Jang Keun Suk mother was indicted on suspicion of tax evasion</v>
      </c>
      <c r="D9350" s="5" t="s">
        <v>21655</v>
      </c>
      <c r="E9350" s="4">
        <v>619412</v>
      </c>
    </row>
    <row r="9351" spans="1:6" ht="13.5" hidden="1" customHeight="1">
      <c r="A9351" s="4" t="s">
        <v>21656</v>
      </c>
      <c r="B9351" s="4" t="s">
        <v>21657</v>
      </c>
      <c r="C9351" s="4" t="str">
        <f ca="1">IFERROR(__xludf.DUMMYFUNCTION("GOOGLETRANSLATE(D:D,""auto"",""en"")"),"The nation's large-scale demolition basketball hoop")</f>
        <v>The nation's large-scale demolition basketball hoop</v>
      </c>
      <c r="D9351" s="5" t="s">
        <v>21658</v>
      </c>
      <c r="E9351" s="4">
        <v>619389</v>
      </c>
    </row>
    <row r="9352" spans="1:6" ht="13.5" hidden="1" customHeight="1">
      <c r="A9352" s="4" t="s">
        <v>21659</v>
      </c>
      <c r="B9352" s="4" t="s">
        <v>21597</v>
      </c>
      <c r="C9352" s="4" t="str">
        <f ca="1">IFERROR(__xludf.DUMMYFUNCTION("GOOGLETRANSLATE(D:D,""auto"",""en"")"),"Rice also not reluctant to delete the photos")</f>
        <v>Rice also not reluctant to delete the photos</v>
      </c>
      <c r="D9352" s="5" t="s">
        <v>21660</v>
      </c>
      <c r="E9352" s="4">
        <v>619342</v>
      </c>
    </row>
    <row r="9353" spans="1:6" ht="13.5" customHeight="1">
      <c r="A9353" s="4" t="s">
        <v>21661</v>
      </c>
      <c r="B9353" s="4" t="s">
        <v>21498</v>
      </c>
      <c r="C9353" s="4" t="str">
        <f ca="1">IFERROR(__xludf.DUMMYFUNCTION("GOOGLETRANSLATE(D:D,""auto"",""en"")"),"California this year, all schools throughout the school year the school will no longer be")</f>
        <v>California this year, all schools throughout the school year the school will no longer be</v>
      </c>
      <c r="D9353" s="5" t="s">
        <v>21662</v>
      </c>
      <c r="E9353" s="4">
        <v>619307</v>
      </c>
      <c r="F9353">
        <v>1</v>
      </c>
    </row>
    <row r="9354" spans="1:6" ht="13.5" hidden="1" customHeight="1">
      <c r="A9354" s="4" t="s">
        <v>21663</v>
      </c>
      <c r="B9354" s="4" t="s">
        <v>21651</v>
      </c>
      <c r="C9354" s="4" t="str">
        <f ca="1">IFERROR(__xludf.DUMMYFUNCTION("GOOGLETRANSLATE(D:D,""auto"",""en"")"),"British students have been connected to the aircraft took off at 9:30")</f>
        <v>British students have been connected to the aircraft took off at 9:30</v>
      </c>
      <c r="D9354" s="5" t="s">
        <v>21664</v>
      </c>
      <c r="E9354" s="4">
        <v>602218</v>
      </c>
    </row>
    <row r="9355" spans="1:6" ht="13.5" hidden="1" customHeight="1">
      <c r="A9355" s="4" t="s">
        <v>21665</v>
      </c>
      <c r="B9355" s="4" t="s">
        <v>21666</v>
      </c>
      <c r="C9355" s="4" t="str">
        <f ca="1">IFERROR(__xludf.DUMMYFUNCTION("GOOGLETRANSLATE(D:D,""auto"",""en"")"),"Food language")</f>
        <v>Food language</v>
      </c>
      <c r="D9355" s="5" t="s">
        <v>21667</v>
      </c>
      <c r="E9355" s="4">
        <v>540316</v>
      </c>
    </row>
    <row r="9356" spans="1:6" ht="13.5" customHeight="1">
      <c r="A9356" s="4" t="s">
        <v>21668</v>
      </c>
      <c r="B9356" s="4" t="s">
        <v>21669</v>
      </c>
      <c r="C9356" s="4" t="str">
        <f ca="1">IFERROR(__xludf.DUMMYFUNCTION("GOOGLETRANSLATE(D:D,""auto"",""en"")"),"Guangzhou inform patients of new foreign nurses wounded crown pneumonia")</f>
        <v>Guangzhou inform patients of new foreign nurses wounded crown pneumonia</v>
      </c>
      <c r="D9356" s="5" t="s">
        <v>21670</v>
      </c>
      <c r="E9356" s="4">
        <v>536580</v>
      </c>
      <c r="F9356">
        <v>1</v>
      </c>
    </row>
    <row r="9357" spans="1:6" ht="13.5" customHeight="1">
      <c r="A9357" s="4" t="s">
        <v>21671</v>
      </c>
      <c r="B9357" s="4" t="s">
        <v>21508</v>
      </c>
      <c r="C9357" s="4" t="str">
        <f ca="1">IFERROR(__xludf.DUMMYFUNCTION("GOOGLETRANSLATE(D:D,""auto"",""en"")"),"112-year-old birthday oldest grandfather canceled due to the outbreak")</f>
        <v>112-year-old birthday oldest grandfather canceled due to the outbreak</v>
      </c>
      <c r="D9357" s="5" t="s">
        <v>21672</v>
      </c>
      <c r="E9357" s="4">
        <v>448327</v>
      </c>
      <c r="F9357">
        <v>1</v>
      </c>
    </row>
    <row r="9358" spans="1:6" ht="13.5" customHeight="1">
      <c r="A9358" s="4" t="s">
        <v>21673</v>
      </c>
      <c r="B9358" s="4" t="s">
        <v>21674</v>
      </c>
      <c r="C9358" s="4" t="str">
        <f ca="1">IFERROR(__xludf.DUMMYFUNCTION("GOOGLETRANSLATE(D:D,""auto"",""en"")"),"Hunan new confirmed cases outside input one case")</f>
        <v>Hunan new confirmed cases outside input one case</v>
      </c>
      <c r="D9358" s="5" t="s">
        <v>21675</v>
      </c>
      <c r="E9358" s="4">
        <v>437525</v>
      </c>
      <c r="F9358">
        <v>1</v>
      </c>
    </row>
    <row r="9359" spans="1:6" ht="13.5" hidden="1" customHeight="1">
      <c r="A9359" s="4" t="s">
        <v>21676</v>
      </c>
      <c r="B9359" s="4" t="s">
        <v>21677</v>
      </c>
      <c r="C9359" s="4" t="str">
        <f ca="1">IFERROR(__xludf.DUMMYFUNCTION("GOOGLETRANSLATE(D:D,""auto"",""en"")"),"Currently 1.42 million students still abroad")</f>
        <v>Currently 1.42 million students still abroad</v>
      </c>
      <c r="D9359" s="5" t="s">
        <v>21678</v>
      </c>
      <c r="E9359" s="4">
        <v>418511</v>
      </c>
    </row>
    <row r="9360" spans="1:6" ht="13.5" customHeight="1">
      <c r="A9360" s="4" t="s">
        <v>21645</v>
      </c>
      <c r="B9360" s="4" t="s">
        <v>21679</v>
      </c>
      <c r="C9360" s="4" t="str">
        <f ca="1">IFERROR(__xludf.DUMMYFUNCTION("GOOGLETRANSLATE(D:D,""auto"",""en"")"),"Nets four players have been infected with the new virus asymptomatic crown")</f>
        <v>Nets four players have been infected with the new virus asymptomatic crown</v>
      </c>
      <c r="D9360" s="5" t="s">
        <v>21680</v>
      </c>
      <c r="E9360" s="4">
        <v>415040</v>
      </c>
      <c r="F9360">
        <v>1</v>
      </c>
    </row>
    <row r="9361" spans="1:6" ht="13.5" customHeight="1">
      <c r="A9361" s="4" t="s">
        <v>21681</v>
      </c>
      <c r="B9361" s="4" t="s">
        <v>21682</v>
      </c>
      <c r="C9361" s="4" t="str">
        <f ca="1">IFERROR(__xludf.DUMMYFUNCTION("GOOGLETRANSLATE(D:D,""auto"",""en"")"),"The WHO said the next few days will exceed 1 million cases worldwide")</f>
        <v>The WHO said the next few days will exceed 1 million cases worldwide</v>
      </c>
      <c r="D9361" s="5" t="s">
        <v>21683</v>
      </c>
      <c r="E9361" s="4">
        <v>396341</v>
      </c>
      <c r="F9361">
        <v>1</v>
      </c>
    </row>
    <row r="9362" spans="1:6" ht="13.5" customHeight="1">
      <c r="A9362" s="4" t="s">
        <v>21684</v>
      </c>
      <c r="B9362" s="4" t="s">
        <v>21685</v>
      </c>
      <c r="C9362" s="4" t="str">
        <f ca="1">IFERROR(__xludf.DUMMYFUNCTION("GOOGLETRANSLATE(D:D,""auto"",""en"")"),"Turks perfume when disinfectants")</f>
        <v>Turks perfume when disinfectants</v>
      </c>
      <c r="D9362" s="5" t="s">
        <v>21686</v>
      </c>
      <c r="E9362" s="4">
        <v>395674</v>
      </c>
      <c r="F9362">
        <v>1</v>
      </c>
    </row>
    <row r="9363" spans="1:6" ht="13.5" hidden="1" customHeight="1">
      <c r="A9363" s="4" t="s">
        <v>21687</v>
      </c>
      <c r="B9363" s="4" t="s">
        <v>21640</v>
      </c>
      <c r="C9363" s="4" t="str">
        <f ca="1">IFERROR(__xludf.DUMMYFUNCTION("GOOGLETRANSLATE(D:D,""auto"",""en"")"),"WHO Representative to respond to foreign media accusing China")</f>
        <v>WHO Representative to respond to foreign media accusing China</v>
      </c>
      <c r="D9363" s="5" t="s">
        <v>21688</v>
      </c>
      <c r="E9363" s="4">
        <v>366687</v>
      </c>
    </row>
    <row r="9364" spans="1:6" ht="13.5" customHeight="1">
      <c r="A9364" s="4" t="s">
        <v>21684</v>
      </c>
      <c r="B9364" s="4" t="s">
        <v>21689</v>
      </c>
      <c r="C9364" s="4" t="str">
        <f ca="1">IFERROR(__xludf.DUMMYFUNCTION("GOOGLETRANSLATE(D:D,""auto"",""en"")"),"US new crown over 200,000 cases diagnosed pneumonia")</f>
        <v>US new crown over 200,000 cases diagnosed pneumonia</v>
      </c>
      <c r="D9364" s="5" t="s">
        <v>21690</v>
      </c>
      <c r="E9364" s="4">
        <v>351658</v>
      </c>
      <c r="F9364">
        <v>1</v>
      </c>
    </row>
    <row r="9365" spans="1:6" ht="13.5" customHeight="1">
      <c r="A9365" s="4" t="s">
        <v>21691</v>
      </c>
      <c r="B9365" s="4" t="s">
        <v>21692</v>
      </c>
      <c r="C9365" s="4" t="str">
        <f ca="1">IFERROR(__xludf.DUMMYFUNCTION("GOOGLETRANSLATE(D:D,""auto"",""en"")"),"Wuhan area free of the disease up to 99%")</f>
        <v>Wuhan area free of the disease up to 99%</v>
      </c>
      <c r="D9365" s="5" t="s">
        <v>21693</v>
      </c>
      <c r="E9365" s="4">
        <v>348012</v>
      </c>
      <c r="F9365">
        <v>1</v>
      </c>
    </row>
    <row r="9366" spans="1:6" ht="13.5" hidden="1" customHeight="1">
      <c r="A9366" s="4" t="s">
        <v>21694</v>
      </c>
      <c r="B9366" s="4" t="s">
        <v>21565</v>
      </c>
      <c r="C9366" s="4" t="str">
        <f ca="1">IFERROR(__xludf.DUMMYFUNCTION("GOOGLETRANSLATE(D:D,""auto"",""en"")"),"Network do not understand the point of view of initials")</f>
        <v>Network do not understand the point of view of initials</v>
      </c>
      <c r="D9366" s="5" t="s">
        <v>21695</v>
      </c>
      <c r="E9366" s="4">
        <v>335671</v>
      </c>
    </row>
    <row r="9367" spans="1:6" ht="13.5" customHeight="1">
      <c r="A9367" s="4" t="s">
        <v>21696</v>
      </c>
      <c r="B9367" s="4" t="s">
        <v>21679</v>
      </c>
      <c r="C9367" s="4" t="str">
        <f ca="1">IFERROR(__xludf.DUMMYFUNCTION("GOOGLETRANSLATE(D:D,""auto"",""en"")"),"Zhongguancun developed a new type of graphene masks")</f>
        <v>Zhongguancun developed a new type of graphene masks</v>
      </c>
      <c r="D9367" s="5" t="s">
        <v>21697</v>
      </c>
      <c r="E9367" s="4">
        <v>333719</v>
      </c>
      <c r="F9367">
        <v>1</v>
      </c>
    </row>
    <row r="9368" spans="1:6" ht="13.5" customHeight="1">
      <c r="A9368" s="4" t="s">
        <v>21698</v>
      </c>
      <c r="B9368" s="4" t="s">
        <v>21699</v>
      </c>
      <c r="C9368" s="4" t="str">
        <f ca="1">IFERROR(__xludf.DUMMYFUNCTION("GOOGLETRANSLATE(D:D,""auto"",""en"")"),"When I heard the Ching Ming Festival to the Internet class holiday")</f>
        <v>When I heard the Ching Ming Festival to the Internet class holiday</v>
      </c>
      <c r="D9368" s="5" t="s">
        <v>21700</v>
      </c>
      <c r="E9368" s="4">
        <v>321659</v>
      </c>
      <c r="F9368">
        <v>1</v>
      </c>
    </row>
    <row r="9369" spans="1:6" ht="13.5" hidden="1" customHeight="1">
      <c r="A9369" s="4" t="s">
        <v>21701</v>
      </c>
      <c r="B9369" s="4" t="s">
        <v>21702</v>
      </c>
      <c r="C9369" s="4" t="str">
        <f ca="1">IFERROR(__xludf.DUMMYFUNCTION("GOOGLETRANSLATE(D:D,""auto"",""en"")"),"Wang Shi of Vanke employees to donate 200 million shares")</f>
        <v>Wang Shi of Vanke employees to donate 200 million shares</v>
      </c>
      <c r="D9369" s="5" t="s">
        <v>21703</v>
      </c>
      <c r="E9369" s="4">
        <v>305957</v>
      </c>
    </row>
    <row r="9370" spans="1:6" ht="13.5" customHeight="1">
      <c r="A9370" s="4" t="s">
        <v>21704</v>
      </c>
      <c r="B9370" s="4" t="s">
        <v>21643</v>
      </c>
      <c r="C9370" s="4" t="str">
        <f ca="1">IFERROR(__xludf.DUMMYFUNCTION("GOOGLETRANSLATE(D:D,""auto"",""en"")"),"Live Internet classes high school students to share experiences")</f>
        <v>Live Internet classes high school students to share experiences</v>
      </c>
      <c r="D9370" s="5" t="s">
        <v>21705</v>
      </c>
      <c r="E9370" s="4">
        <v>299847</v>
      </c>
      <c r="F9370">
        <v>1</v>
      </c>
    </row>
    <row r="9371" spans="1:6" ht="13.5" hidden="1" customHeight="1">
      <c r="A9371" s="4" t="s">
        <v>21706</v>
      </c>
      <c r="B9371" s="4" t="s">
        <v>21643</v>
      </c>
      <c r="C9371" s="4" t="str">
        <f ca="1">IFERROR(__xludf.DUMMYFUNCTION("GOOGLETRANSLATE(D:D,""auto"",""en"")"),"Like a child chasing drama")</f>
        <v>Like a child chasing drama</v>
      </c>
      <c r="D9371" s="5" t="s">
        <v>21707</v>
      </c>
      <c r="E9371" s="4">
        <v>296621</v>
      </c>
    </row>
    <row r="9372" spans="1:6" ht="13.5" customHeight="1">
      <c r="A9372" s="4" t="s">
        <v>21708</v>
      </c>
      <c r="B9372" s="4" t="s">
        <v>21643</v>
      </c>
      <c r="C9372" s="4" t="str">
        <f ca="1">IFERROR(__xludf.DUMMYFUNCTION("GOOGLETRANSLATE(D:D,""auto"",""en"")"),"Los Angeles Mayor recommended that all residents wear masks")</f>
        <v>Los Angeles Mayor recommended that all residents wear masks</v>
      </c>
      <c r="D9372" s="5" t="s">
        <v>21709</v>
      </c>
      <c r="E9372" s="4">
        <v>292022</v>
      </c>
      <c r="F9372">
        <v>1</v>
      </c>
    </row>
    <row r="9373" spans="1:6" ht="13.5" hidden="1" customHeight="1">
      <c r="A9373" s="4" t="s">
        <v>21645</v>
      </c>
      <c r="B9373" s="4" t="s">
        <v>21710</v>
      </c>
      <c r="C9373" s="4" t="str">
        <f ca="1">IFERROR(__xludf.DUMMYFUNCTION("GOOGLETRANSLATE(D:D,""auto"",""en"")"),"World Autism Awareness Day")</f>
        <v>World Autism Awareness Day</v>
      </c>
      <c r="D9373" s="5" t="s">
        <v>21711</v>
      </c>
      <c r="E9373" s="4">
        <v>277171</v>
      </c>
    </row>
    <row r="9374" spans="1:6" ht="13.5" customHeight="1">
      <c r="A9374" s="4" t="s">
        <v>21712</v>
      </c>
      <c r="B9374" s="4" t="s">
        <v>21713</v>
      </c>
      <c r="C9374" s="4" t="str">
        <f ca="1">IFERROR(__xludf.DUMMYFUNCTION("GOOGLETRANSLATE(D:D,""auto"",""en"")"),"The appearance of the epidemic in love")</f>
        <v>The appearance of the epidemic in love</v>
      </c>
      <c r="D9374" s="5" t="s">
        <v>21714</v>
      </c>
      <c r="E9374" s="4">
        <v>274123</v>
      </c>
      <c r="F9374">
        <v>1</v>
      </c>
    </row>
    <row r="9375" spans="1:6" ht="13.5" hidden="1" customHeight="1">
      <c r="A9375" s="4" t="s">
        <v>21715</v>
      </c>
      <c r="B9375" s="4" t="s">
        <v>21716</v>
      </c>
      <c r="C9375" s="4" t="str">
        <f ca="1">IFERROR(__xludf.DUMMYFUNCTION("GOOGLETRANSLATE(D:D,""auto"",""en"")"),"Nihon University graduation ceremony held in the cloud")</f>
        <v>Nihon University graduation ceremony held in the cloud</v>
      </c>
      <c r="D9375" s="5" t="s">
        <v>21717</v>
      </c>
      <c r="E9375" s="4">
        <v>273568</v>
      </c>
    </row>
    <row r="9376" spans="1:6" ht="13.5" hidden="1" customHeight="1">
      <c r="A9376" s="4" t="s">
        <v>21619</v>
      </c>
      <c r="B9376" s="4" t="s">
        <v>21718</v>
      </c>
      <c r="C9376" s="4" t="str">
        <f ca="1">IFERROR(__xludf.DUMMYFUNCTION("GOOGLETRANSLATE(D:D,""auto"",""en"")"),"Netherlands brother inverted clothes")</f>
        <v>Netherlands brother inverted clothes</v>
      </c>
      <c r="D9376" s="5" t="s">
        <v>21719</v>
      </c>
      <c r="E9376" s="4">
        <v>273329</v>
      </c>
    </row>
    <row r="9377" spans="1:6" ht="13.5" customHeight="1">
      <c r="A9377" s="4" t="s">
        <v>21720</v>
      </c>
      <c r="B9377" s="4" t="s">
        <v>21721</v>
      </c>
      <c r="C9377" s="4" t="str">
        <f ca="1">IFERROR(__xludf.DUMMYFUNCTION("GOOGLETRANSLATE(D:D,""auto"",""en"")"),"Italy 30 million overseas Chinese from 22 million masks")</f>
        <v>Italy 30 million overseas Chinese from 22 million masks</v>
      </c>
      <c r="D9377" s="5" t="s">
        <v>21722</v>
      </c>
      <c r="E9377" s="4">
        <v>273300</v>
      </c>
      <c r="F9377">
        <v>1</v>
      </c>
    </row>
    <row r="9378" spans="1:6" ht="13.5" hidden="1" customHeight="1">
      <c r="A9378" s="4" t="s">
        <v>21720</v>
      </c>
      <c r="B9378" s="4" t="s">
        <v>21723</v>
      </c>
      <c r="C9378" s="4" t="str">
        <f ca="1">IFERROR(__xludf.DUMMYFUNCTION("GOOGLETRANSLATE(D:D,""auto"",""en"")"),"Beauty cones eggs")</f>
        <v>Beauty cones eggs</v>
      </c>
      <c r="D9378" s="5" t="s">
        <v>21724</v>
      </c>
      <c r="E9378" s="4">
        <v>235663</v>
      </c>
    </row>
    <row r="9379" spans="1:6" ht="13.5" hidden="1" customHeight="1">
      <c r="A9379" s="4" t="s">
        <v>21725</v>
      </c>
      <c r="B9379" s="4" t="s">
        <v>21508</v>
      </c>
      <c r="C9379" s="4" t="str">
        <f ca="1">IFERROR(__xludf.DUMMYFUNCTION("GOOGLETRANSLATE(D:D,""auto"",""en"")"),"Shanghai Teacher Teacher Award Finalist Global")</f>
        <v>Shanghai Teacher Teacher Award Finalist Global</v>
      </c>
      <c r="D9379" s="5" t="s">
        <v>21726</v>
      </c>
      <c r="E9379" s="4">
        <v>226879</v>
      </c>
    </row>
    <row r="9380" spans="1:6" ht="13.5" hidden="1" customHeight="1">
      <c r="A9380" s="4" t="s">
        <v>21727</v>
      </c>
      <c r="B9380" s="4" t="s">
        <v>21728</v>
      </c>
      <c r="C9380" s="4" t="str">
        <f ca="1">IFERROR(__xludf.DUMMYFUNCTION("GOOGLETRANSLATE(D:D,""auto"",""en"")"),"Animal Friends Mori Cherry")</f>
        <v>Animal Friends Mori Cherry</v>
      </c>
      <c r="D9380" s="5" t="s">
        <v>21729</v>
      </c>
      <c r="E9380" s="4">
        <v>222956</v>
      </c>
    </row>
    <row r="9381" spans="1:6" ht="13.5" customHeight="1">
      <c r="A9381" s="4" t="s">
        <v>21727</v>
      </c>
      <c r="B9381" s="4" t="s">
        <v>21730</v>
      </c>
      <c r="C9381" s="4" t="str">
        <f ca="1">IFERROR(__xludf.DUMMYFUNCTION("GOOGLETRANSLATE(D:D,""auto"",""en"")"),"The United States is expected to have 100,000 to 24 million people died of the new crown")</f>
        <v>The United States is expected to have 100,000 to 24 million people died of the new crown</v>
      </c>
      <c r="D9381" s="5" t="s">
        <v>21731</v>
      </c>
      <c r="E9381" s="4">
        <v>215224</v>
      </c>
      <c r="F9381">
        <v>1</v>
      </c>
    </row>
    <row r="9382" spans="1:6" ht="13.5" hidden="1" customHeight="1">
      <c r="A9382" s="4" t="s">
        <v>21718</v>
      </c>
      <c r="B9382" s="4" t="s">
        <v>21648</v>
      </c>
      <c r="C9382" s="4" t="str">
        <f ca="1">IFERROR(__xludf.DUMMYFUNCTION("GOOGLETRANSLATE(D:D,""auto"",""en"")"),"Spanish military personnel on duty to escort my grandmother to go home alone")</f>
        <v>Spanish military personnel on duty to escort my grandmother to go home alone</v>
      </c>
      <c r="D9382" s="5" t="s">
        <v>21732</v>
      </c>
      <c r="E9382" s="4">
        <v>202122</v>
      </c>
    </row>
    <row r="9383" spans="1:6" ht="13.5" hidden="1" customHeight="1">
      <c r="C9383" s="4" t="str">
        <f ca="1">IFERROR(__xludf.DUMMYFUNCTION("GOOGLETRANSLATE(D:D,""auto"",""en"")"),"#VALUE!")</f>
        <v>#VALUE!</v>
      </c>
    </row>
    <row r="9384" spans="1:6" ht="13.5" hidden="1" customHeight="1">
      <c r="A9384" s="4" t="s">
        <v>21733</v>
      </c>
      <c r="B9384" s="4" t="s">
        <v>21734</v>
      </c>
      <c r="C9384" s="4" t="str">
        <f ca="1">IFERROR(__xludf.DUMMYFUNCTION("GOOGLETRANSLATE(D:D,""auto"",""en"")"),"Lisa Yu Shuxin teach dance")</f>
        <v>Lisa Yu Shuxin teach dance</v>
      </c>
      <c r="D9384" s="4" t="s">
        <v>21735</v>
      </c>
      <c r="E9384" s="4">
        <v>2915143</v>
      </c>
    </row>
    <row r="9385" spans="1:6" ht="13.5" customHeight="1">
      <c r="A9385" s="4" t="s">
        <v>20172</v>
      </c>
      <c r="B9385" s="4" t="s">
        <v>21736</v>
      </c>
      <c r="C9385" s="4" t="str">
        <f ca="1">IFERROR(__xludf.DUMMYFUNCTION("GOOGLETRANSLATE(D:D,""auto"",""en"")"),"Zhong Nanshan worried some countries can not control the epidemic")</f>
        <v>Zhong Nanshan worried some countries can not control the epidemic</v>
      </c>
      <c r="D9385" s="5" t="s">
        <v>21737</v>
      </c>
      <c r="E9385" s="4">
        <v>1972367</v>
      </c>
      <c r="F9385">
        <v>1</v>
      </c>
    </row>
    <row r="9386" spans="1:6" ht="13.5" hidden="1" customHeight="1">
      <c r="A9386" s="4" t="s">
        <v>18435</v>
      </c>
      <c r="B9386" s="4" t="s">
        <v>21738</v>
      </c>
      <c r="C9386" s="4" t="str">
        <f ca="1">IFERROR(__xludf.DUMMYFUNCTION("GOOGLETRANSLATE(D:D,""auto"",""en"")"),"Cher square hole Statement")</f>
        <v>Cher square hole Statement</v>
      </c>
      <c r="D9386" s="5" t="s">
        <v>21739</v>
      </c>
      <c r="E9386" s="4">
        <v>1864058</v>
      </c>
    </row>
    <row r="9387" spans="1:6" ht="13.5" hidden="1" customHeight="1">
      <c r="A9387" s="4" t="s">
        <v>21740</v>
      </c>
      <c r="B9387" s="4" t="s">
        <v>21741</v>
      </c>
      <c r="C9387" s="4" t="str">
        <f ca="1">IFERROR(__xludf.DUMMYFUNCTION("GOOGLETRANSLATE(D:D,""auto"",""en"")"),"Rui Xing crash")</f>
        <v>Rui Xing crash</v>
      </c>
      <c r="D9387" s="5" t="s">
        <v>21742</v>
      </c>
      <c r="E9387" s="4">
        <v>1636413</v>
      </c>
    </row>
    <row r="9388" spans="1:6" ht="13.5" customHeight="1">
      <c r="A9388" s="4" t="s">
        <v>21743</v>
      </c>
      <c r="B9388" s="4" t="s">
        <v>21744</v>
      </c>
      <c r="C9388" s="4" t="str">
        <f ca="1">IFERROR(__xludf.DUMMYFUNCTION("GOOGLETRANSLATE(D:D,""auto"",""en"")"),"Director Deng response to foreign patients bitten by nurses new crown")</f>
        <v>Director Deng response to foreign patients bitten by nurses new crown</v>
      </c>
      <c r="D9388" s="5" t="s">
        <v>21745</v>
      </c>
      <c r="E9388" s="4">
        <v>1307315</v>
      </c>
      <c r="F9388">
        <v>1</v>
      </c>
    </row>
    <row r="9389" spans="1:6" ht="13.5" hidden="1" customHeight="1">
      <c r="A9389" s="4" t="s">
        <v>21746</v>
      </c>
      <c r="B9389" s="4" t="s">
        <v>21747</v>
      </c>
      <c r="C9389" s="4" t="str">
        <f ca="1">IFERROR(__xludf.DUMMYFUNCTION("GOOGLETRANSLATE(D:D,""auto"",""en"")"),"Parable is not the first vocal group")</f>
        <v>Parable is not the first vocal group</v>
      </c>
      <c r="D9389" s="5" t="s">
        <v>21748</v>
      </c>
      <c r="E9389" s="4">
        <v>1145908</v>
      </c>
    </row>
    <row r="9390" spans="1:6" ht="13.5" hidden="1" customHeight="1">
      <c r="A9390" s="4" t="s">
        <v>21749</v>
      </c>
      <c r="B9390" s="4" t="s">
        <v>21750</v>
      </c>
      <c r="C9390" s="4" t="str">
        <f ca="1">IFERROR(__xludf.DUMMYFUNCTION("GOOGLETRANSLATE(D:D,""auto"",""en"")"),"Prostitutes decided to abolish reeducation approach")</f>
        <v>Prostitutes decided to abolish reeducation approach</v>
      </c>
      <c r="D9390" s="5" t="s">
        <v>21751</v>
      </c>
      <c r="E9390" s="4">
        <v>1016885</v>
      </c>
    </row>
    <row r="9391" spans="1:6" ht="13.5" hidden="1" customHeight="1">
      <c r="A9391" s="4" t="s">
        <v>21752</v>
      </c>
      <c r="B9391" s="4" t="s">
        <v>21753</v>
      </c>
      <c r="C9391" s="4" t="str">
        <f ca="1">IFERROR(__xludf.DUMMYFUNCTION("GOOGLETRANSLATE(D:D,""auto"",""en"")"),"Pan Yue Ming to apologize fat")</f>
        <v>Pan Yue Ming to apologize fat</v>
      </c>
      <c r="D9391" s="5" t="s">
        <v>21754</v>
      </c>
      <c r="E9391" s="4">
        <v>931412</v>
      </c>
    </row>
    <row r="9392" spans="1:6" ht="13.5" hidden="1" customHeight="1">
      <c r="A9392" s="4" t="s">
        <v>21755</v>
      </c>
      <c r="B9392" s="4" t="s">
        <v>21756</v>
      </c>
      <c r="C9392" s="4" t="str">
        <f ca="1">IFERROR(__xludf.DUMMYFUNCTION("GOOGLETRANSLATE(D:D,""auto"",""en"")"),"Teacher jailed for molesting 17 students for seven years and a half")</f>
        <v>Teacher jailed for molesting 17 students for seven years and a half</v>
      </c>
      <c r="D9392" s="5" t="s">
        <v>21757</v>
      </c>
      <c r="E9392" s="4">
        <v>763328</v>
      </c>
    </row>
    <row r="9393" spans="1:6" ht="13.5" hidden="1" customHeight="1">
      <c r="A9393" s="4" t="s">
        <v>21758</v>
      </c>
      <c r="B9393" s="4" t="s">
        <v>21759</v>
      </c>
      <c r="C9393" s="4" t="str">
        <f ca="1">IFERROR(__xludf.DUMMYFUNCTION("GOOGLETRANSLATE(D:D,""auto"",""en"")"),"Small plump plastic surgery")</f>
        <v>Small plump plastic surgery</v>
      </c>
      <c r="D9393" s="5" t="s">
        <v>21760</v>
      </c>
      <c r="E9393" s="4">
        <v>702897</v>
      </c>
    </row>
    <row r="9394" spans="1:6" ht="13.5" hidden="1" customHeight="1">
      <c r="A9394" s="4" t="s">
        <v>21761</v>
      </c>
      <c r="B9394" s="4" t="s">
        <v>21756</v>
      </c>
      <c r="C9394" s="4" t="str">
        <f ca="1">IFERROR(__xludf.DUMMYFUNCTION("GOOGLETRANSLATE(D:D,""auto"",""en"")"),"Liu Ling Zi liters Class A")</f>
        <v>Liu Ling Zi liters Class A</v>
      </c>
      <c r="D9394" s="5" t="s">
        <v>21762</v>
      </c>
      <c r="E9394" s="4">
        <v>658225</v>
      </c>
    </row>
    <row r="9395" spans="1:6" ht="13.5" customHeight="1">
      <c r="A9395" s="4" t="s">
        <v>18435</v>
      </c>
      <c r="B9395" s="4" t="s">
        <v>21763</v>
      </c>
      <c r="C9395" s="4" t="str">
        <f ca="1">IFERROR(__xludf.DUMMYFUNCTION("GOOGLETRANSLATE(D:D,""auto"",""en"")"),"E-aid medical team is back wearing handcuffs son")</f>
        <v>E-aid medical team is back wearing handcuffs son</v>
      </c>
      <c r="D9395" s="5" t="s">
        <v>21764</v>
      </c>
      <c r="E9395" s="4">
        <v>656321</v>
      </c>
      <c r="F9395">
        <v>1</v>
      </c>
    </row>
    <row r="9396" spans="1:6" ht="13.5" customHeight="1">
      <c r="A9396" s="4" t="s">
        <v>21765</v>
      </c>
      <c r="B9396" s="4" t="s">
        <v>21766</v>
      </c>
      <c r="C9396" s="4" t="str">
        <f ca="1">IFERROR(__xludf.DUMMYFUNCTION("GOOGLETRANSLATE(D:D,""auto"",""en"")"),"The new crown is the first human coronavirus pandemic")</f>
        <v>The new crown is the first human coronavirus pandemic</v>
      </c>
      <c r="D9396" s="5" t="s">
        <v>21767</v>
      </c>
      <c r="E9396" s="4">
        <v>643157</v>
      </c>
      <c r="F9396">
        <v>1</v>
      </c>
    </row>
    <row r="9397" spans="1:6" ht="13.5" customHeight="1">
      <c r="A9397" s="4" t="s">
        <v>21768</v>
      </c>
      <c r="B9397" s="4" t="s">
        <v>21769</v>
      </c>
      <c r="C9397" s="4" t="str">
        <f ca="1">IFERROR(__xludf.DUMMYFUNCTION("GOOGLETRANSLATE(D:D,""auto"",""en"")"),"Li Wenliang")</f>
        <v>Li Wenliang</v>
      </c>
      <c r="D9397" s="5" t="s">
        <v>21770</v>
      </c>
      <c r="E9397" s="4">
        <v>636933</v>
      </c>
      <c r="F9397">
        <v>1</v>
      </c>
    </row>
    <row r="9398" spans="1:6" ht="13.5" hidden="1" customHeight="1">
      <c r="A9398" s="4" t="s">
        <v>21771</v>
      </c>
      <c r="B9398" s="4" t="s">
        <v>21772</v>
      </c>
      <c r="C9398" s="4" t="str">
        <f ca="1">IFERROR(__xludf.DUMMYFUNCTION("GOOGLETRANSLATE(D:D,""auto"",""en"")"),"Hua Chunying asked the United States nearly nine minutes")</f>
        <v>Hua Chunying asked the United States nearly nine minutes</v>
      </c>
      <c r="D9398" s="5" t="s">
        <v>21773</v>
      </c>
      <c r="E9398" s="4">
        <v>591894</v>
      </c>
    </row>
    <row r="9399" spans="1:6" ht="13.5" customHeight="1">
      <c r="A9399" s="4" t="s">
        <v>13780</v>
      </c>
      <c r="B9399" s="4" t="s">
        <v>13781</v>
      </c>
      <c r="C9399" s="4" t="str">
        <f ca="1">IFERROR(__xludf.DUMMYFUNCTION("GOOGLETRANSLATE(D:D,""auto"",""en"")"),"US epidemic")</f>
        <v>US epidemic</v>
      </c>
      <c r="D9399" s="5" t="s">
        <v>13782</v>
      </c>
      <c r="E9399" s="4">
        <v>567968</v>
      </c>
      <c r="F9399">
        <v>1</v>
      </c>
    </row>
    <row r="9400" spans="1:6" ht="13.5" hidden="1" customHeight="1">
      <c r="A9400" s="4" t="s">
        <v>21774</v>
      </c>
      <c r="B9400" s="4" t="s">
        <v>21775</v>
      </c>
      <c r="C9400" s="4" t="str">
        <f ca="1">IFERROR(__xludf.DUMMYFUNCTION("GOOGLETRANSLATE(D:D,""auto"",""en"")"),"Tang snow father")</f>
        <v>Tang snow father</v>
      </c>
      <c r="D9400" s="5" t="s">
        <v>21776</v>
      </c>
      <c r="E9400" s="4">
        <v>555218</v>
      </c>
    </row>
    <row r="9401" spans="1:6" ht="13.5" hidden="1" customHeight="1">
      <c r="A9401" s="4" t="s">
        <v>21777</v>
      </c>
      <c r="B9401" s="4" t="s">
        <v>21747</v>
      </c>
      <c r="C9401" s="4" t="str">
        <f ca="1">IFERROR(__xludf.DUMMYFUNCTION("GOOGLETRANSLATE(D:D,""auto"",""en"")"),"Fortunately, fake Swiss coffee trading 2.2 billion")</f>
        <v>Fortunately, fake Swiss coffee trading 2.2 billion</v>
      </c>
      <c r="D9401" s="5" t="s">
        <v>21778</v>
      </c>
      <c r="E9401" s="4">
        <v>553793</v>
      </c>
    </row>
    <row r="9402" spans="1:6" ht="13.5" customHeight="1">
      <c r="A9402" s="4" t="s">
        <v>21779</v>
      </c>
      <c r="B9402" s="4" t="s">
        <v>21775</v>
      </c>
      <c r="C9402" s="4" t="str">
        <f ca="1">IFERROR(__xludf.DUMMYFUNCTION("GOOGLETRANSLATE(D:D,""auto"",""en"")"),"Berlin Mayor exposes a deliberately infect new crown")</f>
        <v>Berlin Mayor exposes a deliberately infect new crown</v>
      </c>
      <c r="D9402" s="5" t="s">
        <v>21780</v>
      </c>
      <c r="E9402" s="4">
        <v>539734</v>
      </c>
      <c r="F9402">
        <v>1</v>
      </c>
    </row>
    <row r="9403" spans="1:6" ht="13.5" hidden="1" customHeight="1">
      <c r="A9403" s="4" t="s">
        <v>18462</v>
      </c>
      <c r="B9403" s="4" t="s">
        <v>18463</v>
      </c>
      <c r="C9403" s="4" t="str">
        <f ca="1">IFERROR(__xludf.DUMMYFUNCTION("GOOGLETRANSLATE(D:D,""auto"",""en"")"),"Rock candy stew Sydney")</f>
        <v>Rock candy stew Sydney</v>
      </c>
      <c r="D9403" s="5" t="s">
        <v>18464</v>
      </c>
      <c r="E9403" s="4">
        <v>489669</v>
      </c>
    </row>
    <row r="9404" spans="1:6" ht="13.5" hidden="1" customHeight="1">
      <c r="A9404" s="4" t="s">
        <v>14434</v>
      </c>
      <c r="B9404" s="4" t="s">
        <v>14435</v>
      </c>
      <c r="C9404" s="4" t="str">
        <f ca="1">IFERROR(__xludf.DUMMYFUNCTION("GOOGLETRANSLATE(D:D,""auto"",""en"")"),"US stocks")</f>
        <v>US stocks</v>
      </c>
      <c r="D9404" s="5" t="s">
        <v>14436</v>
      </c>
      <c r="E9404" s="4">
        <v>481355</v>
      </c>
    </row>
    <row r="9405" spans="1:6" ht="13.5" customHeight="1">
      <c r="A9405" s="4" t="s">
        <v>21781</v>
      </c>
      <c r="B9405" s="4" t="s">
        <v>21782</v>
      </c>
      <c r="C9405" s="4" t="str">
        <f ca="1">IFERROR(__xludf.DUMMYFUNCTION("GOOGLETRANSLATE(D:D,""auto"",""en"")"),"Zhejiang school time")</f>
        <v>Zhejiang school time</v>
      </c>
      <c r="D9405" s="5" t="s">
        <v>21783</v>
      </c>
      <c r="E9405" s="4">
        <v>480799</v>
      </c>
      <c r="F9405">
        <v>1</v>
      </c>
    </row>
    <row r="9406" spans="1:6" ht="13.5" hidden="1" customHeight="1">
      <c r="A9406" s="4" t="s">
        <v>21784</v>
      </c>
      <c r="B9406" s="4" t="s">
        <v>21785</v>
      </c>
      <c r="C9406" s="4" t="str">
        <f ca="1">IFERROR(__xludf.DUMMYFUNCTION("GOOGLETRANSLATE(D:D,""auto"",""en"")"),"Shi, when the mother talk about feelings")</f>
        <v>Shi, when the mother talk about feelings</v>
      </c>
      <c r="D9406" s="5" t="s">
        <v>21786</v>
      </c>
      <c r="E9406" s="4">
        <v>476742</v>
      </c>
    </row>
    <row r="9407" spans="1:6" ht="13.5" hidden="1" customHeight="1">
      <c r="A9407" s="4" t="s">
        <v>21787</v>
      </c>
      <c r="B9407" s="4" t="s">
        <v>21788</v>
      </c>
      <c r="C9407" s="4" t="str">
        <f ca="1">IFERROR(__xludf.DUMMYFUNCTION("GOOGLETRANSLATE(D:D,""auto"",""en"")"),"Seven vitality of the ear too")</f>
        <v>Seven vitality of the ear too</v>
      </c>
      <c r="D9407" s="5" t="s">
        <v>21789</v>
      </c>
      <c r="E9407" s="4">
        <v>454578</v>
      </c>
    </row>
    <row r="9408" spans="1:6" ht="13.5" hidden="1" customHeight="1">
      <c r="A9408" s="4" t="s">
        <v>21790</v>
      </c>
      <c r="B9408" s="4" t="s">
        <v>21791</v>
      </c>
      <c r="C9408" s="4" t="str">
        <f ca="1">IFERROR(__xludf.DUMMYFUNCTION("GOOGLETRANSLATE(D:D,""auto"",""en"")"),"Posted in Arts exam pass adjustment notice")</f>
        <v>Posted in Arts exam pass adjustment notice</v>
      </c>
      <c r="D9408" s="5" t="s">
        <v>21792</v>
      </c>
      <c r="E9408" s="4">
        <v>410839</v>
      </c>
    </row>
    <row r="9409" spans="1:6" ht="13.5" hidden="1" customHeight="1">
      <c r="A9409" s="4" t="s">
        <v>18435</v>
      </c>
      <c r="B9409" s="4" t="s">
        <v>18436</v>
      </c>
      <c r="C9409" s="4" t="str">
        <f ca="1">IFERROR(__xludf.DUMMYFUNCTION("GOOGLETRANSLATE(D:D,""auto"",""en"")"),"Three thousand crow kill")</f>
        <v>Three thousand crow kill</v>
      </c>
      <c r="D9409" s="5" t="s">
        <v>18437</v>
      </c>
      <c r="E9409" s="4">
        <v>379536</v>
      </c>
    </row>
    <row r="9410" spans="1:6" ht="13.5" hidden="1" customHeight="1">
      <c r="A9410" s="4" t="s">
        <v>21793</v>
      </c>
      <c r="B9410" s="4" t="s">
        <v>21794</v>
      </c>
      <c r="C9410" s="4" t="str">
        <f ca="1">IFERROR(__xludf.DUMMYFUNCTION("GOOGLETRANSLATE(D:D,""auto"",""en"")"),"Qi milk")</f>
        <v>Qi milk</v>
      </c>
      <c r="D9410" s="5" t="s">
        <v>21795</v>
      </c>
      <c r="E9410" s="4">
        <v>355292</v>
      </c>
    </row>
    <row r="9411" spans="1:6" ht="13.5" hidden="1" customHeight="1">
      <c r="A9411" s="4" t="s">
        <v>21796</v>
      </c>
      <c r="B9411" s="4" t="s">
        <v>21797</v>
      </c>
      <c r="C9411" s="4" t="str">
        <f ca="1">IFERROR(__xludf.DUMMYFUNCTION("GOOGLETRANSLATE(D:D,""auto"",""en"")"),"Qingping given file")</f>
        <v>Qingping given file</v>
      </c>
      <c r="D9411" s="5" t="s">
        <v>21798</v>
      </c>
      <c r="E9411" s="4">
        <v>353757</v>
      </c>
    </row>
    <row r="9412" spans="1:6" ht="13.5" customHeight="1">
      <c r="A9412" s="4" t="s">
        <v>21799</v>
      </c>
      <c r="B9412" s="4" t="s">
        <v>21800</v>
      </c>
      <c r="C9412" s="4" t="str">
        <f ca="1">IFERROR(__xludf.DUMMYFUNCTION("GOOGLETRANSLATE(D:D,""auto"",""en"")"),"Foreign Ministry announced 11 new outbreaks high-risk countries")</f>
        <v>Foreign Ministry announced 11 new outbreaks high-risk countries</v>
      </c>
      <c r="D9412" s="5" t="s">
        <v>21801</v>
      </c>
      <c r="E9412" s="4">
        <v>345881</v>
      </c>
      <c r="F9412">
        <v>1</v>
      </c>
    </row>
    <row r="9413" spans="1:6" ht="13.5" customHeight="1">
      <c r="A9413" s="4" t="s">
        <v>21802</v>
      </c>
      <c r="B9413" s="4" t="s">
        <v>21803</v>
      </c>
      <c r="C9413" s="4" t="str">
        <f ca="1">IFERROR(__xludf.DUMMYFUNCTION("GOOGLETRANSLATE(D:D,""auto"",""en"")"),"1 case of overseas travel path of the cases associated with the input Liaoning")</f>
        <v>1 case of overseas travel path of the cases associated with the input Liaoning</v>
      </c>
      <c r="D9413" s="5" t="s">
        <v>21804</v>
      </c>
      <c r="E9413" s="4">
        <v>341161</v>
      </c>
      <c r="F9413">
        <v>1</v>
      </c>
    </row>
    <row r="9414" spans="1:6" ht="13.5" customHeight="1">
      <c r="A9414" s="4" t="s">
        <v>21799</v>
      </c>
      <c r="B9414" s="4" t="s">
        <v>21734</v>
      </c>
      <c r="C9414" s="4" t="str">
        <f ca="1">IFERROR(__xludf.DUMMYFUNCTION("GOOGLETRANSLATE(D:D,""auto"",""en"")"),"Russia paid leave was extended to April 30")</f>
        <v>Russia paid leave was extended to April 30</v>
      </c>
      <c r="D9414" s="5" t="s">
        <v>21805</v>
      </c>
      <c r="E9414" s="4">
        <v>330526</v>
      </c>
      <c r="F9414">
        <v>1</v>
      </c>
    </row>
    <row r="9415" spans="1:6" ht="13.5" hidden="1" customHeight="1">
      <c r="A9415" s="4" t="s">
        <v>21806</v>
      </c>
      <c r="B9415" s="4" t="s">
        <v>21807</v>
      </c>
      <c r="C9415" s="4" t="str">
        <f ca="1">IFERROR(__xludf.DUMMYFUNCTION("GOOGLETRANSLATE(D:D,""auto"",""en"")"),"Song Zhao Yi cried")</f>
        <v>Song Zhao Yi cried</v>
      </c>
      <c r="D9415" s="5" t="s">
        <v>21808</v>
      </c>
      <c r="E9415" s="4">
        <v>322404</v>
      </c>
    </row>
    <row r="9416" spans="1:6" ht="13.5" hidden="1" customHeight="1">
      <c r="A9416" s="4" t="s">
        <v>21809</v>
      </c>
      <c r="B9416" s="4" t="s">
        <v>21810</v>
      </c>
      <c r="C9416" s="4" t="str">
        <f ca="1">IFERROR(__xludf.DUMMYFUNCTION("GOOGLETRANSLATE(D:D,""auto"",""en"")"),"The second batch of aid is intended to return the expert group End")</f>
        <v>The second batch of aid is intended to return the expert group End</v>
      </c>
      <c r="D9416" s="5" t="s">
        <v>21811</v>
      </c>
      <c r="E9416" s="4">
        <v>320756</v>
      </c>
    </row>
    <row r="9417" spans="1:6" ht="13.5" customHeight="1">
      <c r="A9417" s="4" t="s">
        <v>21812</v>
      </c>
      <c r="B9417" s="4" t="s">
        <v>21813</v>
      </c>
      <c r="C9417" s="4" t="str">
        <f ca="1">IFERROR(__xludf.DUMMYFUNCTION("GOOGLETRANSLATE(D:D,""auto"",""en"")"),"Hubei 14 was named the first martyr who sacrificed")</f>
        <v>Hubei 14 was named the first martyr who sacrificed</v>
      </c>
      <c r="D9417" s="5" t="s">
        <v>21814</v>
      </c>
      <c r="E9417" s="4">
        <v>309706</v>
      </c>
      <c r="F9417">
        <v>1</v>
      </c>
    </row>
    <row r="9418" spans="1:6" ht="13.5" hidden="1" customHeight="1">
      <c r="A9418" s="4" t="s">
        <v>21796</v>
      </c>
      <c r="B9418" s="4" t="s">
        <v>21815</v>
      </c>
      <c r="C9418" s="4" t="str">
        <f ca="1">IFERROR(__xludf.DUMMYFUNCTION("GOOGLETRANSLATE(D:D,""auto"",""en"")"),"Song Qian jeans")</f>
        <v>Song Qian jeans</v>
      </c>
      <c r="D9418" s="5" t="s">
        <v>21816</v>
      </c>
      <c r="E9418" s="4">
        <v>306422</v>
      </c>
    </row>
    <row r="9419" spans="1:6" ht="13.5" hidden="1" customHeight="1">
      <c r="A9419" s="4" t="s">
        <v>21817</v>
      </c>
      <c r="B9419" s="4" t="s">
        <v>21794</v>
      </c>
      <c r="C9419" s="4" t="str">
        <f ca="1">IFERROR(__xludf.DUMMYFUNCTION("GOOGLETRANSLATE(D:D,""auto"",""en"")"),"History questions will appear after year n")</f>
        <v>History questions will appear after year n</v>
      </c>
      <c r="D9419" s="5" t="s">
        <v>21818</v>
      </c>
      <c r="E9419" s="4">
        <v>303211</v>
      </c>
    </row>
    <row r="9420" spans="1:6" ht="13.5" hidden="1" customHeight="1">
      <c r="A9420" s="4" t="s">
        <v>21819</v>
      </c>
      <c r="B9420" s="4" t="s">
        <v>21803</v>
      </c>
      <c r="C9420" s="4" t="str">
        <f ca="1">IFERROR(__xludf.DUMMYFUNCTION("GOOGLETRANSLATE(D:D,""auto"",""en"")"),"Staff responded expatriate man to jump the queue")</f>
        <v>Staff responded expatriate man to jump the queue</v>
      </c>
      <c r="D9420" s="5" t="s">
        <v>21820</v>
      </c>
      <c r="E9420" s="4">
        <v>294278</v>
      </c>
    </row>
    <row r="9421" spans="1:6" ht="13.5" hidden="1" customHeight="1">
      <c r="A9421" s="4" t="s">
        <v>21796</v>
      </c>
      <c r="B9421" s="4" t="s">
        <v>21821</v>
      </c>
      <c r="C9421" s="4" t="str">
        <f ca="1">IFERROR(__xludf.DUMMYFUNCTION("GOOGLETRANSLATE(D:D,""auto"",""en"")"),"Cai Xu Kun metal edge glasses")</f>
        <v>Cai Xu Kun metal edge glasses</v>
      </c>
      <c r="D9421" s="5" t="s">
        <v>21822</v>
      </c>
      <c r="E9421" s="4">
        <v>293782</v>
      </c>
    </row>
    <row r="9422" spans="1:6" ht="13.5" hidden="1" customHeight="1">
      <c r="A9422" s="4" t="s">
        <v>21823</v>
      </c>
      <c r="B9422" s="4" t="s">
        <v>21824</v>
      </c>
      <c r="C9422" s="4" t="str">
        <f ca="1">IFERROR(__xludf.DUMMYFUNCTION("GOOGLETRANSLATE(D:D,""auto"",""en"")"),"A water")</f>
        <v>A water</v>
      </c>
      <c r="D9422" s="5" t="s">
        <v>21825</v>
      </c>
      <c r="E9422" s="4">
        <v>280852</v>
      </c>
    </row>
    <row r="9423" spans="1:6" ht="13.5" hidden="1" customHeight="1">
      <c r="A9423" s="4" t="s">
        <v>21826</v>
      </c>
      <c r="B9423" s="4" t="s">
        <v>21827</v>
      </c>
      <c r="C9423" s="4" t="str">
        <f ca="1">IFERROR(__xludf.DUMMYFUNCTION("GOOGLETRANSLATE(D:D,""auto"",""en"")"),"Ghost Blows Long Ridge Cave fans")</f>
        <v>Ghost Blows Long Ridge Cave fans</v>
      </c>
      <c r="D9423" s="5" t="s">
        <v>21828</v>
      </c>
      <c r="E9423" s="4">
        <v>252198</v>
      </c>
    </row>
    <row r="9424" spans="1:6" ht="13.5" hidden="1" customHeight="1">
      <c r="A9424" s="4" t="s">
        <v>3745</v>
      </c>
      <c r="B9424" s="4" t="s">
        <v>3746</v>
      </c>
      <c r="C9424" s="4" t="str">
        <f ca="1">IFERROR(__xludf.DUMMYFUNCTION("GOOGLETRANSLATE(D:D,""auto"",""en"")"),"Please listen to good friend")</f>
        <v>Please listen to good friend</v>
      </c>
      <c r="D9424" s="5" t="s">
        <v>3747</v>
      </c>
      <c r="E9424" s="4">
        <v>251227</v>
      </c>
    </row>
    <row r="9425" spans="1:6" ht="13.5" hidden="1" customHeight="1">
      <c r="A9425" s="4" t="s">
        <v>21758</v>
      </c>
      <c r="B9425" s="4" t="s">
        <v>21829</v>
      </c>
      <c r="C9425" s="4" t="str">
        <f ca="1">IFERROR(__xludf.DUMMYFUNCTION("GOOGLETRANSLATE(D:D,""auto"",""en"")"),"Can prime people walked debut Yen value")</f>
        <v>Can prime people walked debut Yen value</v>
      </c>
      <c r="D9425" s="5" t="s">
        <v>21830</v>
      </c>
      <c r="E9425" s="4">
        <v>231471</v>
      </c>
    </row>
    <row r="9426" spans="1:6" ht="13.5" customHeight="1">
      <c r="A9426" s="4" t="s">
        <v>21831</v>
      </c>
      <c r="B9426" s="4" t="s">
        <v>21832</v>
      </c>
      <c r="C9426" s="4" t="str">
        <f ca="1">IFERROR(__xludf.DUMMYFUNCTION("GOOGLETRANSLATE(D:D,""auto"",""en"")"),"Zhong Nanshan full English speech")</f>
        <v>Zhong Nanshan full English speech</v>
      </c>
      <c r="D9426" s="5" t="s">
        <v>21833</v>
      </c>
      <c r="E9426" s="4">
        <v>227215</v>
      </c>
      <c r="F9426">
        <v>1</v>
      </c>
    </row>
    <row r="9427" spans="1:6" ht="13.5" customHeight="1">
      <c r="A9427" s="4" t="s">
        <v>21796</v>
      </c>
      <c r="B9427" s="4" t="s">
        <v>21834</v>
      </c>
      <c r="C9427" s="4" t="str">
        <f ca="1">IFERROR(__xludf.DUMMYFUNCTION("GOOGLETRANSLATE(D:D,""auto"",""en"")"),"Amazon rainforest tribes appear confirmed cases")</f>
        <v>Amazon rainforest tribes appear confirmed cases</v>
      </c>
      <c r="D9427" s="5" t="s">
        <v>21835</v>
      </c>
      <c r="E9427" s="4">
        <v>220313</v>
      </c>
      <c r="F9427">
        <v>1</v>
      </c>
    </row>
    <row r="9428" spans="1:6" ht="13.5" hidden="1" customHeight="1">
      <c r="A9428" s="4" t="s">
        <v>21793</v>
      </c>
      <c r="B9428" s="4" t="s">
        <v>21836</v>
      </c>
      <c r="C9428" s="4" t="str">
        <f ca="1">IFERROR(__xludf.DUMMYFUNCTION("GOOGLETRANSLATE(D:D,""auto"",""en"")"),"Yang Mi crocodile no heart")</f>
        <v>Yang Mi crocodile no heart</v>
      </c>
      <c r="D9428" s="5" t="s">
        <v>21837</v>
      </c>
      <c r="E9428" s="4">
        <v>215829</v>
      </c>
    </row>
    <row r="9429" spans="1:6" ht="13.5" hidden="1" customHeight="1">
      <c r="A9429" s="4" t="s">
        <v>21838</v>
      </c>
      <c r="B9429" s="4" t="s">
        <v>21750</v>
      </c>
      <c r="C9429" s="4" t="str">
        <f ca="1">IFERROR(__xludf.DUMMYFUNCTION("GOOGLETRANSLATE(D:D,""auto"",""en"")"),"Werewolf kill")</f>
        <v>Werewolf kill</v>
      </c>
      <c r="D9429" s="5" t="s">
        <v>21839</v>
      </c>
      <c r="E9429" s="4">
        <v>214806</v>
      </c>
    </row>
    <row r="9430" spans="1:6" ht="13.5" hidden="1" customHeight="1">
      <c r="A9430" s="4" t="s">
        <v>21806</v>
      </c>
      <c r="B9430" s="4" t="s">
        <v>21840</v>
      </c>
      <c r="C9430" s="4" t="str">
        <f ca="1">IFERROR(__xludf.DUMMYFUNCTION("GOOGLETRANSLATE(D:D,""auto"",""en"")"),"Zhang language grid sprained neck")</f>
        <v>Zhang language grid sprained neck</v>
      </c>
      <c r="D9430" s="5" t="s">
        <v>21841</v>
      </c>
      <c r="E9430" s="4">
        <v>214272</v>
      </c>
    </row>
    <row r="9431" spans="1:6" ht="13.5" hidden="1" customHeight="1">
      <c r="A9431" s="4" t="s">
        <v>21842</v>
      </c>
      <c r="B9431" s="4" t="s">
        <v>21628</v>
      </c>
      <c r="C9431" s="4" t="str">
        <f ca="1">IFERROR(__xludf.DUMMYFUNCTION("GOOGLETRANSLATE(D:D,""auto"",""en"")"),"Drawback")</f>
        <v>Drawback</v>
      </c>
      <c r="D9431" s="5" t="s">
        <v>21843</v>
      </c>
      <c r="E9431" s="4">
        <v>206289</v>
      </c>
    </row>
    <row r="9432" spans="1:6" ht="13.5" customHeight="1">
      <c r="A9432" s="4" t="s">
        <v>21844</v>
      </c>
      <c r="B9432" s="4" t="s">
        <v>21766</v>
      </c>
      <c r="C9432" s="4" t="str">
        <f ca="1">IFERROR(__xludf.DUMMYFUNCTION("GOOGLETRANSLATE(D:D,""auto"",""en"")"),"A Kyoto University outbreak")</f>
        <v>A Kyoto University outbreak</v>
      </c>
      <c r="D9432" s="5" t="s">
        <v>21845</v>
      </c>
      <c r="E9432" s="4">
        <v>191192</v>
      </c>
      <c r="F9432">
        <v>1</v>
      </c>
    </row>
    <row r="9433" spans="1:6" ht="13.5" hidden="1" customHeight="1">
      <c r="C9433" s="4" t="str">
        <f ca="1">IFERROR(__xludf.DUMMYFUNCTION("GOOGLETRANSLATE(D:D,""auto"",""en"")"),"#VALUE!")</f>
        <v>#VALUE!</v>
      </c>
    </row>
    <row r="9434" spans="1:6" ht="13.5" customHeight="1">
      <c r="A9434" s="4" t="s">
        <v>21846</v>
      </c>
      <c r="B9434" s="4" t="s">
        <v>21847</v>
      </c>
      <c r="C9434" s="4" t="str">
        <f ca="1">IFERROR(__xludf.DUMMYFUNCTION("GOOGLETRANSLATE(D:D,""auto"",""en"")"),"Woman boarding find themselves only one passenger")</f>
        <v>Woman boarding find themselves only one passenger</v>
      </c>
      <c r="D9434" s="4" t="s">
        <v>21848</v>
      </c>
      <c r="E9434" s="4">
        <v>3801875</v>
      </c>
      <c r="F9434">
        <v>1</v>
      </c>
    </row>
    <row r="9435" spans="1:6" ht="13.5" customHeight="1">
      <c r="A9435" s="4" t="s">
        <v>21849</v>
      </c>
      <c r="B9435" s="4" t="s">
        <v>21850</v>
      </c>
      <c r="C9435" s="4" t="str">
        <f ca="1">IFERROR(__xludf.DUMMYFUNCTION("GOOGLETRANSLATE(D:D,""auto"",""en"")"),"The Ministry of Education rumor canceled June 4 CET")</f>
        <v>The Ministry of Education rumor canceled June 4 CET</v>
      </c>
      <c r="D9435" s="5" t="s">
        <v>21851</v>
      </c>
      <c r="E9435" s="4">
        <v>2502563</v>
      </c>
      <c r="F9435">
        <v>1</v>
      </c>
    </row>
    <row r="9436" spans="1:6" ht="13.5" hidden="1" customHeight="1">
      <c r="A9436" s="4" t="s">
        <v>21849</v>
      </c>
      <c r="B9436" s="4" t="s">
        <v>21852</v>
      </c>
      <c r="C9436" s="4" t="str">
        <f ca="1">IFERROR(__xludf.DUMMYFUNCTION("GOOGLETRANSLATE(D:D,""auto"",""en"")"),"A water added Tao stroke")</f>
        <v>A water added Tao stroke</v>
      </c>
      <c r="D9436" s="5" t="s">
        <v>21853</v>
      </c>
      <c r="E9436" s="4">
        <v>1741845</v>
      </c>
    </row>
    <row r="9437" spans="1:6" ht="13.5" customHeight="1">
      <c r="A9437" s="4" t="s">
        <v>21854</v>
      </c>
      <c r="B9437" s="4" t="s">
        <v>21743</v>
      </c>
      <c r="C9437" s="4" t="str">
        <f ca="1">IFERROR(__xludf.DUMMYFUNCTION("GOOGLETRANSLATE(D:D,""auto"",""en"")"),"Shenyang abolish restrictions talent settled")</f>
        <v>Shenyang abolish restrictions talent settled</v>
      </c>
      <c r="D9437" s="5" t="s">
        <v>21855</v>
      </c>
      <c r="E9437" s="4">
        <v>1594020</v>
      </c>
      <c r="F9437">
        <v>1</v>
      </c>
    </row>
    <row r="9438" spans="1:6" ht="13.5" hidden="1" customHeight="1">
      <c r="A9438" s="4" t="s">
        <v>21856</v>
      </c>
      <c r="B9438" s="4" t="s">
        <v>21857</v>
      </c>
      <c r="C9438" s="4" t="str">
        <f ca="1">IFERROR(__xludf.DUMMYFUNCTION("GOOGLETRANSLATE(D:D,""auto"",""en"")"),"You have youth competition system")</f>
        <v>You have youth competition system</v>
      </c>
      <c r="D9438" s="5" t="s">
        <v>21858</v>
      </c>
      <c r="E9438" s="4">
        <v>1248090</v>
      </c>
    </row>
    <row r="9439" spans="1:6" ht="13.5" hidden="1" customHeight="1">
      <c r="A9439" s="4" t="s">
        <v>21854</v>
      </c>
      <c r="B9439" s="4" t="s">
        <v>21859</v>
      </c>
      <c r="C9439" s="4" t="str">
        <f ca="1">IFERROR(__xludf.DUMMYFUNCTION("GOOGLETRANSLATE(D:D,""auto"",""en"")"),"New York mayor said the need to cover your mouth out")</f>
        <v>New York mayor said the need to cover your mouth out</v>
      </c>
      <c r="D9439" s="5" t="s">
        <v>21860</v>
      </c>
      <c r="E9439" s="4">
        <v>1129700</v>
      </c>
    </row>
    <row r="9440" spans="1:6" ht="13.5" hidden="1" customHeight="1">
      <c r="A9440" s="4" t="s">
        <v>21861</v>
      </c>
      <c r="B9440" s="4" t="s">
        <v>21787</v>
      </c>
      <c r="C9440" s="4" t="str">
        <f ca="1">IFERROR(__xludf.DUMMYFUNCTION("GOOGLETRANSLATE(D:D,""auto"",""en"")"),"More Chinese students sun wellness package")</f>
        <v>More Chinese students sun wellness package</v>
      </c>
      <c r="D9440" s="5" t="s">
        <v>21862</v>
      </c>
      <c r="E9440" s="4">
        <v>995492</v>
      </c>
    </row>
    <row r="9441" spans="1:6" ht="13.5" hidden="1" customHeight="1">
      <c r="A9441" s="4" t="s">
        <v>21863</v>
      </c>
      <c r="B9441" s="4" t="s">
        <v>21847</v>
      </c>
      <c r="C9441" s="4" t="str">
        <f ca="1">IFERROR(__xludf.DUMMYFUNCTION("GOOGLETRANSLATE(D:D,""auto"",""en"")"),"Guangzhou Pearl River hit the bus from the driver killed in tunnel")</f>
        <v>Guangzhou Pearl River hit the bus from the driver killed in tunnel</v>
      </c>
      <c r="D9441" s="5" t="s">
        <v>21864</v>
      </c>
      <c r="E9441" s="4">
        <v>971061</v>
      </c>
    </row>
    <row r="9442" spans="1:6" ht="13.5" hidden="1" customHeight="1">
      <c r="A9442" s="4" t="s">
        <v>21865</v>
      </c>
      <c r="B9442" s="4" t="s">
        <v>21866</v>
      </c>
      <c r="C9442" s="4" t="str">
        <f ca="1">IFERROR(__xludf.DUMMYFUNCTION("GOOGLETRANSLATE(D:D,""auto"",""en"")"),"Chinese scientists first discovered whales in the South China Sea off")</f>
        <v>Chinese scientists first discovered whales in the South China Sea off</v>
      </c>
      <c r="D9442" s="5" t="s">
        <v>21867</v>
      </c>
      <c r="E9442" s="4">
        <v>867045</v>
      </c>
    </row>
    <row r="9443" spans="1:6" ht="13.5" customHeight="1">
      <c r="A9443" s="4" t="s">
        <v>21868</v>
      </c>
      <c r="B9443" s="4" t="s">
        <v>21761</v>
      </c>
      <c r="C9443" s="4" t="str">
        <f ca="1">IFERROR(__xludf.DUMMYFUNCTION("GOOGLETRANSLATE(D:D,""auto"",""en"")"),"Trump second time tested negative for the new crown")</f>
        <v>Trump second time tested negative for the new crown</v>
      </c>
      <c r="D9443" s="5" t="s">
        <v>21869</v>
      </c>
      <c r="E9443" s="4">
        <v>809112</v>
      </c>
      <c r="F9443">
        <v>1</v>
      </c>
    </row>
    <row r="9444" spans="1:6" ht="13.5" hidden="1" customHeight="1">
      <c r="A9444" s="4" t="s">
        <v>21870</v>
      </c>
      <c r="B9444" s="4" t="s">
        <v>21802</v>
      </c>
      <c r="C9444" s="4" t="str">
        <f ca="1">IFERROR(__xludf.DUMMYFUNCTION("GOOGLETRANSLATE(D:D,""auto"",""en"")"),"Hold a national mourning April 4")</f>
        <v>Hold a national mourning April 4</v>
      </c>
      <c r="D9444" s="5" t="s">
        <v>21871</v>
      </c>
      <c r="E9444" s="4">
        <v>729500</v>
      </c>
    </row>
    <row r="9445" spans="1:6" ht="13.5" customHeight="1">
      <c r="A9445" s="4" t="s">
        <v>21872</v>
      </c>
      <c r="B9445" s="4" t="s">
        <v>21873</v>
      </c>
      <c r="C9445" s="4" t="str">
        <f ca="1">IFERROR(__xludf.DUMMYFUNCTION("GOOGLETRANSLATE(D:D,""auto"",""en"")"),"Wuhan continue to strengthen the management of closed cell")</f>
        <v>Wuhan continue to strengthen the management of closed cell</v>
      </c>
      <c r="D9445" s="5" t="s">
        <v>21874</v>
      </c>
      <c r="E9445" s="4">
        <v>687738</v>
      </c>
      <c r="F9445">
        <v>1</v>
      </c>
    </row>
    <row r="9446" spans="1:6" ht="13.5" customHeight="1">
      <c r="A9446" s="4" t="s">
        <v>21875</v>
      </c>
      <c r="B9446" s="4" t="s">
        <v>21876</v>
      </c>
      <c r="C9446" s="4" t="str">
        <f ca="1">IFERROR(__xludf.DUMMYFUNCTION("GOOGLETRANSLATE(D:D,""auto"",""en"")"),"108 people completed the new crown vaccination")</f>
        <v>108 people completed the new crown vaccination</v>
      </c>
      <c r="D9446" s="5" t="s">
        <v>21877</v>
      </c>
      <c r="E9446" s="4">
        <v>628772</v>
      </c>
      <c r="F9446">
        <v>1</v>
      </c>
    </row>
    <row r="9447" spans="1:6" ht="13.5" hidden="1" customHeight="1">
      <c r="A9447" s="4" t="s">
        <v>21878</v>
      </c>
      <c r="B9447" s="4" t="s">
        <v>21879</v>
      </c>
      <c r="C9447" s="4" t="str">
        <f ca="1">IFERROR(__xludf.DUMMYFUNCTION("GOOGLETRANSLATE(D:D,""auto"",""en"")"),"United States hundreds of thousands of gallons of milk down drains")</f>
        <v>United States hundreds of thousands of gallons of milk down drains</v>
      </c>
      <c r="D9447" s="5" t="s">
        <v>21880</v>
      </c>
      <c r="E9447" s="4">
        <v>622200</v>
      </c>
    </row>
    <row r="9448" spans="1:6" ht="13.5" hidden="1" customHeight="1">
      <c r="A9448" s="4" t="s">
        <v>21881</v>
      </c>
      <c r="B9448" s="4" t="s">
        <v>21882</v>
      </c>
      <c r="C9448" s="4" t="str">
        <f ca="1">IFERROR(__xludf.DUMMYFUNCTION("GOOGLETRANSLATE(D:D,""auto"",""en"")"),"Hangzhou 2022 19th Asian Games mascot")</f>
        <v>Hangzhou 2022 19th Asian Games mascot</v>
      </c>
      <c r="D9448" s="5" t="s">
        <v>21883</v>
      </c>
      <c r="E9448" s="4">
        <v>620700</v>
      </c>
    </row>
    <row r="9449" spans="1:6" ht="13.5" hidden="1" customHeight="1">
      <c r="A9449" s="4" t="s">
        <v>21884</v>
      </c>
      <c r="B9449" s="4" t="s">
        <v>21885</v>
      </c>
      <c r="C9449" s="4" t="str">
        <f ca="1">IFERROR(__xludf.DUMMYFUNCTION("GOOGLETRANSLATE(D:D,""auto"",""en"")"),"Public exposure wife is her husband of domestic violence for 16 years")</f>
        <v>Public exposure wife is her husband of domestic violence for 16 years</v>
      </c>
      <c r="D9449" s="5" t="s">
        <v>21886</v>
      </c>
      <c r="E9449" s="4">
        <v>615779</v>
      </c>
    </row>
    <row r="9450" spans="1:6" ht="13.5" hidden="1" customHeight="1">
      <c r="A9450" s="4" t="s">
        <v>21887</v>
      </c>
      <c r="B9450" s="4" t="s">
        <v>21888</v>
      </c>
      <c r="C9450" s="4" t="str">
        <f ca="1">IFERROR(__xludf.DUMMYFUNCTION("GOOGLETRANSLATE(D:D,""auto"",""en"")"),"melody correctly Open")</f>
        <v>melody correctly Open</v>
      </c>
      <c r="D9450" s="5" t="s">
        <v>21889</v>
      </c>
      <c r="E9450" s="4">
        <v>613994</v>
      </c>
    </row>
    <row r="9451" spans="1:6" ht="13.5" hidden="1" customHeight="1">
      <c r="A9451" s="4" t="s">
        <v>21890</v>
      </c>
      <c r="B9451" s="4" t="s">
        <v>21891</v>
      </c>
      <c r="C9451" s="4" t="str">
        <f ca="1">IFERROR(__xludf.DUMMYFUNCTION("GOOGLETRANSLATE(D:D,""auto"",""en"")"),"Peking University students will be Lu Xun's works into rap")</f>
        <v>Peking University students will be Lu Xun's works into rap</v>
      </c>
      <c r="D9451" s="5" t="s">
        <v>21892</v>
      </c>
      <c r="E9451" s="4">
        <v>610486</v>
      </c>
    </row>
    <row r="9452" spans="1:6" ht="13.5" hidden="1" customHeight="1">
      <c r="A9452" s="4" t="s">
        <v>21893</v>
      </c>
      <c r="B9452" s="4" t="s">
        <v>21894</v>
      </c>
      <c r="C9452" s="4" t="str">
        <f ca="1">IFERROR(__xludf.DUMMYFUNCTION("GOOGLETRANSLATE(D:D,""auto"",""en"")"),"Chibi Maruko joint makeup")</f>
        <v>Chibi Maruko joint makeup</v>
      </c>
      <c r="D9452" s="5" t="s">
        <v>21895</v>
      </c>
      <c r="E9452" s="4">
        <v>607413</v>
      </c>
    </row>
    <row r="9453" spans="1:6" ht="13.5" hidden="1" customHeight="1">
      <c r="A9453" s="4" t="s">
        <v>21896</v>
      </c>
      <c r="B9453" s="4" t="s">
        <v>21866</v>
      </c>
      <c r="C9453" s="4" t="str">
        <f ca="1">IFERROR(__xludf.DUMMYFUNCTION("GOOGLETRANSLATE(D:D,""auto"",""en"")"),"Violence on prime")</f>
        <v>Violence on prime</v>
      </c>
      <c r="D9453" s="5" t="s">
        <v>21897</v>
      </c>
      <c r="E9453" s="4">
        <v>604937</v>
      </c>
    </row>
    <row r="9454" spans="1:6" ht="13.5" hidden="1" customHeight="1">
      <c r="A9454" s="4" t="s">
        <v>21898</v>
      </c>
      <c r="B9454" s="4" t="s">
        <v>21847</v>
      </c>
      <c r="C9454" s="4" t="str">
        <f ca="1">IFERROR(__xludf.DUMMYFUNCTION("GOOGLETRANSLATE(D:D,""auto"",""en"")"),"After breaking up in the end people how ruthless")</f>
        <v>After breaking up in the end people how ruthless</v>
      </c>
      <c r="D9454" s="5" t="s">
        <v>21899</v>
      </c>
      <c r="E9454" s="4">
        <v>601180</v>
      </c>
    </row>
    <row r="9455" spans="1:6" ht="13.5" hidden="1" customHeight="1">
      <c r="A9455" s="4" t="s">
        <v>21861</v>
      </c>
      <c r="B9455" s="4" t="s">
        <v>21900</v>
      </c>
      <c r="C9455" s="4" t="str">
        <f ca="1">IFERROR(__xludf.DUMMYFUNCTION("GOOGLETRANSLATE(D:D,""auto"",""en"")"),"Jining loud noise")</f>
        <v>Jining loud noise</v>
      </c>
      <c r="D9455" s="5" t="s">
        <v>21901</v>
      </c>
      <c r="E9455" s="4">
        <v>596204</v>
      </c>
    </row>
    <row r="9456" spans="1:6" ht="13.5" hidden="1" customHeight="1">
      <c r="A9456" s="4" t="s">
        <v>21902</v>
      </c>
      <c r="B9456" s="4" t="s">
        <v>21802</v>
      </c>
      <c r="C9456" s="4" t="str">
        <f ca="1">IFERROR(__xludf.DUMMYFUNCTION("GOOGLETRANSLATE(D:D,""auto"",""en"")"),"750,000 Class A")</f>
        <v>750,000 Class A</v>
      </c>
      <c r="D9456" s="5" t="s">
        <v>21903</v>
      </c>
      <c r="E9456" s="4">
        <v>592560</v>
      </c>
    </row>
    <row r="9457" spans="1:6" ht="13.5" customHeight="1">
      <c r="A9457" s="4" t="s">
        <v>21904</v>
      </c>
      <c r="B9457" s="4" t="s">
        <v>21905</v>
      </c>
      <c r="C9457" s="4" t="str">
        <f ca="1">IFERROR(__xludf.DUMMYFUNCTION("GOOGLETRANSLATE(D:D,""auto"",""en"")"),"After the segregated Check room litter")</f>
        <v>After the segregated Check room litter</v>
      </c>
      <c r="D9457" s="5" t="s">
        <v>21906</v>
      </c>
      <c r="E9457" s="4">
        <v>588687</v>
      </c>
      <c r="F9457">
        <v>1</v>
      </c>
    </row>
    <row r="9458" spans="1:6" ht="13.5" hidden="1" customHeight="1">
      <c r="A9458" s="4" t="s">
        <v>21907</v>
      </c>
      <c r="B9458" s="4" t="s">
        <v>21908</v>
      </c>
      <c r="C9458" s="4" t="str">
        <f ca="1">IFERROR(__xludf.DUMMYFUNCTION("GOOGLETRANSLATE(D:D,""auto"",""en"")"),"Crocodiles at the mall stroll,")</f>
        <v>Crocodiles at the mall stroll,</v>
      </c>
      <c r="D9458" s="5" t="s">
        <v>21909</v>
      </c>
      <c r="E9458" s="4">
        <v>588478</v>
      </c>
    </row>
    <row r="9459" spans="1:6" ht="13.5" customHeight="1">
      <c r="A9459" s="4" t="s">
        <v>21910</v>
      </c>
      <c r="B9459" s="4" t="s">
        <v>21894</v>
      </c>
      <c r="C9459" s="4" t="str">
        <f ca="1">IFERROR(__xludf.DUMMYFUNCTION("GOOGLETRANSLATE(D:D,""auto"",""en"")"),"Like sand isolation at home horror film director")</f>
        <v>Like sand isolation at home horror film director</v>
      </c>
      <c r="D9459" s="5" t="s">
        <v>21911</v>
      </c>
      <c r="E9459" s="4">
        <v>548684</v>
      </c>
      <c r="F9459">
        <v>1</v>
      </c>
    </row>
    <row r="9460" spans="1:6" ht="13.5" hidden="1" customHeight="1">
      <c r="A9460" s="4" t="s">
        <v>21912</v>
      </c>
      <c r="B9460" s="4" t="s">
        <v>21913</v>
      </c>
      <c r="C9460" s="4" t="str">
        <f ca="1">IFERROR(__xludf.DUMMYFUNCTION("GOOGLETRANSLATE(D:D,""auto"",""en"")"),"Single Zoom")</f>
        <v>Single Zoom</v>
      </c>
      <c r="D9460" s="5" t="s">
        <v>21914</v>
      </c>
      <c r="E9460" s="4">
        <v>541682</v>
      </c>
    </row>
    <row r="9461" spans="1:6" ht="13.5" hidden="1" customHeight="1">
      <c r="A9461" s="4" t="s">
        <v>21915</v>
      </c>
      <c r="B9461" s="4" t="s">
        <v>21850</v>
      </c>
      <c r="C9461" s="4" t="str">
        <f ca="1">IFERROR(__xludf.DUMMYFUNCTION("GOOGLETRANSLATE(D:D,""auto"",""en"")"),"Spain transform two parking morgue")</f>
        <v>Spain transform two parking morgue</v>
      </c>
      <c r="D9461" s="5" t="s">
        <v>21916</v>
      </c>
      <c r="E9461" s="4">
        <v>516928</v>
      </c>
    </row>
    <row r="9462" spans="1:6" ht="13.5" customHeight="1">
      <c r="A9462" s="4" t="s">
        <v>21917</v>
      </c>
      <c r="B9462" s="4" t="s">
        <v>21918</v>
      </c>
      <c r="C9462" s="4" t="str">
        <f ca="1">IFERROR(__xludf.DUMMYFUNCTION("GOOGLETRANSLATE(D:D,""auto"",""en"")"),"31 provinces added 60 cases of asymptomatic infection")</f>
        <v>31 provinces added 60 cases of asymptomatic infection</v>
      </c>
      <c r="D9462" s="5" t="s">
        <v>21919</v>
      </c>
      <c r="E9462" s="4">
        <v>416477</v>
      </c>
      <c r="F9462">
        <v>1</v>
      </c>
    </row>
    <row r="9463" spans="1:6" ht="13.5" customHeight="1">
      <c r="A9463" s="4" t="s">
        <v>21920</v>
      </c>
      <c r="B9463" s="4" t="s">
        <v>21921</v>
      </c>
      <c r="C9463" s="4" t="str">
        <f ca="1">IFERROR(__xludf.DUMMYFUNCTION("GOOGLETRANSLATE(D:D,""auto"",""en"")"),"US new crown over 240,000 confirmed cases of pneumonia")</f>
        <v>US new crown over 240,000 confirmed cases of pneumonia</v>
      </c>
      <c r="D9463" s="5" t="s">
        <v>21922</v>
      </c>
      <c r="E9463" s="4">
        <v>410329</v>
      </c>
      <c r="F9463">
        <v>1</v>
      </c>
    </row>
    <row r="9464" spans="1:6" ht="13.5" hidden="1" customHeight="1">
      <c r="A9464" s="4" t="s">
        <v>21923</v>
      </c>
      <c r="B9464" s="4" t="s">
        <v>21924</v>
      </c>
      <c r="C9464" s="4" t="str">
        <f ca="1">IFERROR(__xludf.DUMMYFUNCTION("GOOGLETRANSLATE(D:D,""auto"",""en"")"),"Xingtai response to five teachers abroad")</f>
        <v>Xingtai response to five teachers abroad</v>
      </c>
      <c r="D9464" s="5" t="s">
        <v>21925</v>
      </c>
      <c r="E9464" s="4">
        <v>400743</v>
      </c>
    </row>
    <row r="9465" spans="1:6" ht="13.5" customHeight="1">
      <c r="A9465" s="4" t="s">
        <v>21926</v>
      </c>
      <c r="B9465" s="4" t="s">
        <v>21847</v>
      </c>
      <c r="C9465" s="4" t="str">
        <f ca="1">IFERROR(__xludf.DUMMYFUNCTION("GOOGLETRANSLATE(D:D,""auto"",""en"")"),"Trump responded 50 states looting of medical resources")</f>
        <v>Trump responded 50 states looting of medical resources</v>
      </c>
      <c r="D9465" s="5" t="s">
        <v>21927</v>
      </c>
      <c r="E9465" s="4">
        <v>383985</v>
      </c>
      <c r="F9465">
        <v>1</v>
      </c>
    </row>
    <row r="9466" spans="1:6" ht="13.5" hidden="1" customHeight="1">
      <c r="A9466" s="4" t="s">
        <v>21928</v>
      </c>
      <c r="B9466" s="4" t="s">
        <v>21918</v>
      </c>
      <c r="C9466" s="4" t="str">
        <f ca="1">IFERROR(__xludf.DUMMYFUNCTION("GOOGLETRANSLATE(D:D,""auto"",""en"")"),"China Auto Rental crash")</f>
        <v>China Auto Rental crash</v>
      </c>
      <c r="D9466" s="5" t="s">
        <v>21929</v>
      </c>
      <c r="E9466" s="4">
        <v>368767</v>
      </c>
    </row>
    <row r="9467" spans="1:6" ht="13.5" customHeight="1">
      <c r="A9467" s="4" t="s">
        <v>21930</v>
      </c>
      <c r="B9467" s="4" t="s">
        <v>21931</v>
      </c>
      <c r="C9467" s="4" t="str">
        <f ca="1">IFERROR(__xludf.DUMMYFUNCTION("GOOGLETRANSLATE(D:D,""auto"",""en"")"),"31 provinces added two cases of indigenous cases")</f>
        <v>31 provinces added two cases of indigenous cases</v>
      </c>
      <c r="D9467" s="5" t="s">
        <v>21932</v>
      </c>
      <c r="E9467" s="4">
        <v>362525</v>
      </c>
      <c r="F9467">
        <v>1</v>
      </c>
    </row>
    <row r="9468" spans="1:6" ht="13.5" customHeight="1">
      <c r="A9468" s="4" t="s">
        <v>21933</v>
      </c>
      <c r="B9468" s="4" t="s">
        <v>21931</v>
      </c>
      <c r="C9468" s="4" t="str">
        <f ca="1">IFERROR(__xludf.DUMMYFUNCTION("GOOGLETRANSLATE(D:D,""auto"",""en"")"),"Hubei University of Technology Sydney set up scholarships")</f>
        <v>Hubei University of Technology Sydney set up scholarships</v>
      </c>
      <c r="D9468" s="5" t="s">
        <v>21934</v>
      </c>
      <c r="E9468" s="4">
        <v>361496</v>
      </c>
      <c r="F9468">
        <v>1</v>
      </c>
    </row>
    <row r="9469" spans="1:6" ht="13.5" hidden="1" customHeight="1">
      <c r="A9469" s="4" t="s">
        <v>21935</v>
      </c>
      <c r="B9469" s="4" t="s">
        <v>21936</v>
      </c>
      <c r="C9469" s="4" t="str">
        <f ca="1">IFERROR(__xludf.DUMMYFUNCTION("GOOGLETRANSLATE(D:D,""auto"",""en"")"),"Fire fighters to see their pictures cry")</f>
        <v>Fire fighters to see their pictures cry</v>
      </c>
      <c r="D9469" s="5" t="s">
        <v>21937</v>
      </c>
      <c r="E9469" s="4">
        <v>360700</v>
      </c>
    </row>
    <row r="9470" spans="1:6" ht="13.5" hidden="1" customHeight="1">
      <c r="A9470" s="4" t="s">
        <v>21935</v>
      </c>
      <c r="B9470" s="4" t="s">
        <v>21873</v>
      </c>
      <c r="C9470" s="4" t="str">
        <f ca="1">IFERROR(__xludf.DUMMYFUNCTION("GOOGLETRANSLATE(D:D,""auto"",""en"")"),"There is no human transmission occurs in patients with complex positive one case")</f>
        <v>There is no human transmission occurs in patients with complex positive one case</v>
      </c>
      <c r="D9470" s="5" t="s">
        <v>21938</v>
      </c>
      <c r="E9470" s="4">
        <v>311093</v>
      </c>
    </row>
    <row r="9471" spans="1:6" ht="13.5" customHeight="1">
      <c r="A9471" s="4" t="s">
        <v>21920</v>
      </c>
      <c r="B9471" s="4" t="s">
        <v>21859</v>
      </c>
      <c r="C9471" s="4" t="str">
        <f ca="1">IFERROR(__xludf.DUMMYFUNCTION("GOOGLETRANSLATE(D:D,""auto"",""en"")"),"French nursing home 884 people have died of pneumonia new crown")</f>
        <v>French nursing home 884 people have died of pneumonia new crown</v>
      </c>
      <c r="D9471" s="5" t="s">
        <v>21939</v>
      </c>
      <c r="E9471" s="4">
        <v>277093</v>
      </c>
      <c r="F9471">
        <v>1</v>
      </c>
    </row>
    <row r="9472" spans="1:6" ht="13.5" hidden="1" customHeight="1">
      <c r="A9472" s="4" t="s">
        <v>21940</v>
      </c>
      <c r="B9472" s="4" t="s">
        <v>21913</v>
      </c>
      <c r="C9472" s="4" t="str">
        <f ca="1">IFERROR(__xludf.DUMMYFUNCTION("GOOGLETRANSLATE(D:D,""auto"",""en"")"),"NASA and SpaceX prohibit employees from using the Zoom")</f>
        <v>NASA and SpaceX prohibit employees from using the Zoom</v>
      </c>
      <c r="D9472" s="5" t="s">
        <v>21941</v>
      </c>
      <c r="E9472" s="4">
        <v>270994</v>
      </c>
    </row>
    <row r="9473" spans="1:6" ht="13.5" customHeight="1">
      <c r="A9473" s="4" t="s">
        <v>21942</v>
      </c>
      <c r="B9473" s="4" t="s">
        <v>21943</v>
      </c>
      <c r="C9473" s="4" t="str">
        <f ca="1">IFERROR(__xludf.DUMMYFUNCTION("GOOGLETRANSLATE(D:D,""auto"",""en"")"),"CCTV reporter visited two temporary hospitals in New York")</f>
        <v>CCTV reporter visited two temporary hospitals in New York</v>
      </c>
      <c r="D9473" s="5" t="s">
        <v>21944</v>
      </c>
      <c r="E9473" s="4">
        <v>269569</v>
      </c>
      <c r="F9473">
        <v>1</v>
      </c>
    </row>
    <row r="9474" spans="1:6" ht="13.5" customHeight="1">
      <c r="A9474" s="4" t="s">
        <v>13780</v>
      </c>
      <c r="B9474" s="4" t="s">
        <v>13781</v>
      </c>
      <c r="C9474" s="4" t="str">
        <f ca="1">IFERROR(__xludf.DUMMYFUNCTION("GOOGLETRANSLATE(D:D,""auto"",""en"")"),"US epidemic")</f>
        <v>US epidemic</v>
      </c>
      <c r="D9474" s="5" t="s">
        <v>13782</v>
      </c>
      <c r="E9474" s="4">
        <v>263146</v>
      </c>
      <c r="F9474">
        <v>1</v>
      </c>
    </row>
    <row r="9475" spans="1:6" ht="13.5" hidden="1" customHeight="1">
      <c r="A9475" s="4" t="s">
        <v>21733</v>
      </c>
      <c r="B9475" s="4" t="s">
        <v>21734</v>
      </c>
      <c r="C9475" s="4" t="str">
        <f ca="1">IFERROR(__xludf.DUMMYFUNCTION("GOOGLETRANSLATE(D:D,""auto"",""en"")"),"Lisa Yu Shuxin teach dance")</f>
        <v>Lisa Yu Shuxin teach dance</v>
      </c>
      <c r="D9475" s="5" t="s">
        <v>21735</v>
      </c>
      <c r="E9475" s="4">
        <v>262358</v>
      </c>
    </row>
    <row r="9476" spans="1:6" ht="13.5" customHeight="1">
      <c r="A9476" s="4" t="s">
        <v>21945</v>
      </c>
      <c r="B9476" s="4" t="s">
        <v>21946</v>
      </c>
      <c r="C9476" s="4" t="str">
        <f ca="1">IFERROR(__xludf.DUMMYFUNCTION("GOOGLETRANSLATE(D:D,""auto"",""en"")"),"Disease control rate we never had in the history of medicine")</f>
        <v>Disease control rate we never had in the history of medicine</v>
      </c>
      <c r="D9476" s="5" t="s">
        <v>21947</v>
      </c>
      <c r="E9476" s="4">
        <v>261814</v>
      </c>
      <c r="F9476">
        <v>1</v>
      </c>
    </row>
    <row r="9477" spans="1:6" ht="13.5" hidden="1" customHeight="1">
      <c r="A9477" s="4" t="s">
        <v>21948</v>
      </c>
      <c r="B9477" s="4" t="s">
        <v>21949</v>
      </c>
      <c r="C9477" s="4" t="str">
        <f ca="1">IFERROR(__xludf.DUMMYFUNCTION("GOOGLETRANSLATE(D:D,""auto"",""en"")"),"What weird girls cry point")</f>
        <v>What weird girls cry point</v>
      </c>
      <c r="D9477" s="5" t="s">
        <v>21950</v>
      </c>
      <c r="E9477" s="4">
        <v>250622</v>
      </c>
    </row>
    <row r="9478" spans="1:6" ht="13.5" hidden="1" customHeight="1">
      <c r="A9478" s="4" t="s">
        <v>21740</v>
      </c>
      <c r="B9478" s="4" t="s">
        <v>21741</v>
      </c>
      <c r="C9478" s="4" t="str">
        <f ca="1">IFERROR(__xludf.DUMMYFUNCTION("GOOGLETRANSLATE(D:D,""auto"",""en"")"),"Rui Xing crash")</f>
        <v>Rui Xing crash</v>
      </c>
      <c r="D9478" s="5" t="s">
        <v>21742</v>
      </c>
      <c r="E9478" s="4">
        <v>239140</v>
      </c>
    </row>
    <row r="9479" spans="1:6" ht="13.5" customHeight="1">
      <c r="A9479" s="4" t="s">
        <v>21951</v>
      </c>
      <c r="B9479" s="4" t="s">
        <v>21918</v>
      </c>
      <c r="C9479" s="4" t="str">
        <f ca="1">IFERROR(__xludf.DUMMYFUNCTION("GOOGLETRANSLATE(D:D,""auto"",""en"")"),"There are signs of the epidemic to reach a peak of Spain")</f>
        <v>There are signs of the epidemic to reach a peak of Spain</v>
      </c>
      <c r="D9479" s="5" t="s">
        <v>21952</v>
      </c>
      <c r="E9479" s="4">
        <v>236525</v>
      </c>
      <c r="F9479">
        <v>1</v>
      </c>
    </row>
    <row r="9480" spans="1:6" ht="13.5" hidden="1" customHeight="1">
      <c r="A9480" s="4" t="s">
        <v>21951</v>
      </c>
      <c r="B9480" s="4" t="s">
        <v>21891</v>
      </c>
      <c r="C9480" s="4" t="str">
        <f ca="1">IFERROR(__xludf.DUMMYFUNCTION("GOOGLETRANSLATE(D:D,""auto"",""en"")"),"Xichang sang teenager armed police fire")</f>
        <v>Xichang sang teenager armed police fire</v>
      </c>
      <c r="D9480" s="5" t="s">
        <v>21953</v>
      </c>
      <c r="E9480" s="4">
        <v>193223</v>
      </c>
    </row>
    <row r="9481" spans="1:6" ht="13.5" hidden="1" customHeight="1">
      <c r="A9481" s="4" t="s">
        <v>21954</v>
      </c>
      <c r="B9481" s="4" t="s">
        <v>21784</v>
      </c>
      <c r="C9481" s="4" t="str">
        <f ca="1">IFERROR(__xludf.DUMMYFUNCTION("GOOGLETRANSLATE(D:D,""auto"",""en"")"),"ELLEMEN Luhan full cover")</f>
        <v>ELLEMEN Luhan full cover</v>
      </c>
      <c r="D9481" s="5" t="s">
        <v>21955</v>
      </c>
      <c r="E9481" s="4">
        <v>193066</v>
      </c>
    </row>
    <row r="9482" spans="1:6" ht="13.5" hidden="1" customHeight="1">
      <c r="A9482" s="4" t="s">
        <v>14311</v>
      </c>
      <c r="B9482" s="4" t="s">
        <v>14312</v>
      </c>
      <c r="C9482" s="4" t="str">
        <f ca="1">IFERROR(__xludf.DUMMYFUNCTION("GOOGLETRANSLATE(D:D,""auto"",""en"")"),"Understand Timor")</f>
        <v>Understand Timor</v>
      </c>
      <c r="D9482" s="5" t="s">
        <v>14313</v>
      </c>
      <c r="E9482" s="4">
        <v>169315</v>
      </c>
    </row>
    <row r="9483" spans="1:6" ht="13.5" hidden="1" customHeight="1">
      <c r="A9483" s="4" t="s">
        <v>21956</v>
      </c>
      <c r="B9483" s="4" t="s">
        <v>21761</v>
      </c>
      <c r="C9483" s="4" t="str">
        <f ca="1">IFERROR(__xludf.DUMMYFUNCTION("GOOGLETRANSLATE(D:D,""auto"",""en"")"),"Middle School reopened after a large recess practice Ba Duan Jin")</f>
        <v>Middle School reopened after a large recess practice Ba Duan Jin</v>
      </c>
      <c r="D9483" s="5" t="s">
        <v>21957</v>
      </c>
      <c r="E9483" s="4">
        <v>152603</v>
      </c>
    </row>
    <row r="9484" spans="1:6" ht="13.5" hidden="1" customHeight="1">
      <c r="C9484" s="4" t="str">
        <f ca="1">IFERROR(__xludf.DUMMYFUNCTION("GOOGLETRANSLATE(D:D,""auto"",""en"")"),"#VALUE!")</f>
        <v>#VALUE!</v>
      </c>
    </row>
    <row r="9485" spans="1:6" ht="13.5" customHeight="1">
      <c r="A9485" s="4" t="s">
        <v>21958</v>
      </c>
      <c r="B9485" s="4" t="s">
        <v>21959</v>
      </c>
      <c r="C9485" s="4" t="str">
        <f ca="1">IFERROR(__xludf.DUMMYFUNCTION("GOOGLETRANSLATE(D:D,""auto"",""en"")"),"Wuhan merchants sell hundreds of bowls of dry noodles 1 hour")</f>
        <v>Wuhan merchants sell hundreds of bowls of dry noodles 1 hour</v>
      </c>
      <c r="D9485" s="4" t="s">
        <v>21960</v>
      </c>
      <c r="E9485" s="4">
        <v>3371406</v>
      </c>
      <c r="F9485">
        <v>1</v>
      </c>
    </row>
    <row r="9486" spans="1:6" ht="13.5" customHeight="1">
      <c r="A9486" s="4" t="s">
        <v>21961</v>
      </c>
      <c r="B9486" s="4" t="s">
        <v>21962</v>
      </c>
      <c r="C9486" s="4" t="str">
        <f ca="1">IFERROR(__xludf.DUMMYFUNCTION("GOOGLETRANSLATE(D:D,""auto"",""en"")"),"April 4 Wuhan vehicle is stopped three minutes")</f>
        <v>April 4 Wuhan vehicle is stopped three minutes</v>
      </c>
      <c r="D9486" s="5" t="s">
        <v>21963</v>
      </c>
      <c r="E9486" s="4">
        <v>2295748</v>
      </c>
      <c r="F9486">
        <v>1</v>
      </c>
    </row>
    <row r="9487" spans="1:6" ht="13.5" customHeight="1">
      <c r="A9487" s="4" t="s">
        <v>21964</v>
      </c>
      <c r="B9487" s="4" t="s">
        <v>21965</v>
      </c>
      <c r="C9487" s="4" t="str">
        <f ca="1">IFERROR(__xludf.DUMMYFUNCTION("GOOGLETRANSLATE(D:D,""auto"",""en"")"),"London nine days to build the shelter hospital")</f>
        <v>London nine days to build the shelter hospital</v>
      </c>
      <c r="D9487" s="5" t="s">
        <v>21966</v>
      </c>
      <c r="E9487" s="4">
        <v>1763518</v>
      </c>
      <c r="F9487">
        <v>1</v>
      </c>
    </row>
    <row r="9488" spans="1:6" ht="13.5" hidden="1" customHeight="1">
      <c r="A9488" s="4" t="s">
        <v>21967</v>
      </c>
      <c r="B9488" s="4" t="s">
        <v>21968</v>
      </c>
      <c r="C9488" s="4" t="str">
        <f ca="1">IFERROR(__xludf.DUMMYFUNCTION("GOOGLETRANSLATE(D:D,""auto"",""en"")"),"National mourning")</f>
        <v>National mourning</v>
      </c>
      <c r="D9488" s="5" t="s">
        <v>21969</v>
      </c>
      <c r="E9488" s="4">
        <v>1576228</v>
      </c>
    </row>
    <row r="9489" spans="1:6" ht="13.5" hidden="1" customHeight="1">
      <c r="A9489" s="4" t="s">
        <v>21970</v>
      </c>
      <c r="B9489" s="4" t="s">
        <v>21971</v>
      </c>
      <c r="C9489" s="4" t="str">
        <f ca="1">IFERROR(__xludf.DUMMYFUNCTION("GOOGLETRANSLATE(D:D,""auto"",""en"")"),"CSGO national service will stop taking one day")</f>
        <v>CSGO national service will stop taking one day</v>
      </c>
      <c r="D9489" s="5" t="s">
        <v>21972</v>
      </c>
      <c r="E9489" s="4">
        <v>1492758</v>
      </c>
    </row>
    <row r="9490" spans="1:6" ht="13.5" customHeight="1">
      <c r="A9490" s="4" t="s">
        <v>21973</v>
      </c>
      <c r="B9490" s="4" t="s">
        <v>21974</v>
      </c>
      <c r="C9490" s="4" t="str">
        <f ca="1">IFERROR(__xludf.DUMMYFUNCTION("GOOGLETRANSLATE(D:D,""auto"",""en"")"),"Sound bites nurse starting a new crown foreign patients")</f>
        <v>Sound bites nurse starting a new crown foreign patients</v>
      </c>
      <c r="D9490" s="5" t="s">
        <v>21975</v>
      </c>
      <c r="E9490" s="4">
        <v>1330542</v>
      </c>
      <c r="F9490">
        <v>1</v>
      </c>
    </row>
    <row r="9491" spans="1:6" ht="13.5" hidden="1" customHeight="1">
      <c r="A9491" s="4" t="s">
        <v>21976</v>
      </c>
      <c r="B9491" s="4" t="s">
        <v>21977</v>
      </c>
      <c r="C9491" s="4" t="str">
        <f ca="1">IFERROR(__xludf.DUMMYFUNCTION("GOOGLETRANSLATE(D:D,""auto"",""en"")"),"Students get together after school principal hardcore propaganda loudspeakers")</f>
        <v>Students get together after school principal hardcore propaganda loudspeakers</v>
      </c>
      <c r="D9491" s="5" t="s">
        <v>21978</v>
      </c>
      <c r="E9491" s="4">
        <v>1147212</v>
      </c>
    </row>
    <row r="9492" spans="1:6" ht="13.5" hidden="1" customHeight="1">
      <c r="A9492" s="4" t="s">
        <v>21973</v>
      </c>
      <c r="B9492" s="4" t="s">
        <v>21979</v>
      </c>
      <c r="C9492" s="4" t="str">
        <f ca="1">IFERROR(__xludf.DUMMYFUNCTION("GOOGLETRANSLATE(D:D,""auto"",""en"")"),"Song Liu Xin Jiang mother's response to lawsuit")</f>
        <v>Song Liu Xin Jiang mother's response to lawsuit</v>
      </c>
      <c r="D9492" s="5" t="s">
        <v>21980</v>
      </c>
      <c r="E9492" s="4">
        <v>1104531</v>
      </c>
    </row>
    <row r="9493" spans="1:6" ht="13.5" customHeight="1">
      <c r="A9493" s="4" t="s">
        <v>21981</v>
      </c>
      <c r="B9493" s="4" t="s">
        <v>21898</v>
      </c>
      <c r="C9493" s="4" t="str">
        <f ca="1">IFERROR(__xludf.DUMMYFUNCTION("GOOGLETRANSLATE(D:D,""auto"",""en"")"),"The reason more and more like wearing masks")</f>
        <v>The reason more and more like wearing masks</v>
      </c>
      <c r="D9493" s="5" t="s">
        <v>21982</v>
      </c>
      <c r="E9493" s="4">
        <v>923565</v>
      </c>
      <c r="F9493">
        <v>1</v>
      </c>
    </row>
    <row r="9494" spans="1:6" ht="13.5" customHeight="1">
      <c r="A9494" s="4" t="s">
        <v>21983</v>
      </c>
      <c r="B9494" s="4" t="s">
        <v>21984</v>
      </c>
      <c r="C9494" s="4" t="str">
        <f ca="1">IFERROR(__xludf.DUMMYFUNCTION("GOOGLETRANSLATE(D:D,""auto"",""en"")"),"18 provinces latest start dates")</f>
        <v>18 provinces latest start dates</v>
      </c>
      <c r="D9494" s="5" t="s">
        <v>21985</v>
      </c>
      <c r="E9494" s="4">
        <v>794477</v>
      </c>
      <c r="F9494">
        <v>1</v>
      </c>
    </row>
    <row r="9495" spans="1:6" ht="13.5" hidden="1" customHeight="1">
      <c r="A9495" s="4" t="s">
        <v>21986</v>
      </c>
      <c r="B9495" s="4" t="s">
        <v>21987</v>
      </c>
      <c r="C9495" s="4" t="str">
        <f ca="1">IFERROR(__xludf.DUMMYFUNCTION("GOOGLETRANSLATE(D:D,""auto"",""en"")"),"North Hankou market opened businesses moved to tears")</f>
        <v>North Hankou market opened businesses moved to tears</v>
      </c>
      <c r="D9495" s="5" t="s">
        <v>21988</v>
      </c>
      <c r="E9495" s="4">
        <v>758871</v>
      </c>
    </row>
    <row r="9496" spans="1:6" ht="13.5" hidden="1" customHeight="1">
      <c r="A9496" s="4" t="s">
        <v>21989</v>
      </c>
      <c r="B9496" s="4" t="s">
        <v>21990</v>
      </c>
      <c r="C9496" s="4" t="str">
        <f ca="1">IFERROR(__xludf.DUMMYFUNCTION("GOOGLETRANSLATE(D:D,""auto"",""en"")"),"The piano to accompany her sister's brother")</f>
        <v>The piano to accompany her sister's brother</v>
      </c>
      <c r="D9496" s="5" t="s">
        <v>21991</v>
      </c>
      <c r="E9496" s="4">
        <v>712918</v>
      </c>
    </row>
    <row r="9497" spans="1:6" ht="13.5" hidden="1" customHeight="1">
      <c r="A9497" s="4" t="s">
        <v>21992</v>
      </c>
      <c r="B9497" s="4" t="s">
        <v>21993</v>
      </c>
      <c r="C9497" s="4" t="str">
        <f ca="1">IFERROR(__xludf.DUMMYFUNCTION("GOOGLETRANSLATE(D:D,""auto"",""en"")"),"Hua Chunying would expect a reward when asked to fight it")</f>
        <v>Hua Chunying would expect a reward when asked to fight it</v>
      </c>
      <c r="D9497" s="5" t="s">
        <v>21994</v>
      </c>
      <c r="E9497" s="4">
        <v>666366</v>
      </c>
    </row>
    <row r="9498" spans="1:6" ht="13.5" hidden="1" customHeight="1">
      <c r="A9498" s="4" t="s">
        <v>21995</v>
      </c>
      <c r="B9498" s="4" t="s">
        <v>21996</v>
      </c>
      <c r="C9498" s="4" t="str">
        <f ca="1">IFERROR(__xludf.DUMMYFUNCTION("GOOGLETRANSLATE(D:D,""auto"",""en"")"),"Xing Rui single burst")</f>
        <v>Xing Rui single burst</v>
      </c>
      <c r="D9498" s="5" t="s">
        <v>21997</v>
      </c>
      <c r="E9498" s="4">
        <v>557102</v>
      </c>
    </row>
    <row r="9499" spans="1:6" ht="13.5" hidden="1" customHeight="1">
      <c r="A9499" s="4" t="s">
        <v>21998</v>
      </c>
      <c r="B9499" s="4" t="s">
        <v>21999</v>
      </c>
      <c r="C9499" s="4" t="str">
        <f ca="1">IFERROR(__xludf.DUMMYFUNCTION("GOOGLETRANSLATE(D:D,""auto"",""en"")"),"Beijing a woman trapped heat Cruises")</f>
        <v>Beijing a woman trapped heat Cruises</v>
      </c>
      <c r="D9499" s="5" t="s">
        <v>22000</v>
      </c>
      <c r="E9499" s="4">
        <v>555409</v>
      </c>
    </row>
    <row r="9500" spans="1:6" ht="13.5" hidden="1" customHeight="1">
      <c r="A9500" s="4" t="s">
        <v>21961</v>
      </c>
      <c r="B9500" s="4" t="s">
        <v>22001</v>
      </c>
      <c r="C9500" s="4" t="str">
        <f ca="1">IFERROR(__xludf.DUMMYFUNCTION("GOOGLETRANSLATE(D:D,""auto"",""en"")"),"Game stop taking")</f>
        <v>Game stop taking</v>
      </c>
      <c r="D9500" s="5" t="s">
        <v>22002</v>
      </c>
      <c r="E9500" s="4">
        <v>553701</v>
      </c>
    </row>
    <row r="9501" spans="1:6" ht="13.5" hidden="1" customHeight="1">
      <c r="A9501" s="4" t="s">
        <v>22003</v>
      </c>
      <c r="B9501" s="4" t="s">
        <v>22004</v>
      </c>
      <c r="C9501" s="4" t="str">
        <f ca="1">IFERROR(__xludf.DUMMYFUNCTION("GOOGLETRANSLATE(D:D,""auto"",""en"")"),"Steam")</f>
        <v>Steam</v>
      </c>
      <c r="D9501" s="5" t="s">
        <v>22005</v>
      </c>
      <c r="E9501" s="4">
        <v>549284</v>
      </c>
    </row>
    <row r="9502" spans="1:6" ht="13.5" hidden="1" customHeight="1">
      <c r="A9502" s="4" t="s">
        <v>22006</v>
      </c>
      <c r="B9502" s="4" t="s">
        <v>22007</v>
      </c>
      <c r="C9502" s="4" t="str">
        <f ca="1">IFERROR(__xludf.DUMMYFUNCTION("GOOGLETRANSLATE(D:D,""auto"",""en"")"),"2020 witnessed the history of light")</f>
        <v>2020 witnessed the history of light</v>
      </c>
      <c r="D9502" s="5" t="s">
        <v>22008</v>
      </c>
      <c r="E9502" s="4">
        <v>546826</v>
      </c>
    </row>
    <row r="9503" spans="1:6" ht="13.5" hidden="1" customHeight="1">
      <c r="A9503" s="4" t="s">
        <v>2917</v>
      </c>
      <c r="B9503" s="4" t="s">
        <v>2918</v>
      </c>
      <c r="C9503" s="4" t="str">
        <f ca="1">IFERROR(__xludf.DUMMYFUNCTION("GOOGLETRANSLATE(D:D,""auto"",""en"")"),"Negotiator")</f>
        <v>Negotiator</v>
      </c>
      <c r="D9503" s="5" t="s">
        <v>2919</v>
      </c>
      <c r="E9503" s="4">
        <v>544047</v>
      </c>
    </row>
    <row r="9504" spans="1:6" ht="13.5" customHeight="1">
      <c r="A9504" s="4" t="s">
        <v>22009</v>
      </c>
      <c r="B9504" s="4" t="s">
        <v>22010</v>
      </c>
      <c r="C9504" s="4" t="str">
        <f ca="1">IFERROR(__xludf.DUMMYFUNCTION("GOOGLETRANSLATE(D:D,""auto"",""en"")"),"Tsinghua Academy of Fine Arts and Art History exam cancellation professional primaries")</f>
        <v>Tsinghua Academy of Fine Arts and Art History exam cancellation professional primaries</v>
      </c>
      <c r="D9504" s="5" t="s">
        <v>22011</v>
      </c>
      <c r="E9504" s="4">
        <v>541832</v>
      </c>
      <c r="F9504">
        <v>1</v>
      </c>
    </row>
    <row r="9505" spans="1:6" ht="13.5" hidden="1" customHeight="1">
      <c r="A9505" s="4" t="s">
        <v>22012</v>
      </c>
      <c r="B9505" s="4" t="s">
        <v>21884</v>
      </c>
      <c r="C9505" s="4" t="str">
        <f ca="1">IFERROR(__xludf.DUMMYFUNCTION("GOOGLETRANSLATE(D:D,""auto"",""en"")"),"Peace elite")</f>
        <v>Peace elite</v>
      </c>
      <c r="D9505" s="5" t="s">
        <v>22013</v>
      </c>
      <c r="E9505" s="4">
        <v>537058</v>
      </c>
    </row>
    <row r="9506" spans="1:6" ht="13.5" customHeight="1">
      <c r="A9506" s="4" t="s">
        <v>22014</v>
      </c>
      <c r="B9506" s="4" t="s">
        <v>22015</v>
      </c>
      <c r="C9506" s="4" t="str">
        <f ca="1">IFERROR(__xludf.DUMMYFUNCTION("GOOGLETRANSLATE(D:D,""auto"",""en"")"),"How to capture the world's new crown pneumonia")</f>
        <v>How to capture the world's new crown pneumonia</v>
      </c>
      <c r="D9506" s="5" t="s">
        <v>22016</v>
      </c>
      <c r="E9506" s="4">
        <v>535882</v>
      </c>
      <c r="F9506">
        <v>1</v>
      </c>
    </row>
    <row r="9507" spans="1:6" ht="13.5" hidden="1" customHeight="1">
      <c r="A9507" s="4" t="s">
        <v>22017</v>
      </c>
      <c r="B9507" s="4" t="s">
        <v>22018</v>
      </c>
      <c r="C9507" s="4" t="str">
        <f ca="1">IFERROR(__xludf.DUMMYFUNCTION("GOOGLETRANSLATE(D:D,""auto"",""en"")"),"Taro milk mochi")</f>
        <v>Taro milk mochi</v>
      </c>
      <c r="D9507" s="5" t="s">
        <v>22019</v>
      </c>
      <c r="E9507" s="4">
        <v>528358</v>
      </c>
    </row>
    <row r="9508" spans="1:6" ht="13.5" hidden="1" customHeight="1">
      <c r="A9508" s="4" t="s">
        <v>22020</v>
      </c>
      <c r="B9508" s="4" t="s">
        <v>22021</v>
      </c>
      <c r="C9508" s="4" t="str">
        <f ca="1">IFERROR(__xludf.DUMMYFUNCTION("GOOGLETRANSLATE(D:D,""auto"",""en"")"),"League of legends")</f>
        <v>League of legends</v>
      </c>
      <c r="D9508" s="5" t="s">
        <v>22022</v>
      </c>
      <c r="E9508" s="4">
        <v>523049</v>
      </c>
    </row>
    <row r="9509" spans="1:6" ht="13.5" hidden="1" customHeight="1">
      <c r="A9509" s="4" t="s">
        <v>22006</v>
      </c>
      <c r="B9509" s="4" t="s">
        <v>22018</v>
      </c>
      <c r="C9509" s="4" t="str">
        <f ca="1">IFERROR(__xludf.DUMMYFUNCTION("GOOGLETRANSLATE(D:D,""auto"",""en"")"),"Good divided into two girlfriends")</f>
        <v>Good divided into two girlfriends</v>
      </c>
      <c r="D9509" s="5" t="s">
        <v>22023</v>
      </c>
      <c r="E9509" s="4">
        <v>438010</v>
      </c>
    </row>
    <row r="9510" spans="1:6" ht="13.5" hidden="1" customHeight="1">
      <c r="A9510" s="4" t="s">
        <v>22024</v>
      </c>
      <c r="B9510" s="4" t="s">
        <v>22025</v>
      </c>
      <c r="C9510" s="4" t="str">
        <f ca="1">IFERROR(__xludf.DUMMYFUNCTION("GOOGLETRANSLATE(D:D,""auto"",""en"")"),"Dirty waterfall tiramisu")</f>
        <v>Dirty waterfall tiramisu</v>
      </c>
      <c r="D9510" s="5" t="s">
        <v>22026</v>
      </c>
      <c r="E9510" s="4">
        <v>374655</v>
      </c>
    </row>
    <row r="9511" spans="1:6" ht="13.5" hidden="1" customHeight="1">
      <c r="A9511" s="4" t="s">
        <v>21992</v>
      </c>
      <c r="B9511" s="4" t="s">
        <v>21849</v>
      </c>
      <c r="C9511" s="4" t="str">
        <f ca="1">IFERROR(__xludf.DUMMYFUNCTION("GOOGLETRANSLATE(D:D,""auto"",""en"")"),"Sun Wenbin was executed")</f>
        <v>Sun Wenbin was executed</v>
      </c>
      <c r="D9511" s="5" t="s">
        <v>22027</v>
      </c>
      <c r="E9511" s="4">
        <v>347718</v>
      </c>
    </row>
    <row r="9512" spans="1:6" ht="13.5" hidden="1" customHeight="1">
      <c r="A9512" s="4" t="s">
        <v>22028</v>
      </c>
      <c r="B9512" s="4" t="s">
        <v>22029</v>
      </c>
      <c r="C9512" s="4" t="str">
        <f ca="1">IFERROR(__xludf.DUMMYFUNCTION("GOOGLETRANSLATE(D:D,""auto"",""en"")"),"Tours into the heart sound of surprise men's team")</f>
        <v>Tours into the heart sound of surprise men's team</v>
      </c>
      <c r="D9512" s="5" t="s">
        <v>22030</v>
      </c>
      <c r="E9512" s="4">
        <v>346380</v>
      </c>
    </row>
    <row r="9513" spans="1:6" ht="13.5" customHeight="1">
      <c r="A9513" s="4" t="s">
        <v>22031</v>
      </c>
      <c r="B9513" s="4" t="s">
        <v>22032</v>
      </c>
      <c r="C9513" s="4" t="str">
        <f ca="1">IFERROR(__xludf.DUMMYFUNCTION("GOOGLETRANSLATE(D:D,""auto"",""en"")"),"42000 to rush to the rescue of health care PORTRAIT")</f>
        <v>42000 to rush to the rescue of health care PORTRAIT</v>
      </c>
      <c r="D9513" s="5" t="s">
        <v>22033</v>
      </c>
      <c r="E9513" s="4">
        <v>339869</v>
      </c>
      <c r="F9513">
        <v>1</v>
      </c>
    </row>
    <row r="9514" spans="1:6" ht="13.5" hidden="1" customHeight="1">
      <c r="A9514" s="4" t="s">
        <v>3745</v>
      </c>
      <c r="B9514" s="4" t="s">
        <v>3746</v>
      </c>
      <c r="C9514" s="4" t="str">
        <f ca="1">IFERROR(__xludf.DUMMYFUNCTION("GOOGLETRANSLATE(D:D,""auto"",""en"")"),"Please listen to good friend")</f>
        <v>Please listen to good friend</v>
      </c>
      <c r="D9514" s="5" t="s">
        <v>3747</v>
      </c>
      <c r="E9514" s="4">
        <v>316552</v>
      </c>
    </row>
    <row r="9515" spans="1:6" ht="13.5" hidden="1" customHeight="1">
      <c r="A9515" s="4" t="s">
        <v>10368</v>
      </c>
      <c r="B9515" s="4" t="s">
        <v>10369</v>
      </c>
      <c r="C9515" s="4" t="str">
        <f ca="1">IFERROR(__xludf.DUMMYFUNCTION("GOOGLETRANSLATE(D:D,""auto"",""en"")"),"singer")</f>
        <v>singer</v>
      </c>
      <c r="D9515" s="5" t="s">
        <v>10370</v>
      </c>
      <c r="E9515" s="4">
        <v>299876</v>
      </c>
    </row>
    <row r="9516" spans="1:6" ht="13.5" customHeight="1">
      <c r="A9516" s="4" t="s">
        <v>22034</v>
      </c>
      <c r="B9516" s="4" t="s">
        <v>22035</v>
      </c>
      <c r="C9516" s="4" t="str">
        <f ca="1">IFERROR(__xludf.DUMMYFUNCTION("GOOGLETRANSLATE(D:D,""auto"",""en"")"),"British Prime Minister Johnson to extend the quarantine period")</f>
        <v>British Prime Minister Johnson to extend the quarantine period</v>
      </c>
      <c r="D9516" s="5" t="s">
        <v>22036</v>
      </c>
      <c r="E9516" s="4">
        <v>269098</v>
      </c>
      <c r="F9516">
        <v>1</v>
      </c>
    </row>
    <row r="9517" spans="1:6" ht="13.5" hidden="1" customHeight="1">
      <c r="A9517" s="4" t="s">
        <v>22037</v>
      </c>
      <c r="B9517" s="4" t="s">
        <v>22038</v>
      </c>
      <c r="C9517" s="4" t="str">
        <f ca="1">IFERROR(__xludf.DUMMYFUNCTION("GOOGLETRANSLATE(D:D,""auto"",""en"")"),"How can young handsome star")</f>
        <v>How can young handsome star</v>
      </c>
      <c r="D9517" s="5" t="s">
        <v>22039</v>
      </c>
      <c r="E9517" s="4">
        <v>262396</v>
      </c>
    </row>
    <row r="9518" spans="1:6" ht="13.5" hidden="1" customHeight="1">
      <c r="A9518" s="4" t="s">
        <v>22040</v>
      </c>
      <c r="B9518" s="4" t="s">
        <v>22041</v>
      </c>
      <c r="C9518" s="4" t="str">
        <f ca="1">IFERROR(__xludf.DUMMYFUNCTION("GOOGLETRANSLATE(D:D,""auto"",""en"")"),"Tuscany will test herbs")</f>
        <v>Tuscany will test herbs</v>
      </c>
      <c r="D9518" s="5" t="s">
        <v>22042</v>
      </c>
      <c r="E9518" s="4">
        <v>244587</v>
      </c>
    </row>
    <row r="9519" spans="1:6" ht="13.5" hidden="1" customHeight="1">
      <c r="A9519" s="4" t="s">
        <v>22017</v>
      </c>
      <c r="B9519" s="4" t="s">
        <v>22043</v>
      </c>
      <c r="C9519" s="4" t="str">
        <f ca="1">IFERROR(__xludf.DUMMYFUNCTION("GOOGLETRANSLATE(D:D,""auto"",""en"")"),"Liu Xin Jiang song is the mother rejected the prosecution indictment")</f>
        <v>Liu Xin Jiang song is the mother rejected the prosecution indictment</v>
      </c>
      <c r="D9519" s="5" t="s">
        <v>22044</v>
      </c>
      <c r="E9519" s="4">
        <v>188747</v>
      </c>
    </row>
    <row r="9520" spans="1:6" ht="13.5" hidden="1" customHeight="1">
      <c r="A9520" s="4" t="s">
        <v>22045</v>
      </c>
      <c r="B9520" s="4" t="s">
        <v>22041</v>
      </c>
      <c r="C9520" s="4" t="str">
        <f ca="1">IFERROR(__xludf.DUMMYFUNCTION("GOOGLETRANSLATE(D:D,""auto"",""en"")"),"The famous American Shale Oil companies filed for bankruptcy protection")</f>
        <v>The famous American Shale Oil companies filed for bankruptcy protection</v>
      </c>
      <c r="D9520" s="5" t="s">
        <v>22046</v>
      </c>
      <c r="E9520" s="4">
        <v>182786</v>
      </c>
    </row>
    <row r="9521" spans="1:6" ht="13.5" hidden="1" customHeight="1">
      <c r="A9521" s="4" t="s">
        <v>22047</v>
      </c>
      <c r="B9521" s="4" t="s">
        <v>22048</v>
      </c>
      <c r="C9521" s="4" t="str">
        <f ca="1">IFERROR(__xludf.DUMMYFUNCTION("GOOGLETRANSLATE(D:D,""auto"",""en"")"),"Netease game")</f>
        <v>Netease game</v>
      </c>
      <c r="D9521" s="5" t="s">
        <v>22049</v>
      </c>
      <c r="E9521" s="4">
        <v>162612</v>
      </c>
    </row>
    <row r="9522" spans="1:6" ht="13.5" customHeight="1">
      <c r="A9522" s="4" t="s">
        <v>22050</v>
      </c>
      <c r="B9522" s="4" t="s">
        <v>22051</v>
      </c>
      <c r="C9522" s="4" t="str">
        <f ca="1">IFERROR(__xludf.DUMMYFUNCTION("GOOGLETRANSLATE(D:D,""auto"",""en"")"),"Japan's number of confirmed cases broken three thousand")</f>
        <v>Japan's number of confirmed cases broken three thousand</v>
      </c>
      <c r="D9522" s="5" t="s">
        <v>22052</v>
      </c>
      <c r="E9522" s="4">
        <v>161918</v>
      </c>
      <c r="F9522">
        <v>1</v>
      </c>
    </row>
    <row r="9523" spans="1:6" ht="13.5" hidden="1" customHeight="1">
      <c r="A9523" s="4" t="s">
        <v>22037</v>
      </c>
      <c r="B9523" s="4" t="s">
        <v>22018</v>
      </c>
      <c r="C9523" s="4" t="str">
        <f ca="1">IFERROR(__xludf.DUMMYFUNCTION("GOOGLETRANSLATE(D:D,""auto"",""en"")"),"When people run into northeastern Tianjin")</f>
        <v>When people run into northeastern Tianjin</v>
      </c>
      <c r="D9523" s="5" t="s">
        <v>22053</v>
      </c>
      <c r="E9523" s="4">
        <v>161916</v>
      </c>
    </row>
    <row r="9524" spans="1:6" ht="13.5" hidden="1" customHeight="1">
      <c r="A9524" s="4" t="s">
        <v>10368</v>
      </c>
      <c r="B9524" s="4" t="s">
        <v>22054</v>
      </c>
      <c r="C9524" s="4" t="str">
        <f ca="1">IFERROR(__xludf.DUMMYFUNCTION("GOOGLETRANSLATE(D:D,""auto"",""en"")"),"Jung Joon-young was fined 1 million won")</f>
        <v>Jung Joon-young was fined 1 million won</v>
      </c>
      <c r="D9524" s="5" t="s">
        <v>22055</v>
      </c>
      <c r="E9524" s="4">
        <v>161852</v>
      </c>
    </row>
    <row r="9525" spans="1:6" ht="13.5" hidden="1" customHeight="1">
      <c r="A9525" s="4" t="s">
        <v>22037</v>
      </c>
      <c r="B9525" s="4" t="s">
        <v>22056</v>
      </c>
      <c r="C9525" s="4" t="str">
        <f ca="1">IFERROR(__xludf.DUMMYFUNCTION("GOOGLETRANSLATE(D:D,""auto"",""en"")"),"If you are too close girlfriend")</f>
        <v>If you are too close girlfriend</v>
      </c>
      <c r="D9525" s="5" t="s">
        <v>22057</v>
      </c>
      <c r="E9525" s="4">
        <v>161809</v>
      </c>
    </row>
    <row r="9526" spans="1:6" ht="13.5" hidden="1" customHeight="1">
      <c r="A9526" s="4" t="s">
        <v>22040</v>
      </c>
      <c r="B9526" s="4" t="s">
        <v>22058</v>
      </c>
      <c r="C9526" s="4" t="str">
        <f ca="1">IFERROR(__xludf.DUMMYFUNCTION("GOOGLETRANSLATE(D:D,""auto"",""en"")"),"The central bank said will never let money market shortage")</f>
        <v>The central bank said will never let money market shortage</v>
      </c>
      <c r="D9526" s="5" t="s">
        <v>22059</v>
      </c>
      <c r="E9526" s="4">
        <v>161134</v>
      </c>
    </row>
    <row r="9527" spans="1:6" ht="13.5" customHeight="1">
      <c r="A9527" s="4" t="s">
        <v>22060</v>
      </c>
      <c r="B9527" s="4" t="s">
        <v>22061</v>
      </c>
      <c r="C9527" s="4" t="str">
        <f ca="1">IFERROR(__xludf.DUMMYFUNCTION("GOOGLETRANSLATE(D:D,""auto"",""en"")"),"German Chancellor Angela Merkel ended self-segregation")</f>
        <v>German Chancellor Angela Merkel ended self-segregation</v>
      </c>
      <c r="D9527" s="5" t="s">
        <v>22062</v>
      </c>
      <c r="E9527" s="4">
        <v>135496</v>
      </c>
      <c r="F9527">
        <v>1</v>
      </c>
    </row>
    <row r="9528" spans="1:6" ht="13.5" hidden="1" customHeight="1">
      <c r="A9528" s="4" t="s">
        <v>22063</v>
      </c>
      <c r="B9528" s="4" t="s">
        <v>22064</v>
      </c>
      <c r="C9528" s="4" t="str">
        <f ca="1">IFERROR(__xludf.DUMMYFUNCTION("GOOGLETRANSLATE(D:D,""auto"",""en"")"),"King of glory, then head over")</f>
        <v>King of glory, then head over</v>
      </c>
      <c r="D9528" s="5" t="s">
        <v>22065</v>
      </c>
      <c r="E9528" s="4">
        <v>133832</v>
      </c>
    </row>
    <row r="9529" spans="1:6" ht="13.5" hidden="1" customHeight="1">
      <c r="A9529" s="4" t="s">
        <v>22066</v>
      </c>
      <c r="B9529" s="4" t="s">
        <v>22015</v>
      </c>
      <c r="C9529" s="4" t="str">
        <f ca="1">IFERROR(__xludf.DUMMYFUNCTION("GOOGLETRANSLATE(D:D,""auto"",""en"")"),"Tencent gaming stop all competitions held tomorrow")</f>
        <v>Tencent gaming stop all competitions held tomorrow</v>
      </c>
      <c r="D9529" s="5" t="s">
        <v>22067</v>
      </c>
      <c r="E9529" s="4">
        <v>133538</v>
      </c>
    </row>
    <row r="9530" spans="1:6" ht="13.5" hidden="1" customHeight="1">
      <c r="A9530" s="4" t="s">
        <v>22068</v>
      </c>
      <c r="B9530" s="4" t="s">
        <v>22069</v>
      </c>
      <c r="C9530" s="4" t="str">
        <f ca="1">IFERROR(__xludf.DUMMYFUNCTION("GOOGLETRANSLATE(D:D,""auto"",""en"")"),"Singapore")</f>
        <v>Singapore</v>
      </c>
      <c r="D9530" s="5" t="s">
        <v>22070</v>
      </c>
      <c r="E9530" s="4">
        <v>113980</v>
      </c>
    </row>
    <row r="9531" spans="1:6" ht="13.5" customHeight="1">
      <c r="A9531" s="4" t="s">
        <v>22071</v>
      </c>
      <c r="B9531" s="4" t="s">
        <v>22072</v>
      </c>
      <c r="C9531" s="4" t="str">
        <f ca="1">IFERROR(__xludf.DUMMYFUNCTION("GOOGLETRANSLATE(D:D,""auto"",""en"")"),"Wuhan for Beijing man infected mothers isolation caused 28 people jailed")</f>
        <v>Wuhan for Beijing man infected mothers isolation caused 28 people jailed</v>
      </c>
      <c r="D9531" s="5" t="s">
        <v>22073</v>
      </c>
      <c r="E9531" s="4">
        <v>98459</v>
      </c>
      <c r="F9531">
        <v>1</v>
      </c>
    </row>
    <row r="9532" spans="1:6" ht="13.5" hidden="1" customHeight="1">
      <c r="A9532" s="4" t="s">
        <v>22020</v>
      </c>
      <c r="B9532" s="4" t="s">
        <v>21990</v>
      </c>
      <c r="C9532" s="4" t="str">
        <f ca="1">IFERROR(__xludf.DUMMYFUNCTION("GOOGLETRANSLATE(D:D,""auto"",""en"")"),"Microwave mango Melaleuca")</f>
        <v>Microwave mango Melaleuca</v>
      </c>
      <c r="D9532" s="5" t="s">
        <v>22074</v>
      </c>
      <c r="E9532" s="4">
        <v>95919</v>
      </c>
    </row>
    <row r="9533" spans="1:6" ht="13.5" hidden="1" customHeight="1">
      <c r="A9533" s="4" t="s">
        <v>22031</v>
      </c>
      <c r="B9533" s="4" t="s">
        <v>22075</v>
      </c>
      <c r="C9533" s="4" t="str">
        <f ca="1">IFERROR(__xludf.DUMMYFUNCTION("GOOGLETRANSLATE(D:D,""auto"",""en"")"),"Henan Guo Moupeng has been to terminate the contract")</f>
        <v>Henan Guo Moupeng has been to terminate the contract</v>
      </c>
      <c r="D9533" s="5" t="s">
        <v>22076</v>
      </c>
      <c r="E9533" s="4">
        <v>83303</v>
      </c>
    </row>
    <row r="9534" spans="1:6" ht="13.5" customHeight="1">
      <c r="A9534" s="4" t="s">
        <v>22077</v>
      </c>
      <c r="B9534" s="4" t="s">
        <v>22078</v>
      </c>
      <c r="C9534" s="4" t="str">
        <f ca="1">IFERROR(__xludf.DUMMYFUNCTION("GOOGLETRANSLATE(D:D,""auto"",""en"")"),"Thailand and Africa horse plague situation")</f>
        <v>Thailand and Africa horse plague situation</v>
      </c>
      <c r="D9534" s="5" t="s">
        <v>22079</v>
      </c>
      <c r="E9534" s="4">
        <v>79458</v>
      </c>
      <c r="F9534">
        <v>1</v>
      </c>
    </row>
    <row r="9535" spans="1:6" ht="13.5" hidden="1" customHeight="1">
      <c r="C9535" s="4" t="str">
        <f ca="1">IFERROR(__xludf.DUMMYFUNCTION("GOOGLETRANSLATE(D:D,""auto"",""en"")"),"#VALUE!")</f>
        <v>#VALUE!</v>
      </c>
    </row>
    <row r="9536" spans="1:6" ht="13.5" hidden="1" customHeight="1">
      <c r="A9536" s="4" t="s">
        <v>22080</v>
      </c>
      <c r="B9536" s="4" t="s">
        <v>22081</v>
      </c>
      <c r="C9536" s="4" t="str">
        <f ca="1">IFERROR(__xludf.DUMMYFUNCTION("GOOGLETRANSLATE(D:D,""auto"",""en"")"),"Beijing pedestrian street whistle stop vehicle")</f>
        <v>Beijing pedestrian street whistle stop vehicle</v>
      </c>
      <c r="D9536" s="4" t="s">
        <v>22082</v>
      </c>
      <c r="E9536" s="4">
        <v>4758086</v>
      </c>
    </row>
    <row r="9537" spans="1:6" ht="13.5" hidden="1" customHeight="1">
      <c r="A9537" s="4" t="s">
        <v>22083</v>
      </c>
      <c r="B9537" s="4" t="s">
        <v>22084</v>
      </c>
      <c r="C9537" s="4" t="str">
        <f ca="1">IFERROR(__xludf.DUMMYFUNCTION("GOOGLETRANSLATE(D:D,""auto"",""en"")"),"2020 has lost 13 academicians")</f>
        <v>2020 has lost 13 academicians</v>
      </c>
      <c r="D9537" s="5" t="s">
        <v>22085</v>
      </c>
      <c r="E9537" s="4">
        <v>2509383</v>
      </c>
    </row>
    <row r="9538" spans="1:6" ht="13.5" customHeight="1">
      <c r="A9538" s="4" t="s">
        <v>22086</v>
      </c>
      <c r="B9538" s="4" t="s">
        <v>22087</v>
      </c>
      <c r="C9538" s="4" t="str">
        <f ca="1">IFERROR(__xludf.DUMMYFUNCTION("GOOGLETRANSLATE(D:D,""auto"",""en"")"),"The whole of China three minutes of silence")</f>
        <v>The whole of China three minutes of silence</v>
      </c>
      <c r="D9538" s="5" t="s">
        <v>22088</v>
      </c>
      <c r="E9538" s="4">
        <v>1576372</v>
      </c>
      <c r="F9538">
        <v>1</v>
      </c>
    </row>
    <row r="9539" spans="1:6" ht="13.5" customHeight="1">
      <c r="A9539" s="4" t="s">
        <v>22089</v>
      </c>
      <c r="B9539" s="4" t="s">
        <v>22090</v>
      </c>
      <c r="C9539" s="4" t="str">
        <f ca="1">IFERROR(__xludf.DUMMYFUNCTION("GOOGLETRANSLATE(D:D,""auto"",""en"")"),"Wuhan new one cases of indigenous cases")</f>
        <v>Wuhan new one cases of indigenous cases</v>
      </c>
      <c r="D9539" s="5" t="s">
        <v>22091</v>
      </c>
      <c r="E9539" s="4">
        <v>1425788</v>
      </c>
      <c r="F9539">
        <v>1</v>
      </c>
    </row>
    <row r="9540" spans="1:6" ht="13.5" hidden="1" customHeight="1">
      <c r="A9540" s="4" t="s">
        <v>22092</v>
      </c>
      <c r="B9540" s="4" t="s">
        <v>22093</v>
      </c>
      <c r="C9540" s="4" t="str">
        <f ca="1">IFERROR(__xludf.DUMMYFUNCTION("GOOGLETRANSLATE(D:D,""auto"",""en"")"),"Whistle")</f>
        <v>Whistle</v>
      </c>
      <c r="D9540" s="5" t="s">
        <v>22094</v>
      </c>
      <c r="E9540" s="4">
        <v>1316227</v>
      </c>
    </row>
    <row r="9541" spans="1:6" ht="13.5" hidden="1" customHeight="1">
      <c r="A9541" s="4" t="s">
        <v>22095</v>
      </c>
      <c r="B9541" s="4" t="s">
        <v>22096</v>
      </c>
      <c r="C9541" s="4" t="str">
        <f ca="1">IFERROR(__xludf.DUMMYFUNCTION("GOOGLETRANSLATE(D:D,""auto"",""en"")"),"Serbian President thanked the Chinese conference on 3")</f>
        <v>Serbian President thanked the Chinese conference on 3</v>
      </c>
      <c r="D9541" s="5" t="s">
        <v>22097</v>
      </c>
      <c r="E9541" s="4">
        <v>1181220</v>
      </c>
    </row>
    <row r="9542" spans="1:6" ht="13.5" hidden="1" customHeight="1">
      <c r="A9542" s="4" t="s">
        <v>22098</v>
      </c>
      <c r="B9542" s="4" t="s">
        <v>22099</v>
      </c>
      <c r="C9542" s="4" t="str">
        <f ca="1">IFERROR(__xludf.DUMMYFUNCTION("GOOGLETRANSLATE(D:D,""auto"",""en"")"),"Shanghai Bund 52 building collective half-mast")</f>
        <v>Shanghai Bund 52 building collective half-mast</v>
      </c>
      <c r="D9542" s="5" t="s">
        <v>22100</v>
      </c>
      <c r="E9542" s="4">
        <v>1071946</v>
      </c>
    </row>
    <row r="9543" spans="1:6" ht="13.5" customHeight="1">
      <c r="A9543" s="4" t="s">
        <v>22101</v>
      </c>
      <c r="B9543" s="4" t="s">
        <v>22102</v>
      </c>
      <c r="C9543" s="4" t="str">
        <f ca="1">IFERROR(__xludf.DUMMYFUNCTION("GOOGLETRANSLATE(D:D,""auto"",""en"")"),"United States more than 270,000 confirmed cases")</f>
        <v>United States more than 270,000 confirmed cases</v>
      </c>
      <c r="D9543" s="5" t="s">
        <v>22103</v>
      </c>
      <c r="E9543" s="4">
        <v>1071630</v>
      </c>
      <c r="F9543">
        <v>1</v>
      </c>
    </row>
    <row r="9544" spans="1:6" ht="13.5" customHeight="1">
      <c r="A9544" s="4" t="s">
        <v>22104</v>
      </c>
      <c r="B9544" s="4" t="s">
        <v>22024</v>
      </c>
      <c r="C9544" s="4" t="str">
        <f ca="1">IFERROR(__xludf.DUMMYFUNCTION("GOOGLETRANSLATE(D:D,""auto"",""en"")"),"WHO warned not to rush to lift the closures")</f>
        <v>WHO warned not to rush to lift the closures</v>
      </c>
      <c r="D9544" s="5" t="s">
        <v>22105</v>
      </c>
      <c r="E9544" s="4">
        <v>1069869</v>
      </c>
      <c r="F9544">
        <v>1</v>
      </c>
    </row>
    <row r="9545" spans="1:6" ht="13.5" customHeight="1">
      <c r="A9545" s="4" t="s">
        <v>22106</v>
      </c>
      <c r="B9545" s="4" t="s">
        <v>22107</v>
      </c>
      <c r="C9545" s="4" t="str">
        <f ca="1">IFERROR(__xludf.DUMMYFUNCTION("GOOGLETRANSLATE(D:D,""auto"",""en"")"),"EU medical supplies temporarily exempt from customs duties")</f>
        <v>EU medical supplies temporarily exempt from customs duties</v>
      </c>
      <c r="D9545" s="5" t="s">
        <v>22108</v>
      </c>
      <c r="E9545" s="4">
        <v>1069059</v>
      </c>
      <c r="F9545">
        <v>1</v>
      </c>
    </row>
    <row r="9546" spans="1:6" ht="13.5" hidden="1" customHeight="1">
      <c r="A9546" s="4" t="s">
        <v>22109</v>
      </c>
      <c r="B9546" s="4" t="s">
        <v>22110</v>
      </c>
      <c r="C9546" s="4" t="str">
        <f ca="1">IFERROR(__xludf.DUMMYFUNCTION("GOOGLETRANSLATE(D:D,""auto"",""en"")"),"Jingdong Liu Qiang East outgoing legal representative")</f>
        <v>Jingdong Liu Qiang East outgoing legal representative</v>
      </c>
      <c r="D9546" s="5" t="s">
        <v>22111</v>
      </c>
      <c r="E9546" s="4">
        <v>1066866</v>
      </c>
    </row>
    <row r="9547" spans="1:6" ht="13.5" hidden="1" customHeight="1">
      <c r="A9547" s="4" t="s">
        <v>22112</v>
      </c>
      <c r="B9547" s="4" t="s">
        <v>22084</v>
      </c>
      <c r="C9547" s="4" t="str">
        <f ca="1">IFERROR(__xludf.DUMMYFUNCTION("GOOGLETRANSLATE(D:D,""auto"",""en"")"),"I would like mountains and rivers unharmed")</f>
        <v>I would like mountains and rivers unharmed</v>
      </c>
      <c r="D9547" s="5" t="s">
        <v>22113</v>
      </c>
      <c r="E9547" s="4">
        <v>1066201</v>
      </c>
    </row>
    <row r="9548" spans="1:6" ht="13.5" customHeight="1">
      <c r="A9548" s="4" t="s">
        <v>22114</v>
      </c>
      <c r="B9548" s="4" t="s">
        <v>22115</v>
      </c>
      <c r="C9548" s="4" t="str">
        <f ca="1">IFERROR(__xludf.DUMMYFUNCTION("GOOGLETRANSLATE(D:D,""auto"",""en"")"),"Wuhan Tianhe Airport has a comprehensive disinfection")</f>
        <v>Wuhan Tianhe Airport has a comprehensive disinfection</v>
      </c>
      <c r="D9548" s="5" t="s">
        <v>22116</v>
      </c>
      <c r="E9548" s="4">
        <v>1064654</v>
      </c>
      <c r="F9548">
        <v>1</v>
      </c>
    </row>
    <row r="9549" spans="1:6" ht="13.5" hidden="1" customHeight="1">
      <c r="A9549" s="4" t="s">
        <v>22117</v>
      </c>
      <c r="B9549" s="4" t="s">
        <v>22118</v>
      </c>
      <c r="C9549" s="4" t="str">
        <f ca="1">IFERROR(__xludf.DUMMYFUNCTION("GOOGLETRANSLATE(D:D,""auto"",""en"")"),"Qingming Festival")</f>
        <v>Qingming Festival</v>
      </c>
      <c r="D9549" s="5" t="s">
        <v>22119</v>
      </c>
      <c r="E9549" s="4">
        <v>1063441</v>
      </c>
    </row>
    <row r="9550" spans="1:6" ht="13.5" customHeight="1">
      <c r="A9550" s="4" t="s">
        <v>22120</v>
      </c>
      <c r="B9550" s="4" t="s">
        <v>22121</v>
      </c>
      <c r="C9550" s="4" t="str">
        <f ca="1">IFERROR(__xludf.DUMMYFUNCTION("GOOGLETRANSLATE(D:D,""auto"",""en"")"),"Wuhan citizens shooting lowered to half")</f>
        <v>Wuhan citizens shooting lowered to half</v>
      </c>
      <c r="D9550" s="5" t="s">
        <v>22122</v>
      </c>
      <c r="E9550" s="4">
        <v>1061959</v>
      </c>
      <c r="F9550">
        <v>1</v>
      </c>
    </row>
    <row r="9551" spans="1:6" ht="13.5" hidden="1" customHeight="1">
      <c r="A9551" s="4" t="s">
        <v>14348</v>
      </c>
      <c r="B9551" s="4" t="s">
        <v>14349</v>
      </c>
      <c r="C9551" s="4" t="str">
        <f ca="1">IFERROR(__xludf.DUMMYFUNCTION("GOOGLETRANSLATE(D:D,""auto"",""en"")"),"Know almost collapse")</f>
        <v>Know almost collapse</v>
      </c>
      <c r="D9551" s="5" t="s">
        <v>14350</v>
      </c>
      <c r="E9551" s="4">
        <v>1059724</v>
      </c>
    </row>
    <row r="9552" spans="1:6" ht="13.5" hidden="1" customHeight="1">
      <c r="A9552" s="4" t="s">
        <v>22117</v>
      </c>
      <c r="B9552" s="4" t="s">
        <v>22123</v>
      </c>
      <c r="C9552" s="4" t="str">
        <f ca="1">IFERROR(__xludf.DUMMYFUNCTION("GOOGLETRANSLATE(D:D,""auto"",""en"")"),"Apple made $ 75,000 reward to hackers")</f>
        <v>Apple made $ 75,000 reward to hackers</v>
      </c>
      <c r="D9552" s="5" t="s">
        <v>22124</v>
      </c>
      <c r="E9552" s="4">
        <v>1058644</v>
      </c>
    </row>
    <row r="9553" spans="1:6" ht="13.5" hidden="1" customHeight="1">
      <c r="A9553" s="4" t="s">
        <v>22125</v>
      </c>
      <c r="B9553" s="4" t="s">
        <v>22126</v>
      </c>
      <c r="C9553" s="4" t="str">
        <f ca="1">IFERROR(__xludf.DUMMYFUNCTION("GOOGLETRANSLATE(D:D,""auto"",""en"")"),"ZHANG Wen-hong said the complex positive patients do not infect humans")</f>
        <v>ZHANG Wen-hong said the complex positive patients do not infect humans</v>
      </c>
      <c r="D9553" s="5" t="s">
        <v>22127</v>
      </c>
      <c r="E9553" s="4">
        <v>1057155</v>
      </c>
    </row>
    <row r="9554" spans="1:6" ht="13.5" customHeight="1">
      <c r="A9554" s="4" t="s">
        <v>22128</v>
      </c>
      <c r="B9554" s="4" t="s">
        <v>22129</v>
      </c>
      <c r="C9554" s="4" t="str">
        <f ca="1">IFERROR(__xludf.DUMMYFUNCTION("GOOGLETRANSLATE(D:D,""auto"",""en"")"),"Shanghai Metro silence")</f>
        <v>Shanghai Metro silence</v>
      </c>
      <c r="D9554" s="5" t="s">
        <v>22130</v>
      </c>
      <c r="E9554" s="4">
        <v>1055363</v>
      </c>
      <c r="F9554">
        <v>1</v>
      </c>
    </row>
    <row r="9555" spans="1:6" ht="13.5" hidden="1" customHeight="1">
      <c r="A9555" s="4" t="s">
        <v>22131</v>
      </c>
      <c r="B9555" s="4" t="s">
        <v>22132</v>
      </c>
      <c r="C9555" s="4" t="str">
        <f ca="1">IFERROR(__xludf.DUMMYFUNCTION("GOOGLETRANSLATE(D:D,""auto"",""en"")"),"The central bank decided in April directional RRR for small banks")</f>
        <v>The central bank decided in April directional RRR for small banks</v>
      </c>
      <c r="D9555" s="5" t="s">
        <v>22133</v>
      </c>
      <c r="E9555" s="4">
        <v>1054083</v>
      </c>
    </row>
    <row r="9556" spans="1:6" ht="13.5" customHeight="1">
      <c r="A9556" s="4" t="s">
        <v>22134</v>
      </c>
      <c r="B9556" s="4" t="s">
        <v>22135</v>
      </c>
      <c r="C9556" s="4" t="str">
        <f ca="1">IFERROR(__xludf.DUMMYFUNCTION("GOOGLETRANSLATE(D:D,""auto"",""en"")"),"Trump explain why they do not wear masks")</f>
        <v>Trump explain why they do not wear masks</v>
      </c>
      <c r="D9556" s="5" t="s">
        <v>22136</v>
      </c>
      <c r="E9556" s="4">
        <v>1053614</v>
      </c>
      <c r="F9556">
        <v>1</v>
      </c>
    </row>
    <row r="9557" spans="1:6" ht="13.5" customHeight="1">
      <c r="A9557" s="4" t="s">
        <v>22137</v>
      </c>
      <c r="B9557" s="4" t="s">
        <v>22138</v>
      </c>
      <c r="C9557" s="4" t="str">
        <f ca="1">IFERROR(__xludf.DUMMYFUNCTION("GOOGLETRANSLATE(D:D,""auto"",""en"")"),"Trump banned the export of scarce medical supplies")</f>
        <v>Trump banned the export of scarce medical supplies</v>
      </c>
      <c r="D9557" s="5" t="s">
        <v>22139</v>
      </c>
      <c r="E9557" s="4">
        <v>1022308</v>
      </c>
      <c r="F9557">
        <v>1</v>
      </c>
    </row>
    <row r="9558" spans="1:6" ht="13.5" hidden="1" customHeight="1">
      <c r="A9558" s="4" t="s">
        <v>22140</v>
      </c>
      <c r="B9558" s="4" t="s">
        <v>22141</v>
      </c>
      <c r="C9558" s="4" t="str">
        <f ca="1">IFERROR(__xludf.DUMMYFUNCTION("GOOGLETRANSLATE(D:D,""auto"",""en"")"),"Whale fall")</f>
        <v>Whale fall</v>
      </c>
      <c r="D9558" s="5" t="s">
        <v>22142</v>
      </c>
      <c r="E9558" s="4">
        <v>974338</v>
      </c>
    </row>
    <row r="9559" spans="1:6" ht="13.5" hidden="1" customHeight="1">
      <c r="A9559" s="4" t="s">
        <v>22143</v>
      </c>
      <c r="B9559" s="4" t="s">
        <v>22144</v>
      </c>
      <c r="C9559" s="4" t="str">
        <f ca="1">IFERROR(__xludf.DUMMYFUNCTION("GOOGLETRANSLATE(D:D,""auto"",""en"")"),"Two weeks in the United States 10 million people have lost their jobs")</f>
        <v>Two weeks in the United States 10 million people have lost their jobs</v>
      </c>
      <c r="D9559" s="5" t="s">
        <v>22145</v>
      </c>
      <c r="E9559" s="4">
        <v>918163</v>
      </c>
    </row>
    <row r="9560" spans="1:6" ht="13.5" hidden="1" customHeight="1">
      <c r="A9560" s="4" t="s">
        <v>22146</v>
      </c>
      <c r="B9560" s="4" t="s">
        <v>22115</v>
      </c>
      <c r="C9560" s="4" t="str">
        <f ca="1">IFERROR(__xludf.DUMMYFUNCTION("GOOGLETRANSLATE(D:D,""auto"",""en"")"),"Lancet editor initiatives with global and Chinese mourning")</f>
        <v>Lancet editor initiatives with global and Chinese mourning</v>
      </c>
      <c r="D9560" s="5" t="s">
        <v>22147</v>
      </c>
      <c r="E9560" s="4">
        <v>864966</v>
      </c>
    </row>
    <row r="9561" spans="1:6" ht="13.5" hidden="1" customHeight="1">
      <c r="A9561" s="4" t="s">
        <v>22148</v>
      </c>
      <c r="B9561" s="4" t="s">
        <v>22149</v>
      </c>
      <c r="C9561" s="4" t="str">
        <f ca="1">IFERROR(__xludf.DUMMYFUNCTION("GOOGLETRANSLATE(D:D,""auto"",""en"")"),"Since the founding of New China has 636 firefighters sacrifice")</f>
        <v>Since the founding of New China has 636 firefighters sacrifice</v>
      </c>
      <c r="D9561" s="5" t="s">
        <v>22150</v>
      </c>
      <c r="E9561" s="4">
        <v>712684</v>
      </c>
    </row>
    <row r="9562" spans="1:6" ht="13.5" hidden="1" customHeight="1">
      <c r="A9562" s="4" t="s">
        <v>22151</v>
      </c>
      <c r="B9562" s="4" t="s">
        <v>22110</v>
      </c>
      <c r="C9562" s="4" t="str">
        <f ca="1">IFERROR(__xludf.DUMMYFUNCTION("GOOGLETRANSLATE(D:D,""auto"",""en"")"),"Fortunately, help patients edited testament not issued to")</f>
        <v>Fortunately, help patients edited testament not issued to</v>
      </c>
      <c r="D9562" s="5" t="s">
        <v>22152</v>
      </c>
      <c r="E9562" s="4">
        <v>711073</v>
      </c>
    </row>
    <row r="9563" spans="1:6" ht="13.5" hidden="1" customHeight="1">
      <c r="A9563" s="4" t="s">
        <v>22153</v>
      </c>
      <c r="B9563" s="4" t="s">
        <v>22154</v>
      </c>
      <c r="C9563" s="4" t="str">
        <f ca="1">IFERROR(__xludf.DUMMYFUNCTION("GOOGLETRANSLATE(D:D,""auto"",""en"")"),"Time to buy a bowl of dry noodles 8")</f>
        <v>Time to buy a bowl of dry noodles 8</v>
      </c>
      <c r="D9563" s="5" t="s">
        <v>22155</v>
      </c>
      <c r="E9563" s="4">
        <v>654104</v>
      </c>
    </row>
    <row r="9564" spans="1:6" ht="13.5" hidden="1" customHeight="1">
      <c r="A9564" s="4" t="s">
        <v>22156</v>
      </c>
      <c r="B9564" s="4" t="s">
        <v>22093</v>
      </c>
      <c r="C9564" s="4" t="str">
        <f ca="1">IFERROR(__xludf.DUMMYFUNCTION("GOOGLETRANSLATE(D:D,""auto"",""en"")"),"Air defense alert")</f>
        <v>Air defense alert</v>
      </c>
      <c r="D9564" s="5" t="s">
        <v>22157</v>
      </c>
      <c r="E9564" s="4">
        <v>622465</v>
      </c>
    </row>
    <row r="9565" spans="1:6" ht="13.5" customHeight="1">
      <c r="A9565" s="4" t="s">
        <v>22134</v>
      </c>
      <c r="B9565" s="4" t="s">
        <v>22110</v>
      </c>
      <c r="C9565" s="4" t="str">
        <f ca="1">IFERROR(__xludf.DUMMYFUNCTION("GOOGLETRANSLATE(D:D,""auto"",""en"")"),"Burns contact with Trump and people need to be monitored")</f>
        <v>Burns contact with Trump and people need to be monitored</v>
      </c>
      <c r="D9565" s="5" t="s">
        <v>22158</v>
      </c>
      <c r="E9565" s="4">
        <v>555528</v>
      </c>
      <c r="F9565">
        <v>1</v>
      </c>
    </row>
    <row r="9566" spans="1:6" ht="13.5" customHeight="1">
      <c r="A9566" s="4" t="s">
        <v>22159</v>
      </c>
      <c r="B9566" s="4" t="s">
        <v>22160</v>
      </c>
      <c r="C9566" s="4" t="str">
        <f ca="1">IFERROR(__xludf.DUMMYFUNCTION("GOOGLETRANSLATE(D:D,""auto"",""en"")"),"Wuhan Yangtze River Bridge mourning aerial picture")</f>
        <v>Wuhan Yangtze River Bridge mourning aerial picture</v>
      </c>
      <c r="D9566" s="5" t="s">
        <v>22161</v>
      </c>
      <c r="E9566" s="4">
        <v>532030</v>
      </c>
      <c r="F9566">
        <v>1</v>
      </c>
    </row>
    <row r="9567" spans="1:6" ht="13.5" customHeight="1">
      <c r="A9567" s="4" t="s">
        <v>22117</v>
      </c>
      <c r="B9567" s="4" t="s">
        <v>21973</v>
      </c>
      <c r="C9567" s="4" t="str">
        <f ca="1">IFERROR(__xludf.DUMMYFUNCTION("GOOGLETRANSLATE(D:D,""auto"",""en"")"),"Silence")</f>
        <v>Silence</v>
      </c>
      <c r="D9567" s="5" t="s">
        <v>22162</v>
      </c>
      <c r="E9567" s="4">
        <v>528674</v>
      </c>
      <c r="F9567">
        <v>1</v>
      </c>
    </row>
    <row r="9568" spans="1:6" ht="13.5" customHeight="1">
      <c r="A9568" s="4" t="s">
        <v>22163</v>
      </c>
      <c r="B9568" s="4" t="s">
        <v>22017</v>
      </c>
      <c r="C9568" s="4" t="str">
        <f ca="1">IFERROR(__xludf.DUMMYFUNCTION("GOOGLETRANSLATE(D:D,""auto"",""en"")"),"Australia's elderly receive masks China's neighbors share")</f>
        <v>Australia's elderly receive masks China's neighbors share</v>
      </c>
      <c r="D9568" s="5" t="s">
        <v>22164</v>
      </c>
      <c r="E9568" s="4">
        <v>516531</v>
      </c>
      <c r="F9568">
        <v>1</v>
      </c>
    </row>
    <row r="9569" spans="1:6" ht="13.5" hidden="1" customHeight="1">
      <c r="A9569" s="4" t="s">
        <v>22098</v>
      </c>
      <c r="B9569" s="4" t="s">
        <v>22138</v>
      </c>
      <c r="C9569" s="4" t="str">
        <f ca="1">IFERROR(__xludf.DUMMYFUNCTION("GOOGLETRANSLATE(D:D,""auto"",""en"")"),"Chinese embassies and consulates to half-mast in mourning")</f>
        <v>Chinese embassies and consulates to half-mast in mourning</v>
      </c>
      <c r="D9569" s="5" t="s">
        <v>22165</v>
      </c>
      <c r="E9569" s="4">
        <v>507956</v>
      </c>
    </row>
    <row r="9570" spans="1:6" ht="13.5" hidden="1" customHeight="1">
      <c r="A9570" s="4" t="s">
        <v>22166</v>
      </c>
      <c r="B9570" s="4" t="s">
        <v>22096</v>
      </c>
      <c r="C9570" s="4" t="str">
        <f ca="1">IFERROR(__xludf.DUMMYFUNCTION("GOOGLETRANSLATE(D:D,""auto"",""en"")"),"US presidential election will be held on November 3")</f>
        <v>US presidential election will be held on November 3</v>
      </c>
      <c r="D9570" s="5" t="s">
        <v>22167</v>
      </c>
      <c r="E9570" s="4">
        <v>414030</v>
      </c>
    </row>
    <row r="9571" spans="1:6" ht="13.5" hidden="1" customHeight="1">
      <c r="A9571" s="4" t="s">
        <v>22168</v>
      </c>
      <c r="B9571" s="4" t="s">
        <v>7</v>
      </c>
      <c r="C9571" s="4" t="str">
        <f ca="1">IFERROR(__xludf.DUMMYFUNCTION("GOOGLETRANSLATE(D:D,""auto"",""en"")"),"Head portrait")</f>
        <v>Head portrait</v>
      </c>
      <c r="D9571" s="5" t="s">
        <v>22169</v>
      </c>
      <c r="E9571" s="4">
        <v>405349</v>
      </c>
    </row>
    <row r="9572" spans="1:6" ht="13.5" hidden="1" customHeight="1">
      <c r="A9572" s="4" t="s">
        <v>22170</v>
      </c>
      <c r="B9572" s="4" t="s">
        <v>22171</v>
      </c>
      <c r="C9572" s="4" t="str">
        <f ca="1">IFERROR(__xludf.DUMMYFUNCTION("GOOGLETRANSLATE(D:D,""auto"",""en"")"),"Tiananmen Square to half-mast")</f>
        <v>Tiananmen Square to half-mast</v>
      </c>
      <c r="D9572" s="5" t="s">
        <v>22172</v>
      </c>
      <c r="E9572" s="4">
        <v>355009</v>
      </c>
    </row>
    <row r="9573" spans="1:6" ht="13.5" customHeight="1">
      <c r="A9573" s="4" t="s">
        <v>22173</v>
      </c>
      <c r="B9573" s="4" t="s">
        <v>22174</v>
      </c>
      <c r="C9573" s="4" t="str">
        <f ca="1">IFERROR(__xludf.DUMMYFUNCTION("GOOGLETRANSLATE(D:D,""auto"",""en"")"),"Wuhan, Hubei aid medical team facing the direction of silence")</f>
        <v>Wuhan, Hubei aid medical team facing the direction of silence</v>
      </c>
      <c r="D9573" s="5" t="s">
        <v>22175</v>
      </c>
      <c r="E9573" s="4">
        <v>354865</v>
      </c>
      <c r="F9573">
        <v>1</v>
      </c>
    </row>
    <row r="9574" spans="1:6" ht="13.5" customHeight="1">
      <c r="A9574" s="4" t="s">
        <v>22176</v>
      </c>
      <c r="B9574" s="4" t="s">
        <v>22003</v>
      </c>
      <c r="C9574" s="4" t="str">
        <f ca="1">IFERROR(__xludf.DUMMYFUNCTION("GOOGLETRANSLATE(D:D,""auto"",""en"")"),"Wuhan Yangtze River Bridge car parking whistle")</f>
        <v>Wuhan Yangtze River Bridge car parking whistle</v>
      </c>
      <c r="D9574" s="5" t="s">
        <v>22177</v>
      </c>
      <c r="E9574" s="4">
        <v>352716</v>
      </c>
      <c r="F9574">
        <v>1</v>
      </c>
    </row>
    <row r="9575" spans="1:6" ht="13.5" hidden="1" customHeight="1">
      <c r="A9575" s="4" t="s">
        <v>22178</v>
      </c>
      <c r="B9575" s="4" t="s">
        <v>22179</v>
      </c>
      <c r="C9575" s="4" t="str">
        <f ca="1">IFERROR(__xludf.DUMMYFUNCTION("GOOGLETRANSLATE(D:D,""auto"",""en"")"),"Justice Department posthumously nearly 50 public sacrifice of heroes")</f>
        <v>Justice Department posthumously nearly 50 public sacrifice of heroes</v>
      </c>
      <c r="D9575" s="5" t="s">
        <v>22180</v>
      </c>
      <c r="E9575" s="4">
        <v>351303</v>
      </c>
    </row>
    <row r="9576" spans="1:6" ht="13.5" hidden="1" customHeight="1">
      <c r="A9576" s="4" t="s">
        <v>22181</v>
      </c>
      <c r="B9576" s="4" t="s">
        <v>22110</v>
      </c>
      <c r="C9576" s="4" t="str">
        <f ca="1">IFERROR(__xludf.DUMMYFUNCTION("GOOGLETRANSLATE(D:D,""auto"",""en"")"),"Xichang public farewell forest fire sacrifice Warriors")</f>
        <v>Xichang public farewell forest fire sacrifice Warriors</v>
      </c>
      <c r="D9576" s="5" t="s">
        <v>22182</v>
      </c>
      <c r="E9576" s="4">
        <v>349736</v>
      </c>
    </row>
    <row r="9577" spans="1:6" ht="13.5" hidden="1" customHeight="1">
      <c r="A9577" s="4" t="s">
        <v>21356</v>
      </c>
      <c r="B9577" s="4" t="s">
        <v>21357</v>
      </c>
      <c r="C9577" s="4" t="str">
        <f ca="1">IFERROR(__xludf.DUMMYFUNCTION("GOOGLETRANSLATE(D:D,""auto"",""en"")"),"81192")</f>
        <v>81192</v>
      </c>
      <c r="D9577" s="5" t="s">
        <v>22183</v>
      </c>
      <c r="E9577" s="4">
        <v>348162</v>
      </c>
    </row>
    <row r="9578" spans="1:6" ht="13.5" customHeight="1">
      <c r="A9578" s="4" t="s">
        <v>22184</v>
      </c>
      <c r="B9578" s="4" t="s">
        <v>21958</v>
      </c>
      <c r="C9578" s="4" t="str">
        <f ca="1">IFERROR(__xludf.DUMMYFUNCTION("GOOGLETRANSLATE(D:D,""auto"",""en"")"),"Shelter Oral History")</f>
        <v>Shelter Oral History</v>
      </c>
      <c r="D9578" s="5" t="s">
        <v>22185</v>
      </c>
      <c r="E9578" s="4">
        <v>345613</v>
      </c>
      <c r="F9578">
        <v>1</v>
      </c>
    </row>
    <row r="9579" spans="1:6" ht="13.5" hidden="1" customHeight="1">
      <c r="A9579" s="4" t="s">
        <v>22186</v>
      </c>
      <c r="B9579" s="4" t="s">
        <v>22187</v>
      </c>
      <c r="C9579" s="4" t="str">
        <f ca="1">IFERROR(__xludf.DUMMYFUNCTION("GOOGLETRANSLATE(D:D,""auto"",""en"")"),"There is no reason to forget the suffering")</f>
        <v>There is no reason to forget the suffering</v>
      </c>
      <c r="D9579" s="5" t="s">
        <v>22188</v>
      </c>
      <c r="E9579" s="4">
        <v>344490</v>
      </c>
    </row>
    <row r="9580" spans="1:6" ht="13.5" hidden="1" customHeight="1">
      <c r="A9580" s="4" t="s">
        <v>22189</v>
      </c>
      <c r="B9580" s="4" t="s">
        <v>22132</v>
      </c>
      <c r="C9580" s="4" t="str">
        <f ca="1">IFERROR(__xludf.DUMMYFUNCTION("GOOGLETRANSLATE(D:D,""auto"",""en"")"),"Write a sentence for the missing person")</f>
        <v>Write a sentence for the missing person</v>
      </c>
      <c r="D9580" s="5" t="s">
        <v>22190</v>
      </c>
      <c r="E9580" s="4">
        <v>342746</v>
      </c>
    </row>
    <row r="9581" spans="1:6" ht="13.5" hidden="1" customHeight="1">
      <c r="A9581" s="4" t="s">
        <v>22191</v>
      </c>
      <c r="B9581" s="4" t="s">
        <v>22192</v>
      </c>
      <c r="C9581" s="4" t="str">
        <f ca="1">IFERROR(__xludf.DUMMYFUNCTION("GOOGLETRANSLATE(D:D,""auto"",""en"")"),"People's Daily")</f>
        <v>People's Daily</v>
      </c>
      <c r="D9581" s="5" t="s">
        <v>22193</v>
      </c>
      <c r="E9581" s="4">
        <v>341842</v>
      </c>
    </row>
    <row r="9582" spans="1:6" ht="13.5" hidden="1" customHeight="1">
      <c r="A9582" s="4" t="s">
        <v>22194</v>
      </c>
      <c r="B9582" s="4" t="s">
        <v>21973</v>
      </c>
      <c r="C9582" s="4" t="str">
        <f ca="1">IFERROR(__xludf.DUMMYFUNCTION("GOOGLETRANSLATE(D:D,""auto"",""en"")"),"CCTV News")</f>
        <v>CCTV News</v>
      </c>
      <c r="D9582" s="5" t="s">
        <v>22195</v>
      </c>
      <c r="E9582" s="4">
        <v>341483</v>
      </c>
    </row>
    <row r="9583" spans="1:6" ht="13.5" hidden="1" customHeight="1">
      <c r="A9583" s="4" t="s">
        <v>22196</v>
      </c>
      <c r="B9583" s="4" t="s">
        <v>22197</v>
      </c>
      <c r="C9583" s="4" t="str">
        <f ca="1">IFERROR(__xludf.DUMMYFUNCTION("GOOGLETRANSLATE(D:D,""auto"",""en"")"),"You just want a good spring")</f>
        <v>You just want a good spring</v>
      </c>
      <c r="D9583" s="5" t="s">
        <v>22198</v>
      </c>
      <c r="E9583" s="4">
        <v>318856</v>
      </c>
    </row>
    <row r="9584" spans="1:6" ht="13.5" hidden="1" customHeight="1">
      <c r="A9584" s="4" t="s">
        <v>21967</v>
      </c>
      <c r="B9584" s="4" t="s">
        <v>21968</v>
      </c>
      <c r="C9584" s="4" t="str">
        <f ca="1">IFERROR(__xludf.DUMMYFUNCTION("GOOGLETRANSLATE(D:D,""auto"",""en"")"),"National mourning")</f>
        <v>National mourning</v>
      </c>
      <c r="D9584" s="5" t="s">
        <v>21969</v>
      </c>
      <c r="E9584" s="4">
        <v>314990</v>
      </c>
    </row>
    <row r="9585" spans="1:6" ht="13.5" hidden="1" customHeight="1">
      <c r="A9585" s="4" t="s">
        <v>22199</v>
      </c>
      <c r="B9585" s="4" t="s">
        <v>22200</v>
      </c>
      <c r="C9585" s="4" t="str">
        <f ca="1">IFERROR(__xludf.DUMMYFUNCTION("GOOGLETRANSLATE(D:D,""auto"",""en"")"),"New York distribution of free meals to all citizens")</f>
        <v>New York distribution of free meals to all citizens</v>
      </c>
      <c r="D9585" s="5" t="s">
        <v>22201</v>
      </c>
      <c r="E9585" s="4">
        <v>281729</v>
      </c>
    </row>
    <row r="9586" spans="1:6" ht="13.5" hidden="1" customHeight="1">
      <c r="C9586" s="4" t="str">
        <f ca="1">IFERROR(__xludf.DUMMYFUNCTION("GOOGLETRANSLATE(D:D,""auto"",""en"")"),"#VALUE!")</f>
        <v>#VALUE!</v>
      </c>
    </row>
    <row r="9587" spans="1:6" ht="13.5" hidden="1" customHeight="1">
      <c r="A9587" s="4" t="s">
        <v>22202</v>
      </c>
      <c r="B9587" s="4" t="s">
        <v>22203</v>
      </c>
      <c r="C9587" s="4" t="str">
        <f ca="1">IFERROR(__xludf.DUMMYFUNCTION("GOOGLETRANSLATE(D:D,""auto"",""en"")"),"This is the voice of China today")</f>
        <v>This is the voice of China today</v>
      </c>
      <c r="D9587" s="4" t="s">
        <v>22204</v>
      </c>
      <c r="E9587" s="4">
        <v>1719317</v>
      </c>
    </row>
    <row r="9588" spans="1:6" ht="13.5" hidden="1" customHeight="1">
      <c r="A9588" s="4" t="s">
        <v>22205</v>
      </c>
      <c r="B9588" s="4" t="s">
        <v>22206</v>
      </c>
      <c r="C9588" s="4" t="str">
        <f ca="1">IFERROR(__xludf.DUMMYFUNCTION("GOOGLETRANSLATE(D:D,""auto"",""en"")"),"Zhaoying Ming husband home to meet his son's bouquet")</f>
        <v>Zhaoying Ming husband home to meet his son's bouquet</v>
      </c>
      <c r="D9588" s="5" t="s">
        <v>22207</v>
      </c>
      <c r="E9588" s="4">
        <v>996700</v>
      </c>
    </row>
    <row r="9589" spans="1:6" ht="13.5" customHeight="1">
      <c r="A9589" s="4" t="s">
        <v>22208</v>
      </c>
      <c r="B9589" s="4" t="s">
        <v>22209</v>
      </c>
      <c r="C9589" s="4" t="str">
        <f ca="1">IFERROR(__xludf.DUMMYFUNCTION("GOOGLETRANSLATE(D:D,""auto"",""en"")"),"The new global crown more than 1.1 million cases of pneumonia")</f>
        <v>The new global crown more than 1.1 million cases of pneumonia</v>
      </c>
      <c r="D9589" s="5" t="s">
        <v>22210</v>
      </c>
      <c r="E9589" s="4">
        <v>970483</v>
      </c>
      <c r="F9589">
        <v>1</v>
      </c>
    </row>
    <row r="9590" spans="1:6" ht="13.5" customHeight="1">
      <c r="A9590" s="4" t="s">
        <v>13780</v>
      </c>
      <c r="B9590" s="4" t="s">
        <v>13781</v>
      </c>
      <c r="C9590" s="4" t="str">
        <f ca="1">IFERROR(__xludf.DUMMYFUNCTION("GOOGLETRANSLATE(D:D,""auto"",""en"")"),"US epidemic")</f>
        <v>US epidemic</v>
      </c>
      <c r="D9590" s="5" t="s">
        <v>13782</v>
      </c>
      <c r="E9590" s="4">
        <v>969167</v>
      </c>
      <c r="F9590">
        <v>1</v>
      </c>
    </row>
    <row r="9591" spans="1:6" ht="13.5" hidden="1" customHeight="1">
      <c r="A9591" s="4" t="s">
        <v>22211</v>
      </c>
      <c r="B9591" s="4" t="s">
        <v>22212</v>
      </c>
      <c r="C9591" s="4" t="str">
        <f ca="1">IFERROR(__xludf.DUMMYFUNCTION("GOOGLETRANSLATE(D:D,""auto"",""en"")"),"Sichuan-Tibet line sudden avalanche armed police emergency")</f>
        <v>Sichuan-Tibet line sudden avalanche armed police emergency</v>
      </c>
      <c r="D9591" s="5" t="s">
        <v>22213</v>
      </c>
      <c r="E9591" s="4">
        <v>967685</v>
      </c>
    </row>
    <row r="9592" spans="1:6" ht="13.5" hidden="1" customHeight="1">
      <c r="A9592" s="4" t="s">
        <v>22214</v>
      </c>
      <c r="B9592" s="4" t="s">
        <v>22215</v>
      </c>
      <c r="C9592" s="4" t="str">
        <f ca="1">IFERROR(__xludf.DUMMYFUNCTION("GOOGLETRANSLATE(D:D,""auto"",""en"")"),"Wang Zhi backing")</f>
        <v>Wang Zhi backing</v>
      </c>
      <c r="D9592" s="5" t="s">
        <v>22216</v>
      </c>
      <c r="E9592" s="4">
        <v>960373</v>
      </c>
    </row>
    <row r="9593" spans="1:6" ht="13.5" hidden="1" customHeight="1">
      <c r="A9593" s="4" t="s">
        <v>12555</v>
      </c>
      <c r="B9593" s="4" t="s">
        <v>12556</v>
      </c>
      <c r="C9593" s="4" t="str">
        <f ca="1">IFERROR(__xludf.DUMMYFUNCTION("GOOGLETRANSLATE(D:D,""auto"",""en"")"),"News Feeds")</f>
        <v>News Feeds</v>
      </c>
      <c r="D9593" s="5" t="s">
        <v>12557</v>
      </c>
      <c r="E9593" s="4">
        <v>657985</v>
      </c>
    </row>
    <row r="9594" spans="1:6" ht="13.5" hidden="1" customHeight="1">
      <c r="A9594" s="4" t="s">
        <v>22217</v>
      </c>
      <c r="B9594" s="4" t="s">
        <v>22209</v>
      </c>
      <c r="C9594" s="4" t="str">
        <f ca="1">IFERROR(__xludf.DUMMYFUNCTION("GOOGLETRANSLATE(D:D,""auto"",""en"")"),"French funeral remote video")</f>
        <v>French funeral remote video</v>
      </c>
      <c r="D9594" s="5" t="s">
        <v>22218</v>
      </c>
      <c r="E9594" s="4">
        <v>520669</v>
      </c>
    </row>
    <row r="9595" spans="1:6" ht="13.5" hidden="1" customHeight="1">
      <c r="A9595" s="4" t="s">
        <v>22219</v>
      </c>
      <c r="B9595" s="4" t="s">
        <v>22203</v>
      </c>
      <c r="C9595" s="4" t="str">
        <f ca="1">IFERROR(__xludf.DUMMYFUNCTION("GOOGLETRANSLATE(D:D,""auto"",""en"")"),"Ping Tang of the United States as the death as Raoping")</f>
        <v>Ping Tang of the United States as the death as Raoping</v>
      </c>
      <c r="D9595" s="5" t="s">
        <v>22220</v>
      </c>
      <c r="E9595" s="4">
        <v>507123</v>
      </c>
    </row>
    <row r="9596" spans="1:6" ht="13.5" hidden="1" customHeight="1">
      <c r="A9596" s="4" t="s">
        <v>22221</v>
      </c>
      <c r="B9596" s="4" t="s">
        <v>22222</v>
      </c>
      <c r="C9596" s="4" t="str">
        <f ca="1">IFERROR(__xludf.DUMMYFUNCTION("GOOGLETRANSLATE(D:D,""auto"",""en"")"),"30 out coupons and more")</f>
        <v>30 out coupons and more</v>
      </c>
      <c r="D9596" s="5" t="s">
        <v>22223</v>
      </c>
      <c r="E9596" s="4">
        <v>428247</v>
      </c>
    </row>
    <row r="9597" spans="1:6" ht="13.5" hidden="1" customHeight="1">
      <c r="A9597" s="4" t="s">
        <v>22224</v>
      </c>
      <c r="B9597" s="4" t="s">
        <v>22225</v>
      </c>
      <c r="C9597" s="4" t="str">
        <f ca="1">IFERROR(__xludf.DUMMYFUNCTION("GOOGLETRANSLATE(D:D,""auto"",""en"")"),"Overheating responses received orders to limit consumption")</f>
        <v>Overheating responses received orders to limit consumption</v>
      </c>
      <c r="D9597" s="5" t="s">
        <v>22226</v>
      </c>
      <c r="E9597" s="4">
        <v>422101</v>
      </c>
    </row>
    <row r="9598" spans="1:6" ht="13.5" hidden="1" customHeight="1">
      <c r="A9598" s="4" t="s">
        <v>22227</v>
      </c>
      <c r="B9598" s="4" t="s">
        <v>22206</v>
      </c>
      <c r="C9598" s="4" t="str">
        <f ca="1">IFERROR(__xludf.DUMMYFUNCTION("GOOGLETRANSLATE(D:D,""auto"",""en"")"),"Henan people listed mourning word formation")</f>
        <v>Henan people listed mourning word formation</v>
      </c>
      <c r="D9598" s="5" t="s">
        <v>22228</v>
      </c>
      <c r="E9598" s="4">
        <v>414106</v>
      </c>
    </row>
    <row r="9599" spans="1:6" ht="13.5" customHeight="1">
      <c r="A9599" s="4" t="s">
        <v>22229</v>
      </c>
      <c r="B9599" s="4" t="s">
        <v>22230</v>
      </c>
      <c r="C9599" s="4" t="str">
        <f ca="1">IFERROR(__xludf.DUMMYFUNCTION("GOOGLETRANSLATE(D:D,""auto"",""en"")"),"Take-off little brother cry of silence")</f>
        <v>Take-off little brother cry of silence</v>
      </c>
      <c r="D9599" s="5" t="s">
        <v>22231</v>
      </c>
      <c r="E9599" s="4">
        <v>355327</v>
      </c>
      <c r="F9599">
        <v>1</v>
      </c>
    </row>
    <row r="9600" spans="1:6" ht="13.5" customHeight="1">
      <c r="A9600" s="4" t="s">
        <v>22208</v>
      </c>
      <c r="B9600" s="4" t="s">
        <v>22232</v>
      </c>
      <c r="C9600" s="4" t="str">
        <f ca="1">IFERROR(__xludf.DUMMYFUNCTION("GOOGLETRANSLATE(D:D,""auto"",""en"")"),"600 French soldiers infected with the new virus crown")</f>
        <v>600 French soldiers infected with the new virus crown</v>
      </c>
      <c r="D9600" s="5" t="s">
        <v>22233</v>
      </c>
      <c r="E9600" s="4">
        <v>300469</v>
      </c>
      <c r="F9600">
        <v>1</v>
      </c>
    </row>
    <row r="9601" spans="1:6" ht="13.5" customHeight="1">
      <c r="A9601" s="4" t="s">
        <v>22234</v>
      </c>
      <c r="B9601" s="4" t="s">
        <v>22235</v>
      </c>
      <c r="C9601" s="4" t="str">
        <f ca="1">IFERROR(__xludf.DUMMYFUNCTION("GOOGLETRANSLATE(D:D,""auto"",""en"")"),"Reluctant to leave the people of Wuhan")</f>
        <v>Reluctant to leave the people of Wuhan</v>
      </c>
      <c r="D9601" s="5" t="s">
        <v>22236</v>
      </c>
      <c r="E9601" s="4">
        <v>279853</v>
      </c>
      <c r="F9601">
        <v>1</v>
      </c>
    </row>
    <row r="9602" spans="1:6" ht="13.5" customHeight="1">
      <c r="A9602" s="4" t="s">
        <v>22237</v>
      </c>
      <c r="B9602" s="4" t="s">
        <v>22238</v>
      </c>
      <c r="C9602" s="4" t="str">
        <f ca="1">IFERROR(__xludf.DUMMYFUNCTION("GOOGLETRANSLATE(D:D,""auto"",""en"")"),"Wuhan takeaway rider did not live the old meter")</f>
        <v>Wuhan takeaway rider did not live the old meter</v>
      </c>
      <c r="D9602" s="5" t="s">
        <v>22239</v>
      </c>
      <c r="E9602" s="4">
        <v>279475</v>
      </c>
      <c r="F9602">
        <v>1</v>
      </c>
    </row>
    <row r="9603" spans="1:6" ht="13.5" hidden="1" customHeight="1">
      <c r="A9603" s="4" t="s">
        <v>22240</v>
      </c>
      <c r="B9603" s="4" t="s">
        <v>22143</v>
      </c>
      <c r="C9603" s="4" t="str">
        <f ca="1">IFERROR(__xludf.DUMMYFUNCTION("GOOGLETRANSLATE(D:D,""auto"",""en"")"),"Trump dismissed the US National Intelligence Inspector")</f>
        <v>Trump dismissed the US National Intelligence Inspector</v>
      </c>
      <c r="D9603" s="5" t="s">
        <v>22241</v>
      </c>
      <c r="E9603" s="4">
        <v>276847</v>
      </c>
    </row>
    <row r="9604" spans="1:6" ht="13.5" hidden="1" customHeight="1">
      <c r="A9604" s="4" t="s">
        <v>22242</v>
      </c>
      <c r="B9604" s="4" t="s">
        <v>22243</v>
      </c>
      <c r="C9604" s="4" t="str">
        <f ca="1">IFERROR(__xludf.DUMMYFUNCTION("GOOGLETRANSLATE(D:D,""auto"",""en"")"),"Xichang forest fires three days and two nights")</f>
        <v>Xichang forest fires three days and two nights</v>
      </c>
      <c r="D9604" s="5" t="s">
        <v>22244</v>
      </c>
      <c r="E9604" s="4">
        <v>274442</v>
      </c>
    </row>
    <row r="9605" spans="1:6" ht="13.5" hidden="1" customHeight="1">
      <c r="A9605" s="4" t="s">
        <v>22245</v>
      </c>
      <c r="B9605" s="4" t="s">
        <v>22246</v>
      </c>
      <c r="C9605" s="4" t="str">
        <f ca="1">IFERROR(__xludf.DUMMYFUNCTION("GOOGLETRANSLATE(D:D,""auto"",""en"")"),"Awoke to find the door blocked by 1 meter deep snow")</f>
        <v>Awoke to find the door blocked by 1 meter deep snow</v>
      </c>
      <c r="D9605" s="5" t="s">
        <v>22247</v>
      </c>
      <c r="E9605" s="4">
        <v>271637</v>
      </c>
    </row>
    <row r="9606" spans="1:6" ht="13.5" hidden="1" customHeight="1">
      <c r="A9606" s="4" t="s">
        <v>22248</v>
      </c>
      <c r="B9606" s="4" t="s">
        <v>22249</v>
      </c>
      <c r="C9606" s="4" t="str">
        <f ca="1">IFERROR(__xludf.DUMMYFUNCTION("GOOGLETRANSLATE(D:D,""auto"",""en"")"),"Last minute fire in the sacrifice of 18 members of the fire suppression")</f>
        <v>Last minute fire in the sacrifice of 18 members of the fire suppression</v>
      </c>
      <c r="D9606" s="5" t="s">
        <v>22250</v>
      </c>
      <c r="E9606" s="4">
        <v>270808</v>
      </c>
    </row>
    <row r="9607" spans="1:6" ht="13.5" hidden="1" customHeight="1">
      <c r="A9607" s="4" t="s">
        <v>22251</v>
      </c>
      <c r="B9607" s="4" t="s">
        <v>22252</v>
      </c>
      <c r="C9607" s="4" t="str">
        <f ca="1">IFERROR(__xludf.DUMMYFUNCTION("GOOGLETRANSLATE(D:D,""auto"",""en"")"),"Global change map sky month flights")</f>
        <v>Global change map sky month flights</v>
      </c>
      <c r="D9607" s="5" t="s">
        <v>22253</v>
      </c>
      <c r="E9607" s="4">
        <v>252616</v>
      </c>
    </row>
    <row r="9608" spans="1:6" ht="13.5" hidden="1" customHeight="1">
      <c r="A9608" s="4" t="s">
        <v>22254</v>
      </c>
      <c r="B9608" s="4" t="s">
        <v>22140</v>
      </c>
      <c r="C9608" s="4" t="str">
        <f ca="1">IFERROR(__xludf.DUMMYFUNCTION("GOOGLETRANSLATE(D:D,""auto"",""en"")"),"Rice wheat stocks may be enough country for a year")</f>
        <v>Rice wheat stocks may be enough country for a year</v>
      </c>
      <c r="D9608" s="5" t="s">
        <v>22255</v>
      </c>
      <c r="E9608" s="4">
        <v>246517</v>
      </c>
    </row>
    <row r="9609" spans="1:6" ht="13.5" hidden="1" customHeight="1">
      <c r="A9609" s="4" t="s">
        <v>22254</v>
      </c>
      <c r="B9609" s="4" t="s">
        <v>22256</v>
      </c>
      <c r="C9609" s="4" t="str">
        <f ca="1">IFERROR(__xludf.DUMMYFUNCTION("GOOGLETRANSLATE(D:D,""auto"",""en"")"),"Tomb of Unknown Soldier finally engraved name")</f>
        <v>Tomb of Unknown Soldier finally engraved name</v>
      </c>
      <c r="D9609" s="5" t="s">
        <v>22257</v>
      </c>
      <c r="E9609" s="4">
        <v>235515</v>
      </c>
    </row>
    <row r="9610" spans="1:6" ht="13.5" hidden="1" customHeight="1">
      <c r="A9610" s="4" t="s">
        <v>22221</v>
      </c>
      <c r="B9610" s="4" t="s">
        <v>22258</v>
      </c>
      <c r="C9610" s="4" t="str">
        <f ca="1">IFERROR(__xludf.DUMMYFUNCTION("GOOGLETRANSLATE(D:D,""auto"",""en"")"),"Students return to Beijing twice symptoms unreported")</f>
        <v>Students return to Beijing twice symptoms unreported</v>
      </c>
      <c r="D9610" s="5" t="s">
        <v>22259</v>
      </c>
      <c r="E9610" s="4">
        <v>225621</v>
      </c>
    </row>
    <row r="9611" spans="1:6" ht="13.5" hidden="1" customHeight="1">
      <c r="A9611" s="4" t="s">
        <v>22260</v>
      </c>
      <c r="B9611" s="4" t="s">
        <v>22261</v>
      </c>
      <c r="C9611" s="4" t="str">
        <f ca="1">IFERROR(__xludf.DUMMYFUNCTION("GOOGLETRANSLATE(D:D,""auto"",""en"")"),"Peacekeeping soldiers with domestic synchronized mourning")</f>
        <v>Peacekeeping soldiers with domestic synchronized mourning</v>
      </c>
      <c r="D9611" s="5" t="s">
        <v>22262</v>
      </c>
      <c r="E9611" s="4">
        <v>204513</v>
      </c>
    </row>
    <row r="9612" spans="1:6" ht="13.5" customHeight="1">
      <c r="A9612" s="4" t="s">
        <v>22263</v>
      </c>
      <c r="B9612" s="4" t="s">
        <v>22264</v>
      </c>
      <c r="C9612" s="4" t="str">
        <f ca="1">IFERROR(__xludf.DUMMYFUNCTION("GOOGLETRANSLATE(D:D,""auto"",""en"")"),"E nurse aid the return of 47 days has not recognized her son")</f>
        <v>E nurse aid the return of 47 days has not recognized her son</v>
      </c>
      <c r="D9612" s="5" t="s">
        <v>22265</v>
      </c>
      <c r="E9612" s="4">
        <v>183316</v>
      </c>
      <c r="F9612">
        <v>1</v>
      </c>
    </row>
    <row r="9613" spans="1:6" ht="13.5" hidden="1" customHeight="1">
      <c r="A9613" s="4" t="s">
        <v>22266</v>
      </c>
      <c r="B9613" s="4" t="s">
        <v>22267</v>
      </c>
      <c r="C9613" s="4" t="str">
        <f ca="1">IFERROR(__xludf.DUMMYFUNCTION("GOOGLETRANSLATE(D:D,""auto"",""en"")"),"91-year-old Korean War veterans erected a monument to his comrades")</f>
        <v>91-year-old Korean War veterans erected a monument to his comrades</v>
      </c>
      <c r="D9613" s="5" t="s">
        <v>22268</v>
      </c>
      <c r="E9613" s="4">
        <v>182623</v>
      </c>
    </row>
    <row r="9614" spans="1:6" ht="13.5" customHeight="1">
      <c r="A9614" s="4" t="s">
        <v>22269</v>
      </c>
      <c r="B9614" s="4" t="s">
        <v>22270</v>
      </c>
      <c r="C9614" s="4" t="str">
        <f ca="1">IFERROR(__xludf.DUMMYFUNCTION("GOOGLETRANSLATE(D:D,""auto"",""en"")"),"China fight the epidemic tu")</f>
        <v>China fight the epidemic tu</v>
      </c>
      <c r="D9614" s="5" t="s">
        <v>22271</v>
      </c>
      <c r="E9614" s="4">
        <v>166509</v>
      </c>
      <c r="F9614">
        <v>1</v>
      </c>
    </row>
    <row r="9615" spans="1:6" ht="13.5" hidden="1" customHeight="1">
      <c r="A9615" s="4" t="s">
        <v>22272</v>
      </c>
      <c r="B9615" s="4" t="s">
        <v>22273</v>
      </c>
      <c r="C9615" s="4" t="str">
        <f ca="1">IFERROR(__xludf.DUMMYFUNCTION("GOOGLETRANSLATE(D:D,""auto"",""en"")"),"Iranian Embassy issued a document quoted Zuo")</f>
        <v>Iranian Embassy issued a document quoted Zuo</v>
      </c>
      <c r="D9615" s="5" t="s">
        <v>22274</v>
      </c>
      <c r="E9615" s="4">
        <v>146345</v>
      </c>
    </row>
    <row r="9616" spans="1:6" ht="13.5" hidden="1" customHeight="1">
      <c r="A9616" s="4" t="s">
        <v>22275</v>
      </c>
      <c r="B9616" s="4" t="s">
        <v>22143</v>
      </c>
      <c r="C9616" s="4" t="str">
        <f ca="1">IFERROR(__xludf.DUMMYFUNCTION("GOOGLETRANSLATE(D:D,""auto"",""en"")"),"Nanjing Road Pedestrian Street people stopped mourning")</f>
        <v>Nanjing Road Pedestrian Street people stopped mourning</v>
      </c>
      <c r="D9616" s="5" t="s">
        <v>22276</v>
      </c>
      <c r="E9616" s="4">
        <v>141520</v>
      </c>
    </row>
    <row r="9617" spans="1:6" ht="13.5" customHeight="1">
      <c r="A9617" s="4" t="s">
        <v>22117</v>
      </c>
      <c r="B9617" s="4" t="s">
        <v>21973</v>
      </c>
      <c r="C9617" s="4" t="str">
        <f ca="1">IFERROR(__xludf.DUMMYFUNCTION("GOOGLETRANSLATE(D:D,""auto"",""en"")"),"Silence")</f>
        <v>Silence</v>
      </c>
      <c r="D9617" s="5" t="s">
        <v>22162</v>
      </c>
      <c r="E9617" s="4">
        <v>138742</v>
      </c>
      <c r="F9617">
        <v>1</v>
      </c>
    </row>
    <row r="9618" spans="1:6" ht="13.5" customHeight="1">
      <c r="A9618" s="4" t="s">
        <v>22277</v>
      </c>
      <c r="B9618" s="4" t="s">
        <v>22278</v>
      </c>
      <c r="C9618" s="4" t="str">
        <f ca="1">IFERROR(__xludf.DUMMYFUNCTION("GOOGLETRANSLATE(D:D,""auto"",""en"")"),"Aid to China to mourn Doctor Norman Bethune and dwarkanath")</f>
        <v>Aid to China to mourn Doctor Norman Bethune and dwarkanath</v>
      </c>
      <c r="D9618" s="5" t="s">
        <v>22279</v>
      </c>
      <c r="E9618" s="4">
        <v>132729</v>
      </c>
      <c r="F9618">
        <v>1</v>
      </c>
    </row>
    <row r="9619" spans="1:6" ht="13.5" customHeight="1">
      <c r="A9619" s="4" t="s">
        <v>22280</v>
      </c>
      <c r="B9619" s="4" t="s">
        <v>22281</v>
      </c>
      <c r="C9619" s="4" t="str">
        <f ca="1">IFERROR(__xludf.DUMMYFUNCTION("GOOGLETRANSLATE(D:D,""auto"",""en"")"),"This is the Wuhan 10:00 today")</f>
        <v>This is the Wuhan 10:00 today</v>
      </c>
      <c r="D9619" s="5" t="s">
        <v>22282</v>
      </c>
      <c r="E9619" s="4">
        <v>129711</v>
      </c>
      <c r="F9619">
        <v>1</v>
      </c>
    </row>
    <row r="9620" spans="1:6" ht="13.5" hidden="1" customHeight="1">
      <c r="A9620" s="4" t="s">
        <v>22283</v>
      </c>
      <c r="B9620" s="4" t="s">
        <v>22284</v>
      </c>
      <c r="C9620" s="4" t="str">
        <f ca="1">IFERROR(__xludf.DUMMYFUNCTION("GOOGLETRANSLATE(D:D,""auto"",""en"")"),"Xi'an 14 000 taxis at the same time whistle")</f>
        <v>Xi'an 14 000 taxis at the same time whistle</v>
      </c>
      <c r="D9620" s="5" t="s">
        <v>22285</v>
      </c>
      <c r="E9620" s="4">
        <v>121186</v>
      </c>
    </row>
    <row r="9621" spans="1:6" ht="13.5" hidden="1" customHeight="1">
      <c r="A9621" s="4" t="s">
        <v>22286</v>
      </c>
      <c r="B9621" s="4" t="s">
        <v>22134</v>
      </c>
      <c r="C9621" s="4" t="str">
        <f ca="1">IFERROR(__xludf.DUMMYFUNCTION("GOOGLETRANSLATE(D:D,""auto"",""en"")"),"Ningnan people welcome the remains of heroes returned home")</f>
        <v>Ningnan people welcome the remains of heroes returned home</v>
      </c>
      <c r="D9621" s="5" t="s">
        <v>22287</v>
      </c>
      <c r="E9621" s="4">
        <v>117507</v>
      </c>
    </row>
    <row r="9622" spans="1:6" ht="13.5" hidden="1" customHeight="1">
      <c r="A9622" s="4" t="s">
        <v>22117</v>
      </c>
      <c r="B9622" s="4" t="s">
        <v>22123</v>
      </c>
      <c r="C9622" s="4" t="str">
        <f ca="1">IFERROR(__xludf.DUMMYFUNCTION("GOOGLETRANSLATE(D:D,""auto"",""en"")"),"Apple made $ 75,000 reward to hackers")</f>
        <v>Apple made $ 75,000 reward to hackers</v>
      </c>
      <c r="D9622" s="5" t="s">
        <v>22124</v>
      </c>
      <c r="E9622" s="4">
        <v>112874</v>
      </c>
    </row>
    <row r="9623" spans="1:6" ht="13.5" hidden="1" customHeight="1">
      <c r="A9623" s="4" t="s">
        <v>22288</v>
      </c>
      <c r="B9623" s="4" t="s">
        <v>22246</v>
      </c>
      <c r="C9623" s="4" t="str">
        <f ca="1">IFERROR(__xludf.DUMMYFUNCTION("GOOGLETRANSLATE(D:D,""auto"",""en"")"),"Van Persie dribbling God and Son of sync")</f>
        <v>Van Persie dribbling God and Son of sync</v>
      </c>
      <c r="D9623" s="5" t="s">
        <v>22289</v>
      </c>
      <c r="E9623" s="4">
        <v>111432</v>
      </c>
    </row>
    <row r="9624" spans="1:6" ht="13.5" customHeight="1">
      <c r="A9624" s="4" t="s">
        <v>22290</v>
      </c>
      <c r="B9624" s="4" t="s">
        <v>22291</v>
      </c>
      <c r="C9624" s="4" t="str">
        <f ca="1">IFERROR(__xludf.DUMMYFUNCTION("GOOGLETRANSLATE(D:D,""auto"",""en"")"),"Zhong Nanshan vigil of silence in the office")</f>
        <v>Zhong Nanshan vigil of silence in the office</v>
      </c>
      <c r="D9624" s="5" t="s">
        <v>22292</v>
      </c>
      <c r="E9624" s="4">
        <v>111157</v>
      </c>
      <c r="F9624">
        <v>1</v>
      </c>
    </row>
    <row r="9625" spans="1:6" ht="13.5" hidden="1" customHeight="1">
      <c r="A9625" s="4" t="s">
        <v>22293</v>
      </c>
      <c r="B9625" s="4" t="s">
        <v>22166</v>
      </c>
      <c r="C9625" s="4" t="str">
        <f ca="1">IFERROR(__xludf.DUMMYFUNCTION("GOOGLETRANSLATE(D:D,""auto"",""en"")"),"Cui baby wiring Bill Gates")</f>
        <v>Cui baby wiring Bill Gates</v>
      </c>
      <c r="D9625" s="5" t="s">
        <v>22294</v>
      </c>
      <c r="E9625" s="4">
        <v>108885</v>
      </c>
    </row>
    <row r="9626" spans="1:6" ht="13.5" hidden="1" customHeight="1">
      <c r="A9626" s="4" t="s">
        <v>22109</v>
      </c>
      <c r="B9626" s="4" t="s">
        <v>22110</v>
      </c>
      <c r="C9626" s="4" t="str">
        <f ca="1">IFERROR(__xludf.DUMMYFUNCTION("GOOGLETRANSLATE(D:D,""auto"",""en"")"),"Jingdong Liu Qiang East outgoing legal representative")</f>
        <v>Jingdong Liu Qiang East outgoing legal representative</v>
      </c>
      <c r="D9626" s="5" t="s">
        <v>22111</v>
      </c>
      <c r="E9626" s="4">
        <v>104759</v>
      </c>
    </row>
    <row r="9627" spans="1:6" ht="13.5" hidden="1" customHeight="1">
      <c r="A9627" s="4" t="s">
        <v>22295</v>
      </c>
      <c r="B9627" s="4" t="s">
        <v>22296</v>
      </c>
      <c r="C9627" s="4" t="str">
        <f ca="1">IFERROR(__xludf.DUMMYFUNCTION("GOOGLETRANSLATE(D:D,""auto"",""en"")"),"Trump Group has laid off more than 1,000 people in Canada and the United States")</f>
        <v>Trump Group has laid off more than 1,000 people in Canada and the United States</v>
      </c>
      <c r="D9627" s="5" t="s">
        <v>22297</v>
      </c>
      <c r="E9627" s="4">
        <v>103662</v>
      </c>
    </row>
    <row r="9628" spans="1:6" ht="13.5" hidden="1" customHeight="1">
      <c r="A9628" s="4" t="s">
        <v>22092</v>
      </c>
      <c r="B9628" s="4" t="s">
        <v>22093</v>
      </c>
      <c r="C9628" s="4" t="str">
        <f ca="1">IFERROR(__xludf.DUMMYFUNCTION("GOOGLETRANSLATE(D:D,""auto"",""en"")"),"Whistle")</f>
        <v>Whistle</v>
      </c>
      <c r="D9628" s="5" t="s">
        <v>22094</v>
      </c>
      <c r="E9628" s="4">
        <v>99850</v>
      </c>
    </row>
    <row r="9629" spans="1:6" ht="13.5" hidden="1" customHeight="1">
      <c r="A9629" s="4" t="s">
        <v>22290</v>
      </c>
      <c r="B9629" s="4" t="s">
        <v>22298</v>
      </c>
      <c r="C9629" s="4" t="str">
        <f ca="1">IFERROR(__xludf.DUMMYFUNCTION("GOOGLETRANSLATE(D:D,""auto"",""en"")"),"Pupils across the wall salute the flag")</f>
        <v>Pupils across the wall salute the flag</v>
      </c>
      <c r="D9629" s="5" t="s">
        <v>22299</v>
      </c>
      <c r="E9629" s="4">
        <v>85597</v>
      </c>
    </row>
    <row r="9630" spans="1:6" ht="13.5" hidden="1" customHeight="1">
      <c r="A9630" s="4" t="s">
        <v>22300</v>
      </c>
      <c r="B9630" s="4" t="s">
        <v>22301</v>
      </c>
      <c r="C9630" s="4" t="str">
        <f ca="1">IFERROR(__xludf.DUMMYFUNCTION("GOOGLETRANSLATE(D:D,""auto"",""en"")"),"There are five-star red flag where there is mourning for compatriots")</f>
        <v>There are five-star red flag where there is mourning for compatriots</v>
      </c>
      <c r="D9630" s="5" t="s">
        <v>22302</v>
      </c>
      <c r="E9630" s="4">
        <v>84777</v>
      </c>
    </row>
    <row r="9631" spans="1:6" ht="13.5" hidden="1" customHeight="1">
      <c r="A9631" s="4" t="s">
        <v>22280</v>
      </c>
      <c r="B9631" s="4" t="s">
        <v>22303</v>
      </c>
      <c r="C9631" s="4" t="str">
        <f ca="1">IFERROR(__xludf.DUMMYFUNCTION("GOOGLETRANSLATE(D:D,""auto"",""en"")"),"Troops fired shots mourn the dead")</f>
        <v>Troops fired shots mourn the dead</v>
      </c>
      <c r="D9631" s="5" t="s">
        <v>22304</v>
      </c>
      <c r="E9631" s="4">
        <v>83684</v>
      </c>
    </row>
    <row r="9632" spans="1:6" ht="13.5" customHeight="1">
      <c r="A9632" s="4" t="s">
        <v>22305</v>
      </c>
      <c r="B9632" s="4" t="s">
        <v>22194</v>
      </c>
      <c r="C9632" s="4" t="str">
        <f ca="1">IFERROR(__xludf.DUMMYFUNCTION("GOOGLETRANSLATE(D:D,""auto"",""en"")"),"Hubei 500,000 tons of vegetables backlog cleared")</f>
        <v>Hubei 500,000 tons of vegetables backlog cleared</v>
      </c>
      <c r="D9632" s="5" t="s">
        <v>22306</v>
      </c>
      <c r="E9632" s="4">
        <v>80732</v>
      </c>
      <c r="F9632">
        <v>1</v>
      </c>
    </row>
    <row r="9633" spans="1:6" ht="13.5" hidden="1" customHeight="1">
      <c r="A9633" s="4" t="s">
        <v>22307</v>
      </c>
      <c r="B9633" s="4" t="s">
        <v>22308</v>
      </c>
      <c r="C9633" s="4" t="str">
        <f ca="1">IFERROR(__xludf.DUMMYFUNCTION("GOOGLETRANSLATE(D:D,""auto"",""en"")"),"Russian Ambassador Chinese mourn the dead")</f>
        <v>Russian Ambassador Chinese mourn the dead</v>
      </c>
      <c r="D9633" s="5" t="s">
        <v>22309</v>
      </c>
      <c r="E9633" s="4">
        <v>77680</v>
      </c>
    </row>
    <row r="9634" spans="1:6" ht="13.5" customHeight="1">
      <c r="A9634" s="4" t="s">
        <v>22310</v>
      </c>
      <c r="B9634" s="4" t="s">
        <v>22232</v>
      </c>
      <c r="C9634" s="4" t="str">
        <f ca="1">IFERROR(__xludf.DUMMYFUNCTION("GOOGLETRANSLATE(D:D,""auto"",""en"")"),"E expert assistance of hospital infection 10 days transformation Ward")</f>
        <v>E expert assistance of hospital infection 10 days transformation Ward</v>
      </c>
      <c r="D9634" s="5" t="s">
        <v>22311</v>
      </c>
      <c r="E9634" s="4">
        <v>76739</v>
      </c>
      <c r="F9634">
        <v>1</v>
      </c>
    </row>
    <row r="9635" spans="1:6" ht="13.5" hidden="1" customHeight="1">
      <c r="A9635" s="4" t="s">
        <v>22117</v>
      </c>
      <c r="B9635" s="4" t="s">
        <v>22118</v>
      </c>
      <c r="C9635" s="4" t="str">
        <f ca="1">IFERROR(__xludf.DUMMYFUNCTION("GOOGLETRANSLATE(D:D,""auto"",""en"")"),"Qingming Festival")</f>
        <v>Qingming Festival</v>
      </c>
      <c r="D9635" s="5" t="s">
        <v>22119</v>
      </c>
      <c r="E9635" s="4">
        <v>70978</v>
      </c>
    </row>
    <row r="9636" spans="1:6" ht="13.5" hidden="1" customHeight="1">
      <c r="A9636" s="4" t="s">
        <v>22312</v>
      </c>
      <c r="B9636" s="4" t="s">
        <v>22313</v>
      </c>
      <c r="C9636" s="4" t="str">
        <f ca="1">IFERROR(__xludf.DUMMYFUNCTION("GOOGLETRANSLATE(D:D,""auto"",""en"")"),"Tianshui, Gansu April snow")</f>
        <v>Tianshui, Gansu April snow</v>
      </c>
      <c r="D9636" s="5" t="s">
        <v>22314</v>
      </c>
      <c r="E9636" s="4">
        <v>68770</v>
      </c>
    </row>
    <row r="9637" spans="1:6" ht="13.5" hidden="1" customHeight="1">
      <c r="C9637" s="4" t="str">
        <f ca="1">IFERROR(__xludf.DUMMYFUNCTION("GOOGLETRANSLATE(D:D,""auto"",""en"")"),"#VALUE!")</f>
        <v>#VALUE!</v>
      </c>
    </row>
    <row r="9638" spans="1:6" ht="13.5" hidden="1" customHeight="1">
      <c r="A9638" s="4" t="s">
        <v>22315</v>
      </c>
      <c r="B9638" s="4" t="s">
        <v>22316</v>
      </c>
      <c r="C9638" s="4" t="str">
        <f ca="1">IFERROR(__xludf.DUMMYFUNCTION("GOOGLETRANSLATE(D:D,""auto"",""en"")"),"Parable 3A")</f>
        <v>Parable 3A</v>
      </c>
      <c r="D9638" s="4" t="s">
        <v>22317</v>
      </c>
      <c r="E9638" s="4">
        <v>3030127</v>
      </c>
    </row>
    <row r="9639" spans="1:6" ht="13.5" customHeight="1">
      <c r="A9639" s="4" t="s">
        <v>22318</v>
      </c>
      <c r="B9639" s="4" t="s">
        <v>22319</v>
      </c>
      <c r="C9639" s="4" t="str">
        <f ca="1">IFERROR(__xludf.DUMMYFUNCTION("GOOGLETRANSLATE(D:D,""auto"",""en"")"),"There are three days re-opened in Wuhan")</f>
        <v>There are three days re-opened in Wuhan</v>
      </c>
      <c r="D9639" s="5" t="s">
        <v>22320</v>
      </c>
      <c r="E9639" s="4">
        <v>1568230</v>
      </c>
      <c r="F9639">
        <v>1</v>
      </c>
    </row>
    <row r="9640" spans="1:6" ht="13.5" customHeight="1">
      <c r="A9640" s="4" t="s">
        <v>22321</v>
      </c>
      <c r="B9640" s="4" t="s">
        <v>22322</v>
      </c>
      <c r="C9640" s="4" t="str">
        <f ca="1">IFERROR(__xludf.DUMMYFUNCTION("GOOGLETRANSLATE(D:D,""auto"",""en"")"),"The number of new US crown pneumonia diagnosed over 300,000")</f>
        <v>The number of new US crown pneumonia diagnosed over 300,000</v>
      </c>
      <c r="D9640" s="5" t="s">
        <v>22323</v>
      </c>
      <c r="E9640" s="4">
        <v>1492490</v>
      </c>
      <c r="F9640">
        <v>1</v>
      </c>
    </row>
    <row r="9641" spans="1:6" ht="13.5" hidden="1" customHeight="1">
      <c r="A9641" s="4" t="s">
        <v>22324</v>
      </c>
      <c r="B9641" s="4" t="s">
        <v>22325</v>
      </c>
      <c r="C9641" s="4" t="str">
        <f ca="1">IFERROR(__xludf.DUMMYFUNCTION("GOOGLETRANSLATE(D:D,""auto"",""en"")"),"Yu Shuxin call to the parents")</f>
        <v>Yu Shuxin call to the parents</v>
      </c>
      <c r="D9641" s="5" t="s">
        <v>22326</v>
      </c>
      <c r="E9641" s="4">
        <v>1410401</v>
      </c>
    </row>
    <row r="9642" spans="1:6" ht="13.5" hidden="1" customHeight="1">
      <c r="A9642" s="4" t="s">
        <v>22327</v>
      </c>
      <c r="B9642" s="4" t="s">
        <v>22328</v>
      </c>
      <c r="C9642" s="4" t="str">
        <f ca="1">IFERROR(__xludf.DUMMYFUNCTION("GOOGLETRANSLATE(D:D,""auto"",""en"")"),"Venezuela")</f>
        <v>Venezuela</v>
      </c>
      <c r="D9642" s="5" t="s">
        <v>22329</v>
      </c>
      <c r="E9642" s="4">
        <v>1321628</v>
      </c>
    </row>
    <row r="9643" spans="1:6" ht="13.5" customHeight="1">
      <c r="A9643" s="4" t="s">
        <v>22330</v>
      </c>
      <c r="B9643" s="4" t="s">
        <v>22254</v>
      </c>
      <c r="C9643" s="4" t="str">
        <f ca="1">IFERROR(__xludf.DUMMYFUNCTION("GOOGLETRANSLATE(D:D,""auto"",""en"")"),"Shelter for the disinfection of toilet Cao sister")</f>
        <v>Shelter for the disinfection of toilet Cao sister</v>
      </c>
      <c r="D9643" s="5" t="s">
        <v>22331</v>
      </c>
      <c r="E9643" s="4">
        <v>1026517</v>
      </c>
      <c r="F9643">
        <v>1</v>
      </c>
    </row>
    <row r="9644" spans="1:6" ht="13.5" hidden="1" customHeight="1">
      <c r="A9644" s="4" t="s">
        <v>22332</v>
      </c>
      <c r="B9644" s="4" t="s">
        <v>22333</v>
      </c>
      <c r="C9644" s="4" t="str">
        <f ca="1">IFERROR(__xludf.DUMMYFUNCTION("GOOGLETRANSLATE(D:D,""auto"",""en"")"),"Beijing primary and secondary school final exam may not increase the difficulty")</f>
        <v>Beijing primary and secondary school final exam may not increase the difficulty</v>
      </c>
      <c r="D9644" s="5" t="s">
        <v>22334</v>
      </c>
      <c r="E9644" s="4">
        <v>1020961</v>
      </c>
    </row>
    <row r="9645" spans="1:6" ht="13.5" customHeight="1">
      <c r="A9645" s="4" t="s">
        <v>22335</v>
      </c>
      <c r="B9645" s="4" t="s">
        <v>22336</v>
      </c>
      <c r="C9645" s="4" t="str">
        <f ca="1">IFERROR(__xludf.DUMMYFUNCTION("GOOGLETRANSLATE(D:D,""auto"",""en"")"),"China shipped back to the UK from an entire aircraft shielding materials")</f>
        <v>China shipped back to the UK from an entire aircraft shielding materials</v>
      </c>
      <c r="D9645" s="5" t="s">
        <v>22337</v>
      </c>
      <c r="E9645" s="4">
        <v>943032</v>
      </c>
      <c r="F9645">
        <v>1</v>
      </c>
    </row>
    <row r="9646" spans="1:6" ht="13.5" hidden="1" customHeight="1">
      <c r="A9646" s="4" t="s">
        <v>22338</v>
      </c>
      <c r="B9646" s="4" t="s">
        <v>22339</v>
      </c>
      <c r="C9646" s="4" t="str">
        <f ca="1">IFERROR(__xludf.DUMMYFUNCTION("GOOGLETRANSLATE(D:D,""auto"",""en"")"),"Forbidden City live")</f>
        <v>Forbidden City live</v>
      </c>
      <c r="D9646" s="5" t="s">
        <v>22340</v>
      </c>
      <c r="E9646" s="4">
        <v>858426</v>
      </c>
    </row>
    <row r="9647" spans="1:6" ht="13.5" hidden="1" customHeight="1">
      <c r="A9647" s="4" t="s">
        <v>22341</v>
      </c>
      <c r="B9647" s="4" t="s">
        <v>22248</v>
      </c>
      <c r="C9647" s="4" t="str">
        <f ca="1">IFERROR(__xludf.DUMMYFUNCTION("GOOGLETRANSLATE(D:D,""auto"",""en"")"),"It will be located in schools compulsory labor")</f>
        <v>It will be located in schools compulsory labor</v>
      </c>
      <c r="D9647" s="5" t="s">
        <v>22342</v>
      </c>
      <c r="E9647" s="4">
        <v>767213</v>
      </c>
    </row>
    <row r="9648" spans="1:6" ht="13.5" hidden="1" customHeight="1">
      <c r="A9648" s="4" t="s">
        <v>22343</v>
      </c>
      <c r="B9648" s="4" t="s">
        <v>22344</v>
      </c>
      <c r="C9648" s="4" t="str">
        <f ca="1">IFERROR(__xludf.DUMMYFUNCTION("GOOGLETRANSLATE(D:D,""auto"",""en"")"),"New York Governor thanked the Chinese donated 1,000 ventilator")</f>
        <v>New York Governor thanked the Chinese donated 1,000 ventilator</v>
      </c>
      <c r="D9648" s="5" t="s">
        <v>22345</v>
      </c>
      <c r="E9648" s="4">
        <v>693554</v>
      </c>
    </row>
    <row r="9649" spans="1:6" ht="13.5" customHeight="1">
      <c r="A9649" s="4" t="s">
        <v>22346</v>
      </c>
      <c r="B9649" s="4" t="s">
        <v>22347</v>
      </c>
      <c r="C9649" s="4" t="str">
        <f ca="1">IFERROR(__xludf.DUMMYFUNCTION("GOOGLETRANSLATE(D:D,""auto"",""en"")"),"Spanish government to extend the application of national emergency")</f>
        <v>Spanish government to extend the application of national emergency</v>
      </c>
      <c r="D9649" s="5" t="s">
        <v>22348</v>
      </c>
      <c r="E9649" s="4">
        <v>680195</v>
      </c>
      <c r="F9649">
        <v>1</v>
      </c>
    </row>
    <row r="9650" spans="1:6" ht="13.5" customHeight="1">
      <c r="A9650" s="4" t="s">
        <v>22330</v>
      </c>
      <c r="B9650" s="4" t="s">
        <v>22349</v>
      </c>
      <c r="C9650" s="4" t="str">
        <f ca="1">IFERROR(__xludf.DUMMYFUNCTION("GOOGLETRANSLATE(D:D,""auto"",""en"")"),"Guangdong new five cases of indigenous cases")</f>
        <v>Guangdong new five cases of indigenous cases</v>
      </c>
      <c r="D9650" s="5" t="s">
        <v>22350</v>
      </c>
      <c r="E9650" s="4">
        <v>574227</v>
      </c>
      <c r="F9650">
        <v>1</v>
      </c>
    </row>
    <row r="9651" spans="1:6" ht="13.5" hidden="1" customHeight="1">
      <c r="A9651" s="4" t="s">
        <v>20724</v>
      </c>
      <c r="B9651" s="4" t="s">
        <v>22221</v>
      </c>
      <c r="C9651" s="4" t="str">
        <f ca="1">IFERROR(__xludf.DUMMYFUNCTION("GOOGLETRANSLATE(D:D,""auto"",""en"")"),"British 5G base station arson")</f>
        <v>British 5G base station arson</v>
      </c>
      <c r="D9651" s="5" t="s">
        <v>22351</v>
      </c>
      <c r="E9651" s="4">
        <v>506328</v>
      </c>
    </row>
    <row r="9652" spans="1:6" ht="13.5" customHeight="1">
      <c r="A9652" s="4" t="s">
        <v>22352</v>
      </c>
      <c r="B9652" s="4" t="s">
        <v>22353</v>
      </c>
      <c r="C9652" s="4" t="str">
        <f ca="1">IFERROR(__xludf.DUMMYFUNCTION("GOOGLETRANSLATE(D:D,""auto"",""en"")"),"Guangdong Jieyang notified two cases related case details")</f>
        <v>Guangdong Jieyang notified two cases related case details</v>
      </c>
      <c r="D9652" s="5" t="s">
        <v>22354</v>
      </c>
      <c r="E9652" s="4">
        <v>460684</v>
      </c>
      <c r="F9652">
        <v>1</v>
      </c>
    </row>
    <row r="9653" spans="1:6" ht="13.5" hidden="1" customHeight="1">
      <c r="A9653" s="4" t="s">
        <v>22355</v>
      </c>
      <c r="B9653" s="4" t="s">
        <v>22356</v>
      </c>
      <c r="C9653" s="4" t="str">
        <f ca="1">IFERROR(__xludf.DUMMYFUNCTION("GOOGLETRANSLATE(D:D,""auto"",""en"")"),"US dairy farmers dumped a lot of milk")</f>
        <v>US dairy farmers dumped a lot of milk</v>
      </c>
      <c r="D9653" s="5" t="s">
        <v>22357</v>
      </c>
      <c r="E9653" s="4">
        <v>454815</v>
      </c>
    </row>
    <row r="9654" spans="1:6" ht="13.5" hidden="1" customHeight="1">
      <c r="A9654" s="4" t="s">
        <v>22358</v>
      </c>
      <c r="B9654" s="4" t="s">
        <v>22359</v>
      </c>
      <c r="C9654" s="4" t="str">
        <f ca="1">IFERROR(__xludf.DUMMYFUNCTION("GOOGLETRANSLATE(D:D,""auto"",""en"")"),"Huangshan scenic spot crowded")</f>
        <v>Huangshan scenic spot crowded</v>
      </c>
      <c r="D9654" s="5" t="s">
        <v>22360</v>
      </c>
      <c r="E9654" s="4">
        <v>439116</v>
      </c>
    </row>
    <row r="9655" spans="1:6" ht="13.5" hidden="1" customHeight="1">
      <c r="A9655" s="4" t="s">
        <v>22343</v>
      </c>
      <c r="B9655" s="4" t="s">
        <v>22219</v>
      </c>
      <c r="C9655" s="4" t="str">
        <f ca="1">IFERROR(__xludf.DUMMYFUNCTION("GOOGLETRANSLATE(D:D,""auto"",""en"")"),"Jieyang")</f>
        <v>Jieyang</v>
      </c>
      <c r="D9655" s="5" t="s">
        <v>22361</v>
      </c>
      <c r="E9655" s="4">
        <v>429340</v>
      </c>
    </row>
    <row r="9656" spans="1:6" ht="13.5" customHeight="1">
      <c r="A9656" s="4" t="s">
        <v>22362</v>
      </c>
      <c r="B9656" s="4" t="s">
        <v>22248</v>
      </c>
      <c r="C9656" s="4" t="str">
        <f ca="1">IFERROR(__xludf.DUMMYFUNCTION("GOOGLETRANSLATE(D:D,""auto"",""en"")"),"India's largest slum section closed")</f>
        <v>India's largest slum section closed</v>
      </c>
      <c r="D9656" s="5" t="s">
        <v>22363</v>
      </c>
      <c r="E9656" s="4">
        <v>415892</v>
      </c>
      <c r="F9656">
        <v>1</v>
      </c>
    </row>
    <row r="9657" spans="1:6" ht="13.5" customHeight="1">
      <c r="A9657" s="4" t="s">
        <v>13780</v>
      </c>
      <c r="B9657" s="4" t="s">
        <v>22364</v>
      </c>
      <c r="C9657" s="4" t="str">
        <f ca="1">IFERROR(__xludf.DUMMYFUNCTION("GOOGLETRANSLATE(D:D,""auto"",""en"")"),"3M's response to Trump masks export restrictions")</f>
        <v>3M's response to Trump masks export restrictions</v>
      </c>
      <c r="D9657" s="5" t="s">
        <v>22365</v>
      </c>
      <c r="E9657" s="4">
        <v>378830</v>
      </c>
      <c r="F9657">
        <v>1</v>
      </c>
    </row>
    <row r="9658" spans="1:6" ht="13.5" customHeight="1">
      <c r="A9658" s="4" t="s">
        <v>22366</v>
      </c>
      <c r="B9658" s="4" t="s">
        <v>22367</v>
      </c>
      <c r="C9658" s="4" t="str">
        <f ca="1">IFERROR(__xludf.DUMMYFUNCTION("GOOGLETRANSLATE(D:D,""auto"",""en"")"),"Trump said the United States will surge in the number of deaths")</f>
        <v>Trump said the United States will surge in the number of deaths</v>
      </c>
      <c r="D9658" s="5" t="s">
        <v>22368</v>
      </c>
      <c r="E9658" s="4">
        <v>371641</v>
      </c>
      <c r="F9658">
        <v>1</v>
      </c>
    </row>
    <row r="9659" spans="1:6" ht="13.5" hidden="1" customHeight="1">
      <c r="A9659" s="4" t="s">
        <v>20724</v>
      </c>
      <c r="B9659" s="4" t="s">
        <v>20540</v>
      </c>
      <c r="C9659" s="4" t="str">
        <f ca="1">IFERROR(__xludf.DUMMYFUNCTION("GOOGLETRANSLATE(D:D,""auto"",""en"")"),"Kohlrabi")</f>
        <v>Kohlrabi</v>
      </c>
      <c r="D9659" s="5" t="s">
        <v>20725</v>
      </c>
      <c r="E9659" s="4">
        <v>365953</v>
      </c>
    </row>
    <row r="9660" spans="1:6" ht="13.5" customHeight="1">
      <c r="A9660" s="4" t="s">
        <v>22369</v>
      </c>
      <c r="B9660" s="4" t="s">
        <v>22214</v>
      </c>
      <c r="C9660" s="4" t="str">
        <f ca="1">IFERROR(__xludf.DUMMYFUNCTION("GOOGLETRANSLATE(D:D,""auto"",""en"")"),"Italian Prime Minister guards died of pneumonia because of the new crown")</f>
        <v>Italian Prime Minister guards died of pneumonia because of the new crown</v>
      </c>
      <c r="D9660" s="5" t="s">
        <v>22370</v>
      </c>
      <c r="E9660" s="4">
        <v>364541</v>
      </c>
      <c r="F9660">
        <v>1</v>
      </c>
    </row>
    <row r="9661" spans="1:6" ht="13.5" customHeight="1">
      <c r="A9661" s="4" t="s">
        <v>22371</v>
      </c>
      <c r="B9661" s="4" t="s">
        <v>22240</v>
      </c>
      <c r="C9661" s="4" t="str">
        <f ca="1">IFERROR(__xludf.DUMMYFUNCTION("GOOGLETRANSLATE(D:D,""auto"",""en"")"),"New York and other places epidemic or to sixty-seven days to reach the inflection point")</f>
        <v>New York and other places epidemic or to sixty-seven days to reach the inflection point</v>
      </c>
      <c r="D9661" s="5" t="s">
        <v>22372</v>
      </c>
      <c r="E9661" s="4">
        <v>345724</v>
      </c>
      <c r="F9661">
        <v>1</v>
      </c>
    </row>
    <row r="9662" spans="1:6" ht="13.5" customHeight="1">
      <c r="A9662" s="4" t="s">
        <v>22346</v>
      </c>
      <c r="B9662" s="4" t="s">
        <v>22295</v>
      </c>
      <c r="C9662" s="4" t="str">
        <f ca="1">IFERROR(__xludf.DUMMYFUNCTION("GOOGLETRANSLATE(D:D,""auto"",""en"")"),"France ordered from China nearly two billion masks")</f>
        <v>France ordered from China nearly two billion masks</v>
      </c>
      <c r="D9662" s="5" t="s">
        <v>22373</v>
      </c>
      <c r="E9662" s="4">
        <v>342237</v>
      </c>
      <c r="F9662">
        <v>1</v>
      </c>
    </row>
    <row r="9663" spans="1:6" ht="13.5" customHeight="1">
      <c r="A9663" s="4" t="s">
        <v>22374</v>
      </c>
      <c r="B9663" s="4" t="s">
        <v>22367</v>
      </c>
      <c r="C9663" s="4" t="str">
        <f ca="1">IFERROR(__xludf.DUMMYFUNCTION("GOOGLETRANSLATE(D:D,""auto"",""en"")"),"British Prime Minister fiancee crown emergence of new virus symptoms")</f>
        <v>British Prime Minister fiancee crown emergence of new virus symptoms</v>
      </c>
      <c r="D9663" s="5" t="s">
        <v>22375</v>
      </c>
      <c r="E9663" s="4">
        <v>329757</v>
      </c>
      <c r="F9663">
        <v>1</v>
      </c>
    </row>
    <row r="9664" spans="1:6" ht="13.5" hidden="1" customHeight="1">
      <c r="A9664" s="4" t="s">
        <v>22376</v>
      </c>
      <c r="B9664" s="4" t="s">
        <v>22377</v>
      </c>
      <c r="C9664" s="4" t="str">
        <f ca="1">IFERROR(__xludf.DUMMYFUNCTION("GOOGLETRANSLATE(D:D,""auto"",""en"")"),"Three hundred new ventilator from China arrived in the United Kingdom")</f>
        <v>Three hundred new ventilator from China arrived in the United Kingdom</v>
      </c>
      <c r="D9664" s="5" t="s">
        <v>22378</v>
      </c>
      <c r="E9664" s="4">
        <v>320252</v>
      </c>
    </row>
    <row r="9665" spans="1:6" ht="13.5" hidden="1" customHeight="1">
      <c r="A9665" s="4" t="s">
        <v>22362</v>
      </c>
      <c r="B9665" s="4" t="s">
        <v>22379</v>
      </c>
      <c r="C9665" s="4" t="str">
        <f ca="1">IFERROR(__xludf.DUMMYFUNCTION("GOOGLETRANSLATE(D:D,""auto"",""en"")"),"King of glory open service")</f>
        <v>King of glory open service</v>
      </c>
      <c r="D9665" s="5" t="s">
        <v>22380</v>
      </c>
      <c r="E9665" s="4">
        <v>298291</v>
      </c>
    </row>
    <row r="9666" spans="1:6" ht="13.5" hidden="1" customHeight="1">
      <c r="A9666" s="4" t="s">
        <v>22381</v>
      </c>
      <c r="B9666" s="4" t="s">
        <v>22382</v>
      </c>
      <c r="C9666" s="4" t="str">
        <f ca="1">IFERROR(__xludf.DUMMYFUNCTION("GOOGLETRANSLATE(D:D,""auto"",""en"")"),"Huangshan scenic area of ​​20,000 tourists stop ticketing")</f>
        <v>Huangshan scenic area of ​​20,000 tourists stop ticketing</v>
      </c>
      <c r="D9666" s="5" t="s">
        <v>22383</v>
      </c>
      <c r="E9666" s="4">
        <v>222359</v>
      </c>
    </row>
    <row r="9667" spans="1:6" ht="13.5" customHeight="1">
      <c r="A9667" s="4" t="s">
        <v>22384</v>
      </c>
      <c r="B9667" s="4" t="s">
        <v>22377</v>
      </c>
      <c r="C9667" s="4" t="str">
        <f ca="1">IFERROR(__xludf.DUMMYFUNCTION("GOOGLETRANSLATE(D:D,""auto"",""en"")"),"Heilongjiang new 13 cases of imported cases in Russia")</f>
        <v>Heilongjiang new 13 cases of imported cases in Russia</v>
      </c>
      <c r="D9667" s="5" t="s">
        <v>22385</v>
      </c>
      <c r="E9667" s="4">
        <v>218082</v>
      </c>
      <c r="F9667">
        <v>1</v>
      </c>
    </row>
    <row r="9668" spans="1:6" ht="13.5" hidden="1" customHeight="1">
      <c r="A9668" s="4" t="s">
        <v>22386</v>
      </c>
      <c r="B9668" s="4" t="s">
        <v>22387</v>
      </c>
      <c r="C9668" s="4" t="str">
        <f ca="1">IFERROR(__xludf.DUMMYFUNCTION("GOOGLETRANSLATE(D:D,""auto"",""en"")"),"Bryant Hall of Fame")</f>
        <v>Bryant Hall of Fame</v>
      </c>
      <c r="D9668" s="5" t="s">
        <v>22388</v>
      </c>
      <c r="E9668" s="4">
        <v>203439</v>
      </c>
    </row>
    <row r="9669" spans="1:6" ht="13.5" customHeight="1">
      <c r="A9669" s="4" t="s">
        <v>13780</v>
      </c>
      <c r="B9669" s="4" t="s">
        <v>13781</v>
      </c>
      <c r="C9669" s="4" t="str">
        <f ca="1">IFERROR(__xludf.DUMMYFUNCTION("GOOGLETRANSLATE(D:D,""auto"",""en"")"),"US epidemic")</f>
        <v>US epidemic</v>
      </c>
      <c r="D9669" s="5" t="s">
        <v>13782</v>
      </c>
      <c r="E9669" s="4">
        <v>196636</v>
      </c>
      <c r="F9669">
        <v>1</v>
      </c>
    </row>
    <row r="9670" spans="1:6" ht="13.5" customHeight="1">
      <c r="A9670" s="4" t="s">
        <v>22389</v>
      </c>
      <c r="B9670" s="4" t="s">
        <v>22390</v>
      </c>
      <c r="C9670" s="4" t="str">
        <f ca="1">IFERROR(__xludf.DUMMYFUNCTION("GOOGLETRANSLATE(D:D,""auto"",""en"")"),"Wuhan informed insist forcing urban community does not cooperate epidemic prevention work")</f>
        <v>Wuhan informed insist forcing urban community does not cooperate epidemic prevention work</v>
      </c>
      <c r="D9670" s="5" t="s">
        <v>22391</v>
      </c>
      <c r="E9670" s="4">
        <v>192725</v>
      </c>
      <c r="F9670">
        <v>1</v>
      </c>
    </row>
    <row r="9671" spans="1:6" ht="13.5" customHeight="1">
      <c r="A9671" s="4" t="s">
        <v>22392</v>
      </c>
      <c r="B9671" s="4" t="s">
        <v>22393</v>
      </c>
      <c r="C9671" s="4" t="str">
        <f ca="1">IFERROR(__xludf.DUMMYFUNCTION("GOOGLETRANSLATE(D:D,""auto"",""en"")"),"Central Park, New York built a field hospital")</f>
        <v>Central Park, New York built a field hospital</v>
      </c>
      <c r="D9671" s="5" t="s">
        <v>22394</v>
      </c>
      <c r="E9671" s="4">
        <v>191299</v>
      </c>
      <c r="F9671">
        <v>1</v>
      </c>
    </row>
    <row r="9672" spans="1:6" ht="13.5" customHeight="1">
      <c r="A9672" s="4" t="s">
        <v>22395</v>
      </c>
      <c r="B9672" s="4" t="s">
        <v>22396</v>
      </c>
      <c r="C9672" s="4" t="str">
        <f ca="1">IFERROR(__xludf.DUMMYFUNCTION("GOOGLETRANSLATE(D:D,""auto"",""en"")"),"The new vaccine crown volunteer says he's not a hero")</f>
        <v>The new vaccine crown volunteer says he's not a hero</v>
      </c>
      <c r="D9672" s="5" t="s">
        <v>22397</v>
      </c>
      <c r="E9672" s="4">
        <v>186380</v>
      </c>
      <c r="F9672">
        <v>1</v>
      </c>
    </row>
    <row r="9673" spans="1:6" ht="13.5" customHeight="1">
      <c r="A9673" s="4" t="s">
        <v>22237</v>
      </c>
      <c r="B9673" s="4" t="s">
        <v>22238</v>
      </c>
      <c r="C9673" s="4" t="str">
        <f ca="1">IFERROR(__xludf.DUMMYFUNCTION("GOOGLETRANSLATE(D:D,""auto"",""en"")"),"Wuhan takeaway rider did not live the old meter")</f>
        <v>Wuhan takeaway rider did not live the old meter</v>
      </c>
      <c r="D9673" s="5" t="s">
        <v>22239</v>
      </c>
      <c r="E9673" s="4">
        <v>183936</v>
      </c>
      <c r="F9673">
        <v>1</v>
      </c>
    </row>
    <row r="9674" spans="1:6" ht="13.5" customHeight="1">
      <c r="A9674" s="4" t="s">
        <v>22384</v>
      </c>
      <c r="B9674" s="4" t="s">
        <v>22398</v>
      </c>
      <c r="C9674" s="4" t="str">
        <f ca="1">IFERROR(__xludf.DUMMYFUNCTION("GOOGLETRANSLATE(D:D,""auto"",""en"")"),"France cumulative confirmed over China")</f>
        <v>France cumulative confirmed over China</v>
      </c>
      <c r="D9674" s="5" t="s">
        <v>22399</v>
      </c>
      <c r="E9674" s="4">
        <v>183316</v>
      </c>
      <c r="F9674">
        <v>1</v>
      </c>
    </row>
    <row r="9675" spans="1:6" ht="13.5" hidden="1" customHeight="1">
      <c r="A9675" s="4" t="s">
        <v>22400</v>
      </c>
      <c r="B9675" s="4" t="s">
        <v>22221</v>
      </c>
      <c r="C9675" s="4" t="str">
        <f ca="1">IFERROR(__xludf.DUMMYFUNCTION("GOOGLETRANSLATE(D:D,""auto"",""en"")"),"Bryant Duncan, Kevin Garnett Hall of Fame")</f>
        <v>Bryant Duncan, Kevin Garnett Hall of Fame</v>
      </c>
      <c r="D9675" s="5" t="s">
        <v>22401</v>
      </c>
      <c r="E9675" s="4">
        <v>171283</v>
      </c>
    </row>
    <row r="9676" spans="1:6" ht="13.5" hidden="1" customHeight="1">
      <c r="A9676" s="4" t="s">
        <v>22402</v>
      </c>
      <c r="B9676" s="4" t="s">
        <v>22248</v>
      </c>
      <c r="C9676" s="4" t="str">
        <f ca="1">IFERROR(__xludf.DUMMYFUNCTION("GOOGLETRANSLATE(D:D,""auto"",""en"")"),"2000 new training students and soldiers greet day and night exams")</f>
        <v>2000 new training students and soldiers greet day and night exams</v>
      </c>
      <c r="D9676" s="5" t="s">
        <v>22403</v>
      </c>
      <c r="E9676" s="4">
        <v>170301</v>
      </c>
    </row>
    <row r="9677" spans="1:6" ht="13.5" hidden="1" customHeight="1">
      <c r="A9677" s="4" t="s">
        <v>22404</v>
      </c>
      <c r="B9677" s="4" t="s">
        <v>22405</v>
      </c>
      <c r="C9677" s="4" t="str">
        <f ca="1">IFERROR(__xludf.DUMMYFUNCTION("GOOGLETRANSLATE(D:D,""auto"",""en"")"),"Airlines grounded all flights soil")</f>
        <v>Airlines grounded all flights soil</v>
      </c>
      <c r="D9677" s="5" t="s">
        <v>22406</v>
      </c>
      <c r="E9677" s="4">
        <v>153440</v>
      </c>
    </row>
    <row r="9678" spans="1:6" ht="13.5" customHeight="1">
      <c r="A9678" s="4" t="s">
        <v>22407</v>
      </c>
      <c r="B9678" s="4" t="s">
        <v>22408</v>
      </c>
      <c r="C9678" s="4" t="str">
        <f ca="1">IFERROR(__xludf.DUMMYFUNCTION("GOOGLETRANSLATE(D:D,""auto"",""en"")"),"The new global crown over 1.2 million diagnosed with pneumonia")</f>
        <v>The new global crown over 1.2 million diagnosed with pneumonia</v>
      </c>
      <c r="D9678" s="5" t="s">
        <v>22409</v>
      </c>
      <c r="E9678" s="4">
        <v>143567</v>
      </c>
      <c r="F9678">
        <v>1</v>
      </c>
    </row>
    <row r="9679" spans="1:6" ht="13.5" customHeight="1">
      <c r="A9679" s="4" t="s">
        <v>22371</v>
      </c>
      <c r="B9679" s="4" t="s">
        <v>22382</v>
      </c>
      <c r="C9679" s="4" t="str">
        <f ca="1">IFERROR(__xludf.DUMMYFUNCTION("GOOGLETRANSLATE(D:D,""auto"",""en"")"),"Jieyang two cases were new local children")</f>
        <v>Jieyang two cases were new local children</v>
      </c>
      <c r="D9679" s="5" t="s">
        <v>22410</v>
      </c>
      <c r="E9679" s="4">
        <v>140943</v>
      </c>
      <c r="F9679">
        <v>1</v>
      </c>
    </row>
    <row r="9680" spans="1:6" ht="13.5" customHeight="1">
      <c r="A9680" s="4" t="s">
        <v>22411</v>
      </c>
      <c r="B9680" s="4" t="s">
        <v>22412</v>
      </c>
      <c r="C9680" s="4" t="str">
        <f ca="1">IFERROR(__xludf.DUMMYFUNCTION("GOOGLETRANSLATE(D:D,""auto"",""en"")"),"Guangzhou announced three cases related case details")</f>
        <v>Guangzhou announced three cases related case details</v>
      </c>
      <c r="D9680" s="5" t="s">
        <v>22413</v>
      </c>
      <c r="E9680" s="4">
        <v>140327</v>
      </c>
      <c r="F9680">
        <v>1</v>
      </c>
    </row>
    <row r="9681" spans="1:6" ht="13.5" hidden="1" customHeight="1">
      <c r="A9681" s="4" t="s">
        <v>22414</v>
      </c>
      <c r="B9681" s="4" t="s">
        <v>22415</v>
      </c>
      <c r="C9681" s="4" t="str">
        <f ca="1">IFERROR(__xludf.DUMMYFUNCTION("GOOGLETRANSLATE(D:D,""auto"",""en"")"),"The last one arrived Beidou satellite launch site networking III")</f>
        <v>The last one arrived Beidou satellite launch site networking III</v>
      </c>
      <c r="D9681" s="5" t="s">
        <v>22416</v>
      </c>
      <c r="E9681" s="4">
        <v>140300</v>
      </c>
    </row>
    <row r="9682" spans="1:6" ht="13.5" hidden="1" customHeight="1">
      <c r="A9682" s="4" t="s">
        <v>22417</v>
      </c>
      <c r="B9682" s="4" t="s">
        <v>22412</v>
      </c>
      <c r="C9682" s="4" t="str">
        <f ca="1">IFERROR(__xludf.DUMMYFUNCTION("GOOGLETRANSLATE(D:D,""auto"",""en"")"),"Fortunately, in response to 2.2 billion yuan, chairman of the Swiss financial fraud")</f>
        <v>Fortunately, in response to 2.2 billion yuan, chairman of the Swiss financial fraud</v>
      </c>
      <c r="D9682" s="5" t="s">
        <v>22418</v>
      </c>
      <c r="E9682" s="4">
        <v>139229</v>
      </c>
    </row>
    <row r="9683" spans="1:6" ht="13.5" hidden="1" customHeight="1">
      <c r="A9683" s="4" t="s">
        <v>22419</v>
      </c>
      <c r="B9683" s="4" t="s">
        <v>22349</v>
      </c>
      <c r="C9683" s="4" t="str">
        <f ca="1">IFERROR(__xludf.DUMMYFUNCTION("GOOGLETRANSLATE(D:D,""auto"",""en"")"),"Rate of soil Sea")</f>
        <v>Rate of soil Sea</v>
      </c>
      <c r="D9683" s="5" t="s">
        <v>22420</v>
      </c>
      <c r="E9683" s="4">
        <v>138420</v>
      </c>
    </row>
    <row r="9684" spans="1:6" ht="13.5" customHeight="1">
      <c r="A9684" s="4" t="s">
        <v>22421</v>
      </c>
      <c r="B9684" s="4" t="s">
        <v>22422</v>
      </c>
      <c r="C9684" s="4" t="str">
        <f ca="1">IFERROR(__xludf.DUMMYFUNCTION("GOOGLETRANSLATE(D:D,""auto"",""en"")"),"The focus on disease prevention masks and other equipment certification violations")</f>
        <v>The focus on disease prevention masks and other equipment certification violations</v>
      </c>
      <c r="D9684" s="5" t="s">
        <v>22423</v>
      </c>
      <c r="E9684" s="4">
        <v>117483</v>
      </c>
      <c r="F9684">
        <v>1</v>
      </c>
    </row>
    <row r="9685" spans="1:6" ht="13.5" customHeight="1">
      <c r="A9685" s="4" t="s">
        <v>22424</v>
      </c>
      <c r="B9685" s="4" t="s">
        <v>22263</v>
      </c>
      <c r="C9685" s="4" t="str">
        <f ca="1">IFERROR(__xludf.DUMMYFUNCTION("GOOGLETRANSLATE(D:D,""auto"",""en"")"),"207 countries and regions have appeared new cases of pneumonia crown")</f>
        <v>207 countries and regions have appeared new cases of pneumonia crown</v>
      </c>
      <c r="D9685" s="5" t="s">
        <v>22425</v>
      </c>
      <c r="E9685" s="4">
        <v>116373</v>
      </c>
      <c r="F9685">
        <v>1</v>
      </c>
    </row>
    <row r="9686" spans="1:6" ht="13.5" customHeight="1">
      <c r="A9686" s="4" t="s">
        <v>22424</v>
      </c>
      <c r="B9686" s="4" t="s">
        <v>22426</v>
      </c>
      <c r="C9686" s="4" t="str">
        <f ca="1">IFERROR(__xludf.DUMMYFUNCTION("GOOGLETRANSLATE(D:D,""auto"",""en"")"),"Australian police criminal investigation Ruby Princess detonated epidemic")</f>
        <v>Australian police criminal investigation Ruby Princess detonated epidemic</v>
      </c>
      <c r="D9686" s="5" t="s">
        <v>22427</v>
      </c>
      <c r="E9686" s="4">
        <v>113808</v>
      </c>
      <c r="F9686">
        <v>1</v>
      </c>
    </row>
    <row r="9687" spans="1:6" ht="13.5" hidden="1" customHeight="1">
      <c r="A9687" s="4" t="s">
        <v>22424</v>
      </c>
      <c r="B9687" s="4" t="s">
        <v>22428</v>
      </c>
      <c r="C9687" s="4" t="str">
        <f ca="1">IFERROR(__xludf.DUMMYFUNCTION("GOOGLETRANSLATE(D:D,""auto"",""en"")"),"2108 fire suppression personnel on duty throughout the night Xichang fire")</f>
        <v>2108 fire suppression personnel on duty throughout the night Xichang fire</v>
      </c>
      <c r="D9687" s="5" t="s">
        <v>22429</v>
      </c>
      <c r="E9687" s="4">
        <v>112807</v>
      </c>
    </row>
    <row r="9688" spans="1:6" ht="13.5" hidden="1" customHeight="1">
      <c r="C9688" s="4" t="str">
        <f ca="1">IFERROR(__xludf.DUMMYFUNCTION("GOOGLETRANSLATE(D:D,""auto"",""en"")"),"#VALUE!")</f>
        <v>#VALUE!</v>
      </c>
    </row>
    <row r="9689" spans="1:6" ht="13.5" hidden="1" customHeight="1">
      <c r="A9689" s="4" t="s">
        <v>22430</v>
      </c>
      <c r="B9689" s="4" t="s">
        <v>15109</v>
      </c>
      <c r="C9689" s="4" t="str">
        <f ca="1">IFERROR(__xludf.DUMMYFUNCTION("GOOGLETRANSLATE(D:D,""auto"",""en"")"),"Hu said the summer was like commercial speech")</f>
        <v>Hu said the summer was like commercial speech</v>
      </c>
      <c r="D9689" s="4" t="s">
        <v>22431</v>
      </c>
      <c r="E9689" s="4">
        <v>2543608</v>
      </c>
    </row>
    <row r="9690" spans="1:6" ht="13.5" hidden="1" customHeight="1">
      <c r="A9690" s="4" t="s">
        <v>22432</v>
      </c>
      <c r="B9690" s="4" t="s">
        <v>22433</v>
      </c>
      <c r="C9690" s="4" t="str">
        <f ca="1">IFERROR(__xludf.DUMMYFUNCTION("GOOGLETRANSLATE(D:D,""auto"",""en"")"),"Published involved because people mourn inappropriate remarks to be processed")</f>
        <v>Published involved because people mourn inappropriate remarks to be processed</v>
      </c>
      <c r="D9690" s="5" t="s">
        <v>22434</v>
      </c>
      <c r="E9690" s="4">
        <v>2269692</v>
      </c>
    </row>
    <row r="9691" spans="1:6" ht="13.5" hidden="1" customHeight="1">
      <c r="A9691" s="4" t="s">
        <v>22435</v>
      </c>
      <c r="B9691" s="4" t="s">
        <v>22436</v>
      </c>
      <c r="C9691" s="4" t="str">
        <f ca="1">IFERROR(__xludf.DUMMYFUNCTION("GOOGLETRANSLATE(D:D,""auto"",""en"")"),"Xu Mengjie Dad")</f>
        <v>Xu Mengjie Dad</v>
      </c>
      <c r="D9691" s="5" t="s">
        <v>22437</v>
      </c>
      <c r="E9691" s="4">
        <v>2038438</v>
      </c>
    </row>
    <row r="9692" spans="1:6" ht="13.5" hidden="1" customHeight="1">
      <c r="A9692" s="4" t="s">
        <v>22438</v>
      </c>
      <c r="B9692" s="4" t="s">
        <v>22439</v>
      </c>
      <c r="C9692" s="4" t="str">
        <f ca="1">IFERROR(__xludf.DUMMYFUNCTION("GOOGLETRANSLATE(D:D,""auto"",""en"")"),"Kazuhiro O Ebisuhei 拔鼻 hair")</f>
        <v>Kazuhiro O Ebisuhei 拔鼻 hair</v>
      </c>
      <c r="D9692" s="5" t="s">
        <v>22440</v>
      </c>
      <c r="E9692" s="4">
        <v>1482879</v>
      </c>
    </row>
    <row r="9693" spans="1:6" ht="13.5" hidden="1" customHeight="1">
      <c r="A9693" s="4" t="s">
        <v>22441</v>
      </c>
      <c r="B9693" s="4" t="s">
        <v>22318</v>
      </c>
      <c r="C9693" s="4" t="str">
        <f ca="1">IFERROR(__xludf.DUMMYFUNCTION("GOOGLETRANSLATE(D:D,""auto"",""en"")"),"Shang Wenjie")</f>
        <v>Shang Wenjie</v>
      </c>
      <c r="D9693" s="5" t="s">
        <v>22442</v>
      </c>
      <c r="E9693" s="4">
        <v>1224735</v>
      </c>
    </row>
    <row r="9694" spans="1:6" ht="13.5" hidden="1" customHeight="1">
      <c r="A9694" s="4" t="s">
        <v>18462</v>
      </c>
      <c r="B9694" s="4" t="s">
        <v>18463</v>
      </c>
      <c r="C9694" s="4" t="str">
        <f ca="1">IFERROR(__xludf.DUMMYFUNCTION("GOOGLETRANSLATE(D:D,""auto"",""en"")"),"Rock candy stew Sydney")</f>
        <v>Rock candy stew Sydney</v>
      </c>
      <c r="D9694" s="5" t="s">
        <v>18464</v>
      </c>
      <c r="E9694" s="4">
        <v>934151</v>
      </c>
    </row>
    <row r="9695" spans="1:6" ht="13.5" customHeight="1">
      <c r="A9695" s="4" t="s">
        <v>22443</v>
      </c>
      <c r="B9695" s="4" t="s">
        <v>22444</v>
      </c>
      <c r="C9695" s="4" t="str">
        <f ca="1">IFERROR(__xludf.DUMMYFUNCTION("GOOGLETRANSLATE(D:D,""auto"",""en"")"),"Wuhan issue blood donation initiative")</f>
        <v>Wuhan issue blood donation initiative</v>
      </c>
      <c r="D9695" s="5" t="s">
        <v>22445</v>
      </c>
      <c r="E9695" s="4">
        <v>749207</v>
      </c>
      <c r="F9695">
        <v>1</v>
      </c>
    </row>
    <row r="9696" spans="1:6" ht="13.5" hidden="1" customHeight="1">
      <c r="A9696" s="4" t="s">
        <v>22446</v>
      </c>
      <c r="B9696" s="4" t="s">
        <v>22447</v>
      </c>
      <c r="C9696" s="4" t="str">
        <f ca="1">IFERROR(__xludf.DUMMYFUNCTION("GOOGLETRANSLATE(D:D,""auto"",""en"")"),"The Shy knowledge blind spot")</f>
        <v>The Shy knowledge blind spot</v>
      </c>
      <c r="D9696" s="5" t="s">
        <v>22448</v>
      </c>
      <c r="E9696" s="4">
        <v>666803</v>
      </c>
    </row>
    <row r="9697" spans="1:6" ht="13.5" customHeight="1">
      <c r="A9697" s="4" t="s">
        <v>22449</v>
      </c>
      <c r="B9697" s="4" t="s">
        <v>22450</v>
      </c>
      <c r="C9697" s="4" t="str">
        <f ca="1">IFERROR(__xludf.DUMMYFUNCTION("GOOGLETRANSLATE(D:D,""auto"",""en"")"),"United States banned the export of Canadian N95 masks")</f>
        <v>United States banned the export of Canadian N95 masks</v>
      </c>
      <c r="D9697" s="5" t="s">
        <v>22451</v>
      </c>
      <c r="E9697" s="4">
        <v>531348</v>
      </c>
      <c r="F9697">
        <v>1</v>
      </c>
    </row>
    <row r="9698" spans="1:6" ht="13.5" hidden="1" customHeight="1">
      <c r="A9698" s="4" t="s">
        <v>22446</v>
      </c>
      <c r="B9698" s="4" t="s">
        <v>22452</v>
      </c>
      <c r="C9698" s="4" t="str">
        <f ca="1">IFERROR(__xludf.DUMMYFUNCTION("GOOGLETRANSLATE(D:D,""auto"",""en"")"),"Fei Xu responded Super Girl reunion")</f>
        <v>Fei Xu responded Super Girl reunion</v>
      </c>
      <c r="D9698" s="5" t="s">
        <v>22453</v>
      </c>
      <c r="E9698" s="4">
        <v>518466</v>
      </c>
    </row>
    <row r="9699" spans="1:6" ht="13.5" hidden="1" customHeight="1">
      <c r="A9699" s="4" t="s">
        <v>22454</v>
      </c>
      <c r="B9699" s="4" t="s">
        <v>22455</v>
      </c>
      <c r="C9699" s="4" t="str">
        <f ca="1">IFERROR(__xludf.DUMMYFUNCTION("GOOGLETRANSLATE(D:D,""auto"",""en"")"),"You have a variety of youth funny")</f>
        <v>You have a variety of youth funny</v>
      </c>
      <c r="D9699" s="5" t="s">
        <v>22456</v>
      </c>
      <c r="E9699" s="4">
        <v>513791</v>
      </c>
    </row>
    <row r="9700" spans="1:6" ht="13.5" customHeight="1">
      <c r="A9700" s="4" t="s">
        <v>22457</v>
      </c>
      <c r="B9700" s="4" t="s">
        <v>22458</v>
      </c>
      <c r="C9700" s="4" t="str">
        <f ca="1">IFERROR(__xludf.DUMMYFUNCTION("GOOGLETRANSLATE(D:D,""auto"",""en"")"),"UK new infections were 5903 cases")</f>
        <v>UK new infections were 5903 cases</v>
      </c>
      <c r="D9700" s="5" t="s">
        <v>22459</v>
      </c>
      <c r="E9700" s="4">
        <v>498525</v>
      </c>
      <c r="F9700">
        <v>1</v>
      </c>
    </row>
    <row r="9701" spans="1:6" ht="13.5" customHeight="1">
      <c r="A9701" s="4" t="s">
        <v>22460</v>
      </c>
      <c r="B9701" s="4" t="s">
        <v>22461</v>
      </c>
      <c r="C9701" s="4" t="str">
        <f ca="1">IFERROR(__xludf.DUMMYFUNCTION("GOOGLETRANSLATE(D:D,""auto"",""en"")"),"To wear masks beard shaved four years")</f>
        <v>To wear masks beard shaved four years</v>
      </c>
      <c r="D9701" s="5" t="s">
        <v>22462</v>
      </c>
      <c r="E9701" s="4">
        <v>488371</v>
      </c>
      <c r="F9701">
        <v>1</v>
      </c>
    </row>
    <row r="9702" spans="1:6" ht="13.5" customHeight="1">
      <c r="A9702" s="4" t="s">
        <v>22463</v>
      </c>
      <c r="B9702" s="4" t="s">
        <v>22464</v>
      </c>
      <c r="C9702" s="4" t="str">
        <f ca="1">IFERROR(__xludf.DUMMYFUNCTION("GOOGLETRANSLATE(D:D,""auto"",""en"")"),"Shandong 1-year-old girl identified as asymptomatic infection")</f>
        <v>Shandong 1-year-old girl identified as asymptomatic infection</v>
      </c>
      <c r="D9702" s="5" t="s">
        <v>22465</v>
      </c>
      <c r="E9702" s="4">
        <v>485330</v>
      </c>
      <c r="F9702">
        <v>1</v>
      </c>
    </row>
    <row r="9703" spans="1:6" ht="13.5" customHeight="1">
      <c r="A9703" s="4" t="s">
        <v>22466</v>
      </c>
      <c r="B9703" s="4" t="s">
        <v>22467</v>
      </c>
      <c r="C9703" s="4" t="str">
        <f ca="1">IFERROR(__xludf.DUMMYFUNCTION("GOOGLETRANSLATE(D:D,""auto"",""en"")"),"African swine fever outbreak occurred in Chongqing Yunyang")</f>
        <v>African swine fever outbreak occurred in Chongqing Yunyang</v>
      </c>
      <c r="D9703" s="5" t="s">
        <v>22468</v>
      </c>
      <c r="E9703" s="4">
        <v>484227</v>
      </c>
      <c r="F9703">
        <v>1</v>
      </c>
    </row>
    <row r="9704" spans="1:6" ht="13.5" customHeight="1">
      <c r="A9704" s="4" t="s">
        <v>22469</v>
      </c>
      <c r="B9704" s="4" t="s">
        <v>22470</v>
      </c>
      <c r="C9704" s="4" t="str">
        <f ca="1">IFERROR(__xludf.DUMMYFUNCTION("GOOGLETRANSLATE(D:D,""auto"",""en"")"),"Doctors lie to patient wife phone is broken")</f>
        <v>Doctors lie to patient wife phone is broken</v>
      </c>
      <c r="D9704" s="5" t="s">
        <v>22471</v>
      </c>
      <c r="E9704" s="4">
        <v>477492</v>
      </c>
      <c r="F9704">
        <v>1</v>
      </c>
    </row>
    <row r="9705" spans="1:6" ht="13.5" hidden="1" customHeight="1">
      <c r="A9705" s="4" t="s">
        <v>22472</v>
      </c>
      <c r="B9705" s="4" t="s">
        <v>22473</v>
      </c>
      <c r="C9705" s="4" t="str">
        <f ca="1">IFERROR(__xludf.DUMMYFUNCTION("GOOGLETRANSLATE(D:D,""auto"",""en"")"),"Tan Song Yun's Signature")</f>
        <v>Tan Song Yun's Signature</v>
      </c>
      <c r="D9705" s="5" t="s">
        <v>22474</v>
      </c>
      <c r="E9705" s="4">
        <v>469437</v>
      </c>
    </row>
    <row r="9706" spans="1:6" ht="13.5" hidden="1" customHeight="1">
      <c r="A9706" s="4" t="s">
        <v>22475</v>
      </c>
      <c r="B9706" s="4" t="s">
        <v>22476</v>
      </c>
      <c r="C9706" s="4" t="str">
        <f ca="1">IFERROR(__xludf.DUMMYFUNCTION("GOOGLETRANSLATE(D:D,""auto"",""en"")"),"Li Na")</f>
        <v>Li Na</v>
      </c>
      <c r="D9706" s="5" t="s">
        <v>22477</v>
      </c>
      <c r="E9706" s="4">
        <v>464828</v>
      </c>
    </row>
    <row r="9707" spans="1:6" ht="13.5" hidden="1" customHeight="1">
      <c r="A9707" s="4" t="s">
        <v>22478</v>
      </c>
      <c r="B9707" s="4" t="s">
        <v>22436</v>
      </c>
      <c r="C9707" s="4" t="str">
        <f ca="1">IFERROR(__xludf.DUMMYFUNCTION("GOOGLETRANSLATE(D:D,""auto"",""en"")"),"Xiamen June 30 A state-level scenic spots all free")</f>
        <v>Xiamen June 30 A state-level scenic spots all free</v>
      </c>
      <c r="D9707" s="5" t="s">
        <v>22479</v>
      </c>
      <c r="E9707" s="4">
        <v>459433</v>
      </c>
    </row>
    <row r="9708" spans="1:6" ht="13.5" hidden="1" customHeight="1">
      <c r="A9708" s="4" t="s">
        <v>22480</v>
      </c>
      <c r="B9708" s="4" t="s">
        <v>22481</v>
      </c>
      <c r="C9708" s="4" t="str">
        <f ca="1">IFERROR(__xludf.DUMMYFUNCTION("GOOGLETRANSLATE(D:D,""auto"",""en"")"),"Maotan plant back to school high school candidates")</f>
        <v>Maotan plant back to school high school candidates</v>
      </c>
      <c r="D9708" s="5" t="s">
        <v>22482</v>
      </c>
      <c r="E9708" s="4">
        <v>455081</v>
      </c>
    </row>
    <row r="9709" spans="1:6" ht="13.5" hidden="1" customHeight="1">
      <c r="A9709" s="4" t="s">
        <v>22483</v>
      </c>
      <c r="B9709" s="4" t="s">
        <v>22484</v>
      </c>
      <c r="C9709" s="4" t="str">
        <f ca="1">IFERROR(__xludf.DUMMYFUNCTION("GOOGLETRANSLATE(D:D,""auto"",""en"")"),"Zhang Xincheng juvenile sense")</f>
        <v>Zhang Xincheng juvenile sense</v>
      </c>
      <c r="D9709" s="5" t="s">
        <v>22485</v>
      </c>
      <c r="E9709" s="4">
        <v>446336</v>
      </c>
    </row>
    <row r="9710" spans="1:6" ht="13.5" customHeight="1">
      <c r="A9710" s="4" t="s">
        <v>22486</v>
      </c>
      <c r="B9710" s="4" t="s">
        <v>22487</v>
      </c>
      <c r="C9710" s="4" t="str">
        <f ca="1">IFERROR(__xludf.DUMMYFUNCTION("GOOGLETRANSLATE(D:D,""auto"",""en"")"),"Qingdao preferential foreign respond street isolated personnel")</f>
        <v>Qingdao preferential foreign respond street isolated personnel</v>
      </c>
      <c r="D9710" s="5" t="s">
        <v>22488</v>
      </c>
      <c r="E9710" s="4">
        <v>442624</v>
      </c>
      <c r="F9710">
        <v>1</v>
      </c>
    </row>
    <row r="9711" spans="1:6" ht="13.5" hidden="1" customHeight="1">
      <c r="A9711" s="4" t="s">
        <v>22486</v>
      </c>
      <c r="B9711" s="4" t="s">
        <v>22489</v>
      </c>
      <c r="C9711" s="4" t="str">
        <f ca="1">IFERROR(__xludf.DUMMYFUNCTION("GOOGLETRANSLATE(D:D,""auto"",""en"")"),"How to tell freshman and seniors")</f>
        <v>How to tell freshman and seniors</v>
      </c>
      <c r="D9711" s="5" t="s">
        <v>22490</v>
      </c>
      <c r="E9711" s="4">
        <v>438628</v>
      </c>
    </row>
    <row r="9712" spans="1:6" ht="13.5" hidden="1" customHeight="1">
      <c r="A9712" s="4" t="s">
        <v>7668</v>
      </c>
      <c r="B9712" s="4" t="s">
        <v>22444</v>
      </c>
      <c r="C9712" s="4" t="str">
        <f ca="1">IFERROR(__xludf.DUMMYFUNCTION("GOOGLETRANSLATE(D:D,""auto"",""en"")"),"The maximum annual Super Moon April 8 staged")</f>
        <v>The maximum annual Super Moon April 8 staged</v>
      </c>
      <c r="D9712" s="5" t="s">
        <v>22491</v>
      </c>
      <c r="E9712" s="4">
        <v>436516</v>
      </c>
    </row>
    <row r="9713" spans="1:6" ht="13.5" hidden="1" customHeight="1">
      <c r="A9713" s="4" t="s">
        <v>22492</v>
      </c>
      <c r="B9713" s="4" t="s">
        <v>22493</v>
      </c>
      <c r="C9713" s="4" t="str">
        <f ca="1">IFERROR(__xludf.DUMMYFUNCTION("GOOGLETRANSLATE(D:D,""auto"",""en"")"),"Zhang quietly we wait for you")</f>
        <v>Zhang quietly we wait for you</v>
      </c>
      <c r="D9713" s="5" t="s">
        <v>22494</v>
      </c>
      <c r="E9713" s="4">
        <v>433829</v>
      </c>
    </row>
    <row r="9714" spans="1:6" ht="13.5" hidden="1" customHeight="1">
      <c r="A9714" s="4" t="s">
        <v>22460</v>
      </c>
      <c r="B9714" s="4" t="s">
        <v>22447</v>
      </c>
      <c r="C9714" s="4" t="str">
        <f ca="1">IFERROR(__xludf.DUMMYFUNCTION("GOOGLETRANSLATE(D:D,""auto"",""en"")"),"Xu Song Live")</f>
        <v>Xu Song Live</v>
      </c>
      <c r="D9714" s="5" t="s">
        <v>22495</v>
      </c>
      <c r="E9714" s="4">
        <v>407491</v>
      </c>
    </row>
    <row r="9715" spans="1:6" ht="13.5" hidden="1" customHeight="1">
      <c r="A9715" s="4" t="s">
        <v>1209</v>
      </c>
      <c r="B9715" s="4" t="s">
        <v>1210</v>
      </c>
      <c r="C9715" s="4" t="str">
        <f ca="1">IFERROR(__xludf.DUMMYFUNCTION("GOOGLETRANSLATE(D:D,""auto"",""en"")"),"Every day")</f>
        <v>Every day</v>
      </c>
      <c r="D9715" s="5" t="s">
        <v>1211</v>
      </c>
      <c r="E9715" s="4">
        <v>398668</v>
      </c>
    </row>
    <row r="9716" spans="1:6" ht="13.5" hidden="1" customHeight="1">
      <c r="A9716" s="4" t="s">
        <v>22496</v>
      </c>
      <c r="B9716" s="4" t="s">
        <v>22497</v>
      </c>
      <c r="C9716" s="4" t="str">
        <f ca="1">IFERROR(__xludf.DUMMYFUNCTION("GOOGLETRANSLATE(D:D,""auto"",""en"")"),"The most hard-core resignation letter")</f>
        <v>The most hard-core resignation letter</v>
      </c>
      <c r="D9716" s="5" t="s">
        <v>22498</v>
      </c>
      <c r="E9716" s="4">
        <v>385609</v>
      </c>
    </row>
    <row r="9717" spans="1:6" ht="13.5" customHeight="1">
      <c r="A9717" s="4" t="s">
        <v>22499</v>
      </c>
      <c r="B9717" s="4" t="s">
        <v>22358</v>
      </c>
      <c r="C9717" s="4" t="str">
        <f ca="1">IFERROR(__xludf.DUMMYFUNCTION("GOOGLETRANSLATE(D:D,""auto"",""en"")"),"Trump response to the US and Germany cut masks")</f>
        <v>Trump response to the US and Germany cut masks</v>
      </c>
      <c r="D9717" s="5" t="s">
        <v>22500</v>
      </c>
      <c r="E9717" s="4">
        <v>379308</v>
      </c>
      <c r="F9717">
        <v>1</v>
      </c>
    </row>
    <row r="9718" spans="1:6" ht="13.5" hidden="1" customHeight="1">
      <c r="A9718" s="4" t="s">
        <v>22501</v>
      </c>
      <c r="B9718" s="4" t="s">
        <v>22502</v>
      </c>
      <c r="C9718" s="4" t="str">
        <f ca="1">IFERROR(__xludf.DUMMYFUNCTION("GOOGLETRANSLATE(D:D,""auto"",""en"")"),"Angela")</f>
        <v>Angela</v>
      </c>
      <c r="D9718" s="5" t="s">
        <v>22503</v>
      </c>
      <c r="E9718" s="4">
        <v>373320</v>
      </c>
    </row>
    <row r="9719" spans="1:6" ht="13.5" hidden="1" customHeight="1">
      <c r="A9719" s="4" t="s">
        <v>22504</v>
      </c>
      <c r="B9719" s="4" t="s">
        <v>22505</v>
      </c>
      <c r="C9719" s="4" t="str">
        <f ca="1">IFERROR(__xludf.DUMMYFUNCTION("GOOGLETRANSLATE(D:D,""auto"",""en"")"),"Girls do miss the dead bear with auxiliary guard clothing")</f>
        <v>Girls do miss the dead bear with auxiliary guard clothing</v>
      </c>
      <c r="D9719" s="5" t="s">
        <v>22506</v>
      </c>
      <c r="E9719" s="4">
        <v>356801</v>
      </c>
    </row>
    <row r="9720" spans="1:6" ht="13.5" customHeight="1">
      <c r="A9720" s="4" t="s">
        <v>22507</v>
      </c>
      <c r="B9720" s="4" t="s">
        <v>22508</v>
      </c>
      <c r="C9720" s="4" t="str">
        <f ca="1">IFERROR(__xludf.DUMMYFUNCTION("GOOGLETRANSLATE(D:D,""auto"",""en"")"),"Raytheon mountain ICU ventilators collective vacations")</f>
        <v>Raytheon mountain ICU ventilators collective vacations</v>
      </c>
      <c r="D9720" s="5" t="s">
        <v>22509</v>
      </c>
      <c r="E9720" s="4">
        <v>341332</v>
      </c>
      <c r="F9720">
        <v>1</v>
      </c>
    </row>
    <row r="9721" spans="1:6" ht="13.5" hidden="1" customHeight="1">
      <c r="A9721" s="4" t="s">
        <v>22510</v>
      </c>
      <c r="B9721" s="4" t="s">
        <v>22511</v>
      </c>
      <c r="C9721" s="4" t="str">
        <f ca="1">IFERROR(__xludf.DUMMYFUNCTION("GOOGLETRANSLATE(D:D,""auto"",""en"")"),"Angela Paloma Cruise remember")</f>
        <v>Angela Paloma Cruise remember</v>
      </c>
      <c r="D9721" s="5" t="s">
        <v>22512</v>
      </c>
      <c r="E9721" s="4">
        <v>265249</v>
      </c>
    </row>
    <row r="9722" spans="1:6" ht="13.5" hidden="1" customHeight="1">
      <c r="A9722" s="4" t="s">
        <v>22513</v>
      </c>
      <c r="B9722" s="4" t="s">
        <v>22514</v>
      </c>
      <c r="C9722" s="4" t="str">
        <f ca="1">IFERROR(__xludf.DUMMYFUNCTION("GOOGLETRANSLATE(D:D,""auto"",""en"")"),"Trump said the US sporting events will resume as soon as possible")</f>
        <v>Trump said the US sporting events will resume as soon as possible</v>
      </c>
      <c r="D9722" s="5" t="s">
        <v>22515</v>
      </c>
      <c r="E9722" s="4">
        <v>264852</v>
      </c>
    </row>
    <row r="9723" spans="1:6" ht="13.5" hidden="1" customHeight="1">
      <c r="A9723" s="4" t="s">
        <v>22516</v>
      </c>
      <c r="B9723" s="4" t="s">
        <v>22461</v>
      </c>
      <c r="C9723" s="4" t="str">
        <f ca="1">IFERROR(__xludf.DUMMYFUNCTION("GOOGLETRANSLATE(D:D,""auto"",""en"")"),"Li Cheng edge of ice report")</f>
        <v>Li Cheng edge of ice report</v>
      </c>
      <c r="D9723" s="5" t="s">
        <v>22517</v>
      </c>
      <c r="E9723" s="4">
        <v>264715</v>
      </c>
    </row>
    <row r="9724" spans="1:6" ht="13.5" hidden="1" customHeight="1">
      <c r="A9724" s="4" t="s">
        <v>22499</v>
      </c>
      <c r="B9724" s="4" t="s">
        <v>22518</v>
      </c>
      <c r="C9724" s="4" t="str">
        <f ca="1">IFERROR(__xludf.DUMMYFUNCTION("GOOGLETRANSLATE(D:D,""auto"",""en"")"),"Ecuador's largest city, the streets are now corpses")</f>
        <v>Ecuador's largest city, the streets are now corpses</v>
      </c>
      <c r="D9724" s="5" t="s">
        <v>22519</v>
      </c>
      <c r="E9724" s="4">
        <v>262585</v>
      </c>
    </row>
    <row r="9725" spans="1:6" ht="13.5" hidden="1" customHeight="1">
      <c r="A9725" s="4" t="s">
        <v>22520</v>
      </c>
      <c r="B9725" s="4" t="s">
        <v>22521</v>
      </c>
      <c r="C9725" s="4" t="str">
        <f ca="1">IFERROR(__xludf.DUMMYFUNCTION("GOOGLETRANSLATE(D:D,""auto"",""en"")"),"Cher cried hole")</f>
        <v>Cher cried hole</v>
      </c>
      <c r="D9725" s="5" t="s">
        <v>22522</v>
      </c>
      <c r="E9725" s="4">
        <v>261752</v>
      </c>
    </row>
    <row r="9726" spans="1:6" ht="13.5" hidden="1" customHeight="1">
      <c r="A9726" s="4" t="s">
        <v>22432</v>
      </c>
      <c r="B9726" s="4" t="s">
        <v>22523</v>
      </c>
      <c r="C9726" s="4" t="str">
        <f ca="1">IFERROR(__xludf.DUMMYFUNCTION("GOOGLETRANSLATE(D:D,""auto"",""en"")"),"Shangxiruida Fengtai Cheng")</f>
        <v>Shangxiruida Fengtai Cheng</v>
      </c>
      <c r="D9726" s="5" t="s">
        <v>22524</v>
      </c>
      <c r="E9726" s="4">
        <v>253880</v>
      </c>
    </row>
    <row r="9727" spans="1:6" ht="13.5" customHeight="1">
      <c r="A9727" s="4" t="s">
        <v>22499</v>
      </c>
      <c r="B9727" s="4" t="s">
        <v>22525</v>
      </c>
      <c r="C9727" s="4" t="str">
        <f ca="1">IFERROR(__xludf.DUMMYFUNCTION("GOOGLETRANSLATE(D:D,""auto"",""en"")"),"Beijing may be in a longer period of epidemic prevention and control state")</f>
        <v>Beijing may be in a longer period of epidemic prevention and control state</v>
      </c>
      <c r="D9727" s="5" t="s">
        <v>22526</v>
      </c>
      <c r="E9727" s="4">
        <v>240101</v>
      </c>
      <c r="F9727">
        <v>1</v>
      </c>
    </row>
    <row r="9728" spans="1:6" ht="13.5" hidden="1" customHeight="1">
      <c r="A9728" s="4" t="s">
        <v>22520</v>
      </c>
      <c r="B9728" s="4" t="s">
        <v>22527</v>
      </c>
      <c r="C9728" s="4" t="str">
        <f ca="1">IFERROR(__xludf.DUMMYFUNCTION("GOOGLETRANSLATE(D:D,""auto"",""en"")"),"Jinzai Han Yan value")</f>
        <v>Jinzai Han Yan value</v>
      </c>
      <c r="D9728" s="5" t="s">
        <v>22528</v>
      </c>
      <c r="E9728" s="4">
        <v>235557</v>
      </c>
    </row>
    <row r="9729" spans="1:6" ht="13.5" hidden="1" customHeight="1">
      <c r="A9729" s="4" t="s">
        <v>7668</v>
      </c>
      <c r="B9729" s="4" t="s">
        <v>6134</v>
      </c>
      <c r="C9729" s="4" t="str">
        <f ca="1">IFERROR(__xludf.DUMMYFUNCTION("GOOGLETRANSLATE(D:D,""auto"",""en"")"),"Happy man comedy")</f>
        <v>Happy man comedy</v>
      </c>
      <c r="D9729" s="5" t="s">
        <v>7669</v>
      </c>
      <c r="E9729" s="4">
        <v>208728</v>
      </c>
    </row>
    <row r="9730" spans="1:6" ht="13.5" hidden="1" customHeight="1">
      <c r="A9730" s="4" t="s">
        <v>22529</v>
      </c>
      <c r="B9730" s="4" t="s">
        <v>22530</v>
      </c>
      <c r="C9730" s="4" t="str">
        <f ca="1">IFERROR(__xludf.DUMMYFUNCTION("GOOGLETRANSLATE(D:D,""auto"",""en"")"),"Sensational link")</f>
        <v>Sensational link</v>
      </c>
      <c r="D9730" s="5" t="s">
        <v>22531</v>
      </c>
      <c r="E9730" s="4">
        <v>201827</v>
      </c>
    </row>
    <row r="9731" spans="1:6" ht="13.5" hidden="1" customHeight="1">
      <c r="A9731" s="4" t="s">
        <v>22532</v>
      </c>
      <c r="B9731" s="4" t="s">
        <v>22489</v>
      </c>
      <c r="C9731" s="4" t="str">
        <f ca="1">IFERROR(__xludf.DUMMYFUNCTION("GOOGLETRANSLATE(D:D,""auto"",""en"")"),"Most Chinese parents illusion")</f>
        <v>Most Chinese parents illusion</v>
      </c>
      <c r="D9731" s="5" t="s">
        <v>22533</v>
      </c>
      <c r="E9731" s="4">
        <v>192976</v>
      </c>
    </row>
    <row r="9732" spans="1:6" ht="13.5" hidden="1" customHeight="1">
      <c r="A9732" s="4" t="s">
        <v>22534</v>
      </c>
      <c r="B9732" s="4" t="s">
        <v>22464</v>
      </c>
      <c r="C9732" s="4" t="str">
        <f ca="1">IFERROR(__xludf.DUMMYFUNCTION("GOOGLETRANSLATE(D:D,""auto"",""en"")"),"RNG IG")</f>
        <v>RNG IG</v>
      </c>
      <c r="D9732" s="5" t="s">
        <v>22535</v>
      </c>
      <c r="E9732" s="4">
        <v>183085</v>
      </c>
    </row>
    <row r="9733" spans="1:6" ht="13.5" hidden="1" customHeight="1">
      <c r="A9733" s="4" t="s">
        <v>22457</v>
      </c>
      <c r="B9733" s="4" t="s">
        <v>22536</v>
      </c>
      <c r="C9733" s="4" t="str">
        <f ca="1">IFERROR(__xludf.DUMMYFUNCTION("GOOGLETRANSLATE(D:D,""auto"",""en"")"),"N, room user tries to spend money to remove access to records")</f>
        <v>N, room user tries to spend money to remove access to records</v>
      </c>
      <c r="D9733" s="5" t="s">
        <v>22537</v>
      </c>
      <c r="E9733" s="4">
        <v>169594</v>
      </c>
    </row>
    <row r="9734" spans="1:6" ht="13.5" hidden="1" customHeight="1">
      <c r="A9734" s="4" t="s">
        <v>16532</v>
      </c>
      <c r="B9734" s="4" t="s">
        <v>16533</v>
      </c>
      <c r="C9734" s="4" t="str">
        <f ca="1">IFERROR(__xludf.DUMMYFUNCTION("GOOGLETRANSLATE(D:D,""auto"",""en"")"),"iG win")</f>
        <v>iG win</v>
      </c>
      <c r="D9734" s="5" t="s">
        <v>16534</v>
      </c>
      <c r="E9734" s="4">
        <v>161687</v>
      </c>
    </row>
    <row r="9735" spans="1:6" ht="13.5" hidden="1" customHeight="1">
      <c r="A9735" s="4" t="s">
        <v>22538</v>
      </c>
      <c r="B9735" s="4" t="s">
        <v>22539</v>
      </c>
      <c r="C9735" s="4" t="str">
        <f ca="1">IFERROR(__xludf.DUMMYFUNCTION("GOOGLETRANSLATE(D:D,""auto"",""en"")"),"Fairy milk curry")</f>
        <v>Fairy milk curry</v>
      </c>
      <c r="D9735" s="5" t="s">
        <v>22540</v>
      </c>
      <c r="E9735" s="4">
        <v>150472</v>
      </c>
    </row>
    <row r="9736" spans="1:6" ht="13.5" hidden="1" customHeight="1">
      <c r="A9736" s="4" t="s">
        <v>16532</v>
      </c>
      <c r="B9736" s="4" t="s">
        <v>22541</v>
      </c>
      <c r="C9736" s="4" t="str">
        <f ca="1">IFERROR(__xludf.DUMMYFUNCTION("GOOGLETRANSLATE(D:D,""auto"",""en"")"),"Adult common subtext")</f>
        <v>Adult common subtext</v>
      </c>
      <c r="D9736" s="5" t="s">
        <v>22542</v>
      </c>
      <c r="E9736" s="4">
        <v>148465</v>
      </c>
    </row>
    <row r="9737" spans="1:6" ht="13.5" customHeight="1">
      <c r="A9737" s="4" t="s">
        <v>22538</v>
      </c>
      <c r="B9737" s="4" t="s">
        <v>22543</v>
      </c>
      <c r="C9737" s="4" t="str">
        <f ca="1">IFERROR(__xludf.DUMMYFUNCTION("GOOGLETRANSLATE(D:D,""auto"",""en"")"),"Contagion nurse's daughter after disinfection dare hold mom")</f>
        <v>Contagion nurse's daughter after disinfection dare hold mom</v>
      </c>
      <c r="D9737" s="5" t="s">
        <v>22544</v>
      </c>
      <c r="E9737" s="4">
        <v>139673</v>
      </c>
      <c r="F9737">
        <v>1</v>
      </c>
    </row>
    <row r="9738" spans="1:6" ht="13.5" hidden="1" customHeight="1">
      <c r="C9738" s="4" t="str">
        <f ca="1">IFERROR(__xludf.DUMMYFUNCTION("GOOGLETRANSLATE(D:D,""auto"",""en"")"),"#VALUE!")</f>
        <v>#VALUE!</v>
      </c>
    </row>
    <row r="9739" spans="1:6" ht="13.5" hidden="1" customHeight="1">
      <c r="A9739" s="4" t="s">
        <v>22545</v>
      </c>
      <c r="B9739" s="4" t="s">
        <v>22546</v>
      </c>
      <c r="C9739" s="4" t="str">
        <f ca="1">IFERROR(__xludf.DUMMYFUNCTION("GOOGLETRANSLATE(D:D,""auto"",""en"")"),"Elva public unintentional injuries Photo")</f>
        <v>Elva public unintentional injuries Photo</v>
      </c>
      <c r="D9739" s="4" t="s">
        <v>22547</v>
      </c>
      <c r="E9739" s="4">
        <v>5127829</v>
      </c>
    </row>
    <row r="9740" spans="1:6" ht="13.5" customHeight="1">
      <c r="A9740" s="4" t="s">
        <v>22548</v>
      </c>
      <c r="B9740" s="4" t="s">
        <v>22549</v>
      </c>
      <c r="C9740" s="4" t="str">
        <f ca="1">IFERROR(__xludf.DUMMYFUNCTION("GOOGLETRANSLATE(D:D,""auto"",""en"")"),"Embassy clear priority to young students the opportunity to")</f>
        <v>Embassy clear priority to young students the opportunity to</v>
      </c>
      <c r="D9740" s="5" t="s">
        <v>22550</v>
      </c>
      <c r="E9740" s="4">
        <v>1340187</v>
      </c>
      <c r="F9740">
        <v>1</v>
      </c>
    </row>
    <row r="9741" spans="1:6" ht="13.5" hidden="1" customHeight="1">
      <c r="A9741" s="4" t="s">
        <v>22551</v>
      </c>
      <c r="B9741" s="4" t="s">
        <v>22552</v>
      </c>
      <c r="C9741" s="4" t="str">
        <f ca="1">IFERROR(__xludf.DUMMYFUNCTION("GOOGLETRANSLATE(D:D,""auto"",""en"")"),"Zhang Guowei retired")</f>
        <v>Zhang Guowei retired</v>
      </c>
      <c r="D9741" s="5" t="s">
        <v>22553</v>
      </c>
      <c r="E9741" s="4">
        <v>1246008</v>
      </c>
    </row>
    <row r="9742" spans="1:6" ht="13.5" hidden="1" customHeight="1">
      <c r="A9742" s="4" t="s">
        <v>22554</v>
      </c>
      <c r="B9742" s="4" t="s">
        <v>22555</v>
      </c>
      <c r="C9742" s="4" t="str">
        <f ca="1">IFERROR(__xludf.DUMMYFUNCTION("GOOGLETRANSLATE(D:D,""auto"",""en"")"),"Wenna mother")</f>
        <v>Wenna mother</v>
      </c>
      <c r="D9742" s="5" t="s">
        <v>22556</v>
      </c>
      <c r="E9742" s="4">
        <v>1230277</v>
      </c>
    </row>
    <row r="9743" spans="1:6" ht="13.5" customHeight="1">
      <c r="A9743" s="4" t="s">
        <v>22557</v>
      </c>
      <c r="B9743" s="4" t="s">
        <v>22558</v>
      </c>
      <c r="C9743" s="4" t="str">
        <f ca="1">IFERROR(__xludf.DUMMYFUNCTION("GOOGLETRANSLATE(D:D,""auto"",""en"")"),"US new crown a tiger tested positive for the virus")</f>
        <v>US new crown a tiger tested positive for the virus</v>
      </c>
      <c r="D9743" s="5" t="s">
        <v>22559</v>
      </c>
      <c r="E9743" s="4">
        <v>1142575</v>
      </c>
      <c r="F9743">
        <v>1</v>
      </c>
    </row>
    <row r="9744" spans="1:6" ht="13.5" customHeight="1">
      <c r="A9744" s="4" t="s">
        <v>22560</v>
      </c>
      <c r="B9744" s="4" t="s">
        <v>22561</v>
      </c>
      <c r="C9744" s="4" t="str">
        <f ca="1">IFERROR(__xludf.DUMMYFUNCTION("GOOGLETRANSLATE(D:D,""auto"",""en"")"),"New York, the first drop in new deaths")</f>
        <v>New York, the first drop in new deaths</v>
      </c>
      <c r="D9744" s="5" t="s">
        <v>22562</v>
      </c>
      <c r="E9744" s="4">
        <v>998771</v>
      </c>
      <c r="F9744">
        <v>1</v>
      </c>
    </row>
    <row r="9745" spans="1:6" ht="13.5" customHeight="1">
      <c r="A9745" s="4" t="s">
        <v>22563</v>
      </c>
      <c r="B9745" s="4" t="s">
        <v>22564</v>
      </c>
      <c r="C9745" s="4" t="str">
        <f ca="1">IFERROR(__xludf.DUMMYFUNCTION("GOOGLETRANSLATE(D:D,""auto"",""en"")"),"American Zoo tiger tested positive response")</f>
        <v>American Zoo tiger tested positive response</v>
      </c>
      <c r="D9745" s="5" t="s">
        <v>22565</v>
      </c>
      <c r="E9745" s="4">
        <v>770561</v>
      </c>
      <c r="F9745">
        <v>1</v>
      </c>
    </row>
    <row r="9746" spans="1:6" ht="13.5" customHeight="1">
      <c r="A9746" s="4" t="s">
        <v>22566</v>
      </c>
      <c r="B9746" s="4" t="s">
        <v>22532</v>
      </c>
      <c r="C9746" s="4" t="str">
        <f ca="1">IFERROR(__xludf.DUMMYFUNCTION("GOOGLETRANSLATE(D:D,""auto"",""en"")"),"Epidemic risk four areas of Guangdong upgrade")</f>
        <v>Epidemic risk four areas of Guangdong upgrade</v>
      </c>
      <c r="D9746" s="5" t="s">
        <v>22567</v>
      </c>
      <c r="E9746" s="4">
        <v>709921</v>
      </c>
      <c r="F9746">
        <v>1</v>
      </c>
    </row>
    <row r="9747" spans="1:6" ht="13.5" customHeight="1">
      <c r="A9747" s="4" t="s">
        <v>22568</v>
      </c>
      <c r="B9747" s="4" t="s">
        <v>22569</v>
      </c>
      <c r="C9747" s="4" t="str">
        <f ca="1">IFERROR(__xludf.DUMMYFUNCTION("GOOGLETRANSLATE(D:D,""auto"",""en"")"),"Air man having successfully developed automatic mask machine")</f>
        <v>Air man having successfully developed automatic mask machine</v>
      </c>
      <c r="D9747" s="5" t="s">
        <v>22570</v>
      </c>
      <c r="E9747" s="4">
        <v>697566</v>
      </c>
      <c r="F9747">
        <v>1</v>
      </c>
    </row>
    <row r="9748" spans="1:6" ht="13.5" customHeight="1">
      <c r="A9748" s="4" t="s">
        <v>22571</v>
      </c>
      <c r="B9748" s="4" t="s">
        <v>22572</v>
      </c>
      <c r="C9748" s="4" t="str">
        <f ca="1">IFERROR(__xludf.DUMMYFUNCTION("GOOGLETRANSLATE(D:D,""auto"",""en"")"),"Britain confirmed cases of nearly 48,000 cases")</f>
        <v>Britain confirmed cases of nearly 48,000 cases</v>
      </c>
      <c r="D9748" s="5" t="s">
        <v>22573</v>
      </c>
      <c r="E9748" s="4">
        <v>679493</v>
      </c>
      <c r="F9748">
        <v>1</v>
      </c>
    </row>
    <row r="9749" spans="1:6" ht="13.5" hidden="1" customHeight="1">
      <c r="A9749" s="4" t="s">
        <v>22574</v>
      </c>
      <c r="B9749" s="4" t="s">
        <v>22575</v>
      </c>
      <c r="C9749" s="4" t="str">
        <f ca="1">IFERROR(__xludf.DUMMYFUNCTION("GOOGLETRANSLATE(D:D,""auto"",""en"")"),"Disclosure of the first rocket debris recovered umbrella precise picture control")</f>
        <v>Disclosure of the first rocket debris recovered umbrella precise picture control</v>
      </c>
      <c r="D9749" s="5" t="s">
        <v>22576</v>
      </c>
      <c r="E9749" s="4">
        <v>665790</v>
      </c>
    </row>
    <row r="9750" spans="1:6" ht="13.5" hidden="1" customHeight="1">
      <c r="A9750" s="4" t="s">
        <v>22577</v>
      </c>
      <c r="B9750" s="4" t="s">
        <v>22578</v>
      </c>
      <c r="C9750" s="4" t="str">
        <f ca="1">IFERROR(__xludf.DUMMYFUNCTION("GOOGLETRANSLATE(D:D,""auto"",""en"")"),"Jay beat MV wearing sunglasses JJ")</f>
        <v>Jay beat MV wearing sunglasses JJ</v>
      </c>
      <c r="D9750" s="5" t="s">
        <v>22579</v>
      </c>
      <c r="E9750" s="4">
        <v>665629</v>
      </c>
    </row>
    <row r="9751" spans="1:6" ht="13.5" customHeight="1">
      <c r="A9751" s="4" t="s">
        <v>22580</v>
      </c>
      <c r="B9751" s="4" t="s">
        <v>22581</v>
      </c>
      <c r="C9751" s="4" t="str">
        <f ca="1">IFERROR(__xludf.DUMMYFUNCTION("GOOGLETRANSLATE(D:D,""auto"",""en"")"),"British Prime Minister Tony Johnson admitted to hospital with high fever detection")</f>
        <v>British Prime Minister Tony Johnson admitted to hospital with high fever detection</v>
      </c>
      <c r="D9751" s="5" t="s">
        <v>22582</v>
      </c>
      <c r="E9751" s="4">
        <v>665219</v>
      </c>
      <c r="F9751">
        <v>1</v>
      </c>
    </row>
    <row r="9752" spans="1:6" ht="13.5" hidden="1" customHeight="1">
      <c r="A9752" s="4" t="s">
        <v>22583</v>
      </c>
      <c r="B9752" s="4" t="s">
        <v>22584</v>
      </c>
      <c r="C9752" s="4" t="str">
        <f ca="1">IFERROR(__xludf.DUMMYFUNCTION("GOOGLETRANSLATE(D:D,""auto"",""en"")"),"Queen of England televised speech")</f>
        <v>Queen of England televised speech</v>
      </c>
      <c r="D9752" s="5" t="s">
        <v>22585</v>
      </c>
      <c r="E9752" s="4">
        <v>664503</v>
      </c>
    </row>
    <row r="9753" spans="1:6" ht="13.5" customHeight="1">
      <c r="A9753" s="4" t="s">
        <v>22586</v>
      </c>
      <c r="B9753" s="4" t="s">
        <v>22587</v>
      </c>
      <c r="C9753" s="4" t="str">
        <f ca="1">IFERROR(__xludf.DUMMYFUNCTION("GOOGLETRANSLATE(D:D,""auto"",""en"")"),"Kissinger said the new crown pneumonia pandemic will change the world order")</f>
        <v>Kissinger said the new crown pneumonia pandemic will change the world order</v>
      </c>
      <c r="D9753" s="5" t="s">
        <v>22588</v>
      </c>
      <c r="E9753" s="4">
        <v>663625</v>
      </c>
      <c r="F9753">
        <v>1</v>
      </c>
    </row>
    <row r="9754" spans="1:6" ht="13.5" hidden="1" customHeight="1">
      <c r="A9754" s="4" t="s">
        <v>22589</v>
      </c>
      <c r="B9754" s="4" t="s">
        <v>22441</v>
      </c>
      <c r="C9754" s="4" t="str">
        <f ca="1">IFERROR(__xludf.DUMMYFUNCTION("GOOGLETRANSLATE(D:D,""auto"",""en"")"),"McDonald applets collapse")</f>
        <v>McDonald applets collapse</v>
      </c>
      <c r="D9754" s="5" t="s">
        <v>22590</v>
      </c>
      <c r="E9754" s="4">
        <v>663179</v>
      </c>
    </row>
    <row r="9755" spans="1:6" ht="13.5" hidden="1" customHeight="1">
      <c r="A9755" s="4" t="s">
        <v>22591</v>
      </c>
      <c r="B9755" s="4" t="s">
        <v>22592</v>
      </c>
      <c r="C9755" s="4" t="str">
        <f ca="1">IFERROR(__xludf.DUMMYFUNCTION("GOOGLETRANSLATE(D:D,""auto"",""en"")"),"Long Zhang Guowei absorbent")</f>
        <v>Long Zhang Guowei absorbent</v>
      </c>
      <c r="D9755" s="5" t="s">
        <v>22593</v>
      </c>
      <c r="E9755" s="4">
        <v>662560</v>
      </c>
    </row>
    <row r="9756" spans="1:6" ht="13.5" hidden="1" customHeight="1">
      <c r="A9756" s="4" t="s">
        <v>22594</v>
      </c>
      <c r="B9756" s="4" t="s">
        <v>22595</v>
      </c>
      <c r="C9756" s="4" t="str">
        <f ca="1">IFERROR(__xludf.DUMMYFUNCTION("GOOGLETRANSLATE(D:D,""auto"",""en"")"),"Abe fastest announced a state of emergency in Japan tomorrow")</f>
        <v>Abe fastest announced a state of emergency in Japan tomorrow</v>
      </c>
      <c r="D9756" s="5" t="s">
        <v>22596</v>
      </c>
      <c r="E9756" s="4">
        <v>662304</v>
      </c>
    </row>
    <row r="9757" spans="1:6" ht="13.5" hidden="1" customHeight="1">
      <c r="A9757" s="4" t="s">
        <v>22597</v>
      </c>
      <c r="B9757" s="4" t="s">
        <v>22598</v>
      </c>
      <c r="C9757" s="4" t="str">
        <f ca="1">IFERROR(__xludf.DUMMYFUNCTION("GOOGLETRANSLATE(D:D,""auto"",""en"")"),"NINEPERCENT")</f>
        <v>NINEPERCENT</v>
      </c>
      <c r="D9757" s="5" t="s">
        <v>22599</v>
      </c>
      <c r="E9757" s="4">
        <v>661907</v>
      </c>
    </row>
    <row r="9758" spans="1:6" ht="13.5" hidden="1" customHeight="1">
      <c r="A9758" s="4" t="s">
        <v>22600</v>
      </c>
      <c r="B9758" s="4" t="s">
        <v>22601</v>
      </c>
      <c r="C9758" s="4" t="str">
        <f ca="1">IFERROR(__xludf.DUMMYFUNCTION("GOOGLETRANSLATE(D:D,""auto"",""en"")"),"The same name as the name of a very high rate")</f>
        <v>The same name as the name of a very high rate</v>
      </c>
      <c r="D9758" s="5" t="s">
        <v>22602</v>
      </c>
      <c r="E9758" s="4">
        <v>661210</v>
      </c>
    </row>
    <row r="9759" spans="1:6" ht="13.5" hidden="1" customHeight="1">
      <c r="A9759" s="4" t="s">
        <v>21295</v>
      </c>
      <c r="B9759" s="4" t="s">
        <v>21296</v>
      </c>
      <c r="C9759" s="4" t="str">
        <f ca="1">IFERROR(__xludf.DUMMYFUNCTION("GOOGLETRANSLATE(D:D,""auto"",""en"")"),"Liang Chao")</f>
        <v>Liang Chao</v>
      </c>
      <c r="D9759" s="5" t="s">
        <v>21297</v>
      </c>
      <c r="E9759" s="4">
        <v>660594</v>
      </c>
    </row>
    <row r="9760" spans="1:6" ht="13.5" hidden="1" customHeight="1">
      <c r="A9760" s="4" t="s">
        <v>22566</v>
      </c>
      <c r="B9760" s="4" t="s">
        <v>22584</v>
      </c>
      <c r="C9760" s="4" t="str">
        <f ca="1">IFERROR(__xludf.DUMMYFUNCTION("GOOGLETRANSLATE(D:D,""auto"",""en"")"),"First-tier cities falling house prices")</f>
        <v>First-tier cities falling house prices</v>
      </c>
      <c r="D9760" s="5" t="s">
        <v>22603</v>
      </c>
      <c r="E9760" s="4">
        <v>660268</v>
      </c>
    </row>
    <row r="9761" spans="1:6" ht="13.5" hidden="1" customHeight="1">
      <c r="A9761" s="4" t="s">
        <v>22604</v>
      </c>
      <c r="B9761" s="4" t="s">
        <v>22605</v>
      </c>
      <c r="C9761" s="4" t="str">
        <f ca="1">IFERROR(__xludf.DUMMYFUNCTION("GOOGLETRANSLATE(D:D,""auto"",""en"")"),"Congo-Kinshasa armed attack killed three Chinese citizens")</f>
        <v>Congo-Kinshasa armed attack killed three Chinese citizens</v>
      </c>
      <c r="D9761" s="5" t="s">
        <v>22606</v>
      </c>
      <c r="E9761" s="4">
        <v>568188</v>
      </c>
    </row>
    <row r="9762" spans="1:6" ht="13.5" customHeight="1">
      <c r="A9762" s="4" t="s">
        <v>22607</v>
      </c>
      <c r="B9762" s="4" t="s">
        <v>22608</v>
      </c>
      <c r="C9762" s="4" t="str">
        <f ca="1">IFERROR(__xludf.DUMMYFUNCTION("GOOGLETRANSLATE(D:D,""auto"",""en"")"),"Czech President refute doubts about the quality of Chinese epidemic prevention materials")</f>
        <v>Czech President refute doubts about the quality of Chinese epidemic prevention materials</v>
      </c>
      <c r="D9762" s="5" t="s">
        <v>22609</v>
      </c>
      <c r="E9762" s="4">
        <v>489162</v>
      </c>
      <c r="F9762">
        <v>1</v>
      </c>
    </row>
    <row r="9763" spans="1:6" ht="13.5" hidden="1" customHeight="1">
      <c r="A9763" s="4" t="s">
        <v>22610</v>
      </c>
      <c r="B9763" s="4" t="s">
        <v>22611</v>
      </c>
      <c r="C9763" s="4" t="str">
        <f ca="1">IFERROR(__xludf.DUMMYFUNCTION("GOOGLETRANSLATE(D:D,""auto"",""en"")"),"3 months painting chalk 32 m")</f>
        <v>3 months painting chalk 32 m</v>
      </c>
      <c r="D9763" s="5" t="s">
        <v>22612</v>
      </c>
      <c r="E9763" s="4">
        <v>470301</v>
      </c>
    </row>
    <row r="9764" spans="1:6" ht="13.5" hidden="1" customHeight="1">
      <c r="A9764" s="4" t="s">
        <v>22613</v>
      </c>
      <c r="B9764" s="4" t="s">
        <v>22499</v>
      </c>
      <c r="C9764" s="4" t="str">
        <f ca="1">IFERROR(__xludf.DUMMYFUNCTION("GOOGLETRANSLATE(D:D,""auto"",""en"")"),"Mom and Dad together surname name")</f>
        <v>Mom and Dad together surname name</v>
      </c>
      <c r="D9764" s="5" t="s">
        <v>22614</v>
      </c>
      <c r="E9764" s="4">
        <v>469634</v>
      </c>
    </row>
    <row r="9765" spans="1:6" ht="13.5" customHeight="1">
      <c r="A9765" s="4" t="s">
        <v>22615</v>
      </c>
      <c r="B9765" s="4" t="s">
        <v>22616</v>
      </c>
      <c r="C9765" s="4" t="str">
        <f ca="1">IFERROR(__xludf.DUMMYFUNCTION("GOOGLETRANSLATE(D:D,""auto"",""en"")"),"Heilongjiang new 20 cases of imported cases in Russia")</f>
        <v>Heilongjiang new 20 cases of imported cases in Russia</v>
      </c>
      <c r="D9765" s="5" t="s">
        <v>22617</v>
      </c>
      <c r="E9765" s="4">
        <v>413003</v>
      </c>
      <c r="F9765">
        <v>1</v>
      </c>
    </row>
    <row r="9766" spans="1:6" ht="13.5" hidden="1" customHeight="1">
      <c r="A9766" s="4" t="s">
        <v>22618</v>
      </c>
      <c r="B9766" s="4" t="s">
        <v>22619</v>
      </c>
      <c r="C9766" s="4" t="str">
        <f ca="1">IFERROR(__xludf.DUMMYFUNCTION("GOOGLETRANSLATE(D:D,""auto"",""en"")"),"Trump send blessings to Johnson")</f>
        <v>Trump send blessings to Johnson</v>
      </c>
      <c r="D9766" s="5" t="s">
        <v>22620</v>
      </c>
      <c r="E9766" s="4">
        <v>368921</v>
      </c>
    </row>
    <row r="9767" spans="1:6" ht="13.5" hidden="1" customHeight="1">
      <c r="A9767" s="4" t="s">
        <v>22621</v>
      </c>
      <c r="B9767" s="4" t="s">
        <v>22601</v>
      </c>
      <c r="C9767" s="4" t="str">
        <f ca="1">IFERROR(__xludf.DUMMYFUNCTION("GOOGLETRANSLATE(D:D,""auto"",""en"")"),"Chicken fairy practice")</f>
        <v>Chicken fairy practice</v>
      </c>
      <c r="D9767" s="5" t="s">
        <v>22622</v>
      </c>
      <c r="E9767" s="4">
        <v>320171</v>
      </c>
    </row>
    <row r="9768" spans="1:6" ht="13.5" hidden="1" customHeight="1">
      <c r="A9768" s="4" t="s">
        <v>22594</v>
      </c>
      <c r="B9768" s="4" t="s">
        <v>22623</v>
      </c>
      <c r="C9768" s="4" t="str">
        <f ca="1">IFERROR(__xludf.DUMMYFUNCTION("GOOGLETRANSLATE(D:D,""auto"",""en"")"),"Chenzhou informed the Communist Youth League secretary suspected of molesting event")</f>
        <v>Chenzhou informed the Communist Youth League secretary suspected of molesting event</v>
      </c>
      <c r="D9768" s="5" t="s">
        <v>22624</v>
      </c>
      <c r="E9768" s="4">
        <v>312458</v>
      </c>
    </row>
    <row r="9769" spans="1:6" ht="13.5" hidden="1" customHeight="1">
      <c r="A9769" s="4" t="s">
        <v>22625</v>
      </c>
      <c r="B9769" s="4" t="s">
        <v>22626</v>
      </c>
      <c r="C9769" s="4" t="str">
        <f ca="1">IFERROR(__xludf.DUMMYFUNCTION("GOOGLETRANSLATE(D:D,""auto"",""en"")"),"What made you choose prefer single")</f>
        <v>What made you choose prefer single</v>
      </c>
      <c r="D9769" s="5" t="s">
        <v>22627</v>
      </c>
      <c r="E9769" s="4">
        <v>311436</v>
      </c>
    </row>
    <row r="9770" spans="1:6" ht="13.5" customHeight="1">
      <c r="A9770" s="4" t="s">
        <v>22628</v>
      </c>
      <c r="B9770" s="4" t="s">
        <v>22581</v>
      </c>
      <c r="C9770" s="4" t="str">
        <f ca="1">IFERROR(__xludf.DUMMYFUNCTION("GOOGLETRANSLATE(D:D,""auto"",""en"")"),"WHO says China into the mitigation phase")</f>
        <v>WHO says China into the mitigation phase</v>
      </c>
      <c r="D9770" s="5" t="s">
        <v>22629</v>
      </c>
      <c r="E9770" s="4">
        <v>301771</v>
      </c>
      <c r="F9770">
        <v>1</v>
      </c>
    </row>
    <row r="9771" spans="1:6" ht="13.5" customHeight="1">
      <c r="A9771" s="4" t="s">
        <v>22630</v>
      </c>
      <c r="B9771" s="4" t="s">
        <v>22581</v>
      </c>
      <c r="C9771" s="4" t="str">
        <f ca="1">IFERROR(__xludf.DUMMYFUNCTION("GOOGLETRANSLATE(D:D,""auto"",""en"")"),"US new crown diagnosed pneumonia breakthrough 330,000")</f>
        <v>US new crown diagnosed pneumonia breakthrough 330,000</v>
      </c>
      <c r="D9771" s="5" t="s">
        <v>22631</v>
      </c>
      <c r="E9771" s="4">
        <v>296099</v>
      </c>
      <c r="F9771">
        <v>1</v>
      </c>
    </row>
    <row r="9772" spans="1:6" ht="13.5" customHeight="1">
      <c r="A9772" s="4" t="s">
        <v>22632</v>
      </c>
      <c r="B9772" s="4" t="s">
        <v>22608</v>
      </c>
      <c r="C9772" s="4" t="str">
        <f ca="1">IFERROR(__xludf.DUMMYFUNCTION("GOOGLETRANSLATE(D:D,""auto"",""en"")"),"Wuhan meet again")</f>
        <v>Wuhan meet again</v>
      </c>
      <c r="D9772" s="5" t="s">
        <v>22633</v>
      </c>
      <c r="E9772" s="4">
        <v>276902</v>
      </c>
      <c r="F9772">
        <v>1</v>
      </c>
    </row>
    <row r="9773" spans="1:6" ht="13.5" hidden="1" customHeight="1">
      <c r="A9773" s="4" t="s">
        <v>22634</v>
      </c>
      <c r="B9773" s="4" t="s">
        <v>22635</v>
      </c>
      <c r="C9773" s="4" t="str">
        <f ca="1">IFERROR(__xludf.DUMMYFUNCTION("GOOGLETRANSLATE(D:D,""auto"",""en"")"),"Jiangxi paid 20 million yuan dining coupons")</f>
        <v>Jiangxi paid 20 million yuan dining coupons</v>
      </c>
      <c r="D9773" s="5" t="s">
        <v>22636</v>
      </c>
      <c r="E9773" s="4">
        <v>272582</v>
      </c>
    </row>
    <row r="9774" spans="1:6" ht="13.5" hidden="1" customHeight="1">
      <c r="A9774" s="4" t="s">
        <v>22637</v>
      </c>
      <c r="B9774" s="4" t="s">
        <v>22638</v>
      </c>
      <c r="C9774" s="4" t="str">
        <f ca="1">IFERROR(__xludf.DUMMYFUNCTION("GOOGLETRANSLATE(D:D,""auto"",""en"")"),"Liuzhou found squamatus")</f>
        <v>Liuzhou found squamatus</v>
      </c>
      <c r="D9774" s="5" t="s">
        <v>22639</v>
      </c>
      <c r="E9774" s="4">
        <v>266124</v>
      </c>
    </row>
    <row r="9775" spans="1:6" ht="13.5" customHeight="1">
      <c r="A9775" s="4" t="s">
        <v>22640</v>
      </c>
      <c r="B9775" s="4" t="s">
        <v>22564</v>
      </c>
      <c r="C9775" s="4" t="str">
        <f ca="1">IFERROR(__xludf.DUMMYFUNCTION("GOOGLETRANSLATE(D:D,""auto"",""en"")"),"WHO issued Zhong Nanshan prevention tips")</f>
        <v>WHO issued Zhong Nanshan prevention tips</v>
      </c>
      <c r="D9775" s="5" t="s">
        <v>22641</v>
      </c>
      <c r="E9775" s="4">
        <v>261590</v>
      </c>
      <c r="F9775">
        <v>1</v>
      </c>
    </row>
    <row r="9776" spans="1:6" ht="13.5" customHeight="1">
      <c r="A9776" s="4" t="s">
        <v>22642</v>
      </c>
      <c r="B9776" s="4" t="s">
        <v>22595</v>
      </c>
      <c r="C9776" s="4" t="str">
        <f ca="1">IFERROR(__xludf.DUMMYFUNCTION("GOOGLETRANSLATE(D:D,""auto"",""en"")"),"Guangdong new one cases of indigenous cases")</f>
        <v>Guangdong new one cases of indigenous cases</v>
      </c>
      <c r="D9776" s="5" t="s">
        <v>22643</v>
      </c>
      <c r="E9776" s="4">
        <v>248530</v>
      </c>
      <c r="F9776">
        <v>1</v>
      </c>
    </row>
    <row r="9777" spans="1:6" ht="13.5" hidden="1" customHeight="1">
      <c r="A9777" s="4" t="s">
        <v>18880</v>
      </c>
      <c r="B9777" s="4" t="s">
        <v>18881</v>
      </c>
      <c r="C9777" s="4" t="str">
        <f ca="1">IFERROR(__xludf.DUMMYFUNCTION("GOOGLETRANSLATE(D:D,""auto"",""en"")"),"Week Travels")</f>
        <v>Week Travels</v>
      </c>
      <c r="D9777" s="5" t="s">
        <v>18882</v>
      </c>
      <c r="E9777" s="4">
        <v>246441</v>
      </c>
    </row>
    <row r="9778" spans="1:6" ht="13.5" customHeight="1">
      <c r="A9778" s="4" t="s">
        <v>22644</v>
      </c>
      <c r="B9778" s="4" t="s">
        <v>22513</v>
      </c>
      <c r="C9778" s="4" t="str">
        <f ca="1">IFERROR(__xludf.DUMMYFUNCTION("GOOGLETRANSLATE(D:D,""auto"",""en"")"),"Was sacked captain confirmed infected with the new crown pneumonia")</f>
        <v>Was sacked captain confirmed infected with the new crown pneumonia</v>
      </c>
      <c r="D9778" s="5" t="s">
        <v>22645</v>
      </c>
      <c r="E9778" s="4">
        <v>240960</v>
      </c>
      <c r="F9778">
        <v>1</v>
      </c>
    </row>
    <row r="9779" spans="1:6" ht="13.5" customHeight="1">
      <c r="A9779" s="4" t="s">
        <v>22568</v>
      </c>
      <c r="B9779" s="4" t="s">
        <v>22646</v>
      </c>
      <c r="C9779" s="4" t="str">
        <f ca="1">IFERROR(__xludf.DUMMYFUNCTION("GOOGLETRANSLATE(D:D,""auto"",""en"")"),"Italy epidemic began to wane")</f>
        <v>Italy epidemic began to wane</v>
      </c>
      <c r="D9779" s="5" t="s">
        <v>22647</v>
      </c>
      <c r="E9779" s="4">
        <v>239437</v>
      </c>
      <c r="F9779">
        <v>1</v>
      </c>
    </row>
    <row r="9780" spans="1:6" ht="13.5" customHeight="1">
      <c r="A9780" s="4" t="s">
        <v>22648</v>
      </c>
      <c r="B9780" s="4" t="s">
        <v>22649</v>
      </c>
      <c r="C9780" s="4" t="str">
        <f ca="1">IFERROR(__xludf.DUMMYFUNCTION("GOOGLETRANSLATE(D:D,""auto"",""en"")"),"Heilongjiang new foreign imported cases active trace 20 cases")</f>
        <v>Heilongjiang new foreign imported cases active trace 20 cases</v>
      </c>
      <c r="D9780" s="5" t="s">
        <v>22650</v>
      </c>
      <c r="E9780" s="4">
        <v>221744</v>
      </c>
      <c r="F9780">
        <v>1</v>
      </c>
    </row>
    <row r="9781" spans="1:6" ht="13.5" customHeight="1">
      <c r="A9781" s="4" t="s">
        <v>22651</v>
      </c>
      <c r="B9781" s="4" t="s">
        <v>22652</v>
      </c>
      <c r="C9781" s="4" t="str">
        <f ca="1">IFERROR(__xludf.DUMMYFUNCTION("GOOGLETRANSLATE(D:D,""auto"",""en"")"),"After the French team doctor diagnosed the new crown suicide")</f>
        <v>After the French team doctor diagnosed the new crown suicide</v>
      </c>
      <c r="D9781" s="5" t="s">
        <v>22653</v>
      </c>
      <c r="E9781" s="4">
        <v>219016</v>
      </c>
      <c r="F9781">
        <v>1</v>
      </c>
    </row>
    <row r="9782" spans="1:6" ht="13.5" customHeight="1">
      <c r="A9782" s="4" t="s">
        <v>22654</v>
      </c>
      <c r="B9782" s="4" t="s">
        <v>22655</v>
      </c>
      <c r="C9782" s="4" t="str">
        <f ca="1">IFERROR(__xludf.DUMMYFUNCTION("GOOGLETRANSLATE(D:D,""auto"",""en"")"),"Zhong Nanshan, some European countries is not a true closed city")</f>
        <v>Zhong Nanshan, some European countries is not a true closed city</v>
      </c>
      <c r="D9782" s="5" t="s">
        <v>22656</v>
      </c>
      <c r="E9782" s="4">
        <v>218391</v>
      </c>
      <c r="F9782">
        <v>1</v>
      </c>
    </row>
    <row r="9783" spans="1:6" ht="13.5" hidden="1" customHeight="1">
      <c r="A9783" s="4" t="s">
        <v>18462</v>
      </c>
      <c r="B9783" s="4" t="s">
        <v>18463</v>
      </c>
      <c r="C9783" s="4" t="str">
        <f ca="1">IFERROR(__xludf.DUMMYFUNCTION("GOOGLETRANSLATE(D:D,""auto"",""en"")"),"Rock candy stew Sydney")</f>
        <v>Rock candy stew Sydney</v>
      </c>
      <c r="D9783" s="5" t="s">
        <v>18464</v>
      </c>
      <c r="E9783" s="4">
        <v>218281</v>
      </c>
    </row>
    <row r="9784" spans="1:6" ht="13.5" customHeight="1">
      <c r="A9784" s="4" t="s">
        <v>22657</v>
      </c>
      <c r="B9784" s="4" t="s">
        <v>22658</v>
      </c>
      <c r="C9784" s="4" t="str">
        <f ca="1">IFERROR(__xludf.DUMMYFUNCTION("GOOGLETRANSLATE(D:D,""auto"",""en"")"),"Wuhan clinical use of blood under pressure")</f>
        <v>Wuhan clinical use of blood under pressure</v>
      </c>
      <c r="D9784" s="5" t="s">
        <v>22659</v>
      </c>
      <c r="E9784" s="4">
        <v>193792</v>
      </c>
      <c r="F9784">
        <v>1</v>
      </c>
    </row>
    <row r="9785" spans="1:6" ht="13.5" hidden="1" customHeight="1">
      <c r="A9785" s="4" t="s">
        <v>22657</v>
      </c>
      <c r="B9785" s="4" t="s">
        <v>22660</v>
      </c>
      <c r="C9785" s="4" t="str">
        <f ca="1">IFERROR(__xludf.DUMMYFUNCTION("GOOGLETRANSLATE(D:D,""auto"",""en"")"),"British rumor virus and related equipment 5G")</f>
        <v>British rumor virus and related equipment 5G</v>
      </c>
      <c r="D9785" s="5" t="s">
        <v>22661</v>
      </c>
      <c r="E9785" s="4">
        <v>192456</v>
      </c>
    </row>
    <row r="9786" spans="1:6" ht="13.5" customHeight="1">
      <c r="A9786" s="4" t="s">
        <v>22644</v>
      </c>
      <c r="B9786" s="4" t="s">
        <v>22662</v>
      </c>
      <c r="C9786" s="4" t="str">
        <f ca="1">IFERROR(__xludf.DUMMYFUNCTION("GOOGLETRANSLATE(D:D,""auto"",""en"")"),"Raytheon Hill Hospital patients remaining 47 people")</f>
        <v>Raytheon Hill Hospital patients remaining 47 people</v>
      </c>
      <c r="D9786" s="5" t="s">
        <v>22663</v>
      </c>
      <c r="E9786" s="4">
        <v>183269</v>
      </c>
      <c r="F9786">
        <v>1</v>
      </c>
    </row>
    <row r="9787" spans="1:6" ht="13.5" hidden="1" customHeight="1">
      <c r="A9787" s="4" t="s">
        <v>22430</v>
      </c>
      <c r="B9787" s="4" t="s">
        <v>15109</v>
      </c>
      <c r="C9787" s="4" t="str">
        <f ca="1">IFERROR(__xludf.DUMMYFUNCTION("GOOGLETRANSLATE(D:D,""auto"",""en"")"),"Hu said the summer was like commercial speech")</f>
        <v>Hu said the summer was like commercial speech</v>
      </c>
      <c r="D9787" s="5" t="s">
        <v>22431</v>
      </c>
      <c r="E9787" s="4">
        <v>172467</v>
      </c>
    </row>
    <row r="9788" spans="1:6" ht="13.5" hidden="1" customHeight="1">
      <c r="A9788" s="4" t="s">
        <v>22438</v>
      </c>
      <c r="B9788" s="4" t="s">
        <v>22439</v>
      </c>
      <c r="C9788" s="4" t="str">
        <f ca="1">IFERROR(__xludf.DUMMYFUNCTION("GOOGLETRANSLATE(D:D,""auto"",""en"")"),"Kazuhiro O Ebisuhei 拔鼻 hair")</f>
        <v>Kazuhiro O Ebisuhei 拔鼻 hair</v>
      </c>
      <c r="D9788" s="5" t="s">
        <v>22440</v>
      </c>
      <c r="E9788" s="4">
        <v>151635</v>
      </c>
    </row>
    <row r="9789" spans="1:6" ht="13.5" hidden="1" customHeight="1">
      <c r="C9789" s="4" t="str">
        <f ca="1">IFERROR(__xludf.DUMMYFUNCTION("GOOGLETRANSLATE(D:D,""auto"",""en"")"),"#VALUE!")</f>
        <v>#VALUE!</v>
      </c>
    </row>
    <row r="9790" spans="1:6" ht="13.5" hidden="1" customHeight="1">
      <c r="A9790" s="4" t="s">
        <v>22664</v>
      </c>
      <c r="B9790" s="4" t="s">
        <v>22665</v>
      </c>
      <c r="C9790" s="4" t="str">
        <f ca="1">IFERROR(__xludf.DUMMYFUNCTION("GOOGLETRANSLATE(D:D,""auto"",""en"")"),"ZHU Guang Li Jiaqi right to live")</f>
        <v>ZHU Guang Li Jiaqi right to live</v>
      </c>
      <c r="D9790" s="4" t="s">
        <v>22666</v>
      </c>
      <c r="E9790" s="4">
        <v>1444204</v>
      </c>
    </row>
    <row r="9791" spans="1:6" ht="13.5" customHeight="1">
      <c r="A9791" s="4" t="s">
        <v>22667</v>
      </c>
      <c r="B9791" s="4" t="s">
        <v>22668</v>
      </c>
      <c r="C9791" s="4" t="str">
        <f ca="1">IFERROR(__xludf.DUMMYFUNCTION("GOOGLETRANSLATE(D:D,""auto"",""en"")"),"Shandong, Hubei medical aid team members Zhang quietly died")</f>
        <v>Shandong, Hubei medical aid team members Zhang quietly died</v>
      </c>
      <c r="D9791" s="5" t="s">
        <v>22669</v>
      </c>
      <c r="E9791" s="4">
        <v>1064525</v>
      </c>
      <c r="F9791">
        <v>1</v>
      </c>
    </row>
    <row r="9792" spans="1:6" ht="13.5" customHeight="1">
      <c r="A9792" s="4" t="s">
        <v>22670</v>
      </c>
      <c r="B9792" s="4" t="s">
        <v>22671</v>
      </c>
      <c r="C9792" s="4" t="str">
        <f ca="1">IFERROR(__xludf.DUMMYFUNCTION("GOOGLETRANSLATE(D:D,""auto"",""en"")"),"New Spain number of deaths fell to its lowest in nearly two weeks")</f>
        <v>New Spain number of deaths fell to its lowest in nearly two weeks</v>
      </c>
      <c r="D9792" s="5" t="s">
        <v>22672</v>
      </c>
      <c r="E9792" s="4">
        <v>1060457</v>
      </c>
      <c r="F9792">
        <v>1</v>
      </c>
    </row>
    <row r="9793" spans="1:6" ht="13.5" hidden="1" customHeight="1">
      <c r="A9793" s="4" t="s">
        <v>22673</v>
      </c>
      <c r="B9793" s="4" t="s">
        <v>22674</v>
      </c>
      <c r="C9793" s="4" t="str">
        <f ca="1">IFERROR(__xludf.DUMMYFUNCTION("GOOGLETRANSLATE(D:D,""auto"",""en"")"),"Xu Fei")</f>
        <v>Xu Fei</v>
      </c>
      <c r="D9793" s="5" t="s">
        <v>22675</v>
      </c>
      <c r="E9793" s="4">
        <v>1050415</v>
      </c>
    </row>
    <row r="9794" spans="1:6" ht="13.5" hidden="1" customHeight="1">
      <c r="A9794" s="4" t="s">
        <v>22676</v>
      </c>
      <c r="B9794" s="4" t="s">
        <v>22677</v>
      </c>
      <c r="C9794" s="4" t="str">
        <f ca="1">IFERROR(__xludf.DUMMYFUNCTION("GOOGLETRANSLATE(D:D,""auto"",""en"")"),"Sitar Tan Tan Moumou")</f>
        <v>Sitar Tan Tan Moumou</v>
      </c>
      <c r="D9794" s="5" t="s">
        <v>22678</v>
      </c>
      <c r="E9794" s="4">
        <v>1004070</v>
      </c>
    </row>
    <row r="9795" spans="1:6" ht="13.5" customHeight="1">
      <c r="A9795" s="4" t="s">
        <v>22679</v>
      </c>
      <c r="B9795" s="4" t="s">
        <v>22680</v>
      </c>
      <c r="C9795" s="4" t="str">
        <f ca="1">IFERROR(__xludf.DUMMYFUNCTION("GOOGLETRANSLATE(D:D,""auto"",""en"")"),"Add asymptomatic infection were 34 in Wuhan")</f>
        <v>Add asymptomatic infection were 34 in Wuhan</v>
      </c>
      <c r="D9795" s="5" t="s">
        <v>22681</v>
      </c>
      <c r="E9795" s="4">
        <v>934025</v>
      </c>
      <c r="F9795">
        <v>1</v>
      </c>
    </row>
    <row r="9796" spans="1:6" ht="13.5" hidden="1" customHeight="1">
      <c r="A9796" s="4" t="s">
        <v>20171</v>
      </c>
      <c r="B9796" s="4" t="s">
        <v>22682</v>
      </c>
      <c r="C9796" s="4" t="str">
        <f ca="1">IFERROR(__xludf.DUMMYFUNCTION("GOOGLETRANSLATE(D:D,""auto"",""en"")"),"I was more than happy water")</f>
        <v>I was more than happy water</v>
      </c>
      <c r="D9796" s="5" t="s">
        <v>22683</v>
      </c>
      <c r="E9796" s="4">
        <v>894677</v>
      </c>
    </row>
    <row r="9797" spans="1:6" ht="13.5" hidden="1" customHeight="1">
      <c r="A9797" s="4" t="s">
        <v>22684</v>
      </c>
      <c r="B9797" s="4" t="s">
        <v>22685</v>
      </c>
      <c r="C9797" s="4" t="str">
        <f ca="1">IFERROR(__xludf.DUMMYFUNCTION("GOOGLETRANSLATE(D:D,""auto"",""en"")"),"Li Tong snow break up of ice")</f>
        <v>Li Tong snow break up of ice</v>
      </c>
      <c r="D9797" s="5" t="s">
        <v>22686</v>
      </c>
      <c r="E9797" s="4">
        <v>697725</v>
      </c>
    </row>
    <row r="9798" spans="1:6" ht="13.5" customHeight="1">
      <c r="A9798" s="4" t="s">
        <v>22687</v>
      </c>
      <c r="B9798" s="4" t="s">
        <v>22688</v>
      </c>
      <c r="C9798" s="4" t="str">
        <f ca="1">IFERROR(__xludf.DUMMYFUNCTION("GOOGLETRANSLATE(D:D,""auto"",""en"")"),"Hubei universities require students to return to school after not go out without dinner")</f>
        <v>Hubei universities require students to return to school after not go out without dinner</v>
      </c>
      <c r="D9798" s="5" t="s">
        <v>22689</v>
      </c>
      <c r="E9798" s="4">
        <v>588863</v>
      </c>
      <c r="F9798">
        <v>1</v>
      </c>
    </row>
    <row r="9799" spans="1:6" ht="13.5" customHeight="1">
      <c r="A9799" s="4" t="s">
        <v>22690</v>
      </c>
      <c r="B9799" s="4" t="s">
        <v>21295</v>
      </c>
      <c r="C9799" s="4" t="str">
        <f ca="1">IFERROR(__xludf.DUMMYFUNCTION("GOOGLETRANSLATE(D:D,""auto"",""en"")"),"Actor Lifeiyeluo infect new crown death")</f>
        <v>Actor Lifeiyeluo infect new crown death</v>
      </c>
      <c r="D9799" s="5" t="s">
        <v>22691</v>
      </c>
      <c r="E9799" s="4">
        <v>509803</v>
      </c>
      <c r="F9799">
        <v>1</v>
      </c>
    </row>
    <row r="9800" spans="1:6" ht="13.5" hidden="1" customHeight="1">
      <c r="A9800" s="4" t="s">
        <v>22692</v>
      </c>
      <c r="B9800" s="4" t="s">
        <v>22693</v>
      </c>
      <c r="C9800" s="4" t="str">
        <f ca="1">IFERROR(__xludf.DUMMYFUNCTION("GOOGLETRANSLATE(D:D,""auto"",""en"")"),"Barbara Han Shang Wenjie issued a document even behind")</f>
        <v>Barbara Han Shang Wenjie issued a document even behind</v>
      </c>
      <c r="D9800" s="5" t="s">
        <v>22694</v>
      </c>
      <c r="E9800" s="4">
        <v>478027</v>
      </c>
    </row>
    <row r="9801" spans="1:6" ht="13.5" hidden="1" customHeight="1">
      <c r="A9801" s="4" t="s">
        <v>22695</v>
      </c>
      <c r="B9801" s="4" t="s">
        <v>22696</v>
      </c>
      <c r="C9801" s="4" t="str">
        <f ca="1">IFERROR(__xludf.DUMMYFUNCTION("GOOGLETRANSLATE(D:D,""auto"",""en"")"),"ZHU Guang Li Jiaqi right to imitate")</f>
        <v>ZHU Guang Li Jiaqi right to imitate</v>
      </c>
      <c r="D9801" s="5" t="s">
        <v>22697</v>
      </c>
      <c r="E9801" s="4">
        <v>466155</v>
      </c>
    </row>
    <row r="9802" spans="1:6" ht="13.5" hidden="1" customHeight="1">
      <c r="A9802" s="4" t="s">
        <v>22698</v>
      </c>
      <c r="B9802" s="4" t="s">
        <v>22699</v>
      </c>
      <c r="C9802" s="4" t="str">
        <f ca="1">IFERROR(__xludf.DUMMYFUNCTION("GOOGLETRANSLATE(D:D,""auto"",""en"")"),"Chun Xi Road knife-wielding man with a history of mental illness")</f>
        <v>Chun Xi Road knife-wielding man with a history of mental illness</v>
      </c>
      <c r="D9802" s="5" t="s">
        <v>22700</v>
      </c>
      <c r="E9802" s="4">
        <v>443409</v>
      </c>
    </row>
    <row r="9803" spans="1:6" ht="13.5" hidden="1" customHeight="1">
      <c r="A9803" s="4" t="s">
        <v>22701</v>
      </c>
      <c r="B9803" s="4" t="s">
        <v>22702</v>
      </c>
      <c r="C9803" s="4" t="str">
        <f ca="1">IFERROR(__xludf.DUMMYFUNCTION("GOOGLETRANSLATE(D:D,""auto"",""en"")"),"Reuters ultimate challenge")</f>
        <v>Reuters ultimate challenge</v>
      </c>
      <c r="D9803" s="5" t="s">
        <v>22703</v>
      </c>
      <c r="E9803" s="4">
        <v>429222</v>
      </c>
    </row>
    <row r="9804" spans="1:6" ht="13.5" customHeight="1">
      <c r="A9804" s="4" t="s">
        <v>22704</v>
      </c>
      <c r="B9804" s="4" t="s">
        <v>22705</v>
      </c>
      <c r="C9804" s="4" t="str">
        <f ca="1">IFERROR(__xludf.DUMMYFUNCTION("GOOGLETRANSLATE(D:D,""auto"",""en"")"),"Airflow wear and do not wear masks differences of")</f>
        <v>Airflow wear and do not wear masks differences of</v>
      </c>
      <c r="D9804" s="5" t="s">
        <v>22706</v>
      </c>
      <c r="E9804" s="4">
        <v>384226</v>
      </c>
      <c r="F9804">
        <v>1</v>
      </c>
    </row>
    <row r="9805" spans="1:6" ht="13.5" hidden="1" customHeight="1">
      <c r="A9805" s="4" t="s">
        <v>22707</v>
      </c>
      <c r="B9805" s="4" t="s">
        <v>22708</v>
      </c>
      <c r="C9805" s="4" t="str">
        <f ca="1">IFERROR(__xludf.DUMMYFUNCTION("GOOGLETRANSLATE(D:D,""auto"",""en"")"),"Guangzhou Sanyuanli")</f>
        <v>Guangzhou Sanyuanli</v>
      </c>
      <c r="D9805" s="5" t="s">
        <v>22709</v>
      </c>
      <c r="E9805" s="4">
        <v>384189</v>
      </c>
    </row>
    <row r="9806" spans="1:6" ht="13.5" hidden="1" customHeight="1">
      <c r="A9806" s="4" t="s">
        <v>22710</v>
      </c>
      <c r="B9806" s="4" t="s">
        <v>22711</v>
      </c>
      <c r="C9806" s="4" t="str">
        <f ca="1">IFERROR(__xludf.DUMMYFUNCTION("GOOGLETRANSLATE(D:D,""auto"",""en"")"),"Green male version of you 2 theme song")</f>
        <v>Green male version of you 2 theme song</v>
      </c>
      <c r="D9806" s="5" t="s">
        <v>22712</v>
      </c>
      <c r="E9806" s="4">
        <v>383578</v>
      </c>
    </row>
    <row r="9807" spans="1:6" ht="13.5" customHeight="1">
      <c r="A9807" s="4" t="s">
        <v>22713</v>
      </c>
      <c r="B9807" s="4" t="s">
        <v>22714</v>
      </c>
      <c r="C9807" s="4" t="str">
        <f ca="1">IFERROR(__xludf.DUMMYFUNCTION("GOOGLETRANSLATE(D:D,""auto"",""en"")"),"The new doctor was infected with crown treatment process")</f>
        <v>The new doctor was infected with crown treatment process</v>
      </c>
      <c r="D9807" s="5" t="s">
        <v>22715</v>
      </c>
      <c r="E9807" s="4">
        <v>383220</v>
      </c>
      <c r="F9807">
        <v>1</v>
      </c>
    </row>
    <row r="9808" spans="1:6" ht="13.5" customHeight="1">
      <c r="A9808" s="4" t="s">
        <v>22716</v>
      </c>
      <c r="B9808" s="4" t="s">
        <v>22717</v>
      </c>
      <c r="C9808" s="4" t="str">
        <f ca="1">IFERROR(__xludf.DUMMYFUNCTION("GOOGLETRANSLATE(D:D,""auto"",""en"")"),"Guardiola mother died because of the new crown")</f>
        <v>Guardiola mother died because of the new crown</v>
      </c>
      <c r="D9808" s="5" t="s">
        <v>22718</v>
      </c>
      <c r="E9808" s="4">
        <v>383033</v>
      </c>
      <c r="F9808">
        <v>1</v>
      </c>
    </row>
    <row r="9809" spans="1:6" ht="13.5" hidden="1" customHeight="1">
      <c r="A9809" s="4" t="s">
        <v>22719</v>
      </c>
      <c r="B9809" s="4" t="s">
        <v>22720</v>
      </c>
      <c r="C9809" s="4" t="str">
        <f ca="1">IFERROR(__xludf.DUMMYFUNCTION("GOOGLETRANSLATE(D:D,""auto"",""en"")"),"SPL")</f>
        <v>SPL</v>
      </c>
      <c r="D9809" s="5" t="s">
        <v>22721</v>
      </c>
      <c r="E9809" s="4">
        <v>382711</v>
      </c>
    </row>
    <row r="9810" spans="1:6" ht="13.5" customHeight="1">
      <c r="A9810" s="4" t="s">
        <v>22722</v>
      </c>
      <c r="B9810" s="4" t="s">
        <v>22723</v>
      </c>
      <c r="C9810" s="4" t="str">
        <f ca="1">IFERROR(__xludf.DUMMYFUNCTION("GOOGLETRANSLATE(D:D,""auto"",""en"")"),"After the resumption of fishing submarine prices by about 6%")</f>
        <v>After the resumption of fishing submarine prices by about 6%</v>
      </c>
      <c r="D9810" s="5" t="s">
        <v>22724</v>
      </c>
      <c r="E9810" s="4">
        <v>382360</v>
      </c>
      <c r="F9810">
        <v>1</v>
      </c>
    </row>
    <row r="9811" spans="1:6" ht="13.5" hidden="1" customHeight="1">
      <c r="A9811" s="4" t="s">
        <v>14035</v>
      </c>
      <c r="B9811" s="4" t="s">
        <v>22725</v>
      </c>
      <c r="C9811" s="4" t="str">
        <f ca="1">IFERROR(__xludf.DUMMYFUNCTION("GOOGLETRANSLATE(D:D,""auto"",""en"")"),"How can baby-faced girl cute")</f>
        <v>How can baby-faced girl cute</v>
      </c>
      <c r="D9811" s="5" t="s">
        <v>22726</v>
      </c>
      <c r="E9811" s="4">
        <v>381899</v>
      </c>
    </row>
    <row r="9812" spans="1:6" ht="13.5" hidden="1" customHeight="1">
      <c r="A9812" s="4" t="s">
        <v>14035</v>
      </c>
      <c r="B9812" s="4" t="s">
        <v>13941</v>
      </c>
      <c r="C9812" s="4" t="str">
        <f ca="1">IFERROR(__xludf.DUMMYFUNCTION("GOOGLETRANSLATE(D:D,""auto"",""en"")"),"Mahatetsubu")</f>
        <v>Mahatetsubu</v>
      </c>
      <c r="D9812" s="5" t="s">
        <v>14036</v>
      </c>
      <c r="E9812" s="4">
        <v>381703</v>
      </c>
    </row>
    <row r="9813" spans="1:6" ht="13.5" hidden="1" customHeight="1">
      <c r="A9813" s="4" t="s">
        <v>14434</v>
      </c>
      <c r="B9813" s="4" t="s">
        <v>14435</v>
      </c>
      <c r="C9813" s="4" t="str">
        <f ca="1">IFERROR(__xludf.DUMMYFUNCTION("GOOGLETRANSLATE(D:D,""auto"",""en"")"),"US stocks")</f>
        <v>US stocks</v>
      </c>
      <c r="D9813" s="5" t="s">
        <v>14436</v>
      </c>
      <c r="E9813" s="4">
        <v>381162</v>
      </c>
    </row>
    <row r="9814" spans="1:6" ht="13.5" hidden="1" customHeight="1">
      <c r="A9814" s="4" t="s">
        <v>22727</v>
      </c>
      <c r="B9814" s="4" t="s">
        <v>22728</v>
      </c>
      <c r="C9814" s="4" t="str">
        <f ca="1">IFERROR(__xludf.DUMMYFUNCTION("GOOGLETRANSLATE(D:D,""auto"",""en"")"),"Luo return to the ultimate challenge")</f>
        <v>Luo return to the ultimate challenge</v>
      </c>
      <c r="D9814" s="5" t="s">
        <v>22729</v>
      </c>
      <c r="E9814" s="4">
        <v>381006</v>
      </c>
    </row>
    <row r="9815" spans="1:6" ht="13.5" hidden="1" customHeight="1">
      <c r="A9815" s="4" t="s">
        <v>22684</v>
      </c>
      <c r="B9815" s="4" t="s">
        <v>22730</v>
      </c>
      <c r="C9815" s="4" t="str">
        <f ca="1">IFERROR(__xludf.DUMMYFUNCTION("GOOGLETRANSLATE(D:D,""auto"",""en"")"),"Li Wen Han sing less than half")</f>
        <v>Li Wen Han sing less than half</v>
      </c>
      <c r="D9815" s="5" t="s">
        <v>22731</v>
      </c>
      <c r="E9815" s="4">
        <v>332815</v>
      </c>
    </row>
    <row r="9816" spans="1:6" ht="13.5" hidden="1" customHeight="1">
      <c r="A9816" s="4" t="s">
        <v>22732</v>
      </c>
      <c r="B9816" s="4" t="s">
        <v>22668</v>
      </c>
      <c r="C9816" s="4" t="str">
        <f ca="1">IFERROR(__xludf.DUMMYFUNCTION("GOOGLETRANSLATE(D:D,""auto"",""en"")"),"New York funeral home funeral is usually twice")</f>
        <v>New York funeral home funeral is usually twice</v>
      </c>
      <c r="D9816" s="5" t="s">
        <v>22733</v>
      </c>
      <c r="E9816" s="4">
        <v>292541</v>
      </c>
    </row>
    <row r="9817" spans="1:6" ht="13.5" hidden="1" customHeight="1">
      <c r="A9817" s="4" t="s">
        <v>22698</v>
      </c>
      <c r="B9817" s="4" t="s">
        <v>22734</v>
      </c>
      <c r="C9817" s="4" t="str">
        <f ca="1">IFERROR(__xludf.DUMMYFUNCTION("GOOGLETRANSLATE(D:D,""auto"",""en"")"),"Canadian Governor Nupi United States")</f>
        <v>Canadian Governor Nupi United States</v>
      </c>
      <c r="D9817" s="5" t="s">
        <v>22735</v>
      </c>
      <c r="E9817" s="4">
        <v>274733</v>
      </c>
    </row>
    <row r="9818" spans="1:6" ht="13.5" hidden="1" customHeight="1">
      <c r="A9818" s="4" t="s">
        <v>22736</v>
      </c>
      <c r="B9818" s="4" t="s">
        <v>22737</v>
      </c>
      <c r="C9818" s="4" t="str">
        <f ca="1">IFERROR(__xludf.DUMMYFUNCTION("GOOGLETRANSLATE(D:D,""auto"",""en"")"),"Abe said it would be greatly reduced to provide cash income groups")</f>
        <v>Abe said it would be greatly reduced to provide cash income groups</v>
      </c>
      <c r="D9818" s="5" t="s">
        <v>22738</v>
      </c>
      <c r="E9818" s="4">
        <v>272734</v>
      </c>
    </row>
    <row r="9819" spans="1:6" ht="13.5" hidden="1" customHeight="1">
      <c r="A9819" s="4" t="s">
        <v>22739</v>
      </c>
      <c r="B9819" s="4" t="s">
        <v>22740</v>
      </c>
      <c r="C9819" s="4" t="str">
        <f ca="1">IFERROR(__xludf.DUMMYFUNCTION("GOOGLETRANSLATE(D:D,""auto"",""en"")"),"UNINE green you sing the theme song")</f>
        <v>UNINE green you sing the theme song</v>
      </c>
      <c r="D9819" s="5" t="s">
        <v>22741</v>
      </c>
      <c r="E9819" s="4">
        <v>272509</v>
      </c>
    </row>
    <row r="9820" spans="1:6" ht="13.5" hidden="1" customHeight="1">
      <c r="A9820" s="4" t="s">
        <v>22742</v>
      </c>
      <c r="B9820" s="4" t="s">
        <v>22743</v>
      </c>
      <c r="C9820" s="4" t="str">
        <f ca="1">IFERROR(__xludf.DUMMYFUNCTION("GOOGLETRANSLATE(D:D,""auto"",""en"")"),"Naicha to be careful in Europe")</f>
        <v>Naicha to be careful in Europe</v>
      </c>
      <c r="D9820" s="5" t="s">
        <v>22744</v>
      </c>
      <c r="E9820" s="4">
        <v>266838</v>
      </c>
    </row>
    <row r="9821" spans="1:6" ht="13.5" hidden="1" customHeight="1">
      <c r="A9821" s="4" t="s">
        <v>22745</v>
      </c>
      <c r="B9821" s="4" t="s">
        <v>22746</v>
      </c>
      <c r="C9821" s="4" t="str">
        <f ca="1">IFERROR(__xludf.DUMMYFUNCTION("GOOGLETRANSLATE(D:D,""auto"",""en"")"),"The funniest one shopping experience")</f>
        <v>The funniest one shopping experience</v>
      </c>
      <c r="D9821" s="5" t="s">
        <v>22747</v>
      </c>
      <c r="E9821" s="4">
        <v>249635</v>
      </c>
    </row>
    <row r="9822" spans="1:6" ht="13.5" hidden="1" customHeight="1">
      <c r="A9822" s="4" t="s">
        <v>22748</v>
      </c>
      <c r="B9822" s="4" t="s">
        <v>22749</v>
      </c>
      <c r="C9822" s="4" t="str">
        <f ca="1">IFERROR(__xludf.DUMMYFUNCTION("GOOGLETRANSLATE(D:D,""auto"",""en"")"),"Three Sea police patrol ran into one hundred dolphins")</f>
        <v>Three Sea police patrol ran into one hundred dolphins</v>
      </c>
      <c r="D9822" s="5" t="s">
        <v>22750</v>
      </c>
      <c r="E9822" s="4">
        <v>226821</v>
      </c>
    </row>
    <row r="9823" spans="1:6" ht="13.5" customHeight="1">
      <c r="A9823" s="4" t="s">
        <v>22751</v>
      </c>
      <c r="B9823" s="4" t="s">
        <v>22632</v>
      </c>
      <c r="C9823" s="4" t="str">
        <f ca="1">IFERROR(__xludf.DUMMYFUNCTION("GOOGLETRANSLATE(D:D,""auto"",""en"")"),"Irish Prime Minister to re-register to become a doctor")</f>
        <v>Irish Prime Minister to re-register to become a doctor</v>
      </c>
      <c r="D9823" s="5" t="s">
        <v>22752</v>
      </c>
      <c r="E9823" s="4">
        <v>220681</v>
      </c>
      <c r="F9823">
        <v>1</v>
      </c>
    </row>
    <row r="9824" spans="1:6" ht="13.5" hidden="1" customHeight="1">
      <c r="A9824" s="4" t="s">
        <v>22753</v>
      </c>
      <c r="B9824" s="4" t="s">
        <v>22754</v>
      </c>
      <c r="C9824" s="4" t="str">
        <f ca="1">IFERROR(__xludf.DUMMYFUNCTION("GOOGLETRANSLATE(D:D,""auto"",""en"")"),"Li of ice injured")</f>
        <v>Li of ice injured</v>
      </c>
      <c r="D9824" s="5" t="s">
        <v>22755</v>
      </c>
      <c r="E9824" s="4">
        <v>219958</v>
      </c>
    </row>
    <row r="9825" spans="1:6" ht="13.5" hidden="1" customHeight="1">
      <c r="A9825" s="4" t="s">
        <v>22756</v>
      </c>
      <c r="B9825" s="4" t="s">
        <v>22757</v>
      </c>
      <c r="C9825" s="4" t="str">
        <f ca="1">IFERROR(__xludf.DUMMYFUNCTION("GOOGLETRANSLATE(D:D,""auto"",""en"")"),"Sweet burden of Japanese high school students")</f>
        <v>Sweet burden of Japanese high school students</v>
      </c>
      <c r="D9825" s="5" t="s">
        <v>22758</v>
      </c>
      <c r="E9825" s="4">
        <v>219899</v>
      </c>
    </row>
    <row r="9826" spans="1:6" ht="13.5" hidden="1" customHeight="1">
      <c r="A9826" s="4" t="s">
        <v>22759</v>
      </c>
      <c r="B9826" s="4" t="s">
        <v>22760</v>
      </c>
      <c r="C9826" s="4" t="str">
        <f ca="1">IFERROR(__xludf.DUMMYFUNCTION("GOOGLETRANSLATE(D:D,""auto"",""en"")"),"Bought something most do not regret")</f>
        <v>Bought something most do not regret</v>
      </c>
      <c r="D9826" s="5" t="s">
        <v>22761</v>
      </c>
      <c r="E9826" s="4">
        <v>216919</v>
      </c>
    </row>
    <row r="9827" spans="1:6" ht="13.5" hidden="1" customHeight="1">
      <c r="A9827" s="4" t="s">
        <v>22759</v>
      </c>
      <c r="B9827" s="4" t="s">
        <v>22762</v>
      </c>
      <c r="C9827" s="4" t="str">
        <f ca="1">IFERROR(__xludf.DUMMYFUNCTION("GOOGLETRANSLATE(D:D,""auto"",""en"")"),"Guo Jierui")</f>
        <v>Guo Jierui</v>
      </c>
      <c r="D9827" s="5" t="s">
        <v>22763</v>
      </c>
      <c r="E9827" s="4">
        <v>199164</v>
      </c>
    </row>
    <row r="9828" spans="1:6" ht="13.5" customHeight="1">
      <c r="A9828" s="4" t="s">
        <v>22759</v>
      </c>
      <c r="B9828" s="4" t="s">
        <v>22764</v>
      </c>
      <c r="C9828" s="4" t="str">
        <f ca="1">IFERROR(__xludf.DUMMYFUNCTION("GOOGLETRANSLATE(D:D,""auto"",""en"")"),"Comparison with the state school holiday")</f>
        <v>Comparison with the state school holiday</v>
      </c>
      <c r="D9828" s="5" t="s">
        <v>22765</v>
      </c>
      <c r="E9828" s="4">
        <v>193391</v>
      </c>
      <c r="F9828">
        <v>1</v>
      </c>
    </row>
    <row r="9829" spans="1:6" ht="13.5" customHeight="1">
      <c r="A9829" s="4" t="s">
        <v>22766</v>
      </c>
      <c r="B9829" s="4" t="s">
        <v>22767</v>
      </c>
      <c r="C9829" s="4" t="str">
        <f ca="1">IFERROR(__xludf.DUMMYFUNCTION("GOOGLETRANSLATE(D:D,""auto"",""en"")"),"Foreigners do not wear masks dinner get together in the park")</f>
        <v>Foreigners do not wear masks dinner get together in the park</v>
      </c>
      <c r="D9829" s="5" t="s">
        <v>22768</v>
      </c>
      <c r="E9829" s="4">
        <v>189747</v>
      </c>
      <c r="F9829">
        <v>1</v>
      </c>
    </row>
    <row r="9830" spans="1:6" ht="13.5" hidden="1" customHeight="1">
      <c r="A9830" s="4" t="s">
        <v>22769</v>
      </c>
      <c r="B9830" s="4" t="s">
        <v>22770</v>
      </c>
      <c r="C9830" s="4" t="str">
        <f ca="1">IFERROR(__xludf.DUMMYFUNCTION("GOOGLETRANSLATE(D:D,""auto"",""en"")"),"Hegang Taipinggou take four wild Siberian tiger")</f>
        <v>Hegang Taipinggou take four wild Siberian tiger</v>
      </c>
      <c r="D9830" s="5" t="s">
        <v>22771</v>
      </c>
      <c r="E9830" s="4">
        <v>186940</v>
      </c>
    </row>
    <row r="9831" spans="1:6" ht="13.5" customHeight="1">
      <c r="A9831" s="4" t="s">
        <v>22701</v>
      </c>
      <c r="B9831" s="4" t="s">
        <v>22621</v>
      </c>
      <c r="C9831" s="4" t="str">
        <f ca="1">IFERROR(__xludf.DUMMYFUNCTION("GOOGLETRANSLATE(D:D,""auto"",""en"")"),"Start dates announced 11 colleges and universities in Nanjing")</f>
        <v>Start dates announced 11 colleges and universities in Nanjing</v>
      </c>
      <c r="D9831" s="5" t="s">
        <v>22772</v>
      </c>
      <c r="E9831" s="4">
        <v>179727</v>
      </c>
      <c r="F9831">
        <v>1</v>
      </c>
    </row>
    <row r="9832" spans="1:6" ht="13.5" hidden="1" customHeight="1">
      <c r="A9832" s="4" t="s">
        <v>22773</v>
      </c>
      <c r="B9832" s="4" t="s">
        <v>22774</v>
      </c>
      <c r="C9832" s="4" t="str">
        <f ca="1">IFERROR(__xludf.DUMMYFUNCTION("GOOGLETRANSLATE(D:D,""auto"",""en"")"),"Contemporary users the ability to control building")</f>
        <v>Contemporary users the ability to control building</v>
      </c>
      <c r="D9832" s="5" t="s">
        <v>22775</v>
      </c>
      <c r="E9832" s="4">
        <v>178545</v>
      </c>
    </row>
    <row r="9833" spans="1:6" ht="13.5" hidden="1" customHeight="1">
      <c r="A9833" s="4" t="s">
        <v>22776</v>
      </c>
      <c r="B9833" s="4" t="s">
        <v>22777</v>
      </c>
      <c r="C9833" s="4" t="str">
        <f ca="1">IFERROR(__xludf.DUMMYFUNCTION("GOOGLETRANSLATE(D:D,""auto"",""en"")"),"British Prime Minister Johnson ventilator treatment is not carried out")</f>
        <v>British Prime Minister Johnson ventilator treatment is not carried out</v>
      </c>
      <c r="D9833" s="5" t="s">
        <v>22778</v>
      </c>
      <c r="E9833" s="4">
        <v>174550</v>
      </c>
    </row>
    <row r="9834" spans="1:6" ht="13.5" hidden="1" customHeight="1">
      <c r="A9834" s="4" t="s">
        <v>22779</v>
      </c>
      <c r="B9834" s="4" t="s">
        <v>22760</v>
      </c>
      <c r="C9834" s="4" t="str">
        <f ca="1">IFERROR(__xludf.DUMMYFUNCTION("GOOGLETRANSLATE(D:D,""auto"",""en"")"),"Have you seen the most amazing travel photos")</f>
        <v>Have you seen the most amazing travel photos</v>
      </c>
      <c r="D9834" s="5" t="s">
        <v>22780</v>
      </c>
      <c r="E9834" s="4">
        <v>162465</v>
      </c>
    </row>
    <row r="9835" spans="1:6" ht="13.5" customHeight="1">
      <c r="A9835" s="4" t="s">
        <v>22736</v>
      </c>
      <c r="B9835" s="4" t="s">
        <v>22781</v>
      </c>
      <c r="C9835" s="4" t="str">
        <f ca="1">IFERROR(__xludf.DUMMYFUNCTION("GOOGLETRANSLATE(D:D,""auto"",""en"")"),"China issued new crown pneumonia epidemic Chronicle")</f>
        <v>China issued new crown pneumonia epidemic Chronicle</v>
      </c>
      <c r="D9835" s="5" t="s">
        <v>22782</v>
      </c>
      <c r="E9835" s="4">
        <v>155635</v>
      </c>
      <c r="F9835">
        <v>1</v>
      </c>
    </row>
    <row r="9836" spans="1:6" ht="13.5" hidden="1" customHeight="1">
      <c r="A9836" s="4" t="s">
        <v>22783</v>
      </c>
      <c r="B9836" s="4" t="s">
        <v>22618</v>
      </c>
      <c r="C9836" s="4" t="str">
        <f ca="1">IFERROR(__xludf.DUMMYFUNCTION("GOOGLETRANSLATE(D:D,""auto"",""en"")"),"Zhou Zi Qian")</f>
        <v>Zhou Zi Qian</v>
      </c>
      <c r="D9836" s="5" t="s">
        <v>22784</v>
      </c>
      <c r="E9836" s="4">
        <v>152930</v>
      </c>
    </row>
    <row r="9837" spans="1:6" ht="13.5" hidden="1" customHeight="1">
      <c r="A9837" s="4" t="s">
        <v>22759</v>
      </c>
      <c r="B9837" s="4" t="s">
        <v>22785</v>
      </c>
      <c r="C9837" s="4" t="str">
        <f ca="1">IFERROR(__xludf.DUMMYFUNCTION("GOOGLETRANSLATE(D:D,""auto"",""en"")"),"Kite flying was originally a manual labor")</f>
        <v>Kite flying was originally a manual labor</v>
      </c>
      <c r="D9837" s="5" t="s">
        <v>22786</v>
      </c>
      <c r="E9837" s="4">
        <v>141479</v>
      </c>
    </row>
    <row r="9838" spans="1:6" ht="13.5" hidden="1" customHeight="1">
      <c r="A9838" s="4" t="s">
        <v>22787</v>
      </c>
      <c r="B9838" s="4" t="s">
        <v>22788</v>
      </c>
      <c r="C9838" s="4" t="str">
        <f ca="1">IFERROR(__xludf.DUMMYFUNCTION("GOOGLETRANSLATE(D:D,""auto"",""en"")"),"The world's richest two-month loss of 2.6 trillion")</f>
        <v>The world's richest two-month loss of 2.6 trillion</v>
      </c>
      <c r="D9838" s="5" t="s">
        <v>22789</v>
      </c>
      <c r="E9838" s="4">
        <v>120926</v>
      </c>
    </row>
    <row r="9839" spans="1:6" ht="13.5" hidden="1" customHeight="1">
      <c r="A9839" s="4" t="s">
        <v>22790</v>
      </c>
      <c r="B9839" s="4" t="s">
        <v>22791</v>
      </c>
      <c r="C9839" s="4" t="str">
        <f ca="1">IFERROR(__xludf.DUMMYFUNCTION("GOOGLETRANSLATE(D:D,""auto"",""en"")"),"Man Chun Xi Road, assaulting a police officer with a knife destruction of property, resisting arrest")</f>
        <v>Man Chun Xi Road, assaulting a police officer with a knife destruction of property, resisting arrest</v>
      </c>
      <c r="D9839" s="5" t="s">
        <v>22792</v>
      </c>
      <c r="E9839" s="4">
        <v>119528</v>
      </c>
    </row>
    <row r="9840" spans="1:6" ht="13.5" hidden="1" customHeight="1">
      <c r="C9840" s="4" t="str">
        <f ca="1">IFERROR(__xludf.DUMMYFUNCTION("GOOGLETRANSLATE(D:D,""auto"",""en"")"),"#VALUE!")</f>
        <v>#VALUE!</v>
      </c>
    </row>
    <row r="9841" spans="1:6" ht="13.5" hidden="1" customHeight="1">
      <c r="A9841" s="4" t="s">
        <v>22793</v>
      </c>
      <c r="B9841" s="4" t="s">
        <v>22794</v>
      </c>
      <c r="C9841" s="4" t="str">
        <f ca="1">IFERROR(__xludf.DUMMYFUNCTION("GOOGLETRANSLATE(D:D,""auto"",""en"")"),"SJS Zhaoen Jing married")</f>
        <v>SJS Zhaoen Jing married</v>
      </c>
      <c r="D9841" s="4" t="s">
        <v>22795</v>
      </c>
      <c r="E9841" s="4">
        <v>3641190</v>
      </c>
    </row>
    <row r="9842" spans="1:6" ht="13.5" hidden="1" customHeight="1">
      <c r="A9842" s="4" t="s">
        <v>22796</v>
      </c>
      <c r="B9842" s="4" t="s">
        <v>22797</v>
      </c>
      <c r="C9842" s="4" t="str">
        <f ca="1">IFERROR(__xludf.DUMMYFUNCTION("GOOGLETRANSLATE(D:D,""auto"",""en"")"),"Ching Ming holidays 43,254,000 passengers travel")</f>
        <v>Ching Ming holidays 43,254,000 passengers travel</v>
      </c>
      <c r="D9842" s="5" t="s">
        <v>22798</v>
      </c>
      <c r="E9842" s="4">
        <v>2799315</v>
      </c>
    </row>
    <row r="9843" spans="1:6" ht="13.5" hidden="1" customHeight="1">
      <c r="A9843" s="4" t="s">
        <v>22799</v>
      </c>
      <c r="B9843" s="4" t="s">
        <v>22800</v>
      </c>
      <c r="C9843" s="4" t="str">
        <f ca="1">IFERROR(__xludf.DUMMYFUNCTION("GOOGLETRANSLATE(D:D,""auto"",""en"")"),"Sichuan denied the woman was 16 years her husband of domestic violence")</f>
        <v>Sichuan denied the woman was 16 years her husband of domestic violence</v>
      </c>
      <c r="D9843" s="5" t="s">
        <v>22801</v>
      </c>
      <c r="E9843" s="4">
        <v>2502602</v>
      </c>
    </row>
    <row r="9844" spans="1:6" ht="13.5" customHeight="1">
      <c r="A9844" s="4" t="s">
        <v>22802</v>
      </c>
      <c r="B9844" s="4" t="s">
        <v>22803</v>
      </c>
      <c r="C9844" s="4" t="str">
        <f ca="1">IFERROR(__xludf.DUMMYFUNCTION("GOOGLETRANSLATE(D:D,""auto"",""en"")"),"University of packet high-speed rail back to Hubei student residence")</f>
        <v>University of packet high-speed rail back to Hubei student residence</v>
      </c>
      <c r="D9844" s="5" t="s">
        <v>22804</v>
      </c>
      <c r="E9844" s="4">
        <v>2002302</v>
      </c>
      <c r="F9844">
        <v>1</v>
      </c>
    </row>
    <row r="9845" spans="1:6" ht="13.5" customHeight="1">
      <c r="A9845" s="4" t="s">
        <v>22805</v>
      </c>
      <c r="B9845" s="4" t="s">
        <v>22806</v>
      </c>
      <c r="C9845" s="4" t="str">
        <f ca="1">IFERROR(__xludf.DUMMYFUNCTION("GOOGLETRANSLATE(D:D,""auto"",""en"")"),"The new 104-year-old crown cure patients with pneumonia")</f>
        <v>The new 104-year-old crown cure patients with pneumonia</v>
      </c>
      <c r="D9845" s="5" t="s">
        <v>22807</v>
      </c>
      <c r="E9845" s="4">
        <v>1330222</v>
      </c>
      <c r="F9845">
        <v>1</v>
      </c>
    </row>
    <row r="9846" spans="1:6" ht="13.5" customHeight="1">
      <c r="A9846" s="4" t="s">
        <v>13486</v>
      </c>
      <c r="B9846" s="4" t="s">
        <v>13393</v>
      </c>
      <c r="C9846" s="4" t="str">
        <f ca="1">IFERROR(__xludf.DUMMYFUNCTION("GOOGLETRANSLATE(D:D,""auto"",""en"")"),"School")</f>
        <v>School</v>
      </c>
      <c r="D9846" s="5" t="s">
        <v>13487</v>
      </c>
      <c r="E9846" s="4">
        <v>1209745</v>
      </c>
      <c r="F9846">
        <v>1</v>
      </c>
    </row>
    <row r="9847" spans="1:6" ht="13.5" hidden="1" customHeight="1">
      <c r="A9847" s="4" t="s">
        <v>22793</v>
      </c>
      <c r="B9847" s="4" t="s">
        <v>22808</v>
      </c>
      <c r="C9847" s="4" t="str">
        <f ca="1">IFERROR(__xludf.DUMMYFUNCTION("GOOGLETRANSLATE(D:D,""auto"",""en"")"),"Cai Xu Kun Do not let the fans pick up clustering")</f>
        <v>Cai Xu Kun Do not let the fans pick up clustering</v>
      </c>
      <c r="D9847" s="5" t="s">
        <v>22809</v>
      </c>
      <c r="E9847" s="4">
        <v>1174744</v>
      </c>
    </row>
    <row r="9848" spans="1:6" ht="13.5" hidden="1" customHeight="1">
      <c r="A9848" s="4" t="s">
        <v>22810</v>
      </c>
      <c r="B9848" s="4" t="s">
        <v>22811</v>
      </c>
      <c r="C9848" s="4" t="str">
        <f ca="1">IFERROR(__xludf.DUMMYFUNCTION("GOOGLETRANSLATE(D:D,""auto"",""en"")"),"No. N rooms and some members were on file")</f>
        <v>No. N rooms and some members were on file</v>
      </c>
      <c r="D9848" s="5" t="s">
        <v>22812</v>
      </c>
      <c r="E9848" s="4">
        <v>1130157</v>
      </c>
    </row>
    <row r="9849" spans="1:6" ht="13.5" hidden="1" customHeight="1">
      <c r="A9849" s="4" t="s">
        <v>22813</v>
      </c>
      <c r="B9849" s="4" t="s">
        <v>22814</v>
      </c>
      <c r="C9849" s="4" t="str">
        <f ca="1">IFERROR(__xludf.DUMMYFUNCTION("GOOGLETRANSLATE(D:D,""auto"",""en"")"),"British Prime disease progression transferred to ICU")</f>
        <v>British Prime disease progression transferred to ICU</v>
      </c>
      <c r="D9849" s="5" t="s">
        <v>22815</v>
      </c>
      <c r="E9849" s="4">
        <v>1025241</v>
      </c>
    </row>
    <row r="9850" spans="1:6" ht="13.5" customHeight="1">
      <c r="A9850" s="4" t="s">
        <v>22816</v>
      </c>
      <c r="B9850" s="4" t="s">
        <v>22817</v>
      </c>
      <c r="C9850" s="4" t="str">
        <f ca="1">IFERROR(__xludf.DUMMYFUNCTION("GOOGLETRANSLATE(D:D,""auto"",""en"")"),"Merkel's new crown is the biggest test since the establishment of the European Union")</f>
        <v>Merkel's new crown is the biggest test since the establishment of the European Union</v>
      </c>
      <c r="D9850" s="5" t="s">
        <v>22818</v>
      </c>
      <c r="E9850" s="4">
        <v>988772</v>
      </c>
      <c r="F9850">
        <v>1</v>
      </c>
    </row>
    <row r="9851" spans="1:6" ht="13.5" hidden="1" customHeight="1">
      <c r="A9851" s="4" t="s">
        <v>22819</v>
      </c>
      <c r="B9851" s="4" t="s">
        <v>22748</v>
      </c>
      <c r="C9851" s="4" t="str">
        <f ca="1">IFERROR(__xludf.DUMMYFUNCTION("GOOGLETRANSLATE(D:D,""auto"",""en"")"),"ZHU Guang rights tired paralysis")</f>
        <v>ZHU Guang rights tired paralysis</v>
      </c>
      <c r="D9851" s="5" t="s">
        <v>22820</v>
      </c>
      <c r="E9851" s="4">
        <v>927483</v>
      </c>
    </row>
    <row r="9852" spans="1:6" ht="13.5" hidden="1" customHeight="1">
      <c r="A9852" s="4" t="s">
        <v>22819</v>
      </c>
      <c r="B9852" s="4" t="s">
        <v>22821</v>
      </c>
      <c r="C9852" s="4" t="str">
        <f ca="1">IFERROR(__xludf.DUMMYFUNCTION("GOOGLETRANSLATE(D:D,""auto"",""en"")"),"Zhang quietly aid to non husband to return home as soon as possible hope for help")</f>
        <v>Zhang quietly aid to non husband to return home as soon as possible hope for help</v>
      </c>
      <c r="D9852" s="5" t="s">
        <v>22822</v>
      </c>
      <c r="E9852" s="4">
        <v>827623</v>
      </c>
    </row>
    <row r="9853" spans="1:6" ht="13.5" hidden="1" customHeight="1">
      <c r="A9853" s="4" t="s">
        <v>22823</v>
      </c>
      <c r="B9853" s="4" t="s">
        <v>22824</v>
      </c>
      <c r="C9853" s="4" t="str">
        <f ca="1">IFERROR(__xludf.DUMMYFUNCTION("GOOGLETRANSLATE(D:D,""auto"",""en"")"),"Ursula Blackman's death")</f>
        <v>Ursula Blackman's death</v>
      </c>
      <c r="D9853" s="5" t="s">
        <v>22825</v>
      </c>
      <c r="E9853" s="4">
        <v>692114</v>
      </c>
    </row>
    <row r="9854" spans="1:6" ht="13.5" hidden="1" customHeight="1">
      <c r="A9854" s="4" t="s">
        <v>22673</v>
      </c>
      <c r="B9854" s="4" t="s">
        <v>22674</v>
      </c>
      <c r="C9854" s="4" t="str">
        <f ca="1">IFERROR(__xludf.DUMMYFUNCTION("GOOGLETRANSLATE(D:D,""auto"",""en"")"),"Xu Fei")</f>
        <v>Xu Fei</v>
      </c>
      <c r="D9854" s="5" t="s">
        <v>22675</v>
      </c>
      <c r="E9854" s="4">
        <v>660232</v>
      </c>
    </row>
    <row r="9855" spans="1:6" ht="13.5" customHeight="1">
      <c r="A9855" s="4" t="s">
        <v>22810</v>
      </c>
      <c r="B9855" s="4" t="s">
        <v>22826</v>
      </c>
      <c r="C9855" s="4" t="str">
        <f ca="1">IFERROR(__xludf.DUMMYFUNCTION("GOOGLETRANSLATE(D:D,""auto"",""en"")"),"Hubei 18 new cases of asymptomatic infection")</f>
        <v>Hubei 18 new cases of asymptomatic infection</v>
      </c>
      <c r="D9855" s="5" t="s">
        <v>22827</v>
      </c>
      <c r="E9855" s="4">
        <v>583651</v>
      </c>
      <c r="F9855">
        <v>1</v>
      </c>
    </row>
    <row r="9856" spans="1:6" ht="13.5" hidden="1" customHeight="1">
      <c r="A9856" s="4" t="s">
        <v>22828</v>
      </c>
      <c r="B9856" s="4" t="s">
        <v>22829</v>
      </c>
      <c r="C9856" s="4" t="str">
        <f ca="1">IFERROR(__xludf.DUMMYFUNCTION("GOOGLETRANSLATE(D:D,""auto"",""en"")"),"more")</f>
        <v>more</v>
      </c>
      <c r="D9856" s="5" t="s">
        <v>22830</v>
      </c>
      <c r="E9856" s="4">
        <v>580777</v>
      </c>
    </row>
    <row r="9857" spans="1:6" ht="13.5" hidden="1" customHeight="1">
      <c r="A9857" s="4" t="s">
        <v>22828</v>
      </c>
      <c r="B9857" s="4" t="s">
        <v>22831</v>
      </c>
      <c r="C9857" s="4" t="str">
        <f ca="1">IFERROR(__xludf.DUMMYFUNCTION("GOOGLETRANSLATE(D:D,""auto"",""en"")"),"Liu Shi red cover")</f>
        <v>Liu Shi red cover</v>
      </c>
      <c r="D9857" s="5" t="s">
        <v>22832</v>
      </c>
      <c r="E9857" s="4">
        <v>572587</v>
      </c>
    </row>
    <row r="9858" spans="1:6" ht="13.5" hidden="1" customHeight="1">
      <c r="A9858" s="4" t="s">
        <v>22833</v>
      </c>
      <c r="B9858" s="4" t="s">
        <v>22834</v>
      </c>
      <c r="C9858" s="4" t="str">
        <f ca="1">IFERROR(__xludf.DUMMYFUNCTION("GOOGLETRANSLATE(D:D,""auto"",""en"")"),"Wang Yibo Adam's apple")</f>
        <v>Wang Yibo Adam's apple</v>
      </c>
      <c r="D9858" s="5" t="s">
        <v>22835</v>
      </c>
      <c r="E9858" s="4">
        <v>561113</v>
      </c>
    </row>
    <row r="9859" spans="1:6" ht="13.5" hidden="1" customHeight="1">
      <c r="A9859" s="4" t="s">
        <v>22836</v>
      </c>
      <c r="B9859" s="4" t="s">
        <v>22837</v>
      </c>
      <c r="C9859" s="4" t="str">
        <f ca="1">IFERROR(__xludf.DUMMYFUNCTION("GOOGLETRANSLATE(D:D,""auto"",""en"")"),"Jacket potato chips")</f>
        <v>Jacket potato chips</v>
      </c>
      <c r="D9859" s="5" t="s">
        <v>22838</v>
      </c>
      <c r="E9859" s="4">
        <v>549050</v>
      </c>
    </row>
    <row r="9860" spans="1:6" ht="13.5" customHeight="1">
      <c r="A9860" s="4" t="s">
        <v>22839</v>
      </c>
      <c r="B9860" s="4" t="s">
        <v>22840</v>
      </c>
      <c r="C9860" s="4" t="str">
        <f ca="1">IFERROR(__xludf.DUMMYFUNCTION("GOOGLETRANSLATE(D:D,""auto"",""en"")"),"Hubei Wei Jian Zhang quietly died Commission to respond")</f>
        <v>Hubei Wei Jian Zhang quietly died Commission to respond</v>
      </c>
      <c r="D9860" s="5" t="s">
        <v>22841</v>
      </c>
      <c r="E9860" s="4">
        <v>540959</v>
      </c>
      <c r="F9860">
        <v>1</v>
      </c>
    </row>
    <row r="9861" spans="1:6" ht="13.5" hidden="1" customHeight="1">
      <c r="A9861" s="4" t="s">
        <v>22842</v>
      </c>
      <c r="B9861" s="4" t="s">
        <v>22843</v>
      </c>
      <c r="C9861" s="4" t="str">
        <f ca="1">IFERROR(__xludf.DUMMYFUNCTION("GOOGLETRANSLATE(D:D,""auto"",""en"")"),"Trump disease progression in response to British Prime Minister")</f>
        <v>Trump disease progression in response to British Prime Minister</v>
      </c>
      <c r="D9861" s="5" t="s">
        <v>22844</v>
      </c>
      <c r="E9861" s="4">
        <v>483322</v>
      </c>
    </row>
    <row r="9862" spans="1:6" ht="13.5" hidden="1" customHeight="1">
      <c r="A9862" s="4" t="s">
        <v>22845</v>
      </c>
      <c r="B9862" s="4" t="s">
        <v>22667</v>
      </c>
      <c r="C9862" s="4" t="str">
        <f ca="1">IFERROR(__xludf.DUMMYFUNCTION("GOOGLETRANSLATE(D:D,""auto"",""en"")"),"After a lapse of more than 70 days to eat dry noodles again")</f>
        <v>After a lapse of more than 70 days to eat dry noodles again</v>
      </c>
      <c r="D9862" s="5" t="s">
        <v>22846</v>
      </c>
      <c r="E9862" s="4">
        <v>483200</v>
      </c>
    </row>
    <row r="9863" spans="1:6" ht="13.5" customHeight="1">
      <c r="A9863" s="4" t="s">
        <v>22810</v>
      </c>
      <c r="B9863" s="4" t="s">
        <v>22776</v>
      </c>
      <c r="C9863" s="4" t="str">
        <f ca="1">IFERROR(__xludf.DUMMYFUNCTION("GOOGLETRANSLATE(D:D,""auto"",""en"")"),"America became the third country of over a million deaths")</f>
        <v>America became the third country of over a million deaths</v>
      </c>
      <c r="D9863" s="5" t="s">
        <v>22847</v>
      </c>
      <c r="E9863" s="4">
        <v>475578</v>
      </c>
      <c r="F9863">
        <v>1</v>
      </c>
    </row>
    <row r="9864" spans="1:6" ht="13.5" hidden="1" customHeight="1">
      <c r="A9864" s="4" t="s">
        <v>22848</v>
      </c>
      <c r="B9864" s="4" t="s">
        <v>22849</v>
      </c>
      <c r="C9864" s="4" t="str">
        <f ca="1">IFERROR(__xludf.DUMMYFUNCTION("GOOGLETRANSLATE(D:D,""auto"",""en"")"),"Chenzhou City, North Dongting Lake Youth League secretary was removed from office")</f>
        <v>Chenzhou City, North Dongting Lake Youth League secretary was removed from office</v>
      </c>
      <c r="D9864" s="5" t="s">
        <v>22850</v>
      </c>
      <c r="E9864" s="4">
        <v>460963</v>
      </c>
    </row>
    <row r="9865" spans="1:6" ht="13.5" hidden="1" customHeight="1">
      <c r="A9865" s="4" t="s">
        <v>22851</v>
      </c>
      <c r="B9865" s="4" t="s">
        <v>22852</v>
      </c>
      <c r="C9865" s="4" t="str">
        <f ca="1">IFERROR(__xludf.DUMMYFUNCTION("GOOGLETRANSLATE(D:D,""auto"",""en"")"),"Dessert bag")</f>
        <v>Dessert bag</v>
      </c>
      <c r="D9865" s="5" t="s">
        <v>22853</v>
      </c>
      <c r="E9865" s="4">
        <v>428377</v>
      </c>
    </row>
    <row r="9866" spans="1:6" ht="13.5" customHeight="1">
      <c r="A9866" s="4" t="s">
        <v>22854</v>
      </c>
      <c r="B9866" s="4" t="s">
        <v>22855</v>
      </c>
      <c r="C9866" s="4" t="str">
        <f ca="1">IFERROR(__xludf.DUMMYFUNCTION("GOOGLETRANSLATE(D:D,""auto"",""en"")"),"Wuhan yesterday donation number 874")</f>
        <v>Wuhan yesterday donation number 874</v>
      </c>
      <c r="D9866" s="5" t="s">
        <v>22856</v>
      </c>
      <c r="E9866" s="4">
        <v>426509</v>
      </c>
      <c r="F9866">
        <v>1</v>
      </c>
    </row>
    <row r="9867" spans="1:6" ht="13.5" customHeight="1">
      <c r="A9867" s="4" t="s">
        <v>22857</v>
      </c>
      <c r="B9867" s="4" t="s">
        <v>22849</v>
      </c>
      <c r="C9867" s="4" t="str">
        <f ca="1">IFERROR(__xludf.DUMMYFUNCTION("GOOGLETRANSLATE(D:D,""auto"",""en"")"),"Henan Middle School first day of school")</f>
        <v>Henan Middle School first day of school</v>
      </c>
      <c r="D9867" s="5" t="s">
        <v>22858</v>
      </c>
      <c r="E9867" s="4">
        <v>398087</v>
      </c>
      <c r="F9867">
        <v>1</v>
      </c>
    </row>
    <row r="9868" spans="1:6" ht="13.5" customHeight="1">
      <c r="A9868" s="4" t="s">
        <v>22859</v>
      </c>
      <c r="B9868" s="4" t="s">
        <v>22667</v>
      </c>
      <c r="C9868" s="4" t="str">
        <f ca="1">IFERROR(__xludf.DUMMYFUNCTION("GOOGLETRANSLATE(D:D,""auto"",""en"")"),"US super-thousand new crowns diagnosed with pneumonia")</f>
        <v>US super-thousand new crowns diagnosed with pneumonia</v>
      </c>
      <c r="D9868" s="5" t="s">
        <v>22860</v>
      </c>
      <c r="E9868" s="4">
        <v>381297</v>
      </c>
      <c r="F9868">
        <v>1</v>
      </c>
    </row>
    <row r="9869" spans="1:6" ht="13.5" hidden="1" customHeight="1">
      <c r="A9869" s="4" t="s">
        <v>22851</v>
      </c>
      <c r="B9869" s="4" t="s">
        <v>22732</v>
      </c>
      <c r="C9869" s="4" t="str">
        <f ca="1">IFERROR(__xludf.DUMMYFUNCTION("GOOGLETRANSLATE(D:D,""auto"",""en"")"),"Forbidden City Cheng Qian Gong pear blossom")</f>
        <v>Forbidden City Cheng Qian Gong pear blossom</v>
      </c>
      <c r="D9869" s="5" t="s">
        <v>22861</v>
      </c>
      <c r="E9869" s="4">
        <v>335733</v>
      </c>
    </row>
    <row r="9870" spans="1:6" ht="13.5" hidden="1" customHeight="1">
      <c r="A9870" s="4" t="s">
        <v>22862</v>
      </c>
      <c r="B9870" s="4" t="s">
        <v>22863</v>
      </c>
      <c r="C9870" s="4" t="str">
        <f ca="1">IFERROR(__xludf.DUMMYFUNCTION("GOOGLETRANSLATE(D:D,""auto"",""en"")"),"Actor and film version of Flash fans clash")</f>
        <v>Actor and film version of Flash fans clash</v>
      </c>
      <c r="D9870" s="5" t="s">
        <v>22864</v>
      </c>
      <c r="E9870" s="4">
        <v>328703</v>
      </c>
    </row>
    <row r="9871" spans="1:6" ht="13.5" hidden="1" customHeight="1">
      <c r="A9871" s="4" t="s">
        <v>22865</v>
      </c>
      <c r="B9871" s="4" t="s">
        <v>22732</v>
      </c>
      <c r="C9871" s="4" t="str">
        <f ca="1">IFERROR(__xludf.DUMMYFUNCTION("GOOGLETRANSLATE(D:D,""auto"",""en"")"),"Sloth by the slow action is to visit the aquarium lug")</f>
        <v>Sloth by the slow action is to visit the aquarium lug</v>
      </c>
      <c r="D9871" s="5" t="s">
        <v>22866</v>
      </c>
      <c r="E9871" s="4">
        <v>315598</v>
      </c>
    </row>
    <row r="9872" spans="1:6" ht="13.5" hidden="1" customHeight="1">
      <c r="A9872" s="4" t="s">
        <v>22719</v>
      </c>
      <c r="B9872" s="4" t="s">
        <v>22824</v>
      </c>
      <c r="C9872" s="4" t="str">
        <f ca="1">IFERROR(__xludf.DUMMYFUNCTION("GOOGLETRANSLATE(D:D,""auto"",""en"")"),"Guangzhou Yuexiu District Official Gazette")</f>
        <v>Guangzhou Yuexiu District Official Gazette</v>
      </c>
      <c r="D9872" s="5" t="s">
        <v>22867</v>
      </c>
      <c r="E9872" s="4">
        <v>314032</v>
      </c>
    </row>
    <row r="9873" spans="1:6" ht="13.5" customHeight="1">
      <c r="A9873" s="4" t="s">
        <v>22868</v>
      </c>
      <c r="B9873" s="4" t="s">
        <v>22745</v>
      </c>
      <c r="C9873" s="4" t="str">
        <f ca="1">IFERROR(__xludf.DUMMYFUNCTION("GOOGLETRANSLATE(D:D,""auto"",""en"")"),"JK Rowling new crown after symptoms rehabilitation")</f>
        <v>JK Rowling new crown after symptoms rehabilitation</v>
      </c>
      <c r="D9873" s="5" t="s">
        <v>22869</v>
      </c>
      <c r="E9873" s="4">
        <v>298400</v>
      </c>
      <c r="F9873">
        <v>1</v>
      </c>
    </row>
    <row r="9874" spans="1:6" ht="13.5" hidden="1" customHeight="1">
      <c r="A9874" s="4" t="s">
        <v>22870</v>
      </c>
      <c r="B9874" s="4" t="s">
        <v>22800</v>
      </c>
      <c r="C9874" s="4" t="str">
        <f ca="1">IFERROR(__xludf.DUMMYFUNCTION("GOOGLETRANSLATE(D:D,""auto"",""en"")"),"Unicorn joint Makeup")</f>
        <v>Unicorn joint Makeup</v>
      </c>
      <c r="D9874" s="5" t="s">
        <v>22871</v>
      </c>
      <c r="E9874" s="4">
        <v>279099</v>
      </c>
    </row>
    <row r="9875" spans="1:6" ht="13.5" hidden="1" customHeight="1">
      <c r="A9875" s="4" t="s">
        <v>22872</v>
      </c>
      <c r="B9875" s="4" t="s">
        <v>22873</v>
      </c>
      <c r="C9875" s="4" t="str">
        <f ca="1">IFERROR(__xludf.DUMMYFUNCTION("GOOGLETRANSLATE(D:D,""auto"",""en"")"),"Antic's death")</f>
        <v>Antic's death</v>
      </c>
      <c r="D9875" s="5" t="s">
        <v>22874</v>
      </c>
      <c r="E9875" s="4">
        <v>271899</v>
      </c>
    </row>
    <row r="9876" spans="1:6" ht="13.5" customHeight="1">
      <c r="A9876" s="4" t="s">
        <v>22839</v>
      </c>
      <c r="B9876" s="4" t="s">
        <v>22736</v>
      </c>
      <c r="C9876" s="4" t="str">
        <f ca="1">IFERROR(__xludf.DUMMYFUNCTION("GOOGLETRANSLATE(D:D,""auto"",""en"")"),"1 day Wuhan reopened")</f>
        <v>1 day Wuhan reopened</v>
      </c>
      <c r="D9876" s="5" t="s">
        <v>22875</v>
      </c>
      <c r="E9876" s="4">
        <v>266667</v>
      </c>
      <c r="F9876">
        <v>1</v>
      </c>
    </row>
    <row r="9877" spans="1:6" ht="13.5" hidden="1" customHeight="1">
      <c r="A9877" s="4" t="s">
        <v>22719</v>
      </c>
      <c r="B9877" s="4" t="s">
        <v>22720</v>
      </c>
      <c r="C9877" s="4" t="str">
        <f ca="1">IFERROR(__xludf.DUMMYFUNCTION("GOOGLETRANSLATE(D:D,""auto"",""en"")"),"SPL")</f>
        <v>SPL</v>
      </c>
      <c r="D9877" s="5" t="s">
        <v>22721</v>
      </c>
      <c r="E9877" s="4">
        <v>266071</v>
      </c>
    </row>
    <row r="9878" spans="1:6" ht="13.5" customHeight="1">
      <c r="A9878" s="4" t="s">
        <v>22876</v>
      </c>
      <c r="B9878" s="4" t="s">
        <v>22667</v>
      </c>
      <c r="C9878" s="4" t="str">
        <f ca="1">IFERROR(__xludf.DUMMYFUNCTION("GOOGLETRANSLATE(D:D,""auto"",""en"")"),"New Zealand Minister of Health closed city in violation of the ban was demoted")</f>
        <v>New Zealand Minister of Health closed city in violation of the ban was demoted</v>
      </c>
      <c r="D9878" s="5" t="s">
        <v>22877</v>
      </c>
      <c r="E9878" s="4">
        <v>259987</v>
      </c>
      <c r="F9878">
        <v>1</v>
      </c>
    </row>
    <row r="9879" spans="1:6" ht="13.5" hidden="1" customHeight="1">
      <c r="A9879" s="4" t="s">
        <v>22878</v>
      </c>
      <c r="B9879" s="4" t="s">
        <v>22776</v>
      </c>
      <c r="C9879" s="4" t="str">
        <f ca="1">IFERROR(__xludf.DUMMYFUNCTION("GOOGLETRANSLATE(D:D,""auto"",""en"")"),"Crispy strawberry heart flow Cascade Mountains")</f>
        <v>Crispy strawberry heart flow Cascade Mountains</v>
      </c>
      <c r="D9879" s="5" t="s">
        <v>22879</v>
      </c>
      <c r="E9879" s="4">
        <v>230123</v>
      </c>
    </row>
    <row r="9880" spans="1:6" ht="13.5" customHeight="1">
      <c r="A9880" s="4" t="s">
        <v>22880</v>
      </c>
      <c r="B9880" s="4" t="s">
        <v>22881</v>
      </c>
      <c r="C9880" s="4" t="str">
        <f ca="1">IFERROR(__xludf.DUMMYFUNCTION("GOOGLETRANSLATE(D:D,""auto"",""en"")"),"British police Rap promote home quarantine")</f>
        <v>British police Rap promote home quarantine</v>
      </c>
      <c r="D9880" s="5" t="s">
        <v>22882</v>
      </c>
      <c r="E9880" s="4">
        <v>217907</v>
      </c>
      <c r="F9880">
        <v>1</v>
      </c>
    </row>
    <row r="9881" spans="1:6" ht="13.5" hidden="1" customHeight="1">
      <c r="A9881" s="4" t="s">
        <v>22880</v>
      </c>
      <c r="B9881" s="4" t="s">
        <v>22863</v>
      </c>
      <c r="C9881" s="4" t="str">
        <f ca="1">IFERROR(__xludf.DUMMYFUNCTION("GOOGLETRANSLATE(D:D,""auto"",""en"")"),"Diamond ornaments")</f>
        <v>Diamond ornaments</v>
      </c>
      <c r="D9881" s="5" t="s">
        <v>22883</v>
      </c>
      <c r="E9881" s="4">
        <v>211133</v>
      </c>
    </row>
    <row r="9882" spans="1:6" ht="13.5" customHeight="1">
      <c r="A9882" s="4" t="s">
        <v>22865</v>
      </c>
      <c r="B9882" s="4" t="s">
        <v>22884</v>
      </c>
      <c r="C9882" s="4" t="str">
        <f ca="1">IFERROR(__xludf.DUMMYFUNCTION("GOOGLETRANSLATE(D:D,""auto"",""en"")"),"WHO encourages countries to the general public to wear masks")</f>
        <v>WHO encourages countries to the general public to wear masks</v>
      </c>
      <c r="D9882" s="5" t="s">
        <v>22885</v>
      </c>
      <c r="E9882" s="4">
        <v>208338</v>
      </c>
      <c r="F9882">
        <v>1</v>
      </c>
    </row>
    <row r="9883" spans="1:6" ht="13.5" hidden="1" customHeight="1">
      <c r="A9883" s="4" t="s">
        <v>22886</v>
      </c>
      <c r="B9883" s="4" t="s">
        <v>22887</v>
      </c>
      <c r="C9883" s="4" t="str">
        <f ca="1">IFERROR(__xludf.DUMMYFUNCTION("GOOGLETRANSLATE(D:D,""auto"",""en"")"),"Frozen new special episode")</f>
        <v>Frozen new special episode</v>
      </c>
      <c r="D9883" s="5" t="s">
        <v>22888</v>
      </c>
      <c r="E9883" s="4">
        <v>197305</v>
      </c>
    </row>
    <row r="9884" spans="1:6" ht="13.5" hidden="1" customHeight="1">
      <c r="A9884" s="4" t="s">
        <v>22889</v>
      </c>
      <c r="B9884" s="4" t="s">
        <v>22890</v>
      </c>
      <c r="C9884" s="4" t="str">
        <f ca="1">IFERROR(__xludf.DUMMYFUNCTION("GOOGLETRANSLATE(D:D,""auto"",""en"")"),"Homemade muffins Netherlands")</f>
        <v>Homemade muffins Netherlands</v>
      </c>
      <c r="D9884" s="5" t="s">
        <v>22891</v>
      </c>
      <c r="E9884" s="4">
        <v>197125</v>
      </c>
    </row>
    <row r="9885" spans="1:6" ht="13.5" customHeight="1">
      <c r="A9885" s="4" t="s">
        <v>22878</v>
      </c>
      <c r="B9885" s="4" t="s">
        <v>22732</v>
      </c>
      <c r="C9885" s="4" t="str">
        <f ca="1">IFERROR(__xludf.DUMMYFUNCTION("GOOGLETRANSLATE(D:D,""auto"",""en"")"),"United States more than 360,000 confirmed cases")</f>
        <v>United States more than 360,000 confirmed cases</v>
      </c>
      <c r="D9885" s="5" t="s">
        <v>22892</v>
      </c>
      <c r="E9885" s="4">
        <v>197000</v>
      </c>
      <c r="F9885">
        <v>1</v>
      </c>
    </row>
    <row r="9886" spans="1:6" ht="13.5" hidden="1" customHeight="1">
      <c r="A9886" s="4" t="s">
        <v>22893</v>
      </c>
      <c r="B9886" s="4" t="s">
        <v>22894</v>
      </c>
      <c r="C9886" s="4" t="str">
        <f ca="1">IFERROR(__xludf.DUMMYFUNCTION("GOOGLETRANSLATE(D:D,""auto"",""en"")"),"Guangzhou investigation found five cases of foreign input")</f>
        <v>Guangzhou investigation found five cases of foreign input</v>
      </c>
      <c r="D9886" s="5" t="s">
        <v>22895</v>
      </c>
      <c r="E9886" s="4">
        <v>196651</v>
      </c>
    </row>
    <row r="9887" spans="1:6" ht="13.5" hidden="1" customHeight="1">
      <c r="A9887" s="4" t="s">
        <v>22896</v>
      </c>
      <c r="B9887" s="4" t="s">
        <v>22753</v>
      </c>
      <c r="C9887" s="4" t="str">
        <f ca="1">IFERROR(__xludf.DUMMYFUNCTION("GOOGLETRANSLATE(D:D,""auto"",""en"")"),"Wash your hands edition PPAP")</f>
        <v>Wash your hands edition PPAP</v>
      </c>
      <c r="D9887" s="5" t="s">
        <v>22897</v>
      </c>
      <c r="E9887" s="4">
        <v>196595</v>
      </c>
    </row>
    <row r="9888" spans="1:6" ht="13.5" hidden="1" customHeight="1">
      <c r="A9888" s="4" t="s">
        <v>22898</v>
      </c>
      <c r="B9888" s="4" t="s">
        <v>22899</v>
      </c>
      <c r="C9888" s="4" t="str">
        <f ca="1">IFERROR(__xludf.DUMMYFUNCTION("GOOGLETRANSLATE(D:D,""auto"",""en"")"),"What experience has the uncommon surname")</f>
        <v>What experience has the uncommon surname</v>
      </c>
      <c r="D9888" s="5" t="s">
        <v>22900</v>
      </c>
      <c r="E9888" s="4">
        <v>192290</v>
      </c>
    </row>
    <row r="9889" spans="1:6" ht="13.5" hidden="1" customHeight="1">
      <c r="A9889" s="4" t="s">
        <v>22695</v>
      </c>
      <c r="B9889" s="4" t="s">
        <v>22696</v>
      </c>
      <c r="C9889" s="4" t="str">
        <f ca="1">IFERROR(__xludf.DUMMYFUNCTION("GOOGLETRANSLATE(D:D,""auto"",""en"")"),"ZHU Guang Li Jiaqi right to imitate")</f>
        <v>ZHU Guang Li Jiaqi right to imitate</v>
      </c>
      <c r="D9889" s="5" t="s">
        <v>22697</v>
      </c>
      <c r="E9889" s="4">
        <v>188263</v>
      </c>
    </row>
    <row r="9890" spans="1:6" ht="13.5" hidden="1" customHeight="1">
      <c r="C9890" s="4" t="str">
        <f ca="1">IFERROR(__xludf.DUMMYFUNCTION("GOOGLETRANSLATE(D:D,""auto"",""en"")"),"#VALUE!")</f>
        <v>#VALUE!</v>
      </c>
    </row>
    <row r="9891" spans="1:6" ht="13.5" customHeight="1">
      <c r="A9891" s="4" t="s">
        <v>22901</v>
      </c>
      <c r="B9891" s="4" t="s">
        <v>22902</v>
      </c>
      <c r="C9891" s="4" t="str">
        <f ca="1">IFERROR(__xludf.DUMMYFUNCTION("GOOGLETRANSLATE(D:D,""auto"",""en"")"),"Wuhan reopened")</f>
        <v>Wuhan reopened</v>
      </c>
      <c r="D9891" s="4" t="s">
        <v>22903</v>
      </c>
      <c r="E9891" s="4">
        <v>2876275</v>
      </c>
      <c r="F9891">
        <v>1</v>
      </c>
    </row>
    <row r="9892" spans="1:6" ht="13.5" customHeight="1">
      <c r="A9892" s="4" t="s">
        <v>22904</v>
      </c>
      <c r="B9892" s="4" t="s">
        <v>22905</v>
      </c>
      <c r="C9892" s="4" t="str">
        <f ca="1">IFERROR(__xludf.DUMMYFUNCTION("GOOGLETRANSLATE(D:D,""auto"",""en"")"),"Wuhan reopened encounter Super Moon")</f>
        <v>Wuhan reopened encounter Super Moon</v>
      </c>
      <c r="D9892" s="5" t="s">
        <v>22906</v>
      </c>
      <c r="E9892" s="4">
        <v>1889037</v>
      </c>
      <c r="F9892">
        <v>1</v>
      </c>
    </row>
    <row r="9893" spans="1:6" ht="13.5" hidden="1" customHeight="1">
      <c r="A9893" s="4" t="s">
        <v>22907</v>
      </c>
      <c r="B9893" s="4" t="s">
        <v>22908</v>
      </c>
      <c r="C9893" s="4" t="str">
        <f ca="1">IFERROR(__xludf.DUMMYFUNCTION("GOOGLETRANSLATE(D:D,""auto"",""en"")"),"Fortunately, the Swiss coffee suspension")</f>
        <v>Fortunately, the Swiss coffee suspension</v>
      </c>
      <c r="D9893" s="5" t="s">
        <v>22909</v>
      </c>
      <c r="E9893" s="4">
        <v>1590055</v>
      </c>
    </row>
    <row r="9894" spans="1:6" ht="13.5" hidden="1" customHeight="1">
      <c r="A9894" s="4" t="s">
        <v>22910</v>
      </c>
      <c r="B9894" s="4" t="s">
        <v>22911</v>
      </c>
      <c r="C9894" s="4" t="str">
        <f ca="1">IFERROR(__xludf.DUMMYFUNCTION("GOOGLETRANSLATE(D:D,""auto"",""en"")"),"Yang will not smelly feet beyond the fairy")</f>
        <v>Yang will not smelly feet beyond the fairy</v>
      </c>
      <c r="D9894" s="5" t="s">
        <v>22912</v>
      </c>
      <c r="E9894" s="4">
        <v>1520127</v>
      </c>
    </row>
    <row r="9895" spans="1:6" ht="13.5" hidden="1" customHeight="1">
      <c r="A9895" s="4" t="s">
        <v>22913</v>
      </c>
      <c r="B9895" s="4" t="s">
        <v>22914</v>
      </c>
      <c r="C9895" s="4" t="str">
        <f ca="1">IFERROR(__xludf.DUMMYFUNCTION("GOOGLETRANSLATE(D:D,""auto"",""en"")"),"Huang lot of fitness")</f>
        <v>Huang lot of fitness</v>
      </c>
      <c r="D9895" s="5" t="s">
        <v>22915</v>
      </c>
      <c r="E9895" s="4">
        <v>1345665</v>
      </c>
    </row>
    <row r="9896" spans="1:6" ht="13.5" hidden="1" customHeight="1">
      <c r="A9896" s="4" t="s">
        <v>22916</v>
      </c>
      <c r="B9896" s="4" t="s">
        <v>22917</v>
      </c>
      <c r="C9896" s="4" t="str">
        <f ca="1">IFERROR(__xludf.DUMMYFUNCTION("GOOGLETRANSLATE(D:D,""auto"",""en"")"),"Be a happy man from tomorrow on")</f>
        <v>Be a happy man from tomorrow on</v>
      </c>
      <c r="D9896" s="5" t="s">
        <v>22918</v>
      </c>
      <c r="E9896" s="4">
        <v>942356</v>
      </c>
    </row>
    <row r="9897" spans="1:6" ht="13.5" customHeight="1">
      <c r="A9897" s="4" t="s">
        <v>22919</v>
      </c>
      <c r="B9897" s="4" t="s">
        <v>22920</v>
      </c>
      <c r="C9897" s="4" t="str">
        <f ca="1">IFERROR(__xludf.DUMMYFUNCTION("GOOGLETRANSLATE(D:D,""auto"",""en"")"),"Wuhan Henan Henan personnel to free nucleic acid detection")</f>
        <v>Wuhan Henan Henan personnel to free nucleic acid detection</v>
      </c>
      <c r="D9897" s="5" t="s">
        <v>22921</v>
      </c>
      <c r="E9897" s="4">
        <v>921129</v>
      </c>
      <c r="F9897">
        <v>1</v>
      </c>
    </row>
    <row r="9898" spans="1:6" ht="13.5" hidden="1" customHeight="1">
      <c r="A9898" s="4" t="s">
        <v>14434</v>
      </c>
      <c r="B9898" s="4" t="s">
        <v>22922</v>
      </c>
      <c r="C9898" s="4" t="str">
        <f ca="1">IFERROR(__xludf.DUMMYFUNCTION("GOOGLETRANSLATE(D:D,""auto"",""en"")"),"58 anchor blacklisted")</f>
        <v>58 anchor blacklisted</v>
      </c>
      <c r="D9898" s="5" t="s">
        <v>22923</v>
      </c>
      <c r="E9898" s="4">
        <v>811494</v>
      </c>
    </row>
    <row r="9899" spans="1:6" ht="13.5" hidden="1" customHeight="1">
      <c r="A9899" s="4" t="s">
        <v>22924</v>
      </c>
      <c r="B9899" s="4" t="s">
        <v>22925</v>
      </c>
      <c r="C9899" s="4" t="str">
        <f ca="1">IFERROR(__xludf.DUMMYFUNCTION("GOOGLETRANSLATE(D:D,""auto"",""en"")"),"Chinese Foreign Ministry in response to rising xenophobic remarks")</f>
        <v>Chinese Foreign Ministry in response to rising xenophobic remarks</v>
      </c>
      <c r="D9899" s="5" t="s">
        <v>22926</v>
      </c>
      <c r="E9899" s="4">
        <v>761800</v>
      </c>
    </row>
    <row r="9900" spans="1:6" ht="13.5" hidden="1" customHeight="1">
      <c r="A9900" s="4" t="s">
        <v>22927</v>
      </c>
      <c r="B9900" s="4" t="s">
        <v>22928</v>
      </c>
      <c r="C9900" s="4" t="str">
        <f ca="1">IFERROR(__xludf.DUMMYFUNCTION("GOOGLETRANSLATE(D:D,""auto"",""en"")"),"Kennedy family tragedy took place")</f>
        <v>Kennedy family tragedy took place</v>
      </c>
      <c r="D9900" s="5" t="s">
        <v>22929</v>
      </c>
      <c r="E9900" s="4">
        <v>738608</v>
      </c>
    </row>
    <row r="9901" spans="1:6" ht="13.5" hidden="1" customHeight="1">
      <c r="A9901" s="4" t="s">
        <v>22930</v>
      </c>
      <c r="B9901" s="4" t="s">
        <v>22931</v>
      </c>
      <c r="C9901" s="4" t="str">
        <f ca="1">IFERROR(__xludf.DUMMYFUNCTION("GOOGLETRANSLATE(D:D,""auto"",""en"")"),"Qingping")</f>
        <v>Qingping</v>
      </c>
      <c r="D9901" s="5" t="s">
        <v>22932</v>
      </c>
      <c r="E9901" s="4">
        <v>737720</v>
      </c>
    </row>
    <row r="9902" spans="1:6" ht="13.5" hidden="1" customHeight="1">
      <c r="A9902" s="4" t="s">
        <v>15970</v>
      </c>
      <c r="B9902" s="4" t="s">
        <v>15971</v>
      </c>
      <c r="C9902" s="4" t="str">
        <f ca="1">IFERROR(__xludf.DUMMYFUNCTION("GOOGLETRANSLATE(D:D,""auto"",""en"")"),"Super Moon")</f>
        <v>Super Moon</v>
      </c>
      <c r="D9902" s="5" t="s">
        <v>15972</v>
      </c>
      <c r="E9902" s="4">
        <v>737495</v>
      </c>
    </row>
    <row r="9903" spans="1:6" ht="13.5" hidden="1" customHeight="1">
      <c r="A9903" s="4" t="s">
        <v>22933</v>
      </c>
      <c r="B9903" s="4" t="s">
        <v>22934</v>
      </c>
      <c r="C9903" s="4" t="str">
        <f ca="1">IFERROR(__xludf.DUMMYFUNCTION("GOOGLETRANSLATE(D:D,""auto"",""en"")"),"SJS issued")</f>
        <v>SJS issued</v>
      </c>
      <c r="D9903" s="5" t="s">
        <v>22935</v>
      </c>
      <c r="E9903" s="4">
        <v>736002</v>
      </c>
    </row>
    <row r="9904" spans="1:6" ht="13.5" hidden="1" customHeight="1">
      <c r="A9904" s="4" t="s">
        <v>22933</v>
      </c>
      <c r="B9904" s="4" t="s">
        <v>22936</v>
      </c>
      <c r="C9904" s="4" t="str">
        <f ca="1">IFERROR(__xludf.DUMMYFUNCTION("GOOGLETRANSLATE(D:D,""auto"",""en"")"),"Yuan Longping said that China will not be food shortages")</f>
        <v>Yuan Longping said that China will not be food shortages</v>
      </c>
      <c r="D9904" s="5" t="s">
        <v>22937</v>
      </c>
      <c r="E9904" s="4">
        <v>735493</v>
      </c>
    </row>
    <row r="9905" spans="1:6" ht="13.5" hidden="1" customHeight="1">
      <c r="A9905" s="4" t="s">
        <v>22938</v>
      </c>
      <c r="B9905" s="4" t="s">
        <v>22939</v>
      </c>
      <c r="C9905" s="4" t="str">
        <f ca="1">IFERROR(__xludf.DUMMYFUNCTION("GOOGLETRANSLATE(D:D,""auto"",""en"")"),"Sichuan Liangshan mountain collapsed burst")</f>
        <v>Sichuan Liangshan mountain collapsed burst</v>
      </c>
      <c r="D9905" s="5" t="s">
        <v>22940</v>
      </c>
      <c r="E9905" s="4">
        <v>734058</v>
      </c>
    </row>
    <row r="9906" spans="1:6" ht="13.5" hidden="1" customHeight="1">
      <c r="A9906" s="4" t="s">
        <v>22941</v>
      </c>
      <c r="B9906" s="4" t="s">
        <v>22942</v>
      </c>
      <c r="C9906" s="4" t="str">
        <f ca="1">IFERROR(__xludf.DUMMYFUNCTION("GOOGLETRANSLATE(D:D,""auto"",""en"")"),"The couple's world story")</f>
        <v>The couple's world story</v>
      </c>
      <c r="D9906" s="5" t="s">
        <v>22943</v>
      </c>
      <c r="E9906" s="4">
        <v>733856</v>
      </c>
    </row>
    <row r="9907" spans="1:6" ht="13.5" hidden="1" customHeight="1">
      <c r="A9907" s="4" t="s">
        <v>22944</v>
      </c>
      <c r="B9907" s="4" t="s">
        <v>22945</v>
      </c>
      <c r="C9907" s="4" t="str">
        <f ca="1">IFERROR(__xludf.DUMMYFUNCTION("GOOGLETRANSLATE(D:D,""auto"",""en"")"),"IQIYI stock")</f>
        <v>IQIYI stock</v>
      </c>
      <c r="D9907" s="5" t="s">
        <v>22946</v>
      </c>
      <c r="E9907" s="4">
        <v>732510</v>
      </c>
    </row>
    <row r="9908" spans="1:6" ht="13.5" hidden="1" customHeight="1">
      <c r="A9908" s="4" t="s">
        <v>22947</v>
      </c>
      <c r="B9908" s="4" t="s">
        <v>22948</v>
      </c>
      <c r="C9908" s="4" t="str">
        <f ca="1">IFERROR(__xludf.DUMMYFUNCTION("GOOGLETRANSLATE(D:D,""auto"",""en"")"),"Appearance is misunderstood because of age experience")</f>
        <v>Appearance is misunderstood because of age experience</v>
      </c>
      <c r="D9908" s="5" t="s">
        <v>22949</v>
      </c>
      <c r="E9908" s="4">
        <v>731603</v>
      </c>
    </row>
    <row r="9909" spans="1:6" ht="13.5" hidden="1" customHeight="1">
      <c r="A9909" s="4" t="s">
        <v>22950</v>
      </c>
      <c r="B9909" s="4" t="s">
        <v>22951</v>
      </c>
      <c r="C9909" s="4" t="str">
        <f ca="1">IFERROR(__xludf.DUMMYFUNCTION("GOOGLETRANSLATE(D:D,""auto"",""en"")"),"Between a couple of the most taboo topics")</f>
        <v>Between a couple of the most taboo topics</v>
      </c>
      <c r="D9909" s="5" t="s">
        <v>22952</v>
      </c>
      <c r="E9909" s="4">
        <v>731141</v>
      </c>
    </row>
    <row r="9910" spans="1:6" ht="13.5" customHeight="1">
      <c r="A9910" s="4" t="s">
        <v>22953</v>
      </c>
      <c r="B9910" s="4" t="s">
        <v>22954</v>
      </c>
      <c r="C9910" s="4" t="str">
        <f ca="1">IFERROR(__xludf.DUMMYFUNCTION("GOOGLETRANSLATE(D:D,""auto"",""en"")"),"Lamborghini hand-sewn 1000 masks a day")</f>
        <v>Lamborghini hand-sewn 1000 masks a day</v>
      </c>
      <c r="D9910" s="5" t="s">
        <v>22955</v>
      </c>
      <c r="E9910" s="4">
        <v>728737</v>
      </c>
      <c r="F9910">
        <v>1</v>
      </c>
    </row>
    <row r="9911" spans="1:6" ht="13.5" hidden="1" customHeight="1">
      <c r="A9911" s="4" t="s">
        <v>22956</v>
      </c>
      <c r="B9911" s="4" t="s">
        <v>22957</v>
      </c>
      <c r="C9911" s="4" t="str">
        <f ca="1">IFERROR(__xludf.DUMMYFUNCTION("GOOGLETRANSLATE(D:D,""auto"",""en"")"),"Italy was flung open two seagulls fighting police")</f>
        <v>Italy was flung open two seagulls fighting police</v>
      </c>
      <c r="D9911" s="5" t="s">
        <v>22958</v>
      </c>
      <c r="E9911" s="4">
        <v>684350</v>
      </c>
    </row>
    <row r="9912" spans="1:6" ht="13.5" hidden="1" customHeight="1">
      <c r="A9912" s="4" t="s">
        <v>22959</v>
      </c>
      <c r="B9912" s="4" t="s">
        <v>22960</v>
      </c>
      <c r="C9912" s="4" t="str">
        <f ca="1">IFERROR(__xludf.DUMMYFUNCTION("GOOGLETRANSLATE(D:D,""auto"",""en"")"),"The power of liberal arts students")</f>
        <v>The power of liberal arts students</v>
      </c>
      <c r="D9912" s="5" t="s">
        <v>22961</v>
      </c>
      <c r="E9912" s="4">
        <v>635745</v>
      </c>
    </row>
    <row r="9913" spans="1:6" ht="13.5" hidden="1" customHeight="1">
      <c r="A9913" s="4" t="s">
        <v>18462</v>
      </c>
      <c r="B9913" s="4" t="s">
        <v>18463</v>
      </c>
      <c r="C9913" s="4" t="str">
        <f ca="1">IFERROR(__xludf.DUMMYFUNCTION("GOOGLETRANSLATE(D:D,""auto"",""en"")"),"Rock candy stew Sydney")</f>
        <v>Rock candy stew Sydney</v>
      </c>
      <c r="D9913" s="5" t="s">
        <v>18464</v>
      </c>
      <c r="E9913" s="4">
        <v>599226</v>
      </c>
    </row>
    <row r="9914" spans="1:6" ht="13.5" hidden="1" customHeight="1">
      <c r="A9914" s="4" t="s">
        <v>22962</v>
      </c>
      <c r="B9914" s="4" t="s">
        <v>22963</v>
      </c>
      <c r="C9914" s="4" t="str">
        <f ca="1">IFERROR(__xludf.DUMMYFUNCTION("GOOGLETRANSLATE(D:D,""auto"",""en"")"),"Mr. Guo")</f>
        <v>Mr. Guo</v>
      </c>
      <c r="D9914" s="5" t="s">
        <v>22964</v>
      </c>
      <c r="E9914" s="4">
        <v>555279</v>
      </c>
    </row>
    <row r="9915" spans="1:6" ht="13.5" hidden="1" customHeight="1">
      <c r="A9915" s="4" t="s">
        <v>22965</v>
      </c>
      <c r="B9915" s="4" t="s">
        <v>22966</v>
      </c>
      <c r="C9915" s="4" t="str">
        <f ca="1">IFERROR(__xludf.DUMMYFUNCTION("GOOGLETRANSLATE(D:D,""auto"",""en"")"),"Boys occupied area of ​​the bed.")</f>
        <v>Boys occupied area of ​​the bed.</v>
      </c>
      <c r="D9915" s="5" t="s">
        <v>22967</v>
      </c>
      <c r="E9915" s="4">
        <v>478354</v>
      </c>
    </row>
    <row r="9916" spans="1:6" ht="13.5" hidden="1" customHeight="1">
      <c r="A9916" s="4" t="s">
        <v>22968</v>
      </c>
      <c r="B9916" s="4" t="s">
        <v>22905</v>
      </c>
      <c r="C9916" s="4" t="str">
        <f ca="1">IFERROR(__xludf.DUMMYFUNCTION("GOOGLETRANSLATE(D:D,""auto"",""en"")"),"The bedroom's law students")</f>
        <v>The bedroom's law students</v>
      </c>
      <c r="D9916" s="5" t="s">
        <v>22969</v>
      </c>
      <c r="E9916" s="4">
        <v>387513</v>
      </c>
    </row>
    <row r="9917" spans="1:6" ht="13.5" hidden="1" customHeight="1">
      <c r="A9917" s="4" t="s">
        <v>22970</v>
      </c>
      <c r="B9917" s="4" t="s">
        <v>22971</v>
      </c>
      <c r="C9917" s="4" t="str">
        <f ca="1">IFERROR(__xludf.DUMMYFUNCTION("GOOGLETRANSLATE(D:D,""auto"",""en"")"),"Open universe")</f>
        <v>Open universe</v>
      </c>
      <c r="D9917" s="5" t="s">
        <v>22972</v>
      </c>
      <c r="E9917" s="4">
        <v>380652</v>
      </c>
    </row>
    <row r="9918" spans="1:6" ht="13.5" hidden="1" customHeight="1">
      <c r="A9918" s="4" t="s">
        <v>22973</v>
      </c>
      <c r="B9918" s="4" t="s">
        <v>22974</v>
      </c>
      <c r="C9918" s="4" t="str">
        <f ca="1">IFERROR(__xludf.DUMMYFUNCTION("GOOGLETRANSLATE(D:D,""auto"",""en"")"),"Singer on stage contrasts")</f>
        <v>Singer on stage contrasts</v>
      </c>
      <c r="D9918" s="5" t="s">
        <v>22975</v>
      </c>
      <c r="E9918" s="4">
        <v>354488</v>
      </c>
    </row>
    <row r="9919" spans="1:6" ht="13.5" hidden="1" customHeight="1">
      <c r="A9919" s="4" t="s">
        <v>22904</v>
      </c>
      <c r="B9919" s="4" t="s">
        <v>22976</v>
      </c>
      <c r="C9919" s="4" t="str">
        <f ca="1">IFERROR(__xludf.DUMMYFUNCTION("GOOGLETRANSLATE(D:D,""auto"",""en"")"),"Trump reconciliation and 3M Company")</f>
        <v>Trump reconciliation and 3M Company</v>
      </c>
      <c r="D9919" s="5" t="s">
        <v>22977</v>
      </c>
      <c r="E9919" s="4">
        <v>342249</v>
      </c>
    </row>
    <row r="9920" spans="1:6" ht="13.5" hidden="1" customHeight="1">
      <c r="A9920" s="4" t="s">
        <v>22978</v>
      </c>
      <c r="B9920" s="4" t="s">
        <v>22979</v>
      </c>
      <c r="C9920" s="4" t="str">
        <f ca="1">IFERROR(__xludf.DUMMYFUNCTION("GOOGLETRANSLATE(D:D,""auto"",""en"")"),"Master mood finale")</f>
        <v>Master mood finale</v>
      </c>
      <c r="D9920" s="5" t="s">
        <v>22980</v>
      </c>
      <c r="E9920" s="4">
        <v>341532</v>
      </c>
    </row>
    <row r="9921" spans="1:6" ht="13.5" hidden="1" customHeight="1">
      <c r="A9921" s="4" t="s">
        <v>22501</v>
      </c>
      <c r="B9921" s="4" t="s">
        <v>22502</v>
      </c>
      <c r="C9921" s="4" t="str">
        <f ca="1">IFERROR(__xludf.DUMMYFUNCTION("GOOGLETRANSLATE(D:D,""auto"",""en"")"),"Angela")</f>
        <v>Angela</v>
      </c>
      <c r="D9921" s="5" t="s">
        <v>22503</v>
      </c>
      <c r="E9921" s="4">
        <v>336637</v>
      </c>
    </row>
    <row r="9922" spans="1:6" ht="13.5" hidden="1" customHeight="1">
      <c r="A9922" s="4" t="s">
        <v>22981</v>
      </c>
      <c r="B9922" s="4" t="s">
        <v>22982</v>
      </c>
      <c r="C9922" s="4" t="str">
        <f ca="1">IFERROR(__xludf.DUMMYFUNCTION("GOOGLETRANSLATE(D:D,""auto"",""en"")"),"Forbes global billionaires list")</f>
        <v>Forbes global billionaires list</v>
      </c>
      <c r="D9922" s="5" t="s">
        <v>22983</v>
      </c>
      <c r="E9922" s="4">
        <v>315317</v>
      </c>
    </row>
    <row r="9923" spans="1:6" ht="13.5" customHeight="1">
      <c r="A9923" s="4" t="s">
        <v>22984</v>
      </c>
      <c r="B9923" s="4" t="s">
        <v>22985</v>
      </c>
      <c r="C9923" s="4" t="str">
        <f ca="1">IFERROR(__xludf.DUMMYFUNCTION("GOOGLETRANSLATE(D:D,""auto"",""en"")"),"French Nurse jointly naked protest")</f>
        <v>French Nurse jointly naked protest</v>
      </c>
      <c r="D9923" s="5" t="s">
        <v>22986</v>
      </c>
      <c r="E9923" s="4">
        <v>310064</v>
      </c>
      <c r="F9923">
        <v>1</v>
      </c>
    </row>
    <row r="9924" spans="1:6" ht="13.5" hidden="1" customHeight="1">
      <c r="A9924" s="4" t="s">
        <v>22987</v>
      </c>
      <c r="B9924" s="4" t="s">
        <v>22988</v>
      </c>
      <c r="C9924" s="4" t="str">
        <f ca="1">IFERROR(__xludf.DUMMYFUNCTION("GOOGLETRANSLATE(D:D,""auto"",""en"")"),"Shinzo Abe issued Emergency Declaration")</f>
        <v>Shinzo Abe issued Emergency Declaration</v>
      </c>
      <c r="D9924" s="5" t="s">
        <v>22989</v>
      </c>
      <c r="E9924" s="4">
        <v>298025</v>
      </c>
    </row>
    <row r="9925" spans="1:6" ht="13.5" customHeight="1">
      <c r="A9925" s="4" t="s">
        <v>22990</v>
      </c>
      <c r="B9925" s="4" t="s">
        <v>22991</v>
      </c>
      <c r="C9925" s="4" t="str">
        <f ca="1">IFERROR(__xludf.DUMMYFUNCTION("GOOGLETRANSLATE(D:D,""auto"",""en"")"),"Guangzhou has more than six thousand expatriates isolation")</f>
        <v>Guangzhou has more than six thousand expatriates isolation</v>
      </c>
      <c r="D9925" s="5" t="s">
        <v>22992</v>
      </c>
      <c r="E9925" s="4">
        <v>297815</v>
      </c>
      <c r="F9925">
        <v>1</v>
      </c>
    </row>
    <row r="9926" spans="1:6" ht="13.5" hidden="1" customHeight="1">
      <c r="A9926" s="4" t="s">
        <v>22970</v>
      </c>
      <c r="B9926" s="4" t="s">
        <v>22993</v>
      </c>
      <c r="C9926" s="4" t="str">
        <f ca="1">IFERROR(__xludf.DUMMYFUNCTION("GOOGLETRANSLATE(D:D,""auto"",""en"")"),"Feeling very valuable picture")</f>
        <v>Feeling very valuable picture</v>
      </c>
      <c r="D9926" s="5" t="s">
        <v>22994</v>
      </c>
      <c r="E9926" s="4">
        <v>294878</v>
      </c>
    </row>
    <row r="9927" spans="1:6" ht="13.5" hidden="1" customHeight="1">
      <c r="A9927" s="4" t="s">
        <v>22990</v>
      </c>
      <c r="B9927" s="4" t="s">
        <v>22995</v>
      </c>
      <c r="C9927" s="4" t="str">
        <f ca="1">IFERROR(__xludf.DUMMYFUNCTION("GOOGLETRANSLATE(D:D,""auto"",""en"")"),"National hotel resumed business over Jiucheng")</f>
        <v>National hotel resumed business over Jiucheng</v>
      </c>
      <c r="D9927" s="5" t="s">
        <v>22996</v>
      </c>
      <c r="E9927" s="4">
        <v>292611</v>
      </c>
    </row>
    <row r="9928" spans="1:6" ht="13.5" hidden="1" customHeight="1">
      <c r="A9928" s="4" t="s">
        <v>22997</v>
      </c>
      <c r="B9928" s="4" t="s">
        <v>22920</v>
      </c>
      <c r="C9928" s="4" t="str">
        <f ca="1">IFERROR(__xludf.DUMMYFUNCTION("GOOGLETRANSLATE(D:D,""auto"",""en"")"),"Air blancmange")</f>
        <v>Air blancmange</v>
      </c>
      <c r="D9928" s="5" t="s">
        <v>22998</v>
      </c>
      <c r="E9928" s="4">
        <v>285934</v>
      </c>
    </row>
    <row r="9929" spans="1:6" ht="13.5" hidden="1" customHeight="1">
      <c r="A9929" s="4" t="s">
        <v>14434</v>
      </c>
      <c r="B9929" s="4" t="s">
        <v>14435</v>
      </c>
      <c r="C9929" s="4" t="str">
        <f ca="1">IFERROR(__xludf.DUMMYFUNCTION("GOOGLETRANSLATE(D:D,""auto"",""en"")"),"US stocks")</f>
        <v>US stocks</v>
      </c>
      <c r="D9929" s="5" t="s">
        <v>14436</v>
      </c>
      <c r="E9929" s="4">
        <v>270651</v>
      </c>
    </row>
    <row r="9930" spans="1:6" ht="13.5" customHeight="1">
      <c r="A9930" s="4" t="s">
        <v>22999</v>
      </c>
      <c r="B9930" s="4" t="s">
        <v>23000</v>
      </c>
      <c r="C9930" s="4" t="str">
        <f ca="1">IFERROR(__xludf.DUMMYFUNCTION("GOOGLETRANSLATE(D:D,""auto"",""en"")"),"From school surprise")</f>
        <v>From school surprise</v>
      </c>
      <c r="D9930" s="5" t="s">
        <v>23001</v>
      </c>
      <c r="E9930" s="4">
        <v>234767</v>
      </c>
      <c r="F9930">
        <v>1</v>
      </c>
    </row>
    <row r="9931" spans="1:6" ht="13.5" hidden="1" customHeight="1">
      <c r="A9931" s="4" t="s">
        <v>23002</v>
      </c>
      <c r="B9931" s="4" t="s">
        <v>23003</v>
      </c>
      <c r="C9931" s="4" t="str">
        <f ca="1">IFERROR(__xludf.DUMMYFUNCTION("GOOGLETRANSLATE(D:D,""auto"",""en"")"),"Zhao Lijian discredit China refutes British media intended to aid")</f>
        <v>Zhao Lijian discredit China refutes British media intended to aid</v>
      </c>
      <c r="D9931" s="5" t="s">
        <v>23004</v>
      </c>
      <c r="E9931" s="4">
        <v>229064</v>
      </c>
    </row>
    <row r="9932" spans="1:6" ht="13.5" customHeight="1">
      <c r="A9932" s="4" t="s">
        <v>22990</v>
      </c>
      <c r="B9932" s="4" t="s">
        <v>23005</v>
      </c>
      <c r="C9932" s="4" t="str">
        <f ca="1">IFERROR(__xludf.DUMMYFUNCTION("GOOGLETRANSLATE(D:D,""auto"",""en"")"),"Hubei types of schools delayed opening the school to continue")</f>
        <v>Hubei types of schools delayed opening the school to continue</v>
      </c>
      <c r="D9932" s="5" t="s">
        <v>23006</v>
      </c>
      <c r="E9932" s="4">
        <v>219143</v>
      </c>
      <c r="F9932">
        <v>1</v>
      </c>
    </row>
    <row r="9933" spans="1:6" ht="13.5" customHeight="1">
      <c r="A9933" s="4" t="s">
        <v>23007</v>
      </c>
      <c r="B9933" s="4" t="s">
        <v>23008</v>
      </c>
      <c r="C9933" s="4" t="str">
        <f ca="1">IFERROR(__xludf.DUMMYFUNCTION("GOOGLETRANSLATE(D:D,""auto"",""en"")"),"US military hospital ship crew diagnosed a new crown pneumonia")</f>
        <v>US military hospital ship crew diagnosed a new crown pneumonia</v>
      </c>
      <c r="D9933" s="5" t="s">
        <v>23009</v>
      </c>
      <c r="E9933" s="4">
        <v>216116</v>
      </c>
      <c r="F9933">
        <v>1</v>
      </c>
    </row>
    <row r="9934" spans="1:6" ht="13.5" hidden="1" customHeight="1">
      <c r="A9934" s="4" t="s">
        <v>23010</v>
      </c>
      <c r="B9934" s="4" t="s">
        <v>23011</v>
      </c>
      <c r="C9934" s="4" t="str">
        <f ca="1">IFERROR(__xludf.DUMMYFUNCTION("GOOGLETRANSLATE(D:D,""auto"",""en"")"),"Lu Han Yan side")</f>
        <v>Lu Han Yan side</v>
      </c>
      <c r="D9934" s="5" t="s">
        <v>23012</v>
      </c>
      <c r="E9934" s="4">
        <v>215507</v>
      </c>
    </row>
    <row r="9935" spans="1:6" ht="13.5" hidden="1" customHeight="1">
      <c r="A9935" s="4" t="s">
        <v>23013</v>
      </c>
      <c r="B9935" s="4" t="s">
        <v>23014</v>
      </c>
      <c r="C9935" s="4" t="str">
        <f ca="1">IFERROR(__xludf.DUMMYFUNCTION("GOOGLETRANSLATE(D:D,""auto"",""en"")"),"Shandong Heze peony in full bloom acres")</f>
        <v>Shandong Heze peony in full bloom acres</v>
      </c>
      <c r="D9935" s="5" t="s">
        <v>23015</v>
      </c>
      <c r="E9935" s="4">
        <v>212054</v>
      </c>
    </row>
    <row r="9936" spans="1:6" ht="13.5" hidden="1" customHeight="1">
      <c r="A9936" s="4" t="s">
        <v>23016</v>
      </c>
      <c r="B9936" s="4" t="s">
        <v>23005</v>
      </c>
      <c r="C9936" s="4" t="str">
        <f ca="1">IFERROR(__xludf.DUMMYFUNCTION("GOOGLETRANSLATE(D:D,""auto"",""en"")"),"Shandong colleges students temporarily return to school")</f>
        <v>Shandong colleges students temporarily return to school</v>
      </c>
      <c r="D9936" s="5" t="s">
        <v>23017</v>
      </c>
      <c r="E9936" s="4">
        <v>200992</v>
      </c>
    </row>
    <row r="9937" spans="1:6" ht="13.5" hidden="1" customHeight="1">
      <c r="A9937" s="4" t="s">
        <v>22997</v>
      </c>
      <c r="B9937" s="4" t="s">
        <v>23018</v>
      </c>
      <c r="C9937" s="4" t="str">
        <f ca="1">IFERROR(__xludf.DUMMYFUNCTION("GOOGLETRANSLATE(D:D,""auto"",""en"")"),"Automatic reply provoked jokes")</f>
        <v>Automatic reply provoked jokes</v>
      </c>
      <c r="D9937" s="5" t="s">
        <v>23019</v>
      </c>
      <c r="E9937" s="4">
        <v>168290</v>
      </c>
    </row>
    <row r="9938" spans="1:6" ht="13.5" hidden="1" customHeight="1">
      <c r="A9938" s="4" t="s">
        <v>23020</v>
      </c>
      <c r="B9938" s="4" t="s">
        <v>22957</v>
      </c>
      <c r="C9938" s="4" t="str">
        <f ca="1">IFERROR(__xludf.DUMMYFUNCTION("GOOGLETRANSLATE(D:D,""auto"",""en"")"),"Zoo tiger project in response to fishing")</f>
        <v>Zoo tiger project in response to fishing</v>
      </c>
      <c r="D9938" s="5" t="s">
        <v>23021</v>
      </c>
      <c r="E9938" s="4">
        <v>164242</v>
      </c>
    </row>
    <row r="9939" spans="1:6" ht="13.5" hidden="1" customHeight="1">
      <c r="A9939" s="4" t="s">
        <v>22990</v>
      </c>
      <c r="B9939" s="4" t="s">
        <v>23022</v>
      </c>
      <c r="C9939" s="4" t="str">
        <f ca="1">IFERROR(__xludf.DUMMYFUNCTION("GOOGLETRANSLATE(D:D,""auto"",""en"")"),"Ma Dong anchor apology")</f>
        <v>Ma Dong anchor apology</v>
      </c>
      <c r="D9939" s="5" t="s">
        <v>23023</v>
      </c>
      <c r="E9939" s="4">
        <v>157025</v>
      </c>
    </row>
    <row r="9940" spans="1:6" ht="13.5" customHeight="1"/>
    <row r="9941" spans="1:6" ht="13.5" customHeight="1">
      <c r="A9941" s="4" t="s">
        <v>23024</v>
      </c>
      <c r="B9941" s="4" t="s">
        <v>23025</v>
      </c>
      <c r="C9941" s="4" t="str">
        <f ca="1">IFERROR(__xludf.DUMMYFUNCTION("GOOGLETRANSLATE(D:D,""auto"",""en"")"),"Wuhan girl shouting my back")</f>
        <v>Wuhan girl shouting my back</v>
      </c>
      <c r="D9941" s="4" t="s">
        <v>23026</v>
      </c>
      <c r="E9941" s="4">
        <v>2932771</v>
      </c>
      <c r="F9941">
        <v>1</v>
      </c>
    </row>
    <row r="9942" spans="1:6" ht="13.5" customHeight="1">
      <c r="A9942" s="4" t="s">
        <v>23027</v>
      </c>
      <c r="B9942" s="4" t="s">
        <v>23028</v>
      </c>
      <c r="C9942" s="4" t="str">
        <f ca="1">IFERROR(__xludf.DUMMYFUNCTION("GOOGLETRANSLATE(D:D,""auto"",""en"")"),"Zhang quietly assist the families have been returning to the initial program")</f>
        <v>Zhang quietly assist the families have been returning to the initial program</v>
      </c>
      <c r="D9942" s="5" t="s">
        <v>23029</v>
      </c>
      <c r="E9942" s="4">
        <v>1318928</v>
      </c>
      <c r="F9942">
        <v>1</v>
      </c>
    </row>
    <row r="9943" spans="1:6" ht="13.5" customHeight="1">
      <c r="A9943" s="4" t="s">
        <v>23030</v>
      </c>
      <c r="B9943" s="4" t="s">
        <v>23031</v>
      </c>
      <c r="C9943" s="4" t="str">
        <f ca="1">IFERROR(__xludf.DUMMYFUNCTION("GOOGLETRANSLATE(D:D,""auto"",""en"")"),"British prime minister but still in ICU ventilator")</f>
        <v>British prime minister but still in ICU ventilator</v>
      </c>
      <c r="D9943" s="5" t="s">
        <v>23032</v>
      </c>
      <c r="E9943" s="4">
        <v>1044962</v>
      </c>
      <c r="F9943">
        <v>1</v>
      </c>
    </row>
    <row r="9944" spans="1:6" ht="13.5" customHeight="1">
      <c r="A9944" s="4" t="s">
        <v>23033</v>
      </c>
      <c r="B9944" s="4" t="s">
        <v>23034</v>
      </c>
      <c r="C9944" s="4" t="str">
        <f ca="1">IFERROR(__xludf.DUMMYFUNCTION("GOOGLETRANSLATE(D:D,""auto"",""en"")"),"Ronaldinho out of jail")</f>
        <v>Ronaldinho out of jail</v>
      </c>
      <c r="D9944" s="5" t="s">
        <v>23035</v>
      </c>
      <c r="E9944" s="4">
        <v>1028324</v>
      </c>
    </row>
    <row r="9945" spans="1:6" ht="13.5" customHeight="1">
      <c r="A9945" s="4" t="s">
        <v>23036</v>
      </c>
      <c r="B9945" s="4" t="s">
        <v>23037</v>
      </c>
      <c r="C9945" s="4" t="str">
        <f ca="1">IFERROR(__xludf.DUMMYFUNCTION("GOOGLETRANSLATE(D:D,""auto"",""en"")"),"IQIYI denied the accusation")</f>
        <v>IQIYI denied the accusation</v>
      </c>
      <c r="D9945" s="5" t="s">
        <v>23038</v>
      </c>
      <c r="E9945" s="4">
        <v>913206</v>
      </c>
    </row>
    <row r="9946" spans="1:6" ht="13.5" customHeight="1">
      <c r="A9946" s="4" t="s">
        <v>23039</v>
      </c>
      <c r="B9946" s="4" t="s">
        <v>23040</v>
      </c>
      <c r="C9946" s="4" t="str">
        <f ca="1">IFERROR(__xludf.DUMMYFUNCTION("GOOGLETRANSLATE(D:D,""auto"",""en"")"),"Britain's new crown ICU ward screen")</f>
        <v>Britain's new crown ICU ward screen</v>
      </c>
      <c r="D9946" s="5" t="s">
        <v>23041</v>
      </c>
      <c r="E9946" s="4">
        <v>822391</v>
      </c>
      <c r="F9946">
        <v>1</v>
      </c>
    </row>
    <row r="9947" spans="1:6" ht="13.5" customHeight="1">
      <c r="A9947" s="4" t="s">
        <v>20171</v>
      </c>
      <c r="B9947" s="4" t="s">
        <v>23042</v>
      </c>
      <c r="C9947" s="4" t="str">
        <f ca="1">IFERROR(__xludf.DUMMYFUNCTION("GOOGLETRANSLATE(D:D,""auto"",""en"")"),"Facing the Ocean, Spring and Blossom")</f>
        <v>Facing the Ocean, Spring and Blossom</v>
      </c>
      <c r="D9947" s="5" t="s">
        <v>23043</v>
      </c>
      <c r="E9947" s="4">
        <v>818865</v>
      </c>
      <c r="F9947">
        <v>1</v>
      </c>
    </row>
    <row r="9948" spans="1:6" ht="13.5" customHeight="1">
      <c r="A9948" s="4" t="s">
        <v>23044</v>
      </c>
      <c r="B9948" s="4" t="s">
        <v>22933</v>
      </c>
      <c r="C9948" s="4" t="str">
        <f ca="1">IFERROR(__xludf.DUMMYFUNCTION("GOOGLETRANSLATE(D:D,""auto"",""en"")"),"China will be the first complete network to form the Canton Fair")</f>
        <v>China will be the first complete network to form the Canton Fair</v>
      </c>
      <c r="D9948" s="5" t="s">
        <v>23045</v>
      </c>
      <c r="E9948" s="4">
        <v>751862</v>
      </c>
      <c r="F9948">
        <v>1</v>
      </c>
    </row>
    <row r="9949" spans="1:6" ht="13.5" customHeight="1">
      <c r="A9949" s="4" t="s">
        <v>23046</v>
      </c>
      <c r="B9949" s="4" t="s">
        <v>23047</v>
      </c>
      <c r="C9949" s="4" t="str">
        <f ca="1">IFERROR(__xludf.DUMMYFUNCTION("GOOGLETRANSLATE(D:D,""auto"",""en"")"),"Acting Secretary of the Navy to resign")</f>
        <v>Acting Secretary of the Navy to resign</v>
      </c>
      <c r="D9949" s="5" t="s">
        <v>23048</v>
      </c>
      <c r="E9949" s="4">
        <v>741517</v>
      </c>
    </row>
    <row r="9950" spans="1:6" ht="13.5" customHeight="1">
      <c r="A9950" s="4" t="s">
        <v>23049</v>
      </c>
      <c r="B9950" s="4" t="s">
        <v>23050</v>
      </c>
      <c r="C9950" s="4" t="str">
        <f ca="1">IFERROR(__xludf.DUMMYFUNCTION("GOOGLETRANSLATE(D:D,""auto"",""en"")"),"Wuhan re-opened on the first day morning rush hour")</f>
        <v>Wuhan re-opened on the first day morning rush hour</v>
      </c>
      <c r="D9950" s="5" t="s">
        <v>23051</v>
      </c>
      <c r="E9950" s="4">
        <v>735923</v>
      </c>
      <c r="F9950">
        <v>1</v>
      </c>
    </row>
    <row r="9951" spans="1:6" ht="13.5" customHeight="1">
      <c r="A9951" s="4" t="s">
        <v>23052</v>
      </c>
      <c r="B9951" s="4" t="s">
        <v>23053</v>
      </c>
      <c r="C9951" s="4" t="str">
        <f ca="1">IFERROR(__xludf.DUMMYFUNCTION("GOOGLETRANSLATE(D:D,""auto"",""en"")"),"Britain asked the US to provide 200 ventilator")</f>
        <v>Britain asked the US to provide 200 ventilator</v>
      </c>
      <c r="D9951" s="5" t="s">
        <v>23054</v>
      </c>
      <c r="E9951" s="4">
        <v>652349</v>
      </c>
      <c r="F9951">
        <v>1</v>
      </c>
    </row>
    <row r="9952" spans="1:6" ht="13.5" customHeight="1">
      <c r="A9952" s="4" t="s">
        <v>22913</v>
      </c>
      <c r="B9952" s="4" t="s">
        <v>22914</v>
      </c>
      <c r="C9952" s="4" t="str">
        <f ca="1">IFERROR(__xludf.DUMMYFUNCTION("GOOGLETRANSLATE(D:D,""auto"",""en"")"),"Huang lot of fitness")</f>
        <v>Huang lot of fitness</v>
      </c>
      <c r="D9952" s="5" t="s">
        <v>22915</v>
      </c>
      <c r="E9952" s="4">
        <v>605646</v>
      </c>
    </row>
    <row r="9953" spans="1:6" ht="13.5" customHeight="1">
      <c r="A9953" s="4" t="s">
        <v>23052</v>
      </c>
      <c r="B9953" s="4" t="s">
        <v>22930</v>
      </c>
      <c r="C9953" s="4" t="str">
        <f ca="1">IFERROR(__xludf.DUMMYFUNCTION("GOOGLETRANSLATE(D:D,""auto"",""en"")"),"Shandong new local preliminary judge for the two cases related cases")</f>
        <v>Shandong new local preliminary judge for the two cases related cases</v>
      </c>
      <c r="D9953" s="5" t="s">
        <v>23055</v>
      </c>
      <c r="E9953" s="4">
        <v>514493</v>
      </c>
      <c r="F9953">
        <v>1</v>
      </c>
    </row>
    <row r="9954" spans="1:6" ht="13.5" customHeight="1">
      <c r="A9954" s="4" t="s">
        <v>23056</v>
      </c>
      <c r="B9954" s="4" t="s">
        <v>22959</v>
      </c>
      <c r="C9954" s="4" t="str">
        <f ca="1">IFERROR(__xludf.DUMMYFUNCTION("GOOGLETRANSLATE(D:D,""auto"",""en"")"),"The new crown epidemic has affected the global labor force over Bacheng")</f>
        <v>The new crown epidemic has affected the global labor force over Bacheng</v>
      </c>
      <c r="D9954" s="5" t="s">
        <v>23057</v>
      </c>
      <c r="E9954" s="4">
        <v>513592</v>
      </c>
      <c r="F9954">
        <v>1</v>
      </c>
    </row>
    <row r="9955" spans="1:6" ht="13.5" customHeight="1">
      <c r="A9955" s="4" t="s">
        <v>23058</v>
      </c>
      <c r="B9955" s="4" t="s">
        <v>23059</v>
      </c>
      <c r="C9955" s="4" t="str">
        <f ca="1">IFERROR(__xludf.DUMMYFUNCTION("GOOGLETRANSLATE(D:D,""auto"",""en"")"),"Beijing requires that all personnel must observe the nucleic acid detection")</f>
        <v>Beijing requires that all personnel must observe the nucleic acid detection</v>
      </c>
      <c r="D9955" s="5" t="s">
        <v>23060</v>
      </c>
      <c r="E9955" s="4">
        <v>512747</v>
      </c>
      <c r="F9955">
        <v>1</v>
      </c>
    </row>
    <row r="9956" spans="1:6" ht="13.5" customHeight="1">
      <c r="A9956" s="4" t="s">
        <v>23044</v>
      </c>
      <c r="B9956" s="4" t="s">
        <v>22973</v>
      </c>
      <c r="C9956" s="4" t="str">
        <f ca="1">IFERROR(__xludf.DUMMYFUNCTION("GOOGLETRANSLATE(D:D,""auto"",""en"")"),"Global shortfall of 5.9 million nurses")</f>
        <v>Global shortfall of 5.9 million nurses</v>
      </c>
      <c r="D9956" s="5" t="s">
        <v>23061</v>
      </c>
      <c r="E9956" s="4">
        <v>511622</v>
      </c>
      <c r="F9956">
        <v>1</v>
      </c>
    </row>
    <row r="9957" spans="1:6" ht="13.5" customHeight="1">
      <c r="A9957" s="4" t="s">
        <v>23062</v>
      </c>
      <c r="B9957" s="4" t="s">
        <v>23063</v>
      </c>
      <c r="C9957" s="4" t="str">
        <f ca="1">IFERROR(__xludf.DUMMYFUNCTION("GOOGLETRANSLATE(D:D,""auto"",""en"")"),"Wuhan, the first person out of the city")</f>
        <v>Wuhan, the first person out of the city</v>
      </c>
      <c r="D9957" s="5" t="s">
        <v>23064</v>
      </c>
      <c r="E9957" s="4">
        <v>509948</v>
      </c>
      <c r="F9957">
        <v>1</v>
      </c>
    </row>
    <row r="9958" spans="1:6" ht="13.5" customHeight="1">
      <c r="A9958" s="4" t="s">
        <v>23065</v>
      </c>
      <c r="B9958" s="4" t="s">
        <v>23066</v>
      </c>
      <c r="C9958" s="4" t="str">
        <f ca="1">IFERROR(__xludf.DUMMYFUNCTION("GOOGLETRANSLATE(D:D,""auto"",""en"")"),"WannaRen large-scale spread of the virus")</f>
        <v>WannaRen large-scale spread of the virus</v>
      </c>
      <c r="D9958" s="5" t="s">
        <v>23067</v>
      </c>
      <c r="E9958" s="4">
        <v>508972</v>
      </c>
      <c r="F9958">
        <v>1</v>
      </c>
    </row>
    <row r="9959" spans="1:6" ht="13.5" customHeight="1">
      <c r="A9959" s="4" t="s">
        <v>23068</v>
      </c>
      <c r="B9959" s="4" t="s">
        <v>23069</v>
      </c>
      <c r="C9959" s="4" t="str">
        <f ca="1">IFERROR(__xludf.DUMMYFUNCTION("GOOGLETRANSLATE(D:D,""auto"",""en"")"),"Three views of how positive children")</f>
        <v>Three views of how positive children</v>
      </c>
      <c r="D9959" s="5" t="s">
        <v>23070</v>
      </c>
      <c r="E9959" s="4">
        <v>507421</v>
      </c>
    </row>
    <row r="9960" spans="1:6" ht="13.5" customHeight="1">
      <c r="A9960" s="4" t="s">
        <v>23071</v>
      </c>
      <c r="B9960" s="4" t="s">
        <v>23072</v>
      </c>
      <c r="C9960" s="4" t="str">
        <f ca="1">IFERROR(__xludf.DUMMYFUNCTION("GOOGLETRANSLATE(D:D,""auto"",""en"")"),"Ms. Yu is iQIYI sound")</f>
        <v>Ms. Yu is iQIYI sound</v>
      </c>
      <c r="D9960" s="5" t="s">
        <v>23073</v>
      </c>
      <c r="E9960" s="4">
        <v>505900</v>
      </c>
    </row>
    <row r="9961" spans="1:6" ht="13.5" customHeight="1">
      <c r="A9961" s="4" t="s">
        <v>23074</v>
      </c>
      <c r="B9961" s="4" t="s">
        <v>23075</v>
      </c>
      <c r="C9961" s="4" t="str">
        <f ca="1">IFERROR(__xludf.DUMMYFUNCTION("GOOGLETRANSLATE(D:D,""auto"",""en"")"),"Ukyo Tachibana new skin")</f>
        <v>Ukyo Tachibana new skin</v>
      </c>
      <c r="D9961" s="5" t="s">
        <v>23076</v>
      </c>
      <c r="E9961" s="4">
        <v>504689</v>
      </c>
    </row>
    <row r="9962" spans="1:6" ht="13.5" customHeight="1">
      <c r="A9962" s="4" t="s">
        <v>23077</v>
      </c>
      <c r="B9962" s="4" t="s">
        <v>23059</v>
      </c>
      <c r="C9962" s="4" t="str">
        <f ca="1">IFERROR(__xludf.DUMMYFUNCTION("GOOGLETRANSLATE(D:D,""auto"",""en"")"),"Police arrested publish candid photos of female students in high school men")</f>
        <v>Police arrested publish candid photos of female students in high school men</v>
      </c>
      <c r="D9962" s="5" t="s">
        <v>23078</v>
      </c>
      <c r="E9962" s="4">
        <v>503575</v>
      </c>
    </row>
    <row r="9963" spans="1:6" ht="13.5" customHeight="1">
      <c r="A9963" s="4" t="s">
        <v>23079</v>
      </c>
      <c r="B9963" s="4" t="s">
        <v>22959</v>
      </c>
      <c r="C9963" s="4" t="str">
        <f ca="1">IFERROR(__xludf.DUMMYFUNCTION("GOOGLETRANSLATE(D:D,""auto"",""en"")"),"French transport pilots masks in China confirmed a new crown")</f>
        <v>French transport pilots masks in China confirmed a new crown</v>
      </c>
      <c r="D9963" s="5" t="s">
        <v>23080</v>
      </c>
      <c r="E9963" s="4">
        <v>502336</v>
      </c>
      <c r="F9963">
        <v>1</v>
      </c>
    </row>
    <row r="9964" spans="1:6" ht="13.5" customHeight="1">
      <c r="A9964" s="4" t="s">
        <v>23081</v>
      </c>
      <c r="B9964" s="4" t="s">
        <v>23082</v>
      </c>
      <c r="C9964" s="4" t="str">
        <f ca="1">IFERROR(__xludf.DUMMYFUNCTION("GOOGLETRANSLATE(D:D,""auto"",""en"")"),"Girls with girlfriends chats")</f>
        <v>Girls with girlfriends chats</v>
      </c>
      <c r="D9964" s="5" t="s">
        <v>23083</v>
      </c>
      <c r="E9964" s="4">
        <v>501867</v>
      </c>
    </row>
    <row r="9965" spans="1:6" ht="13.5" customHeight="1">
      <c r="A9965" s="4" t="s">
        <v>23084</v>
      </c>
      <c r="B9965" s="4" t="s">
        <v>23025</v>
      </c>
      <c r="C9965" s="4" t="str">
        <f ca="1">IFERROR(__xludf.DUMMYFUNCTION("GOOGLETRANSLATE(D:D,""auto"",""en"")"),"Lee is now the cover of the April issue of the spring and summer VogueMe")</f>
        <v>Lee is now the cover of the April issue of the spring and summer VogueMe</v>
      </c>
      <c r="D9965" s="5" t="s">
        <v>23085</v>
      </c>
      <c r="E9965" s="4">
        <v>500839</v>
      </c>
    </row>
    <row r="9966" spans="1:6" ht="13.5" customHeight="1">
      <c r="A9966" s="4" t="s">
        <v>23086</v>
      </c>
      <c r="B9966" s="4" t="s">
        <v>23087</v>
      </c>
      <c r="C9966" s="4" t="str">
        <f ca="1">IFERROR(__xludf.DUMMYFUNCTION("GOOGLETRANSLATE(D:D,""auto"",""en"")"),"Wuhan crayfish takeaway shop ushered in the peak")</f>
        <v>Wuhan crayfish takeaway shop ushered in the peak</v>
      </c>
      <c r="D9966" s="5" t="s">
        <v>23088</v>
      </c>
      <c r="E9966" s="4">
        <v>445215</v>
      </c>
      <c r="F9966">
        <v>1</v>
      </c>
    </row>
    <row r="9967" spans="1:6" ht="13.5" customHeight="1">
      <c r="A9967" s="4" t="s">
        <v>23036</v>
      </c>
      <c r="B9967" s="4" t="s">
        <v>23089</v>
      </c>
      <c r="C9967" s="4" t="str">
        <f ca="1">IFERROR(__xludf.DUMMYFUNCTION("GOOGLETRANSLATE(D:D,""auto"",""en"")"),"Indian villagers voluntarily set up in the village card")</f>
        <v>Indian villagers voluntarily set up in the village card</v>
      </c>
      <c r="D9967" s="5" t="s">
        <v>23090</v>
      </c>
      <c r="E9967" s="4">
        <v>425076</v>
      </c>
      <c r="F9967">
        <v>1</v>
      </c>
    </row>
    <row r="9968" spans="1:6" ht="13.5" customHeight="1">
      <c r="A9968" s="4" t="s">
        <v>23091</v>
      </c>
      <c r="B9968" s="4" t="s">
        <v>23092</v>
      </c>
      <c r="C9968" s="4" t="str">
        <f ca="1">IFERROR(__xludf.DUMMYFUNCTION("GOOGLETRANSLATE(D:D,""auto"",""en"")"),"Zhejiang to carry out testing for nearly 14 days from Wuhan")</f>
        <v>Zhejiang to carry out testing for nearly 14 days from Wuhan</v>
      </c>
      <c r="D9968" s="5" t="s">
        <v>23093</v>
      </c>
      <c r="E9968" s="4">
        <v>398182</v>
      </c>
      <c r="F9968">
        <v>1</v>
      </c>
    </row>
    <row r="9969" spans="1:6" ht="13.5" customHeight="1">
      <c r="A9969" s="4" t="s">
        <v>22924</v>
      </c>
      <c r="B9969" s="4" t="s">
        <v>22925</v>
      </c>
      <c r="C9969" s="4" t="str">
        <f ca="1">IFERROR(__xludf.DUMMYFUNCTION("GOOGLETRANSLATE(D:D,""auto"",""en"")"),"Chinese Foreign Ministry in response to rising xenophobic remarks")</f>
        <v>Chinese Foreign Ministry in response to rising xenophobic remarks</v>
      </c>
      <c r="D9969" s="5" t="s">
        <v>22926</v>
      </c>
      <c r="E9969" s="4">
        <v>392513</v>
      </c>
      <c r="F9969">
        <v>1</v>
      </c>
    </row>
    <row r="9970" spans="1:6" ht="13.5" customHeight="1">
      <c r="A9970" s="4" t="s">
        <v>23094</v>
      </c>
      <c r="B9970" s="4" t="s">
        <v>22959</v>
      </c>
      <c r="C9970" s="4" t="str">
        <f ca="1">IFERROR(__xludf.DUMMYFUNCTION("GOOGLETRANSLATE(D:D,""auto"",""en"")"),"Curry congratulated Wuhan reopened")</f>
        <v>Curry congratulated Wuhan reopened</v>
      </c>
      <c r="D9970" s="5" t="s">
        <v>23095</v>
      </c>
      <c r="E9970" s="4">
        <v>387770</v>
      </c>
      <c r="F9970">
        <v>1</v>
      </c>
    </row>
    <row r="9971" spans="1:6" ht="13.5" customHeight="1">
      <c r="A9971" s="4" t="s">
        <v>19606</v>
      </c>
      <c r="B9971" s="4" t="s">
        <v>19463</v>
      </c>
      <c r="C9971" s="4" t="str">
        <f ca="1">IFERROR(__xludf.DUMMYFUNCTION("GOOGLETRANSLATE(D:D,""auto"",""en"")"),"Fang Fang")</f>
        <v>Fang Fang</v>
      </c>
      <c r="D9971" s="5" t="s">
        <v>19607</v>
      </c>
      <c r="E9971" s="4">
        <v>381741</v>
      </c>
      <c r="F9971">
        <v>1</v>
      </c>
    </row>
    <row r="9972" spans="1:6" ht="13.5" customHeight="1">
      <c r="A9972" s="4" t="s">
        <v>23096</v>
      </c>
      <c r="B9972" s="4" t="s">
        <v>23097</v>
      </c>
      <c r="C9972" s="4" t="str">
        <f ca="1">IFERROR(__xludf.DUMMYFUNCTION("GOOGLETRANSLATE(D:D,""auto"",""en"")"),"US new crown viral infections exceed 380 000")</f>
        <v>US new crown viral infections exceed 380 000</v>
      </c>
      <c r="D9972" s="5" t="s">
        <v>23098</v>
      </c>
      <c r="E9972" s="4">
        <v>366509</v>
      </c>
      <c r="F9972">
        <v>1</v>
      </c>
    </row>
    <row r="9973" spans="1:6" ht="13.5" customHeight="1">
      <c r="A9973" s="4" t="s">
        <v>23099</v>
      </c>
      <c r="B9973" s="4" t="s">
        <v>22953</v>
      </c>
      <c r="C9973" s="4" t="str">
        <f ca="1">IFERROR(__xludf.DUMMYFUNCTION("GOOGLETRANSLATE(D:D,""auto"",""en"")"),"The reason weariness caused")</f>
        <v>The reason weariness caused</v>
      </c>
      <c r="D9973" s="5" t="s">
        <v>23100</v>
      </c>
      <c r="E9973" s="4">
        <v>358702</v>
      </c>
      <c r="F9973">
        <v>1</v>
      </c>
    </row>
    <row r="9974" spans="1:6" ht="13.5" customHeight="1">
      <c r="A9974" s="4" t="s">
        <v>22987</v>
      </c>
      <c r="B9974" s="4" t="s">
        <v>22988</v>
      </c>
      <c r="C9974" s="4" t="str">
        <f ca="1">IFERROR(__xludf.DUMMYFUNCTION("GOOGLETRANSLATE(D:D,""auto"",""en"")"),"Shinzo Abe issued Emergency Declaration")</f>
        <v>Shinzo Abe issued Emergency Declaration</v>
      </c>
      <c r="D9974" s="5" t="s">
        <v>22989</v>
      </c>
      <c r="E9974" s="4">
        <v>340386</v>
      </c>
      <c r="F9974">
        <v>1</v>
      </c>
    </row>
    <row r="9975" spans="1:6" ht="13.5" customHeight="1">
      <c r="A9975" s="4" t="s">
        <v>23099</v>
      </c>
      <c r="B9975" s="4" t="s">
        <v>23101</v>
      </c>
      <c r="C9975" s="4" t="str">
        <f ca="1">IFERROR(__xludf.DUMMYFUNCTION("GOOGLETRANSLATE(D:D,""auto"",""en"")"),"Overlord 'do not learn what the experience is slag")</f>
        <v>Overlord 'do not learn what the experience is slag</v>
      </c>
      <c r="D9975" s="5" t="s">
        <v>23102</v>
      </c>
      <c r="E9975" s="4">
        <v>329800</v>
      </c>
    </row>
    <row r="9976" spans="1:6" ht="13.5" customHeight="1">
      <c r="A9976" s="4" t="s">
        <v>22901</v>
      </c>
      <c r="B9976" s="4" t="s">
        <v>22902</v>
      </c>
      <c r="C9976" s="4" t="str">
        <f ca="1">IFERROR(__xludf.DUMMYFUNCTION("GOOGLETRANSLATE(D:D,""auto"",""en"")"),"Wuhan reopened")</f>
        <v>Wuhan reopened</v>
      </c>
      <c r="D9976" s="5" t="s">
        <v>22903</v>
      </c>
      <c r="E9976" s="4">
        <v>296641</v>
      </c>
      <c r="F9976">
        <v>1</v>
      </c>
    </row>
    <row r="9977" spans="1:6" ht="13.5" customHeight="1">
      <c r="A9977" s="4" t="s">
        <v>23103</v>
      </c>
      <c r="B9977" s="4" t="s">
        <v>23087</v>
      </c>
      <c r="C9977" s="4" t="str">
        <f ca="1">IFERROR(__xludf.DUMMYFUNCTION("GOOGLETRANSLATE(D:D,""auto"",""en"")"),"Wang Yibo Tmagazine Cover trailer")</f>
        <v>Wang Yibo Tmagazine Cover trailer</v>
      </c>
      <c r="D9977" s="5" t="s">
        <v>23104</v>
      </c>
      <c r="E9977" s="4">
        <v>288961</v>
      </c>
    </row>
    <row r="9978" spans="1:6" ht="13.5" customHeight="1">
      <c r="A9978" s="4" t="s">
        <v>23105</v>
      </c>
      <c r="B9978" s="4" t="s">
        <v>23106</v>
      </c>
      <c r="C9978" s="4" t="str">
        <f ca="1">IFERROR(__xludf.DUMMYFUNCTION("GOOGLETRANSLATE(D:D,""auto"",""en"")"),"Modern Family finale behind the scenes photos")</f>
        <v>Modern Family finale behind the scenes photos</v>
      </c>
      <c r="D9978" s="5" t="s">
        <v>23107</v>
      </c>
      <c r="E9978" s="4">
        <v>283828</v>
      </c>
    </row>
    <row r="9979" spans="1:6" ht="13.5" customHeight="1">
      <c r="A9979" s="4" t="s">
        <v>23108</v>
      </c>
      <c r="B9979" s="4" t="s">
        <v>23034</v>
      </c>
      <c r="C9979" s="4" t="str">
        <f ca="1">IFERROR(__xludf.DUMMYFUNCTION("GOOGLETRANSLATE(D:D,""auto"",""en"")"),"Han first aircraft to obtain flight Watergate courtesy")</f>
        <v>Han first aircraft to obtain flight Watergate courtesy</v>
      </c>
      <c r="D9979" s="5" t="s">
        <v>23109</v>
      </c>
      <c r="E9979" s="4">
        <v>278683</v>
      </c>
      <c r="F9979">
        <v>1</v>
      </c>
    </row>
    <row r="9980" spans="1:6" ht="13.5" customHeight="1">
      <c r="A9980" s="4" t="s">
        <v>23110</v>
      </c>
      <c r="B9980" s="4" t="s">
        <v>23101</v>
      </c>
      <c r="C9980" s="4" t="str">
        <f ca="1">IFERROR(__xludf.DUMMYFUNCTION("GOOGLETRANSLATE(D:D,""auto"",""en"")"),"Wuhan newborn baby after restart")</f>
        <v>Wuhan newborn baby after restart</v>
      </c>
      <c r="D9980" s="5" t="s">
        <v>23111</v>
      </c>
      <c r="E9980" s="4">
        <v>226554</v>
      </c>
      <c r="F9980">
        <v>1</v>
      </c>
    </row>
    <row r="9981" spans="1:6" ht="13.5" customHeight="1">
      <c r="A9981" s="4" t="s">
        <v>23112</v>
      </c>
      <c r="B9981" s="4" t="s">
        <v>23040</v>
      </c>
      <c r="C9981" s="4" t="str">
        <f ca="1">IFERROR(__xludf.DUMMYFUNCTION("GOOGLETRANSLATE(D:D,""auto"",""en"")"),"Wuhan reopened light show")</f>
        <v>Wuhan reopened light show</v>
      </c>
      <c r="D9981" s="5" t="s">
        <v>23113</v>
      </c>
      <c r="E9981" s="4">
        <v>207910</v>
      </c>
      <c r="F9981">
        <v>1</v>
      </c>
    </row>
    <row r="9982" spans="1:6" ht="13.5" customHeight="1">
      <c r="A9982" s="4" t="s">
        <v>23108</v>
      </c>
      <c r="B9982" s="4" t="s">
        <v>23114</v>
      </c>
      <c r="C9982" s="4" t="str">
        <f ca="1">IFERROR(__xludf.DUMMYFUNCTION("GOOGLETRANSLATE(D:D,""auto"",""en"")"),"Happy lambs play in the park")</f>
        <v>Happy lambs play in the park</v>
      </c>
      <c r="D9982" s="5" t="s">
        <v>23115</v>
      </c>
      <c r="E9982" s="4">
        <v>207292</v>
      </c>
    </row>
    <row r="9983" spans="1:6" ht="13.5" customHeight="1">
      <c r="A9983" s="4" t="s">
        <v>23116</v>
      </c>
      <c r="B9983" s="4" t="s">
        <v>23117</v>
      </c>
      <c r="C9983" s="4" t="str">
        <f ca="1">IFERROR(__xludf.DUMMYFUNCTION("GOOGLETRANSLATE(D:D,""auto"",""en"")"),"Huawei announced in June this year to support commercial messages 5G")</f>
        <v>Huawei announced in June this year to support commercial messages 5G</v>
      </c>
      <c r="D9983" s="5" t="s">
        <v>23118</v>
      </c>
      <c r="E9983" s="4">
        <v>206871</v>
      </c>
    </row>
    <row r="9984" spans="1:6" ht="13.5" customHeight="1">
      <c r="A9984" s="4" t="s">
        <v>23119</v>
      </c>
      <c r="B9984" s="4" t="s">
        <v>18462</v>
      </c>
      <c r="C9984" s="4" t="str">
        <f ca="1">IFERROR(__xludf.DUMMYFUNCTION("GOOGLETRANSLATE(D:D,""auto"",""en"")"),"Beijing college entrance examination for managing simulation voluntary reporting")</f>
        <v>Beijing college entrance examination for managing simulation voluntary reporting</v>
      </c>
      <c r="D9984" s="5" t="s">
        <v>23120</v>
      </c>
      <c r="E9984" s="4">
        <v>206499</v>
      </c>
    </row>
    <row r="9985" spans="1:6" ht="13.5" customHeight="1">
      <c r="A9985" s="4" t="s">
        <v>23121</v>
      </c>
      <c r="B9985" s="4" t="s">
        <v>23112</v>
      </c>
      <c r="C9985" s="4" t="str">
        <f ca="1">IFERROR(__xludf.DUMMYFUNCTION("GOOGLETRANSLATE(D:D,""auto"",""en"")"),"Americans dole queues application")</f>
        <v>Americans dole queues application</v>
      </c>
      <c r="D9985" s="5" t="s">
        <v>23122</v>
      </c>
      <c r="E9985" s="4">
        <v>206106</v>
      </c>
      <c r="F9985">
        <v>1</v>
      </c>
    </row>
    <row r="9986" spans="1:6" ht="13.5" customHeight="1">
      <c r="A9986" s="4" t="s">
        <v>23123</v>
      </c>
      <c r="B9986" s="4" t="s">
        <v>23112</v>
      </c>
      <c r="C9986" s="4" t="str">
        <f ca="1">IFERROR(__xludf.DUMMYFUNCTION("GOOGLETRANSLATE(D:D,""auto"",""en"")"),"Wuhan reproduction traffic jam red")</f>
        <v>Wuhan reproduction traffic jam red</v>
      </c>
      <c r="D9986" s="5" t="s">
        <v>23124</v>
      </c>
      <c r="E9986" s="4">
        <v>205259</v>
      </c>
      <c r="F9986">
        <v>1</v>
      </c>
    </row>
    <row r="9987" spans="1:6" ht="13.5" customHeight="1">
      <c r="A9987" s="4" t="s">
        <v>23125</v>
      </c>
      <c r="B9987" s="4" t="s">
        <v>23112</v>
      </c>
      <c r="C9987" s="4" t="str">
        <f ca="1">IFERROR(__xludf.DUMMYFUNCTION("GOOGLETRANSLATE(D:D,""auto"",""en"")"),"China and Jordan lost Infringement Final")</f>
        <v>China and Jordan lost Infringement Final</v>
      </c>
      <c r="D9987" s="5" t="s">
        <v>23126</v>
      </c>
      <c r="E9987" s="4">
        <v>205167</v>
      </c>
    </row>
    <row r="9988" spans="1:6" ht="13.5" customHeight="1">
      <c r="A9988" s="4" t="s">
        <v>23112</v>
      </c>
      <c r="B9988" s="4" t="s">
        <v>23127</v>
      </c>
      <c r="C9988" s="4" t="str">
        <f ca="1">IFERROR(__xludf.DUMMYFUNCTION("GOOGLETRANSLATE(D:D,""auto"",""en"")"),"Abe said Tokyo confirmed will exceed 80,000 people a month after")</f>
        <v>Abe said Tokyo confirmed will exceed 80,000 people a month after</v>
      </c>
      <c r="D9988" s="5" t="s">
        <v>23128</v>
      </c>
      <c r="E9988" s="4">
        <v>204719</v>
      </c>
      <c r="F9988">
        <v>1</v>
      </c>
    </row>
    <row r="9989" spans="1:6" ht="13.5" customHeight="1">
      <c r="A9989" s="4" t="s">
        <v>23112</v>
      </c>
      <c r="B9989" s="4" t="s">
        <v>23007</v>
      </c>
      <c r="C9989" s="4" t="str">
        <f ca="1">IFERROR(__xludf.DUMMYFUNCTION("GOOGLETRANSLATE(D:D,""auto"",""en"")"),"Good future internal audit found improper employee behavior")</f>
        <v>Good future internal audit found improper employee behavior</v>
      </c>
      <c r="D9989" s="5" t="s">
        <v>23129</v>
      </c>
      <c r="E9989" s="4">
        <v>204710</v>
      </c>
    </row>
    <row r="9990" spans="1:6" ht="13.5" customHeight="1"/>
    <row r="9991" spans="1:6" ht="13.5" customHeight="1">
      <c r="A9991" s="4" t="s">
        <v>20171</v>
      </c>
      <c r="B9991" s="4" t="s">
        <v>23130</v>
      </c>
      <c r="C9991" s="4" t="str">
        <f ca="1">IFERROR(__xludf.DUMMYFUNCTION("GOOGLETRANSLATE(D:D,""auto"",""en"")"),"Sicong equity investments held by MIPS unfrozen")</f>
        <v>Sicong equity investments held by MIPS unfrozen</v>
      </c>
      <c r="D9991" s="4" t="s">
        <v>23131</v>
      </c>
      <c r="E9991" s="4">
        <v>2091932</v>
      </c>
    </row>
    <row r="9992" spans="1:6" ht="13.5" customHeight="1">
      <c r="A9992" s="4" t="s">
        <v>20171</v>
      </c>
      <c r="B9992" s="4" t="s">
        <v>23062</v>
      </c>
      <c r="C9992" s="4" t="str">
        <f ca="1">IFERROR(__xludf.DUMMYFUNCTION("GOOGLETRANSLATE(D:D,""auto"",""en"")"),"7 students leave Macao and China dinner fined 50,000")</f>
        <v>7 students leave Macao and China dinner fined 50,000</v>
      </c>
      <c r="D9992" s="5" t="s">
        <v>23132</v>
      </c>
      <c r="E9992" s="4">
        <v>1917712</v>
      </c>
      <c r="F9992">
        <v>1</v>
      </c>
    </row>
    <row r="9993" spans="1:6" ht="13.5" customHeight="1">
      <c r="A9993" s="4" t="s">
        <v>20171</v>
      </c>
      <c r="B9993" s="4" t="s">
        <v>23133</v>
      </c>
      <c r="C9993" s="4" t="str">
        <f ca="1">IFERROR(__xludf.DUMMYFUNCTION("GOOGLETRANSLATE(D:D,""auto"",""en"")"),"101 colleges and universities revoked 193 degree authorization")</f>
        <v>101 colleges and universities revoked 193 degree authorization</v>
      </c>
      <c r="D9993" s="5" t="s">
        <v>23134</v>
      </c>
      <c r="E9993" s="4">
        <v>1351797</v>
      </c>
    </row>
    <row r="9994" spans="1:6" ht="13.5" customHeight="1">
      <c r="A9994" s="4" t="s">
        <v>20171</v>
      </c>
      <c r="B9994" s="4" t="s">
        <v>23135</v>
      </c>
      <c r="C9994" s="4" t="str">
        <f ca="1">IFERROR(__xludf.DUMMYFUNCTION("GOOGLETRANSLATE(D:D,""auto"",""en"")"),"Wuhan citizens more than two months for the first time to eat dry noodles")</f>
        <v>Wuhan citizens more than two months for the first time to eat dry noodles</v>
      </c>
      <c r="D9994" s="5" t="s">
        <v>23136</v>
      </c>
      <c r="E9994" s="4">
        <v>1180290</v>
      </c>
      <c r="F9994">
        <v>1</v>
      </c>
    </row>
    <row r="9995" spans="1:6" ht="13.5" customHeight="1">
      <c r="A9995" s="4" t="s">
        <v>20171</v>
      </c>
      <c r="B9995" s="4" t="s">
        <v>23137</v>
      </c>
      <c r="C9995" s="4" t="str">
        <f ca="1">IFERROR(__xludf.DUMMYFUNCTION("GOOGLETRANSLATE(D:D,""auto"",""en"")"),"Zhu Yilong eat dry noodles")</f>
        <v>Zhu Yilong eat dry noodles</v>
      </c>
      <c r="D9995" s="5" t="s">
        <v>23138</v>
      </c>
      <c r="E9995" s="4">
        <v>894604</v>
      </c>
    </row>
    <row r="9996" spans="1:6" ht="13.5" customHeight="1">
      <c r="A9996" s="4" t="s">
        <v>20171</v>
      </c>
      <c r="B9996" s="4" t="s">
        <v>23139</v>
      </c>
      <c r="C9996" s="4" t="str">
        <f ca="1">IFERROR(__xludf.DUMMYFUNCTION("GOOGLETRANSLATE(D:D,""auto"",""en"")"),"Pa Brother single kill TheShy")</f>
        <v>Pa Brother single kill TheShy</v>
      </c>
      <c r="D9996" s="5" t="s">
        <v>23140</v>
      </c>
      <c r="E9996" s="4">
        <v>803247</v>
      </c>
    </row>
    <row r="9997" spans="1:6" ht="13.5" customHeight="1">
      <c r="A9997" s="4" t="s">
        <v>20171</v>
      </c>
      <c r="B9997" s="4" t="s">
        <v>23141</v>
      </c>
      <c r="C9997" s="4" t="str">
        <f ca="1">IFERROR(__xludf.DUMMYFUNCTION("GOOGLETRANSLATE(D:D,""auto"",""en"")"),"The Devil Wears Prada son diagnosed with the new crown")</f>
        <v>The Devil Wears Prada son diagnosed with the new crown</v>
      </c>
      <c r="D9997" s="5" t="s">
        <v>23142</v>
      </c>
      <c r="E9997" s="4">
        <v>753355</v>
      </c>
      <c r="F9997">
        <v>1</v>
      </c>
    </row>
    <row r="9998" spans="1:6" ht="13.5" customHeight="1">
      <c r="A9998" s="4" t="s">
        <v>20171</v>
      </c>
      <c r="B9998" s="4" t="s">
        <v>23143</v>
      </c>
      <c r="C9998" s="4" t="str">
        <f ca="1">IFERROR(__xludf.DUMMYFUNCTION("GOOGLETRANSLATE(D:D,""auto"",""en"")"),"Afghan Taliban frees 100 prisoners")</f>
        <v>Afghan Taliban frees 100 prisoners</v>
      </c>
      <c r="D9998" s="5" t="s">
        <v>23144</v>
      </c>
      <c r="E9998" s="4">
        <v>645002</v>
      </c>
    </row>
    <row r="9999" spans="1:6" ht="13.5" customHeight="1">
      <c r="A9999" s="4" t="s">
        <v>20171</v>
      </c>
      <c r="B9999" s="4" t="s">
        <v>23024</v>
      </c>
      <c r="C9999" s="4" t="str">
        <f ca="1">IFERROR(__xludf.DUMMYFUNCTION("GOOGLETRANSLATE(D:D,""auto"",""en"")"),"Guangxi killed by male doctors female nurses were arrested")</f>
        <v>Guangxi killed by male doctors female nurses were arrested</v>
      </c>
      <c r="D9999" s="5" t="s">
        <v>23145</v>
      </c>
      <c r="E9999" s="4">
        <v>635399</v>
      </c>
    </row>
    <row r="10000" spans="1:6" ht="13.5" customHeight="1">
      <c r="A10000" s="4" t="s">
        <v>20171</v>
      </c>
      <c r="B10000" s="4" t="s">
        <v>23143</v>
      </c>
      <c r="C10000" s="4" t="str">
        <f ca="1">IFERROR(__xludf.DUMMYFUNCTION("GOOGLETRANSLATE(D:D,""auto"",""en"")"),"China Eastern Airlines ticket holders denied boarding to return home")</f>
        <v>China Eastern Airlines ticket holders denied boarding to return home</v>
      </c>
      <c r="D10000" s="5" t="s">
        <v>23146</v>
      </c>
      <c r="E10000" s="4">
        <v>608927</v>
      </c>
      <c r="F10000">
        <v>1</v>
      </c>
    </row>
    <row r="10001" spans="1:6" ht="13.5" customHeight="1">
      <c r="A10001" s="4" t="s">
        <v>20171</v>
      </c>
      <c r="B10001" s="4" t="s">
        <v>23143</v>
      </c>
      <c r="C10001" s="4" t="str">
        <f ca="1">IFERROR(__xludf.DUMMYFUNCTION("GOOGLETRANSLATE(D:D,""auto"",""en"")"),"Shanghai Pudong Development Bank loans to respond to 60 million Swiss fortunate")</f>
        <v>Shanghai Pudong Development Bank loans to respond to 60 million Swiss fortunate</v>
      </c>
      <c r="D10001" s="5" t="s">
        <v>23147</v>
      </c>
      <c r="E10001" s="4">
        <v>540710</v>
      </c>
    </row>
    <row r="10002" spans="1:6" ht="13.5" customHeight="1">
      <c r="A10002" s="4" t="s">
        <v>20171</v>
      </c>
      <c r="B10002" s="4" t="s">
        <v>23042</v>
      </c>
      <c r="C10002" s="4" t="str">
        <f ca="1">IFERROR(__xludf.DUMMYFUNCTION("GOOGLETRANSLATE(D:D,""auto"",""en"")"),"Facing the Ocean, Spring and Blossom")</f>
        <v>Facing the Ocean, Spring and Blossom</v>
      </c>
      <c r="D10002" s="5" t="s">
        <v>23043</v>
      </c>
      <c r="E10002" s="4">
        <v>539024</v>
      </c>
    </row>
    <row r="10003" spans="1:6" ht="13.5" customHeight="1">
      <c r="A10003" s="4" t="s">
        <v>20171</v>
      </c>
      <c r="B10003" s="4" t="s">
        <v>23148</v>
      </c>
      <c r="C10003" s="4" t="str">
        <f ca="1">IFERROR(__xludf.DUMMYFUNCTION("GOOGLETRANSLATE(D:D,""auto"",""en"")"),"Wuhan Beijing stranded personnel daily limit Beijing 1000")</f>
        <v>Wuhan Beijing stranded personnel daily limit Beijing 1000</v>
      </c>
      <c r="D10003" s="5" t="s">
        <v>23149</v>
      </c>
      <c r="E10003" s="4">
        <v>506983</v>
      </c>
      <c r="F10003">
        <v>1</v>
      </c>
    </row>
    <row r="10004" spans="1:6" ht="13.5" customHeight="1">
      <c r="A10004" s="4" t="s">
        <v>20171</v>
      </c>
      <c r="B10004" s="4" t="s">
        <v>23150</v>
      </c>
      <c r="C10004" s="4" t="str">
        <f ca="1">IFERROR(__xludf.DUMMYFUNCTION("GOOGLETRANSLATE(D:D,""auto"",""en"")"),"Switch pause at the date of shipment")</f>
        <v>Switch pause at the date of shipment</v>
      </c>
      <c r="D10004" s="5" t="s">
        <v>23151</v>
      </c>
      <c r="E10004" s="4">
        <v>506621</v>
      </c>
      <c r="F10004">
        <v>1</v>
      </c>
    </row>
    <row r="10005" spans="1:6" ht="13.5" customHeight="1">
      <c r="A10005" s="4" t="s">
        <v>20171</v>
      </c>
      <c r="B10005" s="4" t="s">
        <v>23116</v>
      </c>
      <c r="C10005" s="4" t="str">
        <f ca="1">IFERROR(__xludf.DUMMYFUNCTION("GOOGLETRANSLATE(D:D,""auto"",""en"")"),"Yuyuantan Park 2 yuan to 50 yuan tickets fired")</f>
        <v>Yuyuantan Park 2 yuan to 50 yuan tickets fired</v>
      </c>
      <c r="D10005" s="5" t="s">
        <v>23152</v>
      </c>
      <c r="E10005" s="4">
        <v>506071</v>
      </c>
      <c r="F10005">
        <v>1</v>
      </c>
    </row>
    <row r="10006" spans="1:6" ht="13.5" customHeight="1">
      <c r="A10006" s="4" t="s">
        <v>20171</v>
      </c>
      <c r="B10006" s="4" t="s">
        <v>23153</v>
      </c>
      <c r="C10006" s="4" t="str">
        <f ca="1">IFERROR(__xludf.DUMMYFUNCTION("GOOGLETRANSLATE(D:D,""auto"",""en"")"),"Wuhan, more than 20,000 sanitation workers cleaning the city")</f>
        <v>Wuhan, more than 20,000 sanitation workers cleaning the city</v>
      </c>
      <c r="D10006" s="5" t="s">
        <v>23154</v>
      </c>
      <c r="E10006" s="4">
        <v>501237</v>
      </c>
      <c r="F10006">
        <v>1</v>
      </c>
    </row>
    <row r="10007" spans="1:6" ht="13.5" customHeight="1">
      <c r="A10007" s="4" t="s">
        <v>20171</v>
      </c>
      <c r="B10007" s="4" t="s">
        <v>9017</v>
      </c>
      <c r="C10007" s="4" t="str">
        <f ca="1">IFERROR(__xludf.DUMMYFUNCTION("GOOGLETRANSLATE(D:D,""auto"",""en"")"),"moon")</f>
        <v>moon</v>
      </c>
      <c r="D10007" s="5" t="s">
        <v>9018</v>
      </c>
      <c r="E10007" s="4">
        <v>496416</v>
      </c>
    </row>
    <row r="10008" spans="1:6" ht="13.5" customHeight="1">
      <c r="A10008" s="4" t="s">
        <v>20171</v>
      </c>
      <c r="B10008" s="4" t="s">
        <v>23155</v>
      </c>
      <c r="C10008" s="4" t="str">
        <f ca="1">IFERROR(__xludf.DUMMYFUNCTION("GOOGLETRANSLATE(D:D,""auto"",""en"")"),"Mom and Dad did not dare tell the true price")</f>
        <v>Mom and Dad did not dare tell the true price</v>
      </c>
      <c r="D10008" s="5" t="s">
        <v>23156</v>
      </c>
      <c r="E10008" s="4">
        <v>488054</v>
      </c>
    </row>
    <row r="10009" spans="1:6" ht="13.5" customHeight="1">
      <c r="A10009" s="4" t="s">
        <v>20171</v>
      </c>
      <c r="B10009" s="4" t="s">
        <v>23157</v>
      </c>
      <c r="C10009" s="4" t="str">
        <f ca="1">IFERROR(__xludf.DUMMYFUNCTION("GOOGLETRANSLATE(D:D,""auto"",""en"")"),"Sprite chicken noodle")</f>
        <v>Sprite chicken noodle</v>
      </c>
      <c r="D10009" s="5" t="s">
        <v>23158</v>
      </c>
      <c r="E10009" s="4">
        <v>484015</v>
      </c>
    </row>
    <row r="10010" spans="1:6" ht="13.5" customHeight="1">
      <c r="A10010" s="4" t="s">
        <v>20171</v>
      </c>
      <c r="B10010" s="4" t="s">
        <v>23159</v>
      </c>
      <c r="C10010" s="4" t="str">
        <f ca="1">IFERROR(__xludf.DUMMYFUNCTION("GOOGLETRANSLATE(D:D,""auto"",""en"")"),"What is the name made too hasty experience")</f>
        <v>What is the name made too hasty experience</v>
      </c>
      <c r="D10010" s="5" t="s">
        <v>23160</v>
      </c>
      <c r="E10010" s="4">
        <v>482072</v>
      </c>
    </row>
    <row r="10011" spans="1:6" ht="13.5" customHeight="1">
      <c r="A10011" s="4" t="s">
        <v>20171</v>
      </c>
      <c r="B10011" s="4" t="s">
        <v>23161</v>
      </c>
      <c r="C10011" s="4" t="str">
        <f ca="1">IFERROR(__xludf.DUMMYFUNCTION("GOOGLETRANSLATE(D:D,""auto"",""en"")"),"Wuhan teacher pen drawing record 100 Contagion moment")</f>
        <v>Wuhan teacher pen drawing record 100 Contagion moment</v>
      </c>
      <c r="D10011" s="5" t="s">
        <v>23162</v>
      </c>
      <c r="E10011" s="4">
        <v>474154</v>
      </c>
      <c r="F10011">
        <v>1</v>
      </c>
    </row>
    <row r="10012" spans="1:6" ht="13.5" customHeight="1">
      <c r="A10012" s="4" t="s">
        <v>20171</v>
      </c>
      <c r="B10012" s="4" t="s">
        <v>23163</v>
      </c>
      <c r="C10012" s="4" t="str">
        <f ca="1">IFERROR(__xludf.DUMMYFUNCTION("GOOGLETRANSLATE(D:D,""auto"",""en"")"),"TV drama stunning female killer")</f>
        <v>TV drama stunning female killer</v>
      </c>
      <c r="D10012" s="5" t="s">
        <v>23164</v>
      </c>
      <c r="E10012" s="4">
        <v>434853</v>
      </c>
    </row>
    <row r="10013" spans="1:6" ht="13.5" customHeight="1">
      <c r="A10013" s="4" t="s">
        <v>20171</v>
      </c>
      <c r="B10013" s="4" t="s">
        <v>23165</v>
      </c>
      <c r="C10013" s="4" t="str">
        <f ca="1">IFERROR(__xludf.DUMMYFUNCTION("GOOGLETRANSLATE(D:D,""auto"",""en"")"),"Between girlfriends with avatar")</f>
        <v>Between girlfriends with avatar</v>
      </c>
      <c r="D10013" s="5" t="s">
        <v>23166</v>
      </c>
      <c r="E10013" s="4">
        <v>425631</v>
      </c>
    </row>
    <row r="10014" spans="1:6" ht="13.5" customHeight="1">
      <c r="A10014" s="4" t="s">
        <v>20171</v>
      </c>
      <c r="B10014" s="4" t="s">
        <v>23167</v>
      </c>
      <c r="C10014" s="4" t="str">
        <f ca="1">IFERROR(__xludf.DUMMYFUNCTION("GOOGLETRANSLATE(D:D,""auto"",""en"")"),"Daniel Wu")</f>
        <v>Daniel Wu</v>
      </c>
      <c r="D10014" s="5" t="s">
        <v>23168</v>
      </c>
      <c r="E10014" s="4">
        <v>423073</v>
      </c>
    </row>
    <row r="10015" spans="1:6" ht="13.5" customHeight="1">
      <c r="A10015" s="4" t="s">
        <v>20171</v>
      </c>
      <c r="B10015" s="4" t="s">
        <v>23169</v>
      </c>
      <c r="C10015" s="4" t="str">
        <f ca="1">IFERROR(__xludf.DUMMYFUNCTION("GOOGLETRANSLATE(D:D,""auto"",""en"")"),"Huawei super telescope")</f>
        <v>Huawei super telescope</v>
      </c>
      <c r="D10015" s="5" t="s">
        <v>23170</v>
      </c>
      <c r="E10015" s="4">
        <v>393848</v>
      </c>
    </row>
    <row r="10016" spans="1:6" ht="13.5" customHeight="1">
      <c r="A10016" s="4" t="s">
        <v>20171</v>
      </c>
      <c r="B10016" s="4" t="s">
        <v>12754</v>
      </c>
      <c r="C10016" s="4" t="str">
        <f ca="1">IFERROR(__xludf.DUMMYFUNCTION("GOOGLETRANSLATE(D:D,""auto"",""en"")"),"Huawei conference")</f>
        <v>Huawei conference</v>
      </c>
      <c r="D10016" s="5" t="s">
        <v>12755</v>
      </c>
      <c r="E10016" s="4">
        <v>383672</v>
      </c>
    </row>
    <row r="10017" spans="1:6" ht="13.5" customHeight="1">
      <c r="A10017" s="4" t="s">
        <v>20171</v>
      </c>
      <c r="B10017" s="4" t="s">
        <v>23171</v>
      </c>
      <c r="C10017" s="4" t="str">
        <f ca="1">IFERROR(__xludf.DUMMYFUNCTION("GOOGLETRANSLATE(D:D,""auto"",""en"")"),"lack of use")</f>
        <v>lack of use</v>
      </c>
      <c r="D10017" s="5" t="s">
        <v>23172</v>
      </c>
      <c r="E10017" s="4">
        <v>346148</v>
      </c>
    </row>
    <row r="10018" spans="1:6" ht="13.5" customHeight="1">
      <c r="A10018" s="4" t="s">
        <v>20171</v>
      </c>
      <c r="B10018" s="4" t="s">
        <v>23173</v>
      </c>
      <c r="C10018" s="4" t="str">
        <f ca="1">IFERROR(__xludf.DUMMYFUNCTION("GOOGLETRANSLATE(D:D,""auto"",""en"")"),"US strategic community Foreign Ministry responded hope rapprochement fight against SARS")</f>
        <v>US strategic community Foreign Ministry responded hope rapprochement fight against SARS</v>
      </c>
      <c r="D10018" s="5" t="s">
        <v>23174</v>
      </c>
      <c r="E10018" s="4">
        <v>337126</v>
      </c>
      <c r="F10018">
        <v>1</v>
      </c>
    </row>
    <row r="10019" spans="1:6" ht="13.5" customHeight="1">
      <c r="A10019" s="4" t="s">
        <v>20171</v>
      </c>
      <c r="B10019" s="4" t="s">
        <v>23175</v>
      </c>
      <c r="C10019" s="4" t="str">
        <f ca="1">IFERROR(__xludf.DUMMYFUNCTION("GOOGLETRANSLATE(D:D,""auto"",""en"")"),"Chengdu adjust the primary and secondary school time")</f>
        <v>Chengdu adjust the primary and secondary school time</v>
      </c>
      <c r="D10019" s="5" t="s">
        <v>23176</v>
      </c>
      <c r="E10019" s="4">
        <v>328187</v>
      </c>
      <c r="F10019">
        <v>1</v>
      </c>
    </row>
    <row r="10020" spans="1:6" ht="13.5" customHeight="1">
      <c r="A10020" s="4" t="s">
        <v>20171</v>
      </c>
      <c r="B10020" s="4" t="s">
        <v>23133</v>
      </c>
      <c r="C10020" s="4" t="str">
        <f ca="1">IFERROR(__xludf.DUMMYFUNCTION("GOOGLETRANSLATE(D:D,""auto"",""en"")"),"Starlight dresses")</f>
        <v>Starlight dresses</v>
      </c>
      <c r="D10020" s="5" t="s">
        <v>23177</v>
      </c>
      <c r="E10020" s="4">
        <v>307203</v>
      </c>
    </row>
    <row r="10021" spans="1:6" ht="13.5" customHeight="1">
      <c r="A10021" s="4" t="s">
        <v>20171</v>
      </c>
      <c r="B10021" s="4" t="s">
        <v>23178</v>
      </c>
      <c r="C10021" s="4" t="str">
        <f ca="1">IFERROR(__xludf.DUMMYFUNCTION("GOOGLETRANSLATE(D:D,""auto"",""en"")"),"Xie Enron")</f>
        <v>Xie Enron</v>
      </c>
      <c r="D10021" s="5" t="s">
        <v>23179</v>
      </c>
      <c r="E10021" s="4">
        <v>293967</v>
      </c>
    </row>
    <row r="10022" spans="1:6" ht="13.5" customHeight="1">
      <c r="A10022" s="4" t="s">
        <v>20171</v>
      </c>
      <c r="B10022" s="4" t="s">
        <v>23180</v>
      </c>
      <c r="C10022" s="4" t="str">
        <f ca="1">IFERROR(__xludf.DUMMYFUNCTION("GOOGLETRANSLATE(D:D,""auto"",""en"")"),"Fight new crown largest individual donation")</f>
        <v>Fight new crown largest individual donation</v>
      </c>
      <c r="D10022" s="5" t="s">
        <v>23181</v>
      </c>
      <c r="E10022" s="4">
        <v>289860</v>
      </c>
      <c r="F10022">
        <v>1</v>
      </c>
    </row>
    <row r="10023" spans="1:6" ht="13.5" customHeight="1">
      <c r="A10023" s="4" t="s">
        <v>20171</v>
      </c>
      <c r="B10023" s="4" t="s">
        <v>23133</v>
      </c>
      <c r="C10023" s="4" t="str">
        <f ca="1">IFERROR(__xludf.DUMMYFUNCTION("GOOGLETRANSLATE(D:D,""auto"",""en"")"),"Deputy Foreign Minister of Canada confirmed infected with the new virus crown")</f>
        <v>Deputy Foreign Minister of Canada confirmed infected with the new virus crown</v>
      </c>
      <c r="D10023" s="5" t="s">
        <v>23182</v>
      </c>
      <c r="E10023" s="4">
        <v>238400</v>
      </c>
      <c r="F10023">
        <v>1</v>
      </c>
    </row>
    <row r="10024" spans="1:6" ht="13.5" customHeight="1">
      <c r="A10024" s="4" t="s">
        <v>20171</v>
      </c>
      <c r="B10024" s="4" t="s">
        <v>23183</v>
      </c>
      <c r="C10024" s="4" t="str">
        <f ca="1">IFERROR(__xludf.DUMMYFUNCTION("GOOGLETRANSLATE(D:D,""auto"",""en"")"),"Why knowledge can change fate")</f>
        <v>Why knowledge can change fate</v>
      </c>
      <c r="D10024" s="5" t="s">
        <v>23184</v>
      </c>
      <c r="E10024" s="4">
        <v>234987</v>
      </c>
    </row>
    <row r="10025" spans="1:6" ht="13.5" customHeight="1">
      <c r="A10025" s="4" t="s">
        <v>20171</v>
      </c>
      <c r="B10025" s="4" t="s">
        <v>16415</v>
      </c>
      <c r="C10025" s="4" t="str">
        <f ca="1">IFERROR(__xludf.DUMMYFUNCTION("GOOGLETRANSLATE(D:D,""auto"",""en"")"),"Lew")</f>
        <v>Lew</v>
      </c>
      <c r="D10025" s="5" t="s">
        <v>23185</v>
      </c>
      <c r="E10025" s="4">
        <v>218295</v>
      </c>
    </row>
    <row r="10026" spans="1:6" ht="13.5" customHeight="1">
      <c r="A10026" s="4" t="s">
        <v>20171</v>
      </c>
      <c r="B10026" s="4" t="s">
        <v>23161</v>
      </c>
      <c r="C10026" s="4" t="str">
        <f ca="1">IFERROR(__xludf.DUMMYFUNCTION("GOOGLETRANSLATE(D:D,""auto"",""en"")"),"Four stages of my day")</f>
        <v>Four stages of my day</v>
      </c>
      <c r="D10026" s="5" t="s">
        <v>23186</v>
      </c>
      <c r="E10026" s="4">
        <v>214409</v>
      </c>
    </row>
    <row r="10027" spans="1:6" ht="13.5" customHeight="1">
      <c r="A10027" s="4" t="s">
        <v>20171</v>
      </c>
      <c r="B10027" s="4" t="s">
        <v>23187</v>
      </c>
      <c r="C10027" s="4" t="str">
        <f ca="1">IFERROR(__xludf.DUMMYFUNCTION("GOOGLETRANSLATE(D:D,""auto"",""en"")"),"Parents of school children the true reaction")</f>
        <v>Parents of school children the true reaction</v>
      </c>
      <c r="D10027" s="5" t="s">
        <v>23188</v>
      </c>
      <c r="E10027" s="4">
        <v>214209</v>
      </c>
      <c r="F10027">
        <v>1</v>
      </c>
    </row>
    <row r="10028" spans="1:6" ht="13.5" customHeight="1">
      <c r="A10028" s="4" t="s">
        <v>20171</v>
      </c>
      <c r="B10028" s="4" t="s">
        <v>23189</v>
      </c>
      <c r="C10028" s="4" t="str">
        <f ca="1">IFERROR(__xludf.DUMMYFUNCTION("GOOGLETRANSLATE(D:D,""auto"",""en"")"),"Huachen Yu New World")</f>
        <v>Huachen Yu New World</v>
      </c>
      <c r="D10028" s="5" t="s">
        <v>23190</v>
      </c>
      <c r="E10028" s="4">
        <v>209947</v>
      </c>
    </row>
    <row r="10029" spans="1:6" ht="13.5" customHeight="1">
      <c r="A10029" s="4" t="s">
        <v>20171</v>
      </c>
      <c r="B10029" s="4" t="s">
        <v>23191</v>
      </c>
      <c r="C10029" s="4" t="str">
        <f ca="1">IFERROR(__xludf.DUMMYFUNCTION("GOOGLETRANSLATE(D:D,""auto"",""en"")"),"Poi exploding mangoes Nuomici")</f>
        <v>Poi exploding mangoes Nuomici</v>
      </c>
      <c r="D10029" s="5" t="s">
        <v>23192</v>
      </c>
      <c r="E10029" s="4">
        <v>195627</v>
      </c>
    </row>
    <row r="10030" spans="1:6" ht="13.5" customHeight="1">
      <c r="A10030" s="4" t="s">
        <v>20171</v>
      </c>
      <c r="B10030" s="4" t="s">
        <v>23193</v>
      </c>
      <c r="C10030" s="4" t="str">
        <f ca="1">IFERROR(__xludf.DUMMYFUNCTION("GOOGLETRANSLATE(D:D,""auto"",""en"")"),"Beijing this year about 50 days time willow catkins")</f>
        <v>Beijing this year about 50 days time willow catkins</v>
      </c>
      <c r="D10030" s="5" t="s">
        <v>23194</v>
      </c>
      <c r="E10030" s="4">
        <v>192597</v>
      </c>
    </row>
    <row r="10031" spans="1:6" ht="13.5" customHeight="1">
      <c r="A10031" s="4" t="s">
        <v>20171</v>
      </c>
      <c r="B10031" s="4" t="s">
        <v>23195</v>
      </c>
      <c r="C10031" s="4" t="str">
        <f ca="1">IFERROR(__xludf.DUMMYFUNCTION("GOOGLETRANSLATE(D:D,""auto"",""en"")"),"Wuhan second line of the scenery outside the window")</f>
        <v>Wuhan second line of the scenery outside the window</v>
      </c>
      <c r="D10031" s="5" t="s">
        <v>23196</v>
      </c>
      <c r="E10031" s="4">
        <v>188303</v>
      </c>
    </row>
    <row r="10032" spans="1:6" ht="13.5" customHeight="1">
      <c r="A10032" s="4" t="s">
        <v>20171</v>
      </c>
      <c r="B10032" s="4" t="s">
        <v>23197</v>
      </c>
      <c r="C10032" s="4" t="str">
        <f ca="1">IFERROR(__xludf.DUMMYFUNCTION("GOOGLETRANSLATE(D:D,""auto"",""en"")"),"The man was videotaping female students to cancel the contract, China Southern Airlines")</f>
        <v>The man was videotaping female students to cancel the contract, China Southern Airlines</v>
      </c>
      <c r="D10032" s="5" t="s">
        <v>23198</v>
      </c>
      <c r="E10032" s="4">
        <v>183759</v>
      </c>
    </row>
    <row r="10033" spans="1:6" ht="13.5" customHeight="1">
      <c r="A10033" s="4" t="s">
        <v>20171</v>
      </c>
      <c r="B10033" s="4" t="s">
        <v>23199</v>
      </c>
      <c r="C10033" s="4" t="str">
        <f ca="1">IFERROR(__xludf.DUMMYFUNCTION("GOOGLETRANSLATE(D:D,""auto"",""en"")"),"The end of the medical team isolated painting smile on the face mask")</f>
        <v>The end of the medical team isolated painting smile on the face mask</v>
      </c>
      <c r="D10033" s="5" t="s">
        <v>23200</v>
      </c>
      <c r="E10033" s="4">
        <v>183346</v>
      </c>
      <c r="F10033">
        <v>1</v>
      </c>
    </row>
    <row r="10034" spans="1:6" ht="13.5" customHeight="1">
      <c r="A10034" s="4" t="s">
        <v>20171</v>
      </c>
      <c r="B10034" s="4" t="s">
        <v>23201</v>
      </c>
      <c r="C10034" s="4" t="str">
        <f ca="1">IFERROR(__xludf.DUMMYFUNCTION("GOOGLETRANSLATE(D:D,""auto"",""en"")"),"Tarim was a major oil and gas discoveries")</f>
        <v>Tarim was a major oil and gas discoveries</v>
      </c>
      <c r="D10034" s="5" t="s">
        <v>23202</v>
      </c>
      <c r="E10034" s="4">
        <v>182949</v>
      </c>
    </row>
    <row r="10035" spans="1:6" ht="13.5" customHeight="1">
      <c r="A10035" s="4" t="s">
        <v>20171</v>
      </c>
      <c r="B10035" s="4" t="s">
        <v>22682</v>
      </c>
      <c r="C10035" s="4" t="str">
        <f ca="1">IFERROR(__xludf.DUMMYFUNCTION("GOOGLETRANSLATE(D:D,""auto"",""en"")"),"I was more than happy water")</f>
        <v>I was more than happy water</v>
      </c>
      <c r="D10035" s="5" t="s">
        <v>22683</v>
      </c>
      <c r="E10035" s="4">
        <v>182177</v>
      </c>
    </row>
    <row r="10036" spans="1:6" ht="13.5" customHeight="1">
      <c r="A10036" s="4" t="s">
        <v>20171</v>
      </c>
      <c r="B10036" s="4" t="s">
        <v>23203</v>
      </c>
      <c r="C10036" s="4" t="str">
        <f ca="1">IFERROR(__xludf.DUMMYFUNCTION("GOOGLETRANSLATE(D:D,""auto"",""en"")"),"How do you apologize to parents")</f>
        <v>How do you apologize to parents</v>
      </c>
      <c r="D10036" s="5" t="s">
        <v>23204</v>
      </c>
      <c r="E10036" s="4">
        <v>181420</v>
      </c>
    </row>
    <row r="10037" spans="1:6" ht="13.5" customHeight="1">
      <c r="A10037" s="4" t="s">
        <v>9016</v>
      </c>
      <c r="B10037" s="4" t="s">
        <v>23099</v>
      </c>
      <c r="C10037" s="4" t="str">
        <f ca="1">IFERROR(__xludf.DUMMYFUNCTION("GOOGLETRANSLATE(D:D,""auto"",""en"")"),"Camp participants create uniform")</f>
        <v>Camp participants create uniform</v>
      </c>
      <c r="D10037" s="5" t="s">
        <v>23205</v>
      </c>
      <c r="E10037" s="4">
        <v>181192</v>
      </c>
    </row>
    <row r="10038" spans="1:6" ht="13.5" customHeight="1">
      <c r="A10038" s="4" t="s">
        <v>9016</v>
      </c>
      <c r="B10038" s="4" t="s">
        <v>23206</v>
      </c>
      <c r="C10038" s="4" t="str">
        <f ca="1">IFERROR(__xludf.DUMMYFUNCTION("GOOGLETRANSLATE(D:D,""auto"",""en"")"),"Blind cassette outfit")</f>
        <v>Blind cassette outfit</v>
      </c>
      <c r="D10038" s="5" t="s">
        <v>23207</v>
      </c>
      <c r="E10038" s="4">
        <v>176062</v>
      </c>
    </row>
    <row r="10039" spans="1:6" ht="13.5" customHeight="1">
      <c r="A10039" s="4" t="s">
        <v>9016</v>
      </c>
      <c r="B10039" s="4" t="s">
        <v>23208</v>
      </c>
      <c r="C10039" s="4" t="str">
        <f ca="1">IFERROR(__xludf.DUMMYFUNCTION("GOOGLETRANSLATE(D:D,""auto"",""en"")"),"Suifenhe total of 2443 people Entry")</f>
        <v>Suifenhe total of 2443 people Entry</v>
      </c>
      <c r="D10039" s="5" t="s">
        <v>23209</v>
      </c>
      <c r="E10039" s="4">
        <v>163952</v>
      </c>
    </row>
    <row r="10040" spans="1:6" ht="13.5" customHeight="1"/>
    <row r="10041" spans="1:6" ht="13.5" customHeight="1"/>
    <row r="10042" spans="1:6" ht="13.5" customHeight="1"/>
    <row r="10043" spans="1:6" ht="13.5" customHeight="1"/>
    <row r="10044" spans="1:6" ht="13.5" customHeight="1"/>
    <row r="10045" spans="1:6" ht="13.5" customHeight="1"/>
    <row r="10046" spans="1:6" ht="13.5" customHeight="1"/>
    <row r="10047" spans="1:6" ht="13.5" customHeight="1"/>
    <row r="10048" spans="1:6" ht="13.5" customHeight="1"/>
    <row r="10049" ht="13.5" customHeight="1"/>
    <row r="10050" ht="13.5" customHeight="1"/>
    <row r="10051" ht="13.5" customHeight="1"/>
    <row r="10052" ht="13.5" customHeight="1"/>
    <row r="10053" ht="13.5" customHeight="1"/>
    <row r="10054" ht="13.5" customHeight="1"/>
    <row r="10055" ht="13.5" customHeight="1"/>
    <row r="10056" ht="13.5" customHeight="1"/>
    <row r="10057" ht="13.5" customHeight="1"/>
    <row r="10058" ht="13.5" customHeight="1"/>
    <row r="10059" ht="13.5" customHeight="1"/>
    <row r="10060" ht="13.5" customHeight="1"/>
    <row r="10061" ht="13.5" customHeight="1"/>
    <row r="10062" ht="13.5" customHeight="1"/>
    <row r="10063" ht="13.5" customHeight="1"/>
    <row r="10064" ht="13.5" customHeight="1"/>
    <row r="10065" ht="13.5" customHeight="1"/>
    <row r="10066" ht="13.5" customHeight="1"/>
    <row r="10067" ht="13.5" customHeight="1"/>
    <row r="10068" ht="13.5" customHeight="1"/>
    <row r="10069" ht="13.5" customHeight="1"/>
    <row r="10070" ht="13.5" customHeight="1"/>
    <row r="10071" ht="13.5" customHeight="1"/>
    <row r="10072" ht="13.5" customHeight="1"/>
    <row r="10073" ht="13.5" customHeight="1"/>
    <row r="10074" ht="13.5" customHeight="1"/>
    <row r="10075" ht="13.5" customHeight="1"/>
    <row r="10076" ht="13.5" customHeight="1"/>
    <row r="10077" ht="13.5" customHeight="1"/>
    <row r="10078" ht="13.5" customHeight="1"/>
    <row r="10079" ht="13.5" customHeight="1"/>
    <row r="10080" ht="13.5" customHeight="1"/>
    <row r="10081" ht="13.5" customHeight="1"/>
    <row r="10082" ht="13.5" customHeight="1"/>
    <row r="10083" ht="13.5" customHeight="1"/>
    <row r="10084" ht="13.5" customHeight="1"/>
    <row r="10085" ht="13.5" customHeight="1"/>
    <row r="10086" ht="13.5" customHeight="1"/>
    <row r="10087" ht="13.5" customHeight="1"/>
    <row r="10088" ht="13.5" customHeight="1"/>
    <row r="10089" ht="13.5" customHeight="1"/>
    <row r="10090" ht="13.5" customHeight="1"/>
    <row r="10091" ht="13.5" customHeight="1"/>
    <row r="10092" ht="13.5" customHeight="1"/>
    <row r="10093" ht="13.5" customHeight="1"/>
    <row r="10094" ht="13.5" customHeight="1"/>
    <row r="10095" ht="13.5" customHeight="1"/>
    <row r="10096" ht="13.5" customHeight="1"/>
    <row r="10097" ht="13.5" customHeight="1"/>
    <row r="10098" ht="13.5" customHeight="1"/>
    <row r="10099" ht="13.5" customHeight="1"/>
    <row r="10100" ht="13.5" customHeight="1"/>
    <row r="10101" ht="13.5" customHeight="1"/>
    <row r="10102" ht="13.5" customHeight="1"/>
    <row r="10103" ht="13.5" customHeight="1"/>
    <row r="10104" ht="13.5" customHeight="1"/>
    <row r="10105" ht="13.5" customHeight="1"/>
    <row r="10106" ht="13.5" customHeight="1"/>
    <row r="10107" ht="13.5" customHeight="1"/>
    <row r="10108" ht="13.5" customHeight="1"/>
    <row r="10109" ht="13.5" customHeight="1"/>
    <row r="10110" ht="13.5" customHeight="1"/>
    <row r="10111" ht="13.5" customHeight="1"/>
    <row r="10112" ht="13.5" customHeight="1"/>
    <row r="10113" ht="13.5" customHeight="1"/>
    <row r="10114" ht="13.5" customHeight="1"/>
    <row r="10115" ht="13.5" customHeight="1"/>
    <row r="10116" ht="13.5" customHeight="1"/>
    <row r="10117" ht="13.5" customHeight="1"/>
    <row r="10118" ht="13.5" customHeight="1"/>
    <row r="10119" ht="13.5" customHeight="1"/>
    <row r="10120" ht="13.5" customHeight="1"/>
    <row r="10121" ht="13.5" customHeight="1"/>
    <row r="10122" ht="13.5" customHeight="1"/>
    <row r="10123" ht="13.5" customHeight="1"/>
    <row r="10124" ht="13.5" customHeight="1"/>
    <row r="10125" ht="13.5" customHeight="1"/>
    <row r="10126" ht="13.5" customHeight="1"/>
    <row r="10127" ht="13.5" customHeight="1"/>
    <row r="10128" ht="13.5" customHeight="1"/>
    <row r="10129" ht="13.5" customHeight="1"/>
    <row r="10130" ht="13.5" customHeight="1"/>
    <row r="10131" ht="13.5" customHeight="1"/>
    <row r="10132" ht="13.5" customHeight="1"/>
    <row r="10133" ht="13.5" customHeight="1"/>
    <row r="10134" ht="13.5" customHeight="1"/>
    <row r="10135" ht="13.5" customHeight="1"/>
    <row r="10136" ht="13.5" customHeight="1"/>
    <row r="10137" ht="13.5" customHeight="1"/>
    <row r="10138" ht="13.5" customHeight="1"/>
    <row r="10139" ht="13.5" customHeight="1"/>
    <row r="10140" ht="13.5" customHeight="1"/>
    <row r="10141" ht="13.5" customHeight="1"/>
    <row r="10142" ht="13.5" customHeight="1"/>
    <row r="10143" ht="13.5" customHeight="1"/>
    <row r="10144" ht="13.5" customHeight="1"/>
    <row r="10145" ht="13.5" customHeight="1"/>
    <row r="10146" ht="13.5" customHeight="1"/>
    <row r="10147" ht="13.5" customHeight="1"/>
    <row r="10148" ht="13.5" customHeight="1"/>
    <row r="10149" ht="13.5" customHeight="1"/>
    <row r="10150" ht="13.5" customHeight="1"/>
    <row r="10151" ht="13.5" customHeight="1"/>
    <row r="10152" ht="13.5" customHeight="1"/>
    <row r="10153" ht="13.5" customHeight="1"/>
    <row r="10154" ht="13.5" customHeight="1"/>
    <row r="10155" ht="13.5" customHeight="1"/>
    <row r="10156" ht="13.5" customHeight="1"/>
    <row r="10157" ht="13.5" customHeight="1"/>
    <row r="10158" ht="13.5" customHeight="1"/>
    <row r="10159" ht="13.5" customHeight="1"/>
    <row r="10160" ht="13.5" customHeight="1"/>
    <row r="10161" ht="13.5" customHeight="1"/>
    <row r="10162" ht="13.5" customHeight="1"/>
    <row r="10163" ht="13.5" customHeight="1"/>
    <row r="10164" ht="13.5" customHeight="1"/>
    <row r="10165" ht="13.5" customHeight="1"/>
    <row r="10166" ht="13.5" customHeight="1"/>
    <row r="10167" ht="13.5" customHeight="1"/>
    <row r="10168" ht="13.5" customHeight="1"/>
    <row r="10169" ht="13.5" customHeight="1"/>
    <row r="10170" ht="13.5" customHeight="1"/>
    <row r="10171" ht="13.5" customHeight="1"/>
    <row r="10172" ht="13.5" customHeight="1"/>
    <row r="10173" ht="13.5" customHeight="1"/>
    <row r="10174" ht="13.5" customHeight="1"/>
    <row r="10175" ht="13.5" customHeight="1"/>
    <row r="10176" ht="13.5" customHeight="1"/>
    <row r="10177" spans="3:3" ht="13.5" customHeight="1"/>
    <row r="10178" spans="3:3" ht="13.5" customHeight="1"/>
    <row r="10179" spans="3:3" ht="13.5" customHeight="1"/>
    <row r="10180" spans="3:3" ht="13.5" customHeight="1">
      <c r="C10180" s="4" t="str">
        <f ca="1">IFERROR(__xludf.DUMMYFUNCTION("GOOGLETRANSLATE(D:D,""auto"",""en"")"),"#VALUE!")</f>
        <v>#VALUE!</v>
      </c>
    </row>
    <row r="10181" spans="3:3" ht="13.5" customHeight="1">
      <c r="C10181" s="4" t="str">
        <f ca="1">IFERROR(__xludf.DUMMYFUNCTION("GOOGLETRANSLATE(D:D,""auto"",""en"")"),"#VALUE!")</f>
        <v>#VALUE!</v>
      </c>
    </row>
    <row r="10182" spans="3:3" ht="13.5" customHeight="1">
      <c r="C10182" s="4" t="str">
        <f ca="1">IFERROR(__xludf.DUMMYFUNCTION("GOOGLETRANSLATE(D:D,""auto"",""en"")"),"#VALUE!")</f>
        <v>#VALUE!</v>
      </c>
    </row>
    <row r="10183" spans="3:3" ht="13.5" customHeight="1">
      <c r="C10183" s="4" t="str">
        <f ca="1">IFERROR(__xludf.DUMMYFUNCTION("GOOGLETRANSLATE(D:D,""auto"",""en"")"),"#VALUE!")</f>
        <v>#VALUE!</v>
      </c>
    </row>
    <row r="10184" spans="3:3" ht="13.5" customHeight="1">
      <c r="C10184" s="4" t="str">
        <f ca="1">IFERROR(__xludf.DUMMYFUNCTION("GOOGLETRANSLATE(D:D,""auto"",""en"")"),"#VALUE!")</f>
        <v>#VALUE!</v>
      </c>
    </row>
    <row r="10185" spans="3:3" ht="13.5" customHeight="1">
      <c r="C10185" s="4" t="str">
        <f ca="1">IFERROR(__xludf.DUMMYFUNCTION("GOOGLETRANSLATE(D:D,""auto"",""en"")"),"#VALUE!")</f>
        <v>#VALUE!</v>
      </c>
    </row>
    <row r="10186" spans="3:3" ht="13.5" customHeight="1">
      <c r="C10186" s="4" t="str">
        <f ca="1">IFERROR(__xludf.DUMMYFUNCTION("GOOGLETRANSLATE(D:D,""auto"",""en"")"),"#VALUE!")</f>
        <v>#VALUE!</v>
      </c>
    </row>
    <row r="10187" spans="3:3" ht="13.5" customHeight="1">
      <c r="C10187" s="4" t="str">
        <f ca="1">IFERROR(__xludf.DUMMYFUNCTION("GOOGLETRANSLATE(D:D,""auto"",""en"")"),"#VALUE!")</f>
        <v>#VALUE!</v>
      </c>
    </row>
    <row r="10188" spans="3:3" ht="13.5" customHeight="1">
      <c r="C10188" s="4" t="str">
        <f ca="1">IFERROR(__xludf.DUMMYFUNCTION("GOOGLETRANSLATE(D:D,""auto"",""en"")"),"#VALUE!")</f>
        <v>#VALUE!</v>
      </c>
    </row>
    <row r="10189" spans="3:3" ht="13.5" customHeight="1">
      <c r="C10189" s="4" t="str">
        <f ca="1">IFERROR(__xludf.DUMMYFUNCTION("GOOGLETRANSLATE(D:D,""auto"",""en"")"),"#VALUE!")</f>
        <v>#VALUE!</v>
      </c>
    </row>
    <row r="10190" spans="3:3" ht="13.5" customHeight="1">
      <c r="C10190" s="4" t="str">
        <f ca="1">IFERROR(__xludf.DUMMYFUNCTION("GOOGLETRANSLATE(D:D,""auto"",""en"")"),"#VALUE!")</f>
        <v>#VALUE!</v>
      </c>
    </row>
    <row r="10191" spans="3:3" ht="13.5" customHeight="1">
      <c r="C10191" s="4" t="str">
        <f ca="1">IFERROR(__xludf.DUMMYFUNCTION("GOOGLETRANSLATE(D:D,""auto"",""en"")"),"#VALUE!")</f>
        <v>#VALUE!</v>
      </c>
    </row>
    <row r="10192" spans="3:3" ht="13.5" customHeight="1">
      <c r="C10192" s="4" t="str">
        <f ca="1">IFERROR(__xludf.DUMMYFUNCTION("GOOGLETRANSLATE(D:D,""auto"",""en"")"),"#VALUE!")</f>
        <v>#VALUE!</v>
      </c>
    </row>
    <row r="10193" spans="3:3" ht="13.5" customHeight="1">
      <c r="C10193" s="4" t="str">
        <f ca="1">IFERROR(__xludf.DUMMYFUNCTION("GOOGLETRANSLATE(D:D,""auto"",""en"")"),"#VALUE!")</f>
        <v>#VALUE!</v>
      </c>
    </row>
    <row r="10194" spans="3:3" ht="13.5" customHeight="1">
      <c r="C10194" s="4" t="str">
        <f ca="1">IFERROR(__xludf.DUMMYFUNCTION("GOOGLETRANSLATE(D:D,""auto"",""en"")"),"#VALUE!")</f>
        <v>#VALUE!</v>
      </c>
    </row>
    <row r="10195" spans="3:3" ht="13.5" customHeight="1">
      <c r="C10195" s="4" t="str">
        <f ca="1">IFERROR(__xludf.DUMMYFUNCTION("GOOGLETRANSLATE(D:D,""auto"",""en"")"),"#VALUE!")</f>
        <v>#VALUE!</v>
      </c>
    </row>
    <row r="10196" spans="3:3" ht="13.5" customHeight="1">
      <c r="C10196" s="4" t="str">
        <f ca="1">IFERROR(__xludf.DUMMYFUNCTION("GOOGLETRANSLATE(D:D,""auto"",""en"")"),"#VALUE!")</f>
        <v>#VALUE!</v>
      </c>
    </row>
    <row r="10197" spans="3:3" ht="13.5" customHeight="1">
      <c r="C10197" s="4" t="str">
        <f ca="1">IFERROR(__xludf.DUMMYFUNCTION("GOOGLETRANSLATE(D:D,""auto"",""en"")"),"#VALUE!")</f>
        <v>#VALUE!</v>
      </c>
    </row>
    <row r="10198" spans="3:3" ht="13.5" customHeight="1">
      <c r="C10198" s="4" t="str">
        <f ca="1">IFERROR(__xludf.DUMMYFUNCTION("GOOGLETRANSLATE(D:D,""auto"",""en"")"),"#VALUE!")</f>
        <v>#VALUE!</v>
      </c>
    </row>
    <row r="10199" spans="3:3" ht="13.5" customHeight="1">
      <c r="C10199" s="4" t="str">
        <f ca="1">IFERROR(__xludf.DUMMYFUNCTION("GOOGLETRANSLATE(D:D,""auto"",""en"")"),"#VALUE!")</f>
        <v>#VALUE!</v>
      </c>
    </row>
    <row r="10200" spans="3:3" ht="13.5" customHeight="1">
      <c r="C10200" s="4" t="str">
        <f ca="1">IFERROR(__xludf.DUMMYFUNCTION("GOOGLETRANSLATE(D:D,""auto"",""en"")"),"#VALUE!")</f>
        <v>#VALUE!</v>
      </c>
    </row>
    <row r="10201" spans="3:3" ht="13.5" customHeight="1">
      <c r="C10201" s="4" t="str">
        <f ca="1">IFERROR(__xludf.DUMMYFUNCTION("GOOGLETRANSLATE(D:D,""auto"",""en"")"),"#VALUE!")</f>
        <v>#VALUE!</v>
      </c>
    </row>
    <row r="10202" spans="3:3" ht="13.5" customHeight="1">
      <c r="C10202" s="4" t="str">
        <f ca="1">IFERROR(__xludf.DUMMYFUNCTION("GOOGLETRANSLATE(D:D,""auto"",""en"")"),"#VALUE!")</f>
        <v>#VALUE!</v>
      </c>
    </row>
    <row r="10203" spans="3:3" ht="13.5" customHeight="1">
      <c r="C10203" s="4" t="str">
        <f ca="1">IFERROR(__xludf.DUMMYFUNCTION("GOOGLETRANSLATE(D:D,""auto"",""en"")"),"#VALUE!")</f>
        <v>#VALUE!</v>
      </c>
    </row>
    <row r="10204" spans="3:3" ht="13.5" customHeight="1">
      <c r="C10204" s="4" t="str">
        <f ca="1">IFERROR(__xludf.DUMMYFUNCTION("GOOGLETRANSLATE(D:D,""auto"",""en"")"),"#VALUE!")</f>
        <v>#VALUE!</v>
      </c>
    </row>
    <row r="10205" spans="3:3" ht="13.5" customHeight="1">
      <c r="C10205" s="4" t="str">
        <f ca="1">IFERROR(__xludf.DUMMYFUNCTION("GOOGLETRANSLATE(D:D,""auto"",""en"")"),"#VALUE!")</f>
        <v>#VALUE!</v>
      </c>
    </row>
    <row r="10206" spans="3:3" ht="13.5" customHeight="1">
      <c r="C10206" s="4" t="str">
        <f ca="1">IFERROR(__xludf.DUMMYFUNCTION("GOOGLETRANSLATE(D:D,""auto"",""en"")"),"#VALUE!")</f>
        <v>#VALUE!</v>
      </c>
    </row>
    <row r="10207" spans="3:3" ht="13.5" customHeight="1">
      <c r="C10207" s="4" t="str">
        <f ca="1">IFERROR(__xludf.DUMMYFUNCTION("GOOGLETRANSLATE(D:D,""auto"",""en"")"),"#VALUE!")</f>
        <v>#VALUE!</v>
      </c>
    </row>
    <row r="10208" spans="3:3" ht="13.5" customHeight="1">
      <c r="C10208" s="4" t="str">
        <f ca="1">IFERROR(__xludf.DUMMYFUNCTION("GOOGLETRANSLATE(D:D,""auto"",""en"")"),"#VALUE!")</f>
        <v>#VALUE!</v>
      </c>
    </row>
    <row r="10209" spans="3:3" ht="13.5" customHeight="1">
      <c r="C10209" s="4" t="str">
        <f ca="1">IFERROR(__xludf.DUMMYFUNCTION("GOOGLETRANSLATE(D:D,""auto"",""en"")"),"#VALUE!")</f>
        <v>#VALUE!</v>
      </c>
    </row>
    <row r="10210" spans="3:3" ht="13.5" customHeight="1">
      <c r="C10210" s="4" t="str">
        <f ca="1">IFERROR(__xludf.DUMMYFUNCTION("GOOGLETRANSLATE(D:D,""auto"",""en"")"),"#VALUE!")</f>
        <v>#VALUE!</v>
      </c>
    </row>
    <row r="10211" spans="3:3" ht="13.5" customHeight="1">
      <c r="C10211" s="4" t="str">
        <f ca="1">IFERROR(__xludf.DUMMYFUNCTION("GOOGLETRANSLATE(D:D,""auto"",""en"")"),"#VALUE!")</f>
        <v>#VALUE!</v>
      </c>
    </row>
    <row r="10212" spans="3:3" ht="13.5" customHeight="1">
      <c r="C10212" s="4" t="str">
        <f ca="1">IFERROR(__xludf.DUMMYFUNCTION("GOOGLETRANSLATE(D:D,""auto"",""en"")"),"#VALUE!")</f>
        <v>#VALUE!</v>
      </c>
    </row>
    <row r="10213" spans="3:3" ht="13.5" customHeight="1">
      <c r="C10213" s="4" t="str">
        <f ca="1">IFERROR(__xludf.DUMMYFUNCTION("GOOGLETRANSLATE(D:D,""auto"",""en"")"),"#VALUE!")</f>
        <v>#VALUE!</v>
      </c>
    </row>
    <row r="10214" spans="3:3" ht="13.5" customHeight="1">
      <c r="C10214" s="4" t="str">
        <f ca="1">IFERROR(__xludf.DUMMYFUNCTION("GOOGLETRANSLATE(D:D,""auto"",""en"")"),"#VALUE!")</f>
        <v>#VALUE!</v>
      </c>
    </row>
    <row r="10215" spans="3:3" ht="13.5" customHeight="1">
      <c r="C10215" s="4" t="str">
        <f ca="1">IFERROR(__xludf.DUMMYFUNCTION("GOOGLETRANSLATE(D:D,""auto"",""en"")"),"#VALUE!")</f>
        <v>#VALUE!</v>
      </c>
    </row>
    <row r="10216" spans="3:3" ht="13.5" customHeight="1">
      <c r="C10216" s="4" t="str">
        <f ca="1">IFERROR(__xludf.DUMMYFUNCTION("GOOGLETRANSLATE(D:D,""auto"",""en"")"),"#VALUE!")</f>
        <v>#VALUE!</v>
      </c>
    </row>
    <row r="10217" spans="3:3" ht="13.5" customHeight="1">
      <c r="C10217" s="4" t="str">
        <f ca="1">IFERROR(__xludf.DUMMYFUNCTION("GOOGLETRANSLATE(D:D,""auto"",""en"")"),"#VALUE!")</f>
        <v>#VALUE!</v>
      </c>
    </row>
    <row r="10218" spans="3:3" ht="13.5" customHeight="1">
      <c r="C10218" s="4" t="str">
        <f ca="1">IFERROR(__xludf.DUMMYFUNCTION("GOOGLETRANSLATE(D:D,""auto"",""en"")"),"#VALUE!")</f>
        <v>#VALUE!</v>
      </c>
    </row>
    <row r="10219" spans="3:3" ht="13.5" customHeight="1">
      <c r="C10219" s="4" t="str">
        <f ca="1">IFERROR(__xludf.DUMMYFUNCTION("GOOGLETRANSLATE(D:D,""auto"",""en"")"),"#VALUE!")</f>
        <v>#VALUE!</v>
      </c>
    </row>
    <row r="10220" spans="3:3" ht="13.5" customHeight="1">
      <c r="C10220" s="4" t="str">
        <f ca="1">IFERROR(__xludf.DUMMYFUNCTION("GOOGLETRANSLATE(D:D,""auto"",""en"")"),"#VALUE!")</f>
        <v>#VALUE!</v>
      </c>
    </row>
    <row r="10221" spans="3:3" ht="13.5" customHeight="1">
      <c r="C10221" s="4" t="str">
        <f ca="1">IFERROR(__xludf.DUMMYFUNCTION("GOOGLETRANSLATE(D:D,""auto"",""en"")"),"#VALUE!")</f>
        <v>#VALUE!</v>
      </c>
    </row>
    <row r="10222" spans="3:3" ht="13.5" customHeight="1">
      <c r="C10222" s="4" t="str">
        <f ca="1">IFERROR(__xludf.DUMMYFUNCTION("GOOGLETRANSLATE(D:D,""auto"",""en"")"),"#VALUE!")</f>
        <v>#VALUE!</v>
      </c>
    </row>
    <row r="10223" spans="3:3" ht="13.5" customHeight="1">
      <c r="C10223" s="4" t="str">
        <f ca="1">IFERROR(__xludf.DUMMYFUNCTION("GOOGLETRANSLATE(D:D,""auto"",""en"")"),"#VALUE!")</f>
        <v>#VALUE!</v>
      </c>
    </row>
    <row r="10224" spans="3:3" ht="13.5" customHeight="1">
      <c r="C10224" s="4" t="str">
        <f ca="1">IFERROR(__xludf.DUMMYFUNCTION("GOOGLETRANSLATE(D:D,""auto"",""en"")"),"#VALUE!")</f>
        <v>#VALUE!</v>
      </c>
    </row>
    <row r="10225" spans="3:3" ht="13.5" customHeight="1">
      <c r="C10225" s="4" t="str">
        <f ca="1">IFERROR(__xludf.DUMMYFUNCTION("GOOGLETRANSLATE(D:D,""auto"",""en"")"),"#VALUE!")</f>
        <v>#VALUE!</v>
      </c>
    </row>
    <row r="10226" spans="3:3" ht="13.5" customHeight="1">
      <c r="C10226" s="4" t="str">
        <f ca="1">IFERROR(__xludf.DUMMYFUNCTION("GOOGLETRANSLATE(D:D,""auto"",""en"")"),"#VALUE!")</f>
        <v>#VALUE!</v>
      </c>
    </row>
    <row r="10227" spans="3:3" ht="13.5" customHeight="1">
      <c r="C10227" s="4" t="str">
        <f ca="1">IFERROR(__xludf.DUMMYFUNCTION("GOOGLETRANSLATE(D:D,""auto"",""en"")"),"#VALUE!")</f>
        <v>#VALUE!</v>
      </c>
    </row>
    <row r="10228" spans="3:3" ht="13.5" customHeight="1">
      <c r="C10228" s="4" t="str">
        <f ca="1">IFERROR(__xludf.DUMMYFUNCTION("GOOGLETRANSLATE(D:D,""auto"",""en"")"),"#VALUE!")</f>
        <v>#VALUE!</v>
      </c>
    </row>
    <row r="10229" spans="3:3" ht="13.5" customHeight="1">
      <c r="C10229" s="4" t="str">
        <f ca="1">IFERROR(__xludf.DUMMYFUNCTION("GOOGLETRANSLATE(D:D,""auto"",""en"")"),"#VALUE!")</f>
        <v>#VALUE!</v>
      </c>
    </row>
    <row r="10230" spans="3:3" ht="13.5" customHeight="1">
      <c r="C10230" s="4" t="str">
        <f ca="1">IFERROR(__xludf.DUMMYFUNCTION("GOOGLETRANSLATE(D:D,""auto"",""en"")"),"#VALUE!")</f>
        <v>#VALUE!</v>
      </c>
    </row>
    <row r="10231" spans="3:3" ht="13.5" customHeight="1">
      <c r="C10231" s="4" t="str">
        <f ca="1">IFERROR(__xludf.DUMMYFUNCTION("GOOGLETRANSLATE(D:D,""auto"",""en"")"),"#VALUE!")</f>
        <v>#VALUE!</v>
      </c>
    </row>
    <row r="10232" spans="3:3" ht="13.5" customHeight="1">
      <c r="C10232" s="4" t="str">
        <f ca="1">IFERROR(__xludf.DUMMYFUNCTION("GOOGLETRANSLATE(D:D,""auto"",""en"")"),"#VALUE!")</f>
        <v>#VALUE!</v>
      </c>
    </row>
    <row r="10233" spans="3:3" ht="13.5" customHeight="1">
      <c r="C10233" s="4" t="str">
        <f ca="1">IFERROR(__xludf.DUMMYFUNCTION("GOOGLETRANSLATE(D:D,""auto"",""en"")"),"#VALUE!")</f>
        <v>#VALUE!</v>
      </c>
    </row>
    <row r="10234" spans="3:3" ht="13.5" customHeight="1">
      <c r="C10234" s="4" t="str">
        <f ca="1">IFERROR(__xludf.DUMMYFUNCTION("GOOGLETRANSLATE(D:D,""auto"",""en"")"),"#VALUE!")</f>
        <v>#VALUE!</v>
      </c>
    </row>
    <row r="10235" spans="3:3" ht="13.5" customHeight="1">
      <c r="C10235" s="4" t="str">
        <f ca="1">IFERROR(__xludf.DUMMYFUNCTION("GOOGLETRANSLATE(D:D,""auto"",""en"")"),"#VALUE!")</f>
        <v>#VALUE!</v>
      </c>
    </row>
    <row r="10236" spans="3:3" ht="13.5" customHeight="1">
      <c r="C10236" s="4" t="str">
        <f ca="1">IFERROR(__xludf.DUMMYFUNCTION("GOOGLETRANSLATE(D:D,""auto"",""en"")"),"#VALUE!")</f>
        <v>#VALUE!</v>
      </c>
    </row>
    <row r="10237" spans="3:3" ht="13.5" customHeight="1">
      <c r="C10237" s="4" t="str">
        <f ca="1">IFERROR(__xludf.DUMMYFUNCTION("GOOGLETRANSLATE(D:D,""auto"",""en"")"),"#VALUE!")</f>
        <v>#VALUE!</v>
      </c>
    </row>
    <row r="10238" spans="3:3" ht="13.5" customHeight="1">
      <c r="C10238" s="4" t="str">
        <f ca="1">IFERROR(__xludf.DUMMYFUNCTION("GOOGLETRANSLATE(D:D,""auto"",""en"")"),"#VALUE!")</f>
        <v>#VALUE!</v>
      </c>
    </row>
    <row r="10239" spans="3:3" ht="13.5" customHeight="1">
      <c r="C10239" s="4" t="str">
        <f ca="1">IFERROR(__xludf.DUMMYFUNCTION("GOOGLETRANSLATE(D:D,""auto"",""en"")"),"#VALUE!")</f>
        <v>#VALUE!</v>
      </c>
    </row>
    <row r="10240" spans="3:3" ht="13.5" customHeight="1">
      <c r="C10240" s="4" t="str">
        <f ca="1">IFERROR(__xludf.DUMMYFUNCTION("GOOGLETRANSLATE(D:D,""auto"",""en"")"),"#VALUE!")</f>
        <v>#VALUE!</v>
      </c>
    </row>
    <row r="10241" spans="3:3" ht="13.5" customHeight="1">
      <c r="C10241" s="4" t="str">
        <f ca="1">IFERROR(__xludf.DUMMYFUNCTION("GOOGLETRANSLATE(D:D,""auto"",""en"")"),"#VALUE!")</f>
        <v>#VALUE!</v>
      </c>
    </row>
    <row r="10242" spans="3:3" ht="13.5" customHeight="1">
      <c r="C10242" s="4" t="str">
        <f ca="1">IFERROR(__xludf.DUMMYFUNCTION("GOOGLETRANSLATE(D:D,""auto"",""en"")"),"#VALUE!")</f>
        <v>#VALUE!</v>
      </c>
    </row>
    <row r="10243" spans="3:3" ht="13.5" customHeight="1">
      <c r="C10243" s="4" t="str">
        <f ca="1">IFERROR(__xludf.DUMMYFUNCTION("GOOGLETRANSLATE(D:D,""auto"",""en"")"),"#VALUE!")</f>
        <v>#VALUE!</v>
      </c>
    </row>
    <row r="10244" spans="3:3" ht="13.5" customHeight="1">
      <c r="C10244" s="4" t="str">
        <f ca="1">IFERROR(__xludf.DUMMYFUNCTION("GOOGLETRANSLATE(D:D,""auto"",""en"")"),"#VALUE!")</f>
        <v>#VALUE!</v>
      </c>
    </row>
    <row r="10245" spans="3:3" ht="13.5" customHeight="1">
      <c r="C10245" s="4" t="str">
        <f ca="1">IFERROR(__xludf.DUMMYFUNCTION("GOOGLETRANSLATE(D:D,""auto"",""en"")"),"#VALUE!")</f>
        <v>#VALUE!</v>
      </c>
    </row>
    <row r="10246" spans="3:3" ht="13.5" customHeight="1">
      <c r="C10246" s="4" t="str">
        <f ca="1">IFERROR(__xludf.DUMMYFUNCTION("GOOGLETRANSLATE(D:D,""auto"",""en"")"),"#VALUE!")</f>
        <v>#VALUE!</v>
      </c>
    </row>
    <row r="10247" spans="3:3" ht="13.5" customHeight="1">
      <c r="C10247" s="4" t="str">
        <f ca="1">IFERROR(__xludf.DUMMYFUNCTION("GOOGLETRANSLATE(D:D,""auto"",""en"")"),"#VALUE!")</f>
        <v>#VALUE!</v>
      </c>
    </row>
    <row r="10248" spans="3:3" ht="13.5" customHeight="1">
      <c r="C10248" s="4" t="str">
        <f ca="1">IFERROR(__xludf.DUMMYFUNCTION("GOOGLETRANSLATE(D:D,""auto"",""en"")"),"#VALUE!")</f>
        <v>#VALUE!</v>
      </c>
    </row>
    <row r="10249" spans="3:3" ht="13.5" customHeight="1">
      <c r="C10249" s="4" t="str">
        <f ca="1">IFERROR(__xludf.DUMMYFUNCTION("GOOGLETRANSLATE(D:D,""auto"",""en"")"),"#VALUE!")</f>
        <v>#VALUE!</v>
      </c>
    </row>
    <row r="10250" spans="3:3" ht="13.5" customHeight="1">
      <c r="C10250" s="4" t="str">
        <f ca="1">IFERROR(__xludf.DUMMYFUNCTION("GOOGLETRANSLATE(D:D,""auto"",""en"")"),"#VALUE!")</f>
        <v>#VALUE!</v>
      </c>
    </row>
    <row r="10251" spans="3:3" ht="13.5" customHeight="1">
      <c r="C10251" s="4" t="str">
        <f ca="1">IFERROR(__xludf.DUMMYFUNCTION("GOOGLETRANSLATE(D:D,""auto"",""en"")"),"#VALUE!")</f>
        <v>#VALUE!</v>
      </c>
    </row>
    <row r="10252" spans="3:3" ht="13.5" customHeight="1">
      <c r="C10252" s="4" t="str">
        <f ca="1">IFERROR(__xludf.DUMMYFUNCTION("GOOGLETRANSLATE(D:D,""auto"",""en"")"),"#VALUE!")</f>
        <v>#VALUE!</v>
      </c>
    </row>
    <row r="10253" spans="3:3" ht="13.5" customHeight="1">
      <c r="C10253" s="4" t="str">
        <f ca="1">IFERROR(__xludf.DUMMYFUNCTION("GOOGLETRANSLATE(D:D,""auto"",""en"")"),"#VALUE!")</f>
        <v>#VALUE!</v>
      </c>
    </row>
    <row r="10254" spans="3:3" ht="13.5" customHeight="1">
      <c r="C10254" s="4" t="str">
        <f ca="1">IFERROR(__xludf.DUMMYFUNCTION("GOOGLETRANSLATE(D:D,""auto"",""en"")"),"#VALUE!")</f>
        <v>#VALUE!</v>
      </c>
    </row>
    <row r="10255" spans="3:3" ht="13.5" customHeight="1">
      <c r="C10255" s="4" t="str">
        <f ca="1">IFERROR(__xludf.DUMMYFUNCTION("GOOGLETRANSLATE(D:D,""auto"",""en"")"),"#VALUE!")</f>
        <v>#VALUE!</v>
      </c>
    </row>
    <row r="10256" spans="3:3" ht="13.5" customHeight="1">
      <c r="C10256" s="4" t="str">
        <f ca="1">IFERROR(__xludf.DUMMYFUNCTION("GOOGLETRANSLATE(D:D,""auto"",""en"")"),"#VALUE!")</f>
        <v>#VALUE!</v>
      </c>
    </row>
    <row r="10257" spans="3:3" ht="13.5" customHeight="1">
      <c r="C10257" s="4" t="str">
        <f ca="1">IFERROR(__xludf.DUMMYFUNCTION("GOOGLETRANSLATE(D:D,""auto"",""en"")"),"#VALUE!")</f>
        <v>#VALUE!</v>
      </c>
    </row>
    <row r="10258" spans="3:3" ht="13.5" customHeight="1">
      <c r="C10258" s="4" t="str">
        <f ca="1">IFERROR(__xludf.DUMMYFUNCTION("GOOGLETRANSLATE(D:D,""auto"",""en"")"),"#VALUE!")</f>
        <v>#VALUE!</v>
      </c>
    </row>
    <row r="10259" spans="3:3" ht="13.5" customHeight="1">
      <c r="C10259" s="4" t="str">
        <f ca="1">IFERROR(__xludf.DUMMYFUNCTION("GOOGLETRANSLATE(D:D,""auto"",""en"")"),"#VALUE!")</f>
        <v>#VALUE!</v>
      </c>
    </row>
    <row r="10260" spans="3:3" ht="13.5" customHeight="1">
      <c r="C10260" s="4" t="str">
        <f ca="1">IFERROR(__xludf.DUMMYFUNCTION("GOOGLETRANSLATE(D:D,""auto"",""en"")"),"#VALUE!")</f>
        <v>#VALUE!</v>
      </c>
    </row>
    <row r="10261" spans="3:3" ht="13.5" customHeight="1">
      <c r="C10261" s="4" t="str">
        <f ca="1">IFERROR(__xludf.DUMMYFUNCTION("GOOGLETRANSLATE(D:D,""auto"",""en"")"),"#VALUE!")</f>
        <v>#VALUE!</v>
      </c>
    </row>
    <row r="10262" spans="3:3" ht="13.5" customHeight="1">
      <c r="C10262" s="4" t="str">
        <f ca="1">IFERROR(__xludf.DUMMYFUNCTION("GOOGLETRANSLATE(D:D,""auto"",""en"")"),"#VALUE!")</f>
        <v>#VALUE!</v>
      </c>
    </row>
    <row r="10263" spans="3:3" ht="13.5" customHeight="1">
      <c r="C10263" s="4" t="str">
        <f ca="1">IFERROR(__xludf.DUMMYFUNCTION("GOOGLETRANSLATE(D:D,""auto"",""en"")"),"#VALUE!")</f>
        <v>#VALUE!</v>
      </c>
    </row>
    <row r="10264" spans="3:3" ht="13.5" customHeight="1">
      <c r="C10264" s="4" t="str">
        <f ca="1">IFERROR(__xludf.DUMMYFUNCTION("GOOGLETRANSLATE(D:D,""auto"",""en"")"),"#VALUE!")</f>
        <v>#VALUE!</v>
      </c>
    </row>
    <row r="10265" spans="3:3" ht="13.5" customHeight="1">
      <c r="C10265" s="4" t="str">
        <f ca="1">IFERROR(__xludf.DUMMYFUNCTION("GOOGLETRANSLATE(D:D,""auto"",""en"")"),"#VALUE!")</f>
        <v>#VALUE!</v>
      </c>
    </row>
    <row r="10266" spans="3:3" ht="13.5" customHeight="1">
      <c r="C10266" s="4" t="str">
        <f ca="1">IFERROR(__xludf.DUMMYFUNCTION("GOOGLETRANSLATE(D:D,""auto"",""en"")"),"#VALUE!")</f>
        <v>#VALUE!</v>
      </c>
    </row>
    <row r="10267" spans="3:3" ht="13.5" customHeight="1">
      <c r="C10267" s="4" t="str">
        <f ca="1">IFERROR(__xludf.DUMMYFUNCTION("GOOGLETRANSLATE(D:D,""auto"",""en"")"),"#VALUE!")</f>
        <v>#VALUE!</v>
      </c>
    </row>
    <row r="10268" spans="3:3" ht="13.5" customHeight="1">
      <c r="C10268" s="4" t="str">
        <f ca="1">IFERROR(__xludf.DUMMYFUNCTION("GOOGLETRANSLATE(D:D,""auto"",""en"")"),"#VALUE!")</f>
        <v>#VALUE!</v>
      </c>
    </row>
    <row r="10269" spans="3:3" ht="13.5" customHeight="1">
      <c r="C10269" s="4" t="str">
        <f ca="1">IFERROR(__xludf.DUMMYFUNCTION("GOOGLETRANSLATE(D:D,""auto"",""en"")"),"#VALUE!")</f>
        <v>#VALUE!</v>
      </c>
    </row>
    <row r="10270" spans="3:3" ht="13.5" customHeight="1">
      <c r="C10270" s="4" t="str">
        <f ca="1">IFERROR(__xludf.DUMMYFUNCTION("GOOGLETRANSLATE(D:D,""auto"",""en"")"),"#VALUE!")</f>
        <v>#VALUE!</v>
      </c>
    </row>
    <row r="10271" spans="3:3" ht="13.5" customHeight="1">
      <c r="C10271" s="4" t="str">
        <f ca="1">IFERROR(__xludf.DUMMYFUNCTION("GOOGLETRANSLATE(D:D,""auto"",""en"")"),"#VALUE!")</f>
        <v>#VALUE!</v>
      </c>
    </row>
    <row r="10272" spans="3:3" ht="13.5" customHeight="1">
      <c r="C10272" s="4" t="str">
        <f ca="1">IFERROR(__xludf.DUMMYFUNCTION("GOOGLETRANSLATE(D:D,""auto"",""en"")"),"#VALUE!")</f>
        <v>#VALUE!</v>
      </c>
    </row>
    <row r="10273" spans="3:3" ht="13.5" customHeight="1">
      <c r="C10273" s="4" t="str">
        <f ca="1">IFERROR(__xludf.DUMMYFUNCTION("GOOGLETRANSLATE(D:D,""auto"",""en"")"),"#VALUE!")</f>
        <v>#VALUE!</v>
      </c>
    </row>
    <row r="10274" spans="3:3" ht="13.5" customHeight="1">
      <c r="C10274" s="4" t="str">
        <f ca="1">IFERROR(__xludf.DUMMYFUNCTION("GOOGLETRANSLATE(D:D,""auto"",""en"")"),"#VALUE!")</f>
        <v>#VALUE!</v>
      </c>
    </row>
    <row r="10275" spans="3:3" ht="13.5" customHeight="1">
      <c r="C10275" s="4" t="str">
        <f ca="1">IFERROR(__xludf.DUMMYFUNCTION("GOOGLETRANSLATE(D:D,""auto"",""en"")"),"#VALUE!")</f>
        <v>#VALUE!</v>
      </c>
    </row>
    <row r="10276" spans="3:3" ht="13.5" customHeight="1">
      <c r="C10276" s="4" t="str">
        <f ca="1">IFERROR(__xludf.DUMMYFUNCTION("GOOGLETRANSLATE(D:D,""auto"",""en"")"),"#VALUE!")</f>
        <v>#VALUE!</v>
      </c>
    </row>
    <row r="10277" spans="3:3" ht="13.5" customHeight="1">
      <c r="C10277" s="4" t="str">
        <f ca="1">IFERROR(__xludf.DUMMYFUNCTION("GOOGLETRANSLATE(D:D,""auto"",""en"")"),"#VALUE!")</f>
        <v>#VALUE!</v>
      </c>
    </row>
    <row r="10278" spans="3:3" ht="13.5" customHeight="1">
      <c r="C10278" s="4" t="str">
        <f ca="1">IFERROR(__xludf.DUMMYFUNCTION("GOOGLETRANSLATE(D:D,""auto"",""en"")"),"#VALUE!")</f>
        <v>#VALUE!</v>
      </c>
    </row>
    <row r="10279" spans="3:3" ht="13.5" customHeight="1">
      <c r="C10279" s="4" t="str">
        <f ca="1">IFERROR(__xludf.DUMMYFUNCTION("GOOGLETRANSLATE(D:D,""auto"",""en"")"),"#VALUE!")</f>
        <v>#VALUE!</v>
      </c>
    </row>
    <row r="10280" spans="3:3" ht="13.5" customHeight="1">
      <c r="C10280" s="4" t="str">
        <f ca="1">IFERROR(__xludf.DUMMYFUNCTION("GOOGLETRANSLATE(D:D,""auto"",""en"")"),"#VALUE!")</f>
        <v>#VALUE!</v>
      </c>
    </row>
    <row r="10281" spans="3:3" ht="13.5" customHeight="1">
      <c r="C10281" s="4" t="str">
        <f ca="1">IFERROR(__xludf.DUMMYFUNCTION("GOOGLETRANSLATE(D:D,""auto"",""en"")"),"#VALUE!")</f>
        <v>#VALUE!</v>
      </c>
    </row>
    <row r="10282" spans="3:3" ht="13.5" customHeight="1">
      <c r="C10282" s="4" t="str">
        <f ca="1">IFERROR(__xludf.DUMMYFUNCTION("GOOGLETRANSLATE(D:D,""auto"",""en"")"),"#VALUE!")</f>
        <v>#VALUE!</v>
      </c>
    </row>
    <row r="10283" spans="3:3" ht="13.5" customHeight="1">
      <c r="C10283" s="4" t="str">
        <f ca="1">IFERROR(__xludf.DUMMYFUNCTION("GOOGLETRANSLATE(D:D,""auto"",""en"")"),"#VALUE!")</f>
        <v>#VALUE!</v>
      </c>
    </row>
    <row r="10284" spans="3:3" ht="13.5" customHeight="1">
      <c r="C10284" s="4" t="str">
        <f ca="1">IFERROR(__xludf.DUMMYFUNCTION("GOOGLETRANSLATE(D:D,""auto"",""en"")"),"#VALUE!")</f>
        <v>#VALUE!</v>
      </c>
    </row>
    <row r="10285" spans="3:3" ht="13.5" customHeight="1">
      <c r="C10285" s="4" t="str">
        <f ca="1">IFERROR(__xludf.DUMMYFUNCTION("GOOGLETRANSLATE(D:D,""auto"",""en"")"),"#VALUE!")</f>
        <v>#VALUE!</v>
      </c>
    </row>
    <row r="10286" spans="3:3" ht="13.5" customHeight="1">
      <c r="C10286" s="4" t="str">
        <f ca="1">IFERROR(__xludf.DUMMYFUNCTION("GOOGLETRANSLATE(D:D,""auto"",""en"")"),"#VALUE!")</f>
        <v>#VALUE!</v>
      </c>
    </row>
    <row r="10287" spans="3:3" ht="13.5" customHeight="1">
      <c r="C10287" s="4" t="str">
        <f ca="1">IFERROR(__xludf.DUMMYFUNCTION("GOOGLETRANSLATE(D:D,""auto"",""en"")"),"#VALUE!")</f>
        <v>#VALUE!</v>
      </c>
    </row>
    <row r="10288" spans="3:3" ht="13.5" customHeight="1">
      <c r="C10288" s="4" t="str">
        <f ca="1">IFERROR(__xludf.DUMMYFUNCTION("GOOGLETRANSLATE(D:D,""auto"",""en"")"),"#VALUE!")</f>
        <v>#VALUE!</v>
      </c>
    </row>
    <row r="10289" spans="3:3" ht="13.5" customHeight="1">
      <c r="C10289" s="4" t="str">
        <f ca="1">IFERROR(__xludf.DUMMYFUNCTION("GOOGLETRANSLATE(D:D,""auto"",""en"")"),"#VALUE!")</f>
        <v>#VALUE!</v>
      </c>
    </row>
    <row r="10290" spans="3:3" ht="13.5" customHeight="1">
      <c r="C10290" s="4" t="str">
        <f ca="1">IFERROR(__xludf.DUMMYFUNCTION("GOOGLETRANSLATE(D:D,""auto"",""en"")"),"#VALUE!")</f>
        <v>#VALUE!</v>
      </c>
    </row>
    <row r="10291" spans="3:3" ht="13.5" customHeight="1">
      <c r="C10291" s="4" t="str">
        <f ca="1">IFERROR(__xludf.DUMMYFUNCTION("GOOGLETRANSLATE(D:D,""auto"",""en"")"),"#VALUE!")</f>
        <v>#VALUE!</v>
      </c>
    </row>
    <row r="10292" spans="3:3" ht="13.5" customHeight="1">
      <c r="C10292" s="4" t="str">
        <f ca="1">IFERROR(__xludf.DUMMYFUNCTION("GOOGLETRANSLATE(D:D,""auto"",""en"")"),"#VALUE!")</f>
        <v>#VALUE!</v>
      </c>
    </row>
    <row r="10293" spans="3:3" ht="13.5" customHeight="1">
      <c r="C10293" s="4" t="str">
        <f ca="1">IFERROR(__xludf.DUMMYFUNCTION("GOOGLETRANSLATE(D:D,""auto"",""en"")"),"#VALUE!")</f>
        <v>#VALUE!</v>
      </c>
    </row>
    <row r="10294" spans="3:3" ht="13.5" customHeight="1">
      <c r="C10294" s="4" t="str">
        <f ca="1">IFERROR(__xludf.DUMMYFUNCTION("GOOGLETRANSLATE(D:D,""auto"",""en"")"),"#VALUE!")</f>
        <v>#VALUE!</v>
      </c>
    </row>
    <row r="10295" spans="3:3" ht="13.5" customHeight="1">
      <c r="C10295" s="4" t="str">
        <f ca="1">IFERROR(__xludf.DUMMYFUNCTION("GOOGLETRANSLATE(D:D,""auto"",""en"")"),"#VALUE!")</f>
        <v>#VALUE!</v>
      </c>
    </row>
    <row r="10296" spans="3:3" ht="13.5" customHeight="1">
      <c r="C10296" s="4" t="str">
        <f ca="1">IFERROR(__xludf.DUMMYFUNCTION("GOOGLETRANSLATE(D:D,""auto"",""en"")"),"#VALUE!")</f>
        <v>#VALUE!</v>
      </c>
    </row>
    <row r="10297" spans="3:3" ht="13.5" customHeight="1">
      <c r="C10297" s="4" t="str">
        <f ca="1">IFERROR(__xludf.DUMMYFUNCTION("GOOGLETRANSLATE(D:D,""auto"",""en"")"),"#VALUE!")</f>
        <v>#VALUE!</v>
      </c>
    </row>
    <row r="10298" spans="3:3" ht="13.5" customHeight="1">
      <c r="C10298" s="4" t="str">
        <f ca="1">IFERROR(__xludf.DUMMYFUNCTION("GOOGLETRANSLATE(D:D,""auto"",""en"")"),"#VALUE!")</f>
        <v>#VALUE!</v>
      </c>
    </row>
    <row r="10299" spans="3:3" ht="13.5" customHeight="1">
      <c r="C10299" s="4" t="str">
        <f ca="1">IFERROR(__xludf.DUMMYFUNCTION("GOOGLETRANSLATE(D:D,""auto"",""en"")"),"#VALUE!")</f>
        <v>#VALUE!</v>
      </c>
    </row>
    <row r="10300" spans="3:3" ht="13.5" customHeight="1">
      <c r="C10300" s="4" t="str">
        <f ca="1">IFERROR(__xludf.DUMMYFUNCTION("GOOGLETRANSLATE(D:D,""auto"",""en"")"),"#VALUE!")</f>
        <v>#VALUE!</v>
      </c>
    </row>
    <row r="10301" spans="3:3" ht="13.5" customHeight="1">
      <c r="C10301" s="4" t="str">
        <f ca="1">IFERROR(__xludf.DUMMYFUNCTION("GOOGLETRANSLATE(D:D,""auto"",""en"")"),"#VALUE!")</f>
        <v>#VALUE!</v>
      </c>
    </row>
    <row r="10302" spans="3:3" ht="13.5" customHeight="1">
      <c r="C10302" s="4" t="str">
        <f ca="1">IFERROR(__xludf.DUMMYFUNCTION("GOOGLETRANSLATE(D:D,""auto"",""en"")"),"#VALUE!")</f>
        <v>#VALUE!</v>
      </c>
    </row>
    <row r="10303" spans="3:3" ht="13.5" customHeight="1">
      <c r="C10303" s="4" t="str">
        <f ca="1">IFERROR(__xludf.DUMMYFUNCTION("GOOGLETRANSLATE(D:D,""auto"",""en"")"),"#VALUE!")</f>
        <v>#VALUE!</v>
      </c>
    </row>
    <row r="10304" spans="3:3" ht="13.5" customHeight="1">
      <c r="C10304" s="4" t="str">
        <f ca="1">IFERROR(__xludf.DUMMYFUNCTION("GOOGLETRANSLATE(D:D,""auto"",""en"")"),"#VALUE!")</f>
        <v>#VALUE!</v>
      </c>
    </row>
    <row r="10305" spans="3:3" ht="13.5" customHeight="1">
      <c r="C10305" s="4" t="str">
        <f ca="1">IFERROR(__xludf.DUMMYFUNCTION("GOOGLETRANSLATE(D:D,""auto"",""en"")"),"#VALUE!")</f>
        <v>#VALUE!</v>
      </c>
    </row>
    <row r="10306" spans="3:3" ht="13.5" customHeight="1">
      <c r="C10306" s="4" t="str">
        <f ca="1">IFERROR(__xludf.DUMMYFUNCTION("GOOGLETRANSLATE(D:D,""auto"",""en"")"),"#VALUE!")</f>
        <v>#VALUE!</v>
      </c>
    </row>
    <row r="10307" spans="3:3" ht="13.5" customHeight="1">
      <c r="C10307" s="4" t="str">
        <f ca="1">IFERROR(__xludf.DUMMYFUNCTION("GOOGLETRANSLATE(D:D,""auto"",""en"")"),"#VALUE!")</f>
        <v>#VALUE!</v>
      </c>
    </row>
    <row r="10308" spans="3:3" ht="13.5" customHeight="1">
      <c r="C10308" s="4" t="str">
        <f ca="1">IFERROR(__xludf.DUMMYFUNCTION("GOOGLETRANSLATE(D:D,""auto"",""en"")"),"#VALUE!")</f>
        <v>#VALUE!</v>
      </c>
    </row>
    <row r="10309" spans="3:3" ht="13.5" customHeight="1">
      <c r="C10309" s="4" t="str">
        <f ca="1">IFERROR(__xludf.DUMMYFUNCTION("GOOGLETRANSLATE(D:D,""auto"",""en"")"),"#VALUE!")</f>
        <v>#VALUE!</v>
      </c>
    </row>
    <row r="10310" spans="3:3" ht="13.5" customHeight="1">
      <c r="C10310" s="4" t="str">
        <f ca="1">IFERROR(__xludf.DUMMYFUNCTION("GOOGLETRANSLATE(D:D,""auto"",""en"")"),"#VALUE!")</f>
        <v>#VALUE!</v>
      </c>
    </row>
    <row r="10311" spans="3:3" ht="13.5" customHeight="1">
      <c r="C10311" s="4" t="str">
        <f ca="1">IFERROR(__xludf.DUMMYFUNCTION("GOOGLETRANSLATE(D:D,""auto"",""en"")"),"#VALUE!")</f>
        <v>#VALUE!</v>
      </c>
    </row>
    <row r="10312" spans="3:3" ht="13.5" customHeight="1">
      <c r="C10312" s="4" t="str">
        <f ca="1">IFERROR(__xludf.DUMMYFUNCTION("GOOGLETRANSLATE(D:D,""auto"",""en"")"),"#VALUE!")</f>
        <v>#VALUE!</v>
      </c>
    </row>
    <row r="10313" spans="3:3" ht="13.5" customHeight="1">
      <c r="C10313" s="4" t="str">
        <f ca="1">IFERROR(__xludf.DUMMYFUNCTION("GOOGLETRANSLATE(D:D,""auto"",""en"")"),"#VALUE!")</f>
        <v>#VALUE!</v>
      </c>
    </row>
    <row r="10314" spans="3:3" ht="13.5" customHeight="1">
      <c r="C10314" s="4" t="str">
        <f ca="1">IFERROR(__xludf.DUMMYFUNCTION("GOOGLETRANSLATE(D:D,""auto"",""en"")"),"#VALUE!")</f>
        <v>#VALUE!</v>
      </c>
    </row>
    <row r="10315" spans="3:3" ht="13.5" customHeight="1">
      <c r="C10315" s="4" t="str">
        <f ca="1">IFERROR(__xludf.DUMMYFUNCTION("GOOGLETRANSLATE(D:D,""auto"",""en"")"),"#VALUE!")</f>
        <v>#VALUE!</v>
      </c>
    </row>
    <row r="10316" spans="3:3" ht="13.5" customHeight="1">
      <c r="C10316" s="4" t="str">
        <f ca="1">IFERROR(__xludf.DUMMYFUNCTION("GOOGLETRANSLATE(D:D,""auto"",""en"")"),"#VALUE!")</f>
        <v>#VALUE!</v>
      </c>
    </row>
    <row r="10317" spans="3:3" ht="13.5" customHeight="1">
      <c r="C10317" s="4" t="str">
        <f ca="1">IFERROR(__xludf.DUMMYFUNCTION("GOOGLETRANSLATE(D:D,""auto"",""en"")"),"#VALUE!")</f>
        <v>#VALUE!</v>
      </c>
    </row>
    <row r="10318" spans="3:3" ht="13.5" customHeight="1">
      <c r="C10318" s="4" t="str">
        <f ca="1">IFERROR(__xludf.DUMMYFUNCTION("GOOGLETRANSLATE(D:D,""auto"",""en"")"),"#VALUE!")</f>
        <v>#VALUE!</v>
      </c>
    </row>
    <row r="10319" spans="3:3" ht="13.5" customHeight="1">
      <c r="C10319" s="4" t="str">
        <f ca="1">IFERROR(__xludf.DUMMYFUNCTION("GOOGLETRANSLATE(D:D,""auto"",""en"")"),"#VALUE!")</f>
        <v>#VALUE!</v>
      </c>
    </row>
    <row r="10320" spans="3:3" ht="13.5" customHeight="1">
      <c r="C10320" s="4" t="str">
        <f ca="1">IFERROR(__xludf.DUMMYFUNCTION("GOOGLETRANSLATE(D:D,""auto"",""en"")"),"#VALUE!")</f>
        <v>#VALUE!</v>
      </c>
    </row>
    <row r="10321" spans="3:3" ht="13.5" customHeight="1">
      <c r="C10321" s="4" t="str">
        <f ca="1">IFERROR(__xludf.DUMMYFUNCTION("GOOGLETRANSLATE(D:D,""auto"",""en"")"),"#VALUE!")</f>
        <v>#VALUE!</v>
      </c>
    </row>
    <row r="10322" spans="3:3" ht="13.5" customHeight="1">
      <c r="C10322" s="4" t="str">
        <f ca="1">IFERROR(__xludf.DUMMYFUNCTION("GOOGLETRANSLATE(D:D,""auto"",""en"")"),"#VALUE!")</f>
        <v>#VALUE!</v>
      </c>
    </row>
    <row r="10323" spans="3:3" ht="13.5" customHeight="1">
      <c r="C10323" s="4" t="str">
        <f ca="1">IFERROR(__xludf.DUMMYFUNCTION("GOOGLETRANSLATE(D:D,""auto"",""en"")"),"#VALUE!")</f>
        <v>#VALUE!</v>
      </c>
    </row>
    <row r="10324" spans="3:3" ht="13.5" customHeight="1">
      <c r="C10324" s="4" t="str">
        <f ca="1">IFERROR(__xludf.DUMMYFUNCTION("GOOGLETRANSLATE(D:D,""auto"",""en"")"),"#VALUE!")</f>
        <v>#VALUE!</v>
      </c>
    </row>
    <row r="10325" spans="3:3" ht="13.5" customHeight="1">
      <c r="C10325" s="4" t="str">
        <f ca="1">IFERROR(__xludf.DUMMYFUNCTION("GOOGLETRANSLATE(D:D,""auto"",""en"")"),"#VALUE!")</f>
        <v>#VALUE!</v>
      </c>
    </row>
    <row r="10326" spans="3:3" ht="13.5" customHeight="1">
      <c r="C10326" s="4" t="str">
        <f ca="1">IFERROR(__xludf.DUMMYFUNCTION("GOOGLETRANSLATE(D:D,""auto"",""en"")"),"#VALUE!")</f>
        <v>#VALUE!</v>
      </c>
    </row>
    <row r="10327" spans="3:3" ht="13.5" customHeight="1">
      <c r="C10327" s="4" t="str">
        <f ca="1">IFERROR(__xludf.DUMMYFUNCTION("GOOGLETRANSLATE(D:D,""auto"",""en"")"),"#VALUE!")</f>
        <v>#VALUE!</v>
      </c>
    </row>
    <row r="10328" spans="3:3" ht="13.5" customHeight="1">
      <c r="C10328" s="4" t="str">
        <f ca="1">IFERROR(__xludf.DUMMYFUNCTION("GOOGLETRANSLATE(D:D,""auto"",""en"")"),"#VALUE!")</f>
        <v>#VALUE!</v>
      </c>
    </row>
    <row r="10329" spans="3:3" ht="13.5" customHeight="1">
      <c r="C10329" s="4" t="str">
        <f ca="1">IFERROR(__xludf.DUMMYFUNCTION("GOOGLETRANSLATE(D:D,""auto"",""en"")"),"#VALUE!")</f>
        <v>#VALUE!</v>
      </c>
    </row>
    <row r="10330" spans="3:3" ht="13.5" customHeight="1">
      <c r="C10330" s="4" t="str">
        <f ca="1">IFERROR(__xludf.DUMMYFUNCTION("GOOGLETRANSLATE(D:D,""auto"",""en"")"),"#VALUE!")</f>
        <v>#VALUE!</v>
      </c>
    </row>
    <row r="10331" spans="3:3" ht="13.5" customHeight="1">
      <c r="C10331" s="4" t="str">
        <f ca="1">IFERROR(__xludf.DUMMYFUNCTION("GOOGLETRANSLATE(D:D,""auto"",""en"")"),"#VALUE!")</f>
        <v>#VALUE!</v>
      </c>
    </row>
    <row r="10332" spans="3:3" ht="13.5" customHeight="1">
      <c r="C10332" s="4" t="str">
        <f ca="1">IFERROR(__xludf.DUMMYFUNCTION("GOOGLETRANSLATE(D:D,""auto"",""en"")"),"#VALUE!")</f>
        <v>#VALUE!</v>
      </c>
    </row>
    <row r="10333" spans="3:3" ht="13.5" customHeight="1">
      <c r="C10333" s="4" t="str">
        <f ca="1">IFERROR(__xludf.DUMMYFUNCTION("GOOGLETRANSLATE(D:D,""auto"",""en"")"),"#VALUE!")</f>
        <v>#VALUE!</v>
      </c>
    </row>
    <row r="10334" spans="3:3" ht="13.5" customHeight="1">
      <c r="C10334" s="4" t="str">
        <f ca="1">IFERROR(__xludf.DUMMYFUNCTION("GOOGLETRANSLATE(D:D,""auto"",""en"")"),"#VALUE!")</f>
        <v>#VALUE!</v>
      </c>
    </row>
    <row r="10335" spans="3:3" ht="13.5" customHeight="1">
      <c r="C10335" s="4" t="str">
        <f ca="1">IFERROR(__xludf.DUMMYFUNCTION("GOOGLETRANSLATE(D:D,""auto"",""en"")"),"#VALUE!")</f>
        <v>#VALUE!</v>
      </c>
    </row>
    <row r="10336" spans="3:3" ht="13.5" customHeight="1">
      <c r="C10336" s="4" t="str">
        <f ca="1">IFERROR(__xludf.DUMMYFUNCTION("GOOGLETRANSLATE(D:D,""auto"",""en"")"),"#VALUE!")</f>
        <v>#VALUE!</v>
      </c>
    </row>
    <row r="10337" spans="3:3" ht="13.5" customHeight="1">
      <c r="C10337" s="4" t="str">
        <f ca="1">IFERROR(__xludf.DUMMYFUNCTION("GOOGLETRANSLATE(D:D,""auto"",""en"")"),"#VALUE!")</f>
        <v>#VALUE!</v>
      </c>
    </row>
    <row r="10338" spans="3:3" ht="13.5" customHeight="1">
      <c r="C10338" s="4" t="str">
        <f ca="1">IFERROR(__xludf.DUMMYFUNCTION("GOOGLETRANSLATE(D:D,""auto"",""en"")"),"#VALUE!")</f>
        <v>#VALUE!</v>
      </c>
    </row>
    <row r="10339" spans="3:3" ht="13.5" customHeight="1">
      <c r="C10339" s="4" t="str">
        <f ca="1">IFERROR(__xludf.DUMMYFUNCTION("GOOGLETRANSLATE(D:D,""auto"",""en"")"),"#VALUE!")</f>
        <v>#VALUE!</v>
      </c>
    </row>
    <row r="10340" spans="3:3" ht="13.5" customHeight="1">
      <c r="C10340" s="4" t="str">
        <f ca="1">IFERROR(__xludf.DUMMYFUNCTION("GOOGLETRANSLATE(D:D,""auto"",""en"")"),"#VALUE!")</f>
        <v>#VALUE!</v>
      </c>
    </row>
    <row r="10341" spans="3:3" ht="13.5" customHeight="1">
      <c r="C10341" s="4" t="str">
        <f ca="1">IFERROR(__xludf.DUMMYFUNCTION("GOOGLETRANSLATE(D:D,""auto"",""en"")"),"#VALUE!")</f>
        <v>#VALUE!</v>
      </c>
    </row>
    <row r="10342" spans="3:3" ht="13.5" customHeight="1">
      <c r="C10342" s="4" t="str">
        <f ca="1">IFERROR(__xludf.DUMMYFUNCTION("GOOGLETRANSLATE(D:D,""auto"",""en"")"),"#VALUE!")</f>
        <v>#VALUE!</v>
      </c>
    </row>
    <row r="10343" spans="3:3" ht="13.5" customHeight="1">
      <c r="C10343" s="4" t="str">
        <f ca="1">IFERROR(__xludf.DUMMYFUNCTION("GOOGLETRANSLATE(D:D,""auto"",""en"")"),"#VALUE!")</f>
        <v>#VALUE!</v>
      </c>
    </row>
    <row r="10344" spans="3:3" ht="13.5" customHeight="1">
      <c r="C10344" s="4" t="str">
        <f ca="1">IFERROR(__xludf.DUMMYFUNCTION("GOOGLETRANSLATE(D:D,""auto"",""en"")"),"#VALUE!")</f>
        <v>#VALUE!</v>
      </c>
    </row>
    <row r="10345" spans="3:3" ht="13.5" customHeight="1">
      <c r="C10345" s="4" t="str">
        <f ca="1">IFERROR(__xludf.DUMMYFUNCTION("GOOGLETRANSLATE(D:D,""auto"",""en"")"),"#VALUE!")</f>
        <v>#VALUE!</v>
      </c>
    </row>
    <row r="10346" spans="3:3" ht="13.5" customHeight="1">
      <c r="C10346" s="4" t="str">
        <f ca="1">IFERROR(__xludf.DUMMYFUNCTION("GOOGLETRANSLATE(D:D,""auto"",""en"")"),"#VALUE!")</f>
        <v>#VALUE!</v>
      </c>
    </row>
    <row r="10347" spans="3:3" ht="13.5" customHeight="1">
      <c r="C10347" s="4" t="str">
        <f ca="1">IFERROR(__xludf.DUMMYFUNCTION("GOOGLETRANSLATE(D:D,""auto"",""en"")"),"#VALUE!")</f>
        <v>#VALUE!</v>
      </c>
    </row>
    <row r="10348" spans="3:3" ht="13.5" customHeight="1">
      <c r="C10348" s="4" t="str">
        <f ca="1">IFERROR(__xludf.DUMMYFUNCTION("GOOGLETRANSLATE(D:D,""auto"",""en"")"),"#VALUE!")</f>
        <v>#VALUE!</v>
      </c>
    </row>
    <row r="10349" spans="3:3" ht="13.5" customHeight="1">
      <c r="C10349" s="4" t="str">
        <f ca="1">IFERROR(__xludf.DUMMYFUNCTION("GOOGLETRANSLATE(D:D,""auto"",""en"")"),"#VALUE!")</f>
        <v>#VALUE!</v>
      </c>
    </row>
    <row r="10350" spans="3:3" ht="13.5" customHeight="1">
      <c r="C10350" s="4" t="str">
        <f ca="1">IFERROR(__xludf.DUMMYFUNCTION("GOOGLETRANSLATE(D:D,""auto"",""en"")"),"#VALUE!")</f>
        <v>#VALUE!</v>
      </c>
    </row>
    <row r="10351" spans="3:3" ht="13.5" customHeight="1">
      <c r="C10351" s="4" t="str">
        <f ca="1">IFERROR(__xludf.DUMMYFUNCTION("GOOGLETRANSLATE(D:D,""auto"",""en"")"),"#VALUE!")</f>
        <v>#VALUE!</v>
      </c>
    </row>
    <row r="10352" spans="3:3" ht="13.5" customHeight="1">
      <c r="C10352" s="4" t="str">
        <f ca="1">IFERROR(__xludf.DUMMYFUNCTION("GOOGLETRANSLATE(D:D,""auto"",""en"")"),"#VALUE!")</f>
        <v>#VALUE!</v>
      </c>
    </row>
    <row r="10353" spans="3:3" ht="13.5" customHeight="1">
      <c r="C10353" s="4" t="str">
        <f ca="1">IFERROR(__xludf.DUMMYFUNCTION("GOOGLETRANSLATE(D:D,""auto"",""en"")"),"#VALUE!")</f>
        <v>#VALUE!</v>
      </c>
    </row>
    <row r="10354" spans="3:3" ht="13.5" customHeight="1">
      <c r="C10354" s="4" t="str">
        <f ca="1">IFERROR(__xludf.DUMMYFUNCTION("GOOGLETRANSLATE(D:D,""auto"",""en"")"),"#VALUE!")</f>
        <v>#VALUE!</v>
      </c>
    </row>
    <row r="10355" spans="3:3" ht="13.5" customHeight="1">
      <c r="C10355" s="4" t="str">
        <f ca="1">IFERROR(__xludf.DUMMYFUNCTION("GOOGLETRANSLATE(D:D,""auto"",""en"")"),"#VALUE!")</f>
        <v>#VALUE!</v>
      </c>
    </row>
    <row r="10356" spans="3:3" ht="13.5" customHeight="1">
      <c r="C10356" s="4" t="str">
        <f ca="1">IFERROR(__xludf.DUMMYFUNCTION("GOOGLETRANSLATE(D:D,""auto"",""en"")"),"#VALUE!")</f>
        <v>#VALUE!</v>
      </c>
    </row>
    <row r="10357" spans="3:3" ht="13.5" customHeight="1">
      <c r="C10357" s="4" t="str">
        <f ca="1">IFERROR(__xludf.DUMMYFUNCTION("GOOGLETRANSLATE(D:D,""auto"",""en"")"),"#VALUE!")</f>
        <v>#VALUE!</v>
      </c>
    </row>
    <row r="10358" spans="3:3" ht="13.5" customHeight="1">
      <c r="C10358" s="4" t="str">
        <f ca="1">IFERROR(__xludf.DUMMYFUNCTION("GOOGLETRANSLATE(D:D,""auto"",""en"")"),"#VALUE!")</f>
        <v>#VALUE!</v>
      </c>
    </row>
    <row r="10359" spans="3:3" ht="13.5" customHeight="1">
      <c r="C10359" s="4" t="str">
        <f ca="1">IFERROR(__xludf.DUMMYFUNCTION("GOOGLETRANSLATE(D:D,""auto"",""en"")"),"#VALUE!")</f>
        <v>#VALUE!</v>
      </c>
    </row>
    <row r="10360" spans="3:3" ht="13.5" customHeight="1">
      <c r="C10360" s="4" t="str">
        <f ca="1">IFERROR(__xludf.DUMMYFUNCTION("GOOGLETRANSLATE(D:D,""auto"",""en"")"),"#VALUE!")</f>
        <v>#VALUE!</v>
      </c>
    </row>
    <row r="10361" spans="3:3" ht="13.5" customHeight="1">
      <c r="C10361" s="4" t="str">
        <f ca="1">IFERROR(__xludf.DUMMYFUNCTION("GOOGLETRANSLATE(D:D,""auto"",""en"")"),"#VALUE!")</f>
        <v>#VALUE!</v>
      </c>
    </row>
    <row r="10362" spans="3:3" ht="13.5" customHeight="1">
      <c r="C10362" s="4" t="str">
        <f ca="1">IFERROR(__xludf.DUMMYFUNCTION("GOOGLETRANSLATE(D:D,""auto"",""en"")"),"#VALUE!")</f>
        <v>#VALUE!</v>
      </c>
    </row>
    <row r="10363" spans="3:3" ht="13.5" customHeight="1">
      <c r="C10363" s="4" t="str">
        <f ca="1">IFERROR(__xludf.DUMMYFUNCTION("GOOGLETRANSLATE(D:D,""auto"",""en"")"),"#VALUE!")</f>
        <v>#VALUE!</v>
      </c>
    </row>
    <row r="10364" spans="3:3" ht="13.5" customHeight="1">
      <c r="C10364" s="4" t="str">
        <f ca="1">IFERROR(__xludf.DUMMYFUNCTION("GOOGLETRANSLATE(D:D,""auto"",""en"")"),"#VALUE!")</f>
        <v>#VALUE!</v>
      </c>
    </row>
    <row r="10365" spans="3:3" ht="13.5" customHeight="1">
      <c r="C10365" s="4" t="str">
        <f ca="1">IFERROR(__xludf.DUMMYFUNCTION("GOOGLETRANSLATE(D:D,""auto"",""en"")"),"#VALUE!")</f>
        <v>#VALUE!</v>
      </c>
    </row>
    <row r="10366" spans="3:3" ht="13.5" customHeight="1">
      <c r="C10366" s="4" t="str">
        <f ca="1">IFERROR(__xludf.DUMMYFUNCTION("GOOGLETRANSLATE(D:D,""auto"",""en"")"),"#VALUE!")</f>
        <v>#VALUE!</v>
      </c>
    </row>
    <row r="10367" spans="3:3" ht="13.5" customHeight="1">
      <c r="C10367" s="4" t="str">
        <f ca="1">IFERROR(__xludf.DUMMYFUNCTION("GOOGLETRANSLATE(D:D,""auto"",""en"")"),"#VALUE!")</f>
        <v>#VALUE!</v>
      </c>
    </row>
    <row r="10368" spans="3:3" ht="13.5" customHeight="1">
      <c r="C10368" s="4" t="str">
        <f ca="1">IFERROR(__xludf.DUMMYFUNCTION("GOOGLETRANSLATE(D:D,""auto"",""en"")"),"#VALUE!")</f>
        <v>#VALUE!</v>
      </c>
    </row>
    <row r="10369" spans="3:3" ht="13.5" customHeight="1">
      <c r="C10369" s="4" t="str">
        <f ca="1">IFERROR(__xludf.DUMMYFUNCTION("GOOGLETRANSLATE(D:D,""auto"",""en"")"),"#VALUE!")</f>
        <v>#VALUE!</v>
      </c>
    </row>
    <row r="10370" spans="3:3" ht="13.5" customHeight="1">
      <c r="C10370" s="4" t="str">
        <f ca="1">IFERROR(__xludf.DUMMYFUNCTION("GOOGLETRANSLATE(D:D,""auto"",""en"")"),"#VALUE!")</f>
        <v>#VALUE!</v>
      </c>
    </row>
    <row r="10371" spans="3:3" ht="13.5" customHeight="1">
      <c r="C10371" s="4" t="str">
        <f ca="1">IFERROR(__xludf.DUMMYFUNCTION("GOOGLETRANSLATE(D:D,""auto"",""en"")"),"#VALUE!")</f>
        <v>#VALUE!</v>
      </c>
    </row>
    <row r="10372" spans="3:3" ht="13.5" customHeight="1">
      <c r="C10372" s="4" t="str">
        <f ca="1">IFERROR(__xludf.DUMMYFUNCTION("GOOGLETRANSLATE(D:D,""auto"",""en"")"),"#VALUE!")</f>
        <v>#VALUE!</v>
      </c>
    </row>
    <row r="10373" spans="3:3" ht="13.5" customHeight="1">
      <c r="C10373" s="4" t="str">
        <f ca="1">IFERROR(__xludf.DUMMYFUNCTION("GOOGLETRANSLATE(D:D,""auto"",""en"")"),"#VALUE!")</f>
        <v>#VALUE!</v>
      </c>
    </row>
    <row r="10374" spans="3:3" ht="13.5" customHeight="1">
      <c r="C10374" s="4" t="str">
        <f ca="1">IFERROR(__xludf.DUMMYFUNCTION("GOOGLETRANSLATE(D:D,""auto"",""en"")"),"#VALUE!")</f>
        <v>#VALUE!</v>
      </c>
    </row>
    <row r="10375" spans="3:3" ht="13.5" customHeight="1">
      <c r="C10375" s="4" t="str">
        <f ca="1">IFERROR(__xludf.DUMMYFUNCTION("GOOGLETRANSLATE(D:D,""auto"",""en"")"),"#VALUE!")</f>
        <v>#VALUE!</v>
      </c>
    </row>
    <row r="10376" spans="3:3" ht="13.5" customHeight="1">
      <c r="C10376" s="4" t="str">
        <f ca="1">IFERROR(__xludf.DUMMYFUNCTION("GOOGLETRANSLATE(D:D,""auto"",""en"")"),"#VALUE!")</f>
        <v>#VALUE!</v>
      </c>
    </row>
    <row r="10377" spans="3:3" ht="13.5" customHeight="1">
      <c r="C10377" s="4" t="str">
        <f ca="1">IFERROR(__xludf.DUMMYFUNCTION("GOOGLETRANSLATE(D:D,""auto"",""en"")"),"#VALUE!")</f>
        <v>#VALUE!</v>
      </c>
    </row>
    <row r="10378" spans="3:3" ht="13.5" customHeight="1">
      <c r="C10378" s="4" t="str">
        <f ca="1">IFERROR(__xludf.DUMMYFUNCTION("GOOGLETRANSLATE(D:D,""auto"",""en"")"),"#VALUE!")</f>
        <v>#VALUE!</v>
      </c>
    </row>
    <row r="10379" spans="3:3" ht="13.5" customHeight="1">
      <c r="C10379" s="4" t="str">
        <f ca="1">IFERROR(__xludf.DUMMYFUNCTION("GOOGLETRANSLATE(D:D,""auto"",""en"")"),"#VALUE!")</f>
        <v>#VALUE!</v>
      </c>
    </row>
    <row r="10380" spans="3:3" ht="13.5" customHeight="1">
      <c r="C10380" s="4" t="str">
        <f ca="1">IFERROR(__xludf.DUMMYFUNCTION("GOOGLETRANSLATE(D:D,""auto"",""en"")"),"#VALUE!")</f>
        <v>#VALUE!</v>
      </c>
    </row>
    <row r="10381" spans="3:3" ht="13.5" customHeight="1">
      <c r="C10381" s="4" t="str">
        <f ca="1">IFERROR(__xludf.DUMMYFUNCTION("GOOGLETRANSLATE(D:D,""auto"",""en"")"),"#VALUE!")</f>
        <v>#VALUE!</v>
      </c>
    </row>
    <row r="10382" spans="3:3" ht="13.5" customHeight="1">
      <c r="C10382" s="4" t="str">
        <f ca="1">IFERROR(__xludf.DUMMYFUNCTION("GOOGLETRANSLATE(D:D,""auto"",""en"")"),"#VALUE!")</f>
        <v>#VALUE!</v>
      </c>
    </row>
    <row r="10383" spans="3:3" ht="13.5" customHeight="1">
      <c r="C10383" s="4" t="str">
        <f ca="1">IFERROR(__xludf.DUMMYFUNCTION("GOOGLETRANSLATE(D:D,""auto"",""en"")"),"#VALUE!")</f>
        <v>#VALUE!</v>
      </c>
    </row>
    <row r="10384" spans="3:3" ht="13.5" customHeight="1">
      <c r="C10384" s="4" t="str">
        <f ca="1">IFERROR(__xludf.DUMMYFUNCTION("GOOGLETRANSLATE(D:D,""auto"",""en"")"),"#VALUE!")</f>
        <v>#VALUE!</v>
      </c>
    </row>
    <row r="10385" spans="3:3" ht="13.5" customHeight="1">
      <c r="C10385" s="4" t="str">
        <f ca="1">IFERROR(__xludf.DUMMYFUNCTION("GOOGLETRANSLATE(D:D,""auto"",""en"")"),"#VALUE!")</f>
        <v>#VALUE!</v>
      </c>
    </row>
    <row r="10386" spans="3:3" ht="13.5" customHeight="1">
      <c r="C10386" s="4" t="str">
        <f ca="1">IFERROR(__xludf.DUMMYFUNCTION("GOOGLETRANSLATE(D:D,""auto"",""en"")"),"#VALUE!")</f>
        <v>#VALUE!</v>
      </c>
    </row>
    <row r="10387" spans="3:3" ht="13.5" customHeight="1">
      <c r="C10387" s="4" t="str">
        <f ca="1">IFERROR(__xludf.DUMMYFUNCTION("GOOGLETRANSLATE(D:D,""auto"",""en"")"),"#VALUE!")</f>
        <v>#VALUE!</v>
      </c>
    </row>
    <row r="10388" spans="3:3" ht="13.5" customHeight="1">
      <c r="C10388" s="4" t="str">
        <f ca="1">IFERROR(__xludf.DUMMYFUNCTION("GOOGLETRANSLATE(D:D,""auto"",""en"")"),"#VALUE!")</f>
        <v>#VALUE!</v>
      </c>
    </row>
    <row r="10389" spans="3:3" ht="13.5" customHeight="1">
      <c r="C10389" s="4" t="str">
        <f ca="1">IFERROR(__xludf.DUMMYFUNCTION("GOOGLETRANSLATE(D:D,""auto"",""en"")"),"#VALUE!")</f>
        <v>#VALUE!</v>
      </c>
    </row>
    <row r="10390" spans="3:3" ht="13.5" customHeight="1">
      <c r="C10390" s="4" t="str">
        <f ca="1">IFERROR(__xludf.DUMMYFUNCTION("GOOGLETRANSLATE(D:D,""auto"",""en"")"),"#VALUE!")</f>
        <v>#VALUE!</v>
      </c>
    </row>
    <row r="10391" spans="3:3" ht="13.5" customHeight="1">
      <c r="C10391" s="4" t="str">
        <f ca="1">IFERROR(__xludf.DUMMYFUNCTION("GOOGLETRANSLATE(D:D,""auto"",""en"")"),"#VALUE!")</f>
        <v>#VALUE!</v>
      </c>
    </row>
    <row r="10392" spans="3:3" ht="13.5" customHeight="1">
      <c r="C10392" s="4" t="str">
        <f ca="1">IFERROR(__xludf.DUMMYFUNCTION("GOOGLETRANSLATE(D:D,""auto"",""en"")"),"#VALUE!")</f>
        <v>#VALUE!</v>
      </c>
    </row>
    <row r="10393" spans="3:3" ht="13.5" customHeight="1">
      <c r="C10393" s="4" t="str">
        <f ca="1">IFERROR(__xludf.DUMMYFUNCTION("GOOGLETRANSLATE(D:D,""auto"",""en"")"),"#VALUE!")</f>
        <v>#VALUE!</v>
      </c>
    </row>
    <row r="10394" spans="3:3" ht="13.5" customHeight="1">
      <c r="C10394" s="4" t="str">
        <f ca="1">IFERROR(__xludf.DUMMYFUNCTION("GOOGLETRANSLATE(D:D,""auto"",""en"")"),"#VALUE!")</f>
        <v>#VALUE!</v>
      </c>
    </row>
    <row r="10395" spans="3:3" ht="13.5" customHeight="1">
      <c r="C10395" s="4" t="str">
        <f ca="1">IFERROR(__xludf.DUMMYFUNCTION("GOOGLETRANSLATE(D:D,""auto"",""en"")"),"#VALUE!")</f>
        <v>#VALUE!</v>
      </c>
    </row>
    <row r="10396" spans="3:3" ht="13.5" customHeight="1">
      <c r="C10396" s="4" t="str">
        <f ca="1">IFERROR(__xludf.DUMMYFUNCTION("GOOGLETRANSLATE(D:D,""auto"",""en"")"),"#VALUE!")</f>
        <v>#VALUE!</v>
      </c>
    </row>
    <row r="10397" spans="3:3" ht="13.5" customHeight="1">
      <c r="C10397" s="4" t="str">
        <f ca="1">IFERROR(__xludf.DUMMYFUNCTION("GOOGLETRANSLATE(D:D,""auto"",""en"")"),"#VALUE!")</f>
        <v>#VALUE!</v>
      </c>
    </row>
    <row r="10398" spans="3:3" ht="13.5" customHeight="1">
      <c r="C10398" s="4" t="str">
        <f ca="1">IFERROR(__xludf.DUMMYFUNCTION("GOOGLETRANSLATE(D:D,""auto"",""en"")"),"#VALUE!")</f>
        <v>#VALUE!</v>
      </c>
    </row>
    <row r="10399" spans="3:3" ht="13.5" customHeight="1">
      <c r="C10399" s="4" t="str">
        <f ca="1">IFERROR(__xludf.DUMMYFUNCTION("GOOGLETRANSLATE(D:D,""auto"",""en"")"),"#VALUE!")</f>
        <v>#VALUE!</v>
      </c>
    </row>
    <row r="10400" spans="3:3" ht="13.5" customHeight="1">
      <c r="C10400" s="4" t="str">
        <f ca="1">IFERROR(__xludf.DUMMYFUNCTION("GOOGLETRANSLATE(D:D,""auto"",""en"")"),"#VALUE!")</f>
        <v>#VALUE!</v>
      </c>
    </row>
    <row r="10401" spans="3:3" ht="13.5" customHeight="1">
      <c r="C10401" s="4" t="str">
        <f ca="1">IFERROR(__xludf.DUMMYFUNCTION("GOOGLETRANSLATE(D:D,""auto"",""en"")"),"#VALUE!")</f>
        <v>#VALUE!</v>
      </c>
    </row>
    <row r="10402" spans="3:3" ht="13.5" customHeight="1">
      <c r="C10402" s="4" t="str">
        <f ca="1">IFERROR(__xludf.DUMMYFUNCTION("GOOGLETRANSLATE(D:D,""auto"",""en"")"),"#VALUE!")</f>
        <v>#VALUE!</v>
      </c>
    </row>
    <row r="10403" spans="3:3" ht="13.5" customHeight="1">
      <c r="C10403" s="4" t="str">
        <f ca="1">IFERROR(__xludf.DUMMYFUNCTION("GOOGLETRANSLATE(D:D,""auto"",""en"")"),"#VALUE!")</f>
        <v>#VALUE!</v>
      </c>
    </row>
    <row r="10404" spans="3:3" ht="13.5" customHeight="1">
      <c r="C10404" s="4" t="str">
        <f ca="1">IFERROR(__xludf.DUMMYFUNCTION("GOOGLETRANSLATE(D:D,""auto"",""en"")"),"#VALUE!")</f>
        <v>#VALUE!</v>
      </c>
    </row>
    <row r="10405" spans="3:3" ht="13.5" customHeight="1">
      <c r="C10405" s="4" t="str">
        <f ca="1">IFERROR(__xludf.DUMMYFUNCTION("GOOGLETRANSLATE(D:D,""auto"",""en"")"),"#VALUE!")</f>
        <v>#VALUE!</v>
      </c>
    </row>
    <row r="10406" spans="3:3" ht="13.5" customHeight="1">
      <c r="C10406" s="4" t="str">
        <f ca="1">IFERROR(__xludf.DUMMYFUNCTION("GOOGLETRANSLATE(D:D,""auto"",""en"")"),"#VALUE!")</f>
        <v>#VALUE!</v>
      </c>
    </row>
    <row r="10407" spans="3:3" ht="13.5" customHeight="1">
      <c r="C10407" s="4" t="str">
        <f ca="1">IFERROR(__xludf.DUMMYFUNCTION("GOOGLETRANSLATE(D:D,""auto"",""en"")"),"#VALUE!")</f>
        <v>#VALUE!</v>
      </c>
    </row>
    <row r="10408" spans="3:3" ht="13.5" customHeight="1">
      <c r="C10408" s="4" t="str">
        <f ca="1">IFERROR(__xludf.DUMMYFUNCTION("GOOGLETRANSLATE(D:D,""auto"",""en"")"),"#VALUE!")</f>
        <v>#VALUE!</v>
      </c>
    </row>
    <row r="10409" spans="3:3" ht="13.5" customHeight="1">
      <c r="C10409" s="4" t="str">
        <f ca="1">IFERROR(__xludf.DUMMYFUNCTION("GOOGLETRANSLATE(D:D,""auto"",""en"")"),"#VALUE!")</f>
        <v>#VALUE!</v>
      </c>
    </row>
    <row r="10410" spans="3:3" ht="13.5" customHeight="1">
      <c r="C10410" s="4" t="str">
        <f ca="1">IFERROR(__xludf.DUMMYFUNCTION("GOOGLETRANSLATE(D:D,""auto"",""en"")"),"#VALUE!")</f>
        <v>#VALUE!</v>
      </c>
    </row>
    <row r="10411" spans="3:3" ht="13.5" customHeight="1">
      <c r="C10411" s="4" t="str">
        <f ca="1">IFERROR(__xludf.DUMMYFUNCTION("GOOGLETRANSLATE(D:D,""auto"",""en"")"),"#VALUE!")</f>
        <v>#VALUE!</v>
      </c>
    </row>
    <row r="10412" spans="3:3" ht="13.5" customHeight="1">
      <c r="C10412" s="4" t="str">
        <f ca="1">IFERROR(__xludf.DUMMYFUNCTION("GOOGLETRANSLATE(D:D,""auto"",""en"")"),"#VALUE!")</f>
        <v>#VALUE!</v>
      </c>
    </row>
    <row r="10413" spans="3:3" ht="13.5" customHeight="1">
      <c r="C10413" s="4" t="str">
        <f ca="1">IFERROR(__xludf.DUMMYFUNCTION("GOOGLETRANSLATE(D:D,""auto"",""en"")"),"#VALUE!")</f>
        <v>#VALUE!</v>
      </c>
    </row>
    <row r="10414" spans="3:3" ht="13.5" customHeight="1">
      <c r="C10414" s="4" t="str">
        <f ca="1">IFERROR(__xludf.DUMMYFUNCTION("GOOGLETRANSLATE(D:D,""auto"",""en"")"),"#VALUE!")</f>
        <v>#VALUE!</v>
      </c>
    </row>
    <row r="10415" spans="3:3" ht="13.5" customHeight="1">
      <c r="C10415" s="4" t="str">
        <f ca="1">IFERROR(__xludf.DUMMYFUNCTION("GOOGLETRANSLATE(D:D,""auto"",""en"")"),"#VALUE!")</f>
        <v>#VALUE!</v>
      </c>
    </row>
    <row r="10416" spans="3:3" ht="13.5" customHeight="1">
      <c r="C10416" s="4" t="str">
        <f ca="1">IFERROR(__xludf.DUMMYFUNCTION("GOOGLETRANSLATE(D:D,""auto"",""en"")"),"#VALUE!")</f>
        <v>#VALUE!</v>
      </c>
    </row>
    <row r="10417" spans="3:3" ht="13.5" customHeight="1">
      <c r="C10417" s="4" t="str">
        <f ca="1">IFERROR(__xludf.DUMMYFUNCTION("GOOGLETRANSLATE(D:D,""auto"",""en"")"),"#VALUE!")</f>
        <v>#VALUE!</v>
      </c>
    </row>
    <row r="10418" spans="3:3" ht="13.5" customHeight="1">
      <c r="C10418" s="4" t="str">
        <f ca="1">IFERROR(__xludf.DUMMYFUNCTION("GOOGLETRANSLATE(D:D,""auto"",""en"")"),"#VALUE!")</f>
        <v>#VALUE!</v>
      </c>
    </row>
    <row r="10419" spans="3:3" ht="13.5" customHeight="1">
      <c r="C10419" s="4" t="str">
        <f ca="1">IFERROR(__xludf.DUMMYFUNCTION("GOOGLETRANSLATE(D:D,""auto"",""en"")"),"#VALUE!")</f>
        <v>#VALUE!</v>
      </c>
    </row>
    <row r="10420" spans="3:3" ht="13.5" customHeight="1">
      <c r="C10420" s="4" t="str">
        <f ca="1">IFERROR(__xludf.DUMMYFUNCTION("GOOGLETRANSLATE(D:D,""auto"",""en"")"),"#VALUE!")</f>
        <v>#VALUE!</v>
      </c>
    </row>
    <row r="10421" spans="3:3" ht="13.5" customHeight="1">
      <c r="C10421" s="4" t="str">
        <f ca="1">IFERROR(__xludf.DUMMYFUNCTION("GOOGLETRANSLATE(D:D,""auto"",""en"")"),"#VALUE!")</f>
        <v>#VALUE!</v>
      </c>
    </row>
    <row r="10422" spans="3:3" ht="13.5" customHeight="1">
      <c r="C10422" s="4" t="str">
        <f ca="1">IFERROR(__xludf.DUMMYFUNCTION("GOOGLETRANSLATE(D:D,""auto"",""en"")"),"#VALUE!")</f>
        <v>#VALUE!</v>
      </c>
    </row>
    <row r="10423" spans="3:3" ht="13.5" customHeight="1">
      <c r="C10423" s="4" t="str">
        <f ca="1">IFERROR(__xludf.DUMMYFUNCTION("GOOGLETRANSLATE(D:D,""auto"",""en"")"),"#VALUE!")</f>
        <v>#VALUE!</v>
      </c>
    </row>
    <row r="10424" spans="3:3" ht="13.5" customHeight="1">
      <c r="C10424" s="4" t="str">
        <f ca="1">IFERROR(__xludf.DUMMYFUNCTION("GOOGLETRANSLATE(D:D,""auto"",""en"")"),"#VALUE!")</f>
        <v>#VALUE!</v>
      </c>
    </row>
    <row r="10425" spans="3:3" ht="13.5" customHeight="1">
      <c r="C10425" s="4" t="str">
        <f ca="1">IFERROR(__xludf.DUMMYFUNCTION("GOOGLETRANSLATE(D:D,""auto"",""en"")"),"#VALUE!")</f>
        <v>#VALUE!</v>
      </c>
    </row>
    <row r="10426" spans="3:3" ht="13.5" customHeight="1">
      <c r="C10426" s="4" t="str">
        <f ca="1">IFERROR(__xludf.DUMMYFUNCTION("GOOGLETRANSLATE(D:D,""auto"",""en"")"),"#VALUE!")</f>
        <v>#VALUE!</v>
      </c>
    </row>
    <row r="10427" spans="3:3" ht="13.5" customHeight="1">
      <c r="C10427" s="4" t="str">
        <f ca="1">IFERROR(__xludf.DUMMYFUNCTION("GOOGLETRANSLATE(D:D,""auto"",""en"")"),"#VALUE!")</f>
        <v>#VALUE!</v>
      </c>
    </row>
    <row r="10428" spans="3:3" ht="13.5" customHeight="1">
      <c r="C10428" s="4" t="str">
        <f ca="1">IFERROR(__xludf.DUMMYFUNCTION("GOOGLETRANSLATE(D:D,""auto"",""en"")"),"#VALUE!")</f>
        <v>#VALUE!</v>
      </c>
    </row>
    <row r="10429" spans="3:3" ht="13.5" customHeight="1">
      <c r="C10429" s="4" t="str">
        <f ca="1">IFERROR(__xludf.DUMMYFUNCTION("GOOGLETRANSLATE(D:D,""auto"",""en"")"),"#VALUE!")</f>
        <v>#VALUE!</v>
      </c>
    </row>
    <row r="10430" spans="3:3" ht="13.5" customHeight="1">
      <c r="C10430" s="4" t="str">
        <f ca="1">IFERROR(__xludf.DUMMYFUNCTION("GOOGLETRANSLATE(D:D,""auto"",""en"")"),"#VALUE!")</f>
        <v>#VALUE!</v>
      </c>
    </row>
    <row r="10431" spans="3:3" ht="13.5" customHeight="1">
      <c r="C10431" s="4" t="str">
        <f ca="1">IFERROR(__xludf.DUMMYFUNCTION("GOOGLETRANSLATE(D:D,""auto"",""en"")"),"#VALUE!")</f>
        <v>#VALUE!</v>
      </c>
    </row>
    <row r="10432" spans="3:3" ht="13.5" customHeight="1">
      <c r="C10432" s="4" t="str">
        <f ca="1">IFERROR(__xludf.DUMMYFUNCTION("GOOGLETRANSLATE(D:D,""auto"",""en"")"),"#VALUE!")</f>
        <v>#VALUE!</v>
      </c>
    </row>
    <row r="10433" spans="3:3" ht="13.5" customHeight="1">
      <c r="C10433" s="4" t="str">
        <f ca="1">IFERROR(__xludf.DUMMYFUNCTION("GOOGLETRANSLATE(D:D,""auto"",""en"")"),"#VALUE!")</f>
        <v>#VALUE!</v>
      </c>
    </row>
    <row r="10434" spans="3:3" ht="13.5" customHeight="1">
      <c r="C10434" s="4" t="str">
        <f ca="1">IFERROR(__xludf.DUMMYFUNCTION("GOOGLETRANSLATE(D:D,""auto"",""en"")"),"#VALUE!")</f>
        <v>#VALUE!</v>
      </c>
    </row>
    <row r="10435" spans="3:3" ht="13.5" customHeight="1">
      <c r="C10435" s="4" t="str">
        <f ca="1">IFERROR(__xludf.DUMMYFUNCTION("GOOGLETRANSLATE(D:D,""auto"",""en"")"),"#VALUE!")</f>
        <v>#VALUE!</v>
      </c>
    </row>
    <row r="10436" spans="3:3" ht="13.5" customHeight="1">
      <c r="C10436" s="4" t="str">
        <f ca="1">IFERROR(__xludf.DUMMYFUNCTION("GOOGLETRANSLATE(D:D,""auto"",""en"")"),"#VALUE!")</f>
        <v>#VALUE!</v>
      </c>
    </row>
    <row r="10437" spans="3:3" ht="13.5" customHeight="1">
      <c r="C10437" s="4" t="str">
        <f ca="1">IFERROR(__xludf.DUMMYFUNCTION("GOOGLETRANSLATE(D:D,""auto"",""en"")"),"#VALUE!")</f>
        <v>#VALUE!</v>
      </c>
    </row>
    <row r="10438" spans="3:3" ht="13.5" customHeight="1">
      <c r="C10438" s="4" t="str">
        <f ca="1">IFERROR(__xludf.DUMMYFUNCTION("GOOGLETRANSLATE(D:D,""auto"",""en"")"),"#VALUE!")</f>
        <v>#VALUE!</v>
      </c>
    </row>
    <row r="10439" spans="3:3" ht="13.5" customHeight="1">
      <c r="C10439" s="4" t="str">
        <f ca="1">IFERROR(__xludf.DUMMYFUNCTION("GOOGLETRANSLATE(D:D,""auto"",""en"")"),"#VALUE!")</f>
        <v>#VALUE!</v>
      </c>
    </row>
    <row r="10440" spans="3:3" ht="13.5" customHeight="1">
      <c r="C10440" s="4" t="str">
        <f ca="1">IFERROR(__xludf.DUMMYFUNCTION("GOOGLETRANSLATE(D:D,""auto"",""en"")"),"#VALUE!")</f>
        <v>#VALUE!</v>
      </c>
    </row>
    <row r="10441" spans="3:3" ht="13.5" customHeight="1">
      <c r="C10441" s="4" t="str">
        <f ca="1">IFERROR(__xludf.DUMMYFUNCTION("GOOGLETRANSLATE(D:D,""auto"",""en"")"),"#VALUE!")</f>
        <v>#VALUE!</v>
      </c>
    </row>
    <row r="10442" spans="3:3" ht="13.5" customHeight="1">
      <c r="C10442" s="4" t="str">
        <f ca="1">IFERROR(__xludf.DUMMYFUNCTION("GOOGLETRANSLATE(D:D,""auto"",""en"")"),"#VALUE!")</f>
        <v>#VALUE!</v>
      </c>
    </row>
    <row r="10443" spans="3:3" ht="13.5" customHeight="1">
      <c r="C10443" s="4" t="str">
        <f ca="1">IFERROR(__xludf.DUMMYFUNCTION("GOOGLETRANSLATE(D:D,""auto"",""en"")"),"#VALUE!")</f>
        <v>#VALUE!</v>
      </c>
    </row>
    <row r="10444" spans="3:3" ht="13.5" customHeight="1">
      <c r="C10444" s="4" t="str">
        <f ca="1">IFERROR(__xludf.DUMMYFUNCTION("GOOGLETRANSLATE(D:D,""auto"",""en"")"),"#VALUE!")</f>
        <v>#VALUE!</v>
      </c>
    </row>
    <row r="10445" spans="3:3" ht="13.5" customHeight="1">
      <c r="C10445" s="4" t="str">
        <f ca="1">IFERROR(__xludf.DUMMYFUNCTION("GOOGLETRANSLATE(D:D,""auto"",""en"")"),"#VALUE!")</f>
        <v>#VALUE!</v>
      </c>
    </row>
    <row r="10446" spans="3:3" ht="13.5" customHeight="1">
      <c r="C10446" s="4" t="str">
        <f ca="1">IFERROR(__xludf.DUMMYFUNCTION("GOOGLETRANSLATE(D:D,""auto"",""en"")"),"#VALUE!")</f>
        <v>#VALUE!</v>
      </c>
    </row>
    <row r="10447" spans="3:3" ht="13.5" customHeight="1">
      <c r="C10447" s="4" t="str">
        <f ca="1">IFERROR(__xludf.DUMMYFUNCTION("GOOGLETRANSLATE(D:D,""auto"",""en"")"),"#VALUE!")</f>
        <v>#VALUE!</v>
      </c>
    </row>
    <row r="10448" spans="3:3" ht="13.5" customHeight="1">
      <c r="C10448" s="4" t="str">
        <f ca="1">IFERROR(__xludf.DUMMYFUNCTION("GOOGLETRANSLATE(D:D,""auto"",""en"")"),"#VALUE!")</f>
        <v>#VALUE!</v>
      </c>
    </row>
    <row r="10449" spans="3:3" ht="13.5" customHeight="1">
      <c r="C10449" s="4" t="str">
        <f ca="1">IFERROR(__xludf.DUMMYFUNCTION("GOOGLETRANSLATE(D:D,""auto"",""en"")"),"#VALUE!")</f>
        <v>#VALUE!</v>
      </c>
    </row>
    <row r="10450" spans="3:3" ht="13.5" customHeight="1">
      <c r="C10450" s="4" t="str">
        <f ca="1">IFERROR(__xludf.DUMMYFUNCTION("GOOGLETRANSLATE(D:D,""auto"",""en"")"),"#VALUE!")</f>
        <v>#VALUE!</v>
      </c>
    </row>
    <row r="10451" spans="3:3" ht="13.5" customHeight="1">
      <c r="C10451" s="4" t="str">
        <f ca="1">IFERROR(__xludf.DUMMYFUNCTION("GOOGLETRANSLATE(D:D,""auto"",""en"")"),"#VALUE!")</f>
        <v>#VALUE!</v>
      </c>
    </row>
    <row r="10452" spans="3:3" ht="13.5" customHeight="1">
      <c r="C10452" s="4" t="str">
        <f ca="1">IFERROR(__xludf.DUMMYFUNCTION("GOOGLETRANSLATE(D:D,""auto"",""en"")"),"#VALUE!")</f>
        <v>#VALUE!</v>
      </c>
    </row>
    <row r="10453" spans="3:3" ht="13.5" customHeight="1">
      <c r="C10453" s="4" t="str">
        <f ca="1">IFERROR(__xludf.DUMMYFUNCTION("GOOGLETRANSLATE(D:D,""auto"",""en"")"),"#VALUE!")</f>
        <v>#VALUE!</v>
      </c>
    </row>
    <row r="10454" spans="3:3" ht="13.5" customHeight="1">
      <c r="C10454" s="4" t="str">
        <f ca="1">IFERROR(__xludf.DUMMYFUNCTION("GOOGLETRANSLATE(D:D,""auto"",""en"")"),"#VALUE!")</f>
        <v>#VALUE!</v>
      </c>
    </row>
    <row r="10455" spans="3:3" ht="13.5" customHeight="1">
      <c r="C10455" s="4" t="str">
        <f ca="1">IFERROR(__xludf.DUMMYFUNCTION("GOOGLETRANSLATE(D:D,""auto"",""en"")"),"#VALUE!")</f>
        <v>#VALUE!</v>
      </c>
    </row>
    <row r="10456" spans="3:3" ht="13.5" customHeight="1">
      <c r="C10456" s="4" t="str">
        <f ca="1">IFERROR(__xludf.DUMMYFUNCTION("GOOGLETRANSLATE(D:D,""auto"",""en"")"),"#VALUE!")</f>
        <v>#VALUE!</v>
      </c>
    </row>
    <row r="10457" spans="3:3" ht="13.5" customHeight="1">
      <c r="C10457" s="4" t="str">
        <f ca="1">IFERROR(__xludf.DUMMYFUNCTION("GOOGLETRANSLATE(D:D,""auto"",""en"")"),"#VALUE!")</f>
        <v>#VALUE!</v>
      </c>
    </row>
    <row r="10458" spans="3:3" ht="13.5" customHeight="1">
      <c r="C10458" s="4" t="str">
        <f ca="1">IFERROR(__xludf.DUMMYFUNCTION("GOOGLETRANSLATE(D:D,""auto"",""en"")"),"#VALUE!")</f>
        <v>#VALUE!</v>
      </c>
    </row>
    <row r="10459" spans="3:3" ht="13.5" customHeight="1">
      <c r="C10459" s="4" t="str">
        <f ca="1">IFERROR(__xludf.DUMMYFUNCTION("GOOGLETRANSLATE(D:D,""auto"",""en"")"),"#VALUE!")</f>
        <v>#VALUE!</v>
      </c>
    </row>
    <row r="10460" spans="3:3" ht="13.5" customHeight="1">
      <c r="C10460" s="4" t="str">
        <f ca="1">IFERROR(__xludf.DUMMYFUNCTION("GOOGLETRANSLATE(D:D,""auto"",""en"")"),"#VALUE!")</f>
        <v>#VALUE!</v>
      </c>
    </row>
    <row r="10461" spans="3:3" ht="13.5" customHeight="1">
      <c r="C10461" s="4" t="str">
        <f ca="1">IFERROR(__xludf.DUMMYFUNCTION("GOOGLETRANSLATE(D:D,""auto"",""en"")"),"#VALUE!")</f>
        <v>#VALUE!</v>
      </c>
    </row>
    <row r="10462" spans="3:3" ht="13.5" customHeight="1">
      <c r="C10462" s="4" t="str">
        <f ca="1">IFERROR(__xludf.DUMMYFUNCTION("GOOGLETRANSLATE(D:D,""auto"",""en"")"),"#VALUE!")</f>
        <v>#VALUE!</v>
      </c>
    </row>
    <row r="10463" spans="3:3" ht="13.5" customHeight="1">
      <c r="C10463" s="4" t="str">
        <f ca="1">IFERROR(__xludf.DUMMYFUNCTION("GOOGLETRANSLATE(D:D,""auto"",""en"")"),"#VALUE!")</f>
        <v>#VALUE!</v>
      </c>
    </row>
    <row r="10464" spans="3:3" ht="13.5" customHeight="1">
      <c r="C10464" s="4" t="str">
        <f ca="1">IFERROR(__xludf.DUMMYFUNCTION("GOOGLETRANSLATE(D:D,""auto"",""en"")"),"#VALUE!")</f>
        <v>#VALUE!</v>
      </c>
    </row>
    <row r="10465" spans="3:3" ht="13.5" customHeight="1">
      <c r="C10465" s="4" t="str">
        <f ca="1">IFERROR(__xludf.DUMMYFUNCTION("GOOGLETRANSLATE(D:D,""auto"",""en"")"),"#VALUE!")</f>
        <v>#VALUE!</v>
      </c>
    </row>
    <row r="10466" spans="3:3" ht="13.5" customHeight="1">
      <c r="C10466" s="4" t="str">
        <f ca="1">IFERROR(__xludf.DUMMYFUNCTION("GOOGLETRANSLATE(D:D,""auto"",""en"")"),"#VALUE!")</f>
        <v>#VALUE!</v>
      </c>
    </row>
    <row r="10467" spans="3:3" ht="13.5" customHeight="1">
      <c r="C10467" s="4" t="str">
        <f ca="1">IFERROR(__xludf.DUMMYFUNCTION("GOOGLETRANSLATE(D:D,""auto"",""en"")"),"#VALUE!")</f>
        <v>#VALUE!</v>
      </c>
    </row>
    <row r="10468" spans="3:3" ht="13.5" customHeight="1">
      <c r="C10468" s="4" t="str">
        <f ca="1">IFERROR(__xludf.DUMMYFUNCTION("GOOGLETRANSLATE(D:D,""auto"",""en"")"),"#VALUE!")</f>
        <v>#VALUE!</v>
      </c>
    </row>
    <row r="10469" spans="3:3" ht="13.5" customHeight="1">
      <c r="C10469" s="4" t="str">
        <f ca="1">IFERROR(__xludf.DUMMYFUNCTION("GOOGLETRANSLATE(D:D,""auto"",""en"")"),"#VALUE!")</f>
        <v>#VALUE!</v>
      </c>
    </row>
    <row r="10470" spans="3:3" ht="13.5" customHeight="1">
      <c r="C10470" s="4" t="str">
        <f ca="1">IFERROR(__xludf.DUMMYFUNCTION("GOOGLETRANSLATE(D:D,""auto"",""en"")"),"#VALUE!")</f>
        <v>#VALUE!</v>
      </c>
    </row>
    <row r="10471" spans="3:3" ht="13.5" customHeight="1">
      <c r="C10471" s="4" t="str">
        <f ca="1">IFERROR(__xludf.DUMMYFUNCTION("GOOGLETRANSLATE(D:D,""auto"",""en"")"),"#VALUE!")</f>
        <v>#VALUE!</v>
      </c>
    </row>
    <row r="10472" spans="3:3" ht="13.5" customHeight="1">
      <c r="C10472" s="4" t="str">
        <f ca="1">IFERROR(__xludf.DUMMYFUNCTION("GOOGLETRANSLATE(D:D,""auto"",""en"")"),"#VALUE!")</f>
        <v>#VALUE!</v>
      </c>
    </row>
    <row r="10473" spans="3:3" ht="13.5" customHeight="1">
      <c r="C10473" s="4" t="str">
        <f ca="1">IFERROR(__xludf.DUMMYFUNCTION("GOOGLETRANSLATE(D:D,""auto"",""en"")"),"#VALUE!")</f>
        <v>#VALUE!</v>
      </c>
    </row>
    <row r="10474" spans="3:3" ht="13.5" customHeight="1">
      <c r="C10474" s="4" t="str">
        <f ca="1">IFERROR(__xludf.DUMMYFUNCTION("GOOGLETRANSLATE(D:D,""auto"",""en"")"),"#VALUE!")</f>
        <v>#VALUE!</v>
      </c>
    </row>
    <row r="10475" spans="3:3" ht="13.5" customHeight="1">
      <c r="C10475" s="4" t="str">
        <f ca="1">IFERROR(__xludf.DUMMYFUNCTION("GOOGLETRANSLATE(D:D,""auto"",""en"")"),"#VALUE!")</f>
        <v>#VALUE!</v>
      </c>
    </row>
    <row r="10476" spans="3:3" ht="13.5" customHeight="1">
      <c r="C10476" s="4" t="str">
        <f ca="1">IFERROR(__xludf.DUMMYFUNCTION("GOOGLETRANSLATE(D:D,""auto"",""en"")"),"#VALUE!")</f>
        <v>#VALUE!</v>
      </c>
    </row>
    <row r="10477" spans="3:3" ht="13.5" customHeight="1">
      <c r="C10477" s="4" t="str">
        <f ca="1">IFERROR(__xludf.DUMMYFUNCTION("GOOGLETRANSLATE(D:D,""auto"",""en"")"),"#VALUE!")</f>
        <v>#VALUE!</v>
      </c>
    </row>
    <row r="10478" spans="3:3" ht="13.5" customHeight="1">
      <c r="C10478" s="4" t="str">
        <f ca="1">IFERROR(__xludf.DUMMYFUNCTION("GOOGLETRANSLATE(D:D,""auto"",""en"")"),"#VALUE!")</f>
        <v>#VALUE!</v>
      </c>
    </row>
    <row r="10479" spans="3:3" ht="13.5" customHeight="1">
      <c r="C10479" s="4" t="str">
        <f ca="1">IFERROR(__xludf.DUMMYFUNCTION("GOOGLETRANSLATE(D:D,""auto"",""en"")"),"#VALUE!")</f>
        <v>#VALUE!</v>
      </c>
    </row>
    <row r="10480" spans="3:3" ht="13.5" customHeight="1">
      <c r="C10480" s="4" t="str">
        <f ca="1">IFERROR(__xludf.DUMMYFUNCTION("GOOGLETRANSLATE(D:D,""auto"",""en"")"),"#VALUE!")</f>
        <v>#VALUE!</v>
      </c>
    </row>
    <row r="10481" spans="3:3" ht="13.5" customHeight="1">
      <c r="C10481" s="4" t="str">
        <f ca="1">IFERROR(__xludf.DUMMYFUNCTION("GOOGLETRANSLATE(D:D,""auto"",""en"")"),"#VALUE!")</f>
        <v>#VALUE!</v>
      </c>
    </row>
    <row r="10482" spans="3:3" ht="13.5" customHeight="1">
      <c r="C10482" s="4" t="str">
        <f ca="1">IFERROR(__xludf.DUMMYFUNCTION("GOOGLETRANSLATE(D:D,""auto"",""en"")"),"#VALUE!")</f>
        <v>#VALUE!</v>
      </c>
    </row>
    <row r="10483" spans="3:3" ht="13.5" customHeight="1">
      <c r="C10483" s="4" t="str">
        <f ca="1">IFERROR(__xludf.DUMMYFUNCTION("GOOGLETRANSLATE(D:D,""auto"",""en"")"),"#VALUE!")</f>
        <v>#VALUE!</v>
      </c>
    </row>
    <row r="10484" spans="3:3" ht="13.5" customHeight="1">
      <c r="C10484" s="4" t="str">
        <f ca="1">IFERROR(__xludf.DUMMYFUNCTION("GOOGLETRANSLATE(D:D,""auto"",""en"")"),"#VALUE!")</f>
        <v>#VALUE!</v>
      </c>
    </row>
    <row r="10485" spans="3:3" ht="13.5" customHeight="1">
      <c r="C10485" s="4" t="str">
        <f ca="1">IFERROR(__xludf.DUMMYFUNCTION("GOOGLETRANSLATE(D:D,""auto"",""en"")"),"#VALUE!")</f>
        <v>#VALUE!</v>
      </c>
    </row>
    <row r="10486" spans="3:3" ht="13.5" customHeight="1">
      <c r="C10486" s="4" t="str">
        <f ca="1">IFERROR(__xludf.DUMMYFUNCTION("GOOGLETRANSLATE(D:D,""auto"",""en"")"),"#VALUE!")</f>
        <v>#VALUE!</v>
      </c>
    </row>
    <row r="10487" spans="3:3" ht="13.5" customHeight="1">
      <c r="C10487" s="4" t="str">
        <f ca="1">IFERROR(__xludf.DUMMYFUNCTION("GOOGLETRANSLATE(D:D,""auto"",""en"")"),"#VALUE!")</f>
        <v>#VALUE!</v>
      </c>
    </row>
    <row r="10488" spans="3:3" ht="13.5" customHeight="1">
      <c r="C10488" s="4" t="str">
        <f ca="1">IFERROR(__xludf.DUMMYFUNCTION("GOOGLETRANSLATE(D:D,""auto"",""en"")"),"#VALUE!")</f>
        <v>#VALUE!</v>
      </c>
    </row>
    <row r="10489" spans="3:3" ht="13.5" customHeight="1">
      <c r="C10489" s="4" t="str">
        <f ca="1">IFERROR(__xludf.DUMMYFUNCTION("GOOGLETRANSLATE(D:D,""auto"",""en"")"),"#VALUE!")</f>
        <v>#VALUE!</v>
      </c>
    </row>
    <row r="10490" spans="3:3" ht="13.5" customHeight="1">
      <c r="C10490" s="4" t="str">
        <f ca="1">IFERROR(__xludf.DUMMYFUNCTION("GOOGLETRANSLATE(D:D,""auto"",""en"")"),"#VALUE!")</f>
        <v>#VALUE!</v>
      </c>
    </row>
    <row r="10491" spans="3:3" ht="13.5" customHeight="1">
      <c r="C10491" s="4" t="str">
        <f ca="1">IFERROR(__xludf.DUMMYFUNCTION("GOOGLETRANSLATE(D:D,""auto"",""en"")"),"#VALUE!")</f>
        <v>#VALUE!</v>
      </c>
    </row>
    <row r="10492" spans="3:3" ht="13.5" customHeight="1">
      <c r="C10492" s="4" t="str">
        <f ca="1">IFERROR(__xludf.DUMMYFUNCTION("GOOGLETRANSLATE(D:D,""auto"",""en"")"),"#VALUE!")</f>
        <v>#VALUE!</v>
      </c>
    </row>
    <row r="10493" spans="3:3" ht="13.5" customHeight="1">
      <c r="C10493" s="4" t="str">
        <f ca="1">IFERROR(__xludf.DUMMYFUNCTION("GOOGLETRANSLATE(D:D,""auto"",""en"")"),"#VALUE!")</f>
        <v>#VALUE!</v>
      </c>
    </row>
    <row r="10494" spans="3:3" ht="13.5" customHeight="1">
      <c r="C10494" s="4" t="str">
        <f ca="1">IFERROR(__xludf.DUMMYFUNCTION("GOOGLETRANSLATE(D:D,""auto"",""en"")"),"#VALUE!")</f>
        <v>#VALUE!</v>
      </c>
    </row>
    <row r="10495" spans="3:3" ht="13.5" customHeight="1">
      <c r="C10495" s="4" t="str">
        <f ca="1">IFERROR(__xludf.DUMMYFUNCTION("GOOGLETRANSLATE(D:D,""auto"",""en"")"),"#VALUE!")</f>
        <v>#VALUE!</v>
      </c>
    </row>
    <row r="10496" spans="3:3" ht="13.5" customHeight="1">
      <c r="C10496" s="4" t="str">
        <f ca="1">IFERROR(__xludf.DUMMYFUNCTION("GOOGLETRANSLATE(D:D,""auto"",""en"")"),"#VALUE!")</f>
        <v>#VALUE!</v>
      </c>
    </row>
    <row r="10497" spans="3:3" ht="13.5" customHeight="1">
      <c r="C10497" s="4" t="str">
        <f ca="1">IFERROR(__xludf.DUMMYFUNCTION("GOOGLETRANSLATE(D:D,""auto"",""en"")"),"#VALUE!")</f>
        <v>#VALUE!</v>
      </c>
    </row>
    <row r="10498" spans="3:3" ht="13.5" customHeight="1">
      <c r="C10498" s="4" t="str">
        <f ca="1">IFERROR(__xludf.DUMMYFUNCTION("GOOGLETRANSLATE(D:D,""auto"",""en"")"),"#VALUE!")</f>
        <v>#VALUE!</v>
      </c>
    </row>
    <row r="10499" spans="3:3" ht="13.5" customHeight="1">
      <c r="C10499" s="4" t="str">
        <f ca="1">IFERROR(__xludf.DUMMYFUNCTION("GOOGLETRANSLATE(D:D,""auto"",""en"")"),"#VALUE!")</f>
        <v>#VALUE!</v>
      </c>
    </row>
    <row r="10500" spans="3:3" ht="13.5" customHeight="1">
      <c r="C10500" s="4" t="str">
        <f ca="1">IFERROR(__xludf.DUMMYFUNCTION("GOOGLETRANSLATE(D:D,""auto"",""en"")"),"#VALUE!")</f>
        <v>#VALUE!</v>
      </c>
    </row>
    <row r="10501" spans="3:3" ht="13.5" customHeight="1">
      <c r="C10501" s="4" t="str">
        <f ca="1">IFERROR(__xludf.DUMMYFUNCTION("GOOGLETRANSLATE(D:D,""auto"",""en"")"),"#VALUE!")</f>
        <v>#VALUE!</v>
      </c>
    </row>
    <row r="10502" spans="3:3" ht="13.5" customHeight="1">
      <c r="C10502" s="4" t="str">
        <f ca="1">IFERROR(__xludf.DUMMYFUNCTION("GOOGLETRANSLATE(D:D,""auto"",""en"")"),"#VALUE!")</f>
        <v>#VALUE!</v>
      </c>
    </row>
    <row r="10503" spans="3:3" ht="13.5" customHeight="1">
      <c r="C10503" s="4" t="str">
        <f ca="1">IFERROR(__xludf.DUMMYFUNCTION("GOOGLETRANSLATE(D:D,""auto"",""en"")"),"#VALUE!")</f>
        <v>#VALUE!</v>
      </c>
    </row>
    <row r="10504" spans="3:3" ht="13.5" customHeight="1">
      <c r="C10504" s="4" t="str">
        <f ca="1">IFERROR(__xludf.DUMMYFUNCTION("GOOGLETRANSLATE(D:D,""auto"",""en"")"),"#VALUE!")</f>
        <v>#VALUE!</v>
      </c>
    </row>
    <row r="10505" spans="3:3" ht="13.5" customHeight="1">
      <c r="C10505" s="4" t="str">
        <f ca="1">IFERROR(__xludf.DUMMYFUNCTION("GOOGLETRANSLATE(D:D,""auto"",""en"")"),"#VALUE!")</f>
        <v>#VALUE!</v>
      </c>
    </row>
    <row r="10506" spans="3:3" ht="13.5" customHeight="1">
      <c r="C10506" s="4" t="str">
        <f ca="1">IFERROR(__xludf.DUMMYFUNCTION("GOOGLETRANSLATE(D:D,""auto"",""en"")"),"#VALUE!")</f>
        <v>#VALUE!</v>
      </c>
    </row>
    <row r="10507" spans="3:3" ht="13.5" customHeight="1">
      <c r="C10507" s="4" t="str">
        <f ca="1">IFERROR(__xludf.DUMMYFUNCTION("GOOGLETRANSLATE(D:D,""auto"",""en"")"),"#VALUE!")</f>
        <v>#VALUE!</v>
      </c>
    </row>
    <row r="10508" spans="3:3" ht="13.5" customHeight="1">
      <c r="C10508" s="4" t="str">
        <f ca="1">IFERROR(__xludf.DUMMYFUNCTION("GOOGLETRANSLATE(D:D,""auto"",""en"")"),"#VALUE!")</f>
        <v>#VALUE!</v>
      </c>
    </row>
    <row r="10509" spans="3:3" ht="13.5" customHeight="1">
      <c r="C10509" s="4" t="str">
        <f ca="1">IFERROR(__xludf.DUMMYFUNCTION("GOOGLETRANSLATE(D:D,""auto"",""en"")"),"#VALUE!")</f>
        <v>#VALUE!</v>
      </c>
    </row>
    <row r="10510" spans="3:3" ht="13.5" customHeight="1">
      <c r="C10510" s="4" t="str">
        <f ca="1">IFERROR(__xludf.DUMMYFUNCTION("GOOGLETRANSLATE(D:D,""auto"",""en"")"),"#VALUE!")</f>
        <v>#VALUE!</v>
      </c>
    </row>
    <row r="10511" spans="3:3" ht="13.5" customHeight="1">
      <c r="C10511" s="4" t="str">
        <f ca="1">IFERROR(__xludf.DUMMYFUNCTION("GOOGLETRANSLATE(D:D,""auto"",""en"")"),"#VALUE!")</f>
        <v>#VALUE!</v>
      </c>
    </row>
    <row r="10512" spans="3:3" ht="13.5" customHeight="1">
      <c r="C10512" s="4" t="str">
        <f ca="1">IFERROR(__xludf.DUMMYFUNCTION("GOOGLETRANSLATE(D:D,""auto"",""en"")"),"#VALUE!")</f>
        <v>#VALUE!</v>
      </c>
    </row>
    <row r="10513" spans="3:3" ht="13.5" customHeight="1">
      <c r="C10513" s="4" t="str">
        <f ca="1">IFERROR(__xludf.DUMMYFUNCTION("GOOGLETRANSLATE(D:D,""auto"",""en"")"),"#VALUE!")</f>
        <v>#VALUE!</v>
      </c>
    </row>
    <row r="10514" spans="3:3" ht="13.5" customHeight="1">
      <c r="C10514" s="4" t="str">
        <f ca="1">IFERROR(__xludf.DUMMYFUNCTION("GOOGLETRANSLATE(D:D,""auto"",""en"")"),"#VALUE!")</f>
        <v>#VALUE!</v>
      </c>
    </row>
    <row r="10515" spans="3:3" ht="13.5" customHeight="1">
      <c r="C10515" s="4" t="str">
        <f ca="1">IFERROR(__xludf.DUMMYFUNCTION("GOOGLETRANSLATE(D:D,""auto"",""en"")"),"#VALUE!")</f>
        <v>#VALUE!</v>
      </c>
    </row>
    <row r="10516" spans="3:3" ht="13.5" customHeight="1">
      <c r="C10516" s="4" t="str">
        <f ca="1">IFERROR(__xludf.DUMMYFUNCTION("GOOGLETRANSLATE(D:D,""auto"",""en"")"),"#VALUE!")</f>
        <v>#VALUE!</v>
      </c>
    </row>
    <row r="10517" spans="3:3" ht="13.5" customHeight="1">
      <c r="C10517" s="4" t="str">
        <f ca="1">IFERROR(__xludf.DUMMYFUNCTION("GOOGLETRANSLATE(D:D,""auto"",""en"")"),"#VALUE!")</f>
        <v>#VALUE!</v>
      </c>
    </row>
    <row r="10518" spans="3:3" ht="13.5" customHeight="1">
      <c r="C10518" s="4" t="str">
        <f ca="1">IFERROR(__xludf.DUMMYFUNCTION("GOOGLETRANSLATE(D:D,""auto"",""en"")"),"#VALUE!")</f>
        <v>#VALUE!</v>
      </c>
    </row>
    <row r="10519" spans="3:3" ht="13.5" customHeight="1">
      <c r="C10519" s="4" t="str">
        <f ca="1">IFERROR(__xludf.DUMMYFUNCTION("GOOGLETRANSLATE(D:D,""auto"",""en"")"),"#VALUE!")</f>
        <v>#VALUE!</v>
      </c>
    </row>
    <row r="10520" spans="3:3" ht="13.5" customHeight="1">
      <c r="C10520" s="4" t="str">
        <f ca="1">IFERROR(__xludf.DUMMYFUNCTION("GOOGLETRANSLATE(D:D,""auto"",""en"")"),"#VALUE!")</f>
        <v>#VALUE!</v>
      </c>
    </row>
    <row r="10521" spans="3:3" ht="13.5" customHeight="1">
      <c r="C10521" s="4" t="str">
        <f ca="1">IFERROR(__xludf.DUMMYFUNCTION("GOOGLETRANSLATE(D:D,""auto"",""en"")"),"#VALUE!")</f>
        <v>#VALUE!</v>
      </c>
    </row>
    <row r="10522" spans="3:3" ht="13.5" customHeight="1">
      <c r="C10522" s="4" t="str">
        <f ca="1">IFERROR(__xludf.DUMMYFUNCTION("GOOGLETRANSLATE(D:D,""auto"",""en"")"),"#VALUE!")</f>
        <v>#VALUE!</v>
      </c>
    </row>
    <row r="10523" spans="3:3" ht="13.5" customHeight="1">
      <c r="C10523" s="4" t="str">
        <f ca="1">IFERROR(__xludf.DUMMYFUNCTION("GOOGLETRANSLATE(D:D,""auto"",""en"")"),"#VALUE!")</f>
        <v>#VALUE!</v>
      </c>
    </row>
    <row r="10524" spans="3:3" ht="13.5" customHeight="1">
      <c r="C10524" s="4" t="str">
        <f ca="1">IFERROR(__xludf.DUMMYFUNCTION("GOOGLETRANSLATE(D:D,""auto"",""en"")"),"#VALUE!")</f>
        <v>#VALUE!</v>
      </c>
    </row>
    <row r="10525" spans="3:3" ht="13.5" customHeight="1">
      <c r="C10525" s="4" t="str">
        <f ca="1">IFERROR(__xludf.DUMMYFUNCTION("GOOGLETRANSLATE(D:D,""auto"",""en"")"),"#VALUE!")</f>
        <v>#VALUE!</v>
      </c>
    </row>
    <row r="10526" spans="3:3" ht="13.5" customHeight="1">
      <c r="C10526" s="4" t="str">
        <f ca="1">IFERROR(__xludf.DUMMYFUNCTION("GOOGLETRANSLATE(D:D,""auto"",""en"")"),"#VALUE!")</f>
        <v>#VALUE!</v>
      </c>
    </row>
    <row r="10527" spans="3:3" ht="13.5" customHeight="1">
      <c r="C10527" s="4" t="str">
        <f ca="1">IFERROR(__xludf.DUMMYFUNCTION("GOOGLETRANSLATE(D:D,""auto"",""en"")"),"#VALUE!")</f>
        <v>#VALUE!</v>
      </c>
    </row>
    <row r="10528" spans="3:3" ht="13.5" customHeight="1">
      <c r="C10528" s="4" t="str">
        <f ca="1">IFERROR(__xludf.DUMMYFUNCTION("GOOGLETRANSLATE(D:D,""auto"",""en"")"),"#VALUE!")</f>
        <v>#VALUE!</v>
      </c>
    </row>
    <row r="10529" spans="3:3" ht="13.5" customHeight="1">
      <c r="C10529" s="4" t="str">
        <f ca="1">IFERROR(__xludf.DUMMYFUNCTION("GOOGLETRANSLATE(D:D,""auto"",""en"")"),"#VALUE!")</f>
        <v>#VALUE!</v>
      </c>
    </row>
    <row r="10530" spans="3:3" ht="13.5" customHeight="1">
      <c r="C10530" s="4" t="str">
        <f ca="1">IFERROR(__xludf.DUMMYFUNCTION("GOOGLETRANSLATE(D:D,""auto"",""en"")"),"#VALUE!")</f>
        <v>#VALUE!</v>
      </c>
    </row>
    <row r="10531" spans="3:3" ht="13.5" customHeight="1">
      <c r="C10531" s="4" t="str">
        <f ca="1">IFERROR(__xludf.DUMMYFUNCTION("GOOGLETRANSLATE(D:D,""auto"",""en"")"),"#VALUE!")</f>
        <v>#VALUE!</v>
      </c>
    </row>
    <row r="10532" spans="3:3" ht="13.5" customHeight="1">
      <c r="C10532" s="4" t="str">
        <f ca="1">IFERROR(__xludf.DUMMYFUNCTION("GOOGLETRANSLATE(D:D,""auto"",""en"")"),"#VALUE!")</f>
        <v>#VALUE!</v>
      </c>
    </row>
    <row r="10533" spans="3:3" ht="13.5" customHeight="1">
      <c r="C10533" s="4" t="str">
        <f ca="1">IFERROR(__xludf.DUMMYFUNCTION("GOOGLETRANSLATE(D:D,""auto"",""en"")"),"#VALUE!")</f>
        <v>#VALUE!</v>
      </c>
    </row>
    <row r="10534" spans="3:3" ht="13.5" customHeight="1">
      <c r="C10534" s="4" t="str">
        <f ca="1">IFERROR(__xludf.DUMMYFUNCTION("GOOGLETRANSLATE(D:D,""auto"",""en"")"),"#VALUE!")</f>
        <v>#VALUE!</v>
      </c>
    </row>
    <row r="10535" spans="3:3" ht="13.5" customHeight="1">
      <c r="C10535" s="4" t="str">
        <f ca="1">IFERROR(__xludf.DUMMYFUNCTION("GOOGLETRANSLATE(D:D,""auto"",""en"")"),"#VALUE!")</f>
        <v>#VALUE!</v>
      </c>
    </row>
    <row r="10536" spans="3:3" ht="13.5" customHeight="1">
      <c r="C10536" s="4" t="str">
        <f ca="1">IFERROR(__xludf.DUMMYFUNCTION("GOOGLETRANSLATE(D:D,""auto"",""en"")"),"#VALUE!")</f>
        <v>#VALUE!</v>
      </c>
    </row>
    <row r="10537" spans="3:3" ht="13.5" customHeight="1">
      <c r="C10537" s="4" t="str">
        <f ca="1">IFERROR(__xludf.DUMMYFUNCTION("GOOGLETRANSLATE(D:D,""auto"",""en"")"),"#VALUE!")</f>
        <v>#VALUE!</v>
      </c>
    </row>
    <row r="10538" spans="3:3" ht="13.5" customHeight="1">
      <c r="C10538" s="4" t="str">
        <f ca="1">IFERROR(__xludf.DUMMYFUNCTION("GOOGLETRANSLATE(D:D,""auto"",""en"")"),"#VALUE!")</f>
        <v>#VALUE!</v>
      </c>
    </row>
    <row r="10539" spans="3:3" ht="13.5" customHeight="1">
      <c r="C10539" s="4" t="str">
        <f ca="1">IFERROR(__xludf.DUMMYFUNCTION("GOOGLETRANSLATE(D:D,""auto"",""en"")"),"#VALUE!")</f>
        <v>#VALUE!</v>
      </c>
    </row>
    <row r="10540" spans="3:3" ht="13.5" customHeight="1">
      <c r="C10540" s="4" t="str">
        <f ca="1">IFERROR(__xludf.DUMMYFUNCTION("GOOGLETRANSLATE(D:D,""auto"",""en"")"),"#VALUE!")</f>
        <v>#VALUE!</v>
      </c>
    </row>
    <row r="10541" spans="3:3" ht="13.5" customHeight="1">
      <c r="C10541" s="4" t="str">
        <f ca="1">IFERROR(__xludf.DUMMYFUNCTION("GOOGLETRANSLATE(D:D,""auto"",""en"")"),"#VALUE!")</f>
        <v>#VALUE!</v>
      </c>
    </row>
    <row r="10542" spans="3:3" ht="13.5" customHeight="1">
      <c r="C10542" s="4" t="str">
        <f ca="1">IFERROR(__xludf.DUMMYFUNCTION("GOOGLETRANSLATE(D:D,""auto"",""en"")"),"#VALUE!")</f>
        <v>#VALUE!</v>
      </c>
    </row>
    <row r="10543" spans="3:3" ht="13.5" customHeight="1">
      <c r="C10543" s="4" t="str">
        <f ca="1">IFERROR(__xludf.DUMMYFUNCTION("GOOGLETRANSLATE(D:D,""auto"",""en"")"),"#VALUE!")</f>
        <v>#VALUE!</v>
      </c>
    </row>
    <row r="10544" spans="3:3" ht="13.5" customHeight="1">
      <c r="C10544" s="4" t="str">
        <f ca="1">IFERROR(__xludf.DUMMYFUNCTION("GOOGLETRANSLATE(D:D,""auto"",""en"")"),"#VALUE!")</f>
        <v>#VALUE!</v>
      </c>
    </row>
    <row r="10545" spans="3:3" ht="13.5" customHeight="1">
      <c r="C10545" s="4" t="str">
        <f ca="1">IFERROR(__xludf.DUMMYFUNCTION("GOOGLETRANSLATE(D:D,""auto"",""en"")"),"#VALUE!")</f>
        <v>#VALUE!</v>
      </c>
    </row>
    <row r="10546" spans="3:3" ht="13.5" customHeight="1">
      <c r="C10546" s="4" t="str">
        <f ca="1">IFERROR(__xludf.DUMMYFUNCTION("GOOGLETRANSLATE(D:D,""auto"",""en"")"),"#VALUE!")</f>
        <v>#VALUE!</v>
      </c>
    </row>
    <row r="10547" spans="3:3" ht="13.5" customHeight="1">
      <c r="C10547" s="4" t="str">
        <f ca="1">IFERROR(__xludf.DUMMYFUNCTION("GOOGLETRANSLATE(D:D,""auto"",""en"")"),"#VALUE!")</f>
        <v>#VALUE!</v>
      </c>
    </row>
    <row r="10548" spans="3:3" ht="13.5" customHeight="1">
      <c r="C10548" s="4" t="str">
        <f ca="1">IFERROR(__xludf.DUMMYFUNCTION("GOOGLETRANSLATE(D:D,""auto"",""en"")"),"#VALUE!")</f>
        <v>#VALUE!</v>
      </c>
    </row>
    <row r="10549" spans="3:3" ht="13.5" customHeight="1">
      <c r="C10549" s="4" t="str">
        <f ca="1">IFERROR(__xludf.DUMMYFUNCTION("GOOGLETRANSLATE(D:D,""auto"",""en"")"),"#VALUE!")</f>
        <v>#VALUE!</v>
      </c>
    </row>
    <row r="10550" spans="3:3" ht="13.5" customHeight="1">
      <c r="C10550" s="4" t="str">
        <f ca="1">IFERROR(__xludf.DUMMYFUNCTION("GOOGLETRANSLATE(D:D,""auto"",""en"")"),"#VALUE!")</f>
        <v>#VALUE!</v>
      </c>
    </row>
    <row r="10551" spans="3:3" ht="13.5" customHeight="1">
      <c r="C10551" s="4" t="str">
        <f ca="1">IFERROR(__xludf.DUMMYFUNCTION("GOOGLETRANSLATE(D:D,""auto"",""en"")"),"#VALUE!")</f>
        <v>#VALUE!</v>
      </c>
    </row>
    <row r="10552" spans="3:3" ht="13.5" customHeight="1">
      <c r="C10552" s="4" t="str">
        <f ca="1">IFERROR(__xludf.DUMMYFUNCTION("GOOGLETRANSLATE(D:D,""auto"",""en"")"),"#VALUE!")</f>
        <v>#VALUE!</v>
      </c>
    </row>
    <row r="10553" spans="3:3" ht="13.5" customHeight="1">
      <c r="C10553" s="4" t="str">
        <f ca="1">IFERROR(__xludf.DUMMYFUNCTION("GOOGLETRANSLATE(D:D,""auto"",""en"")"),"#VALUE!")</f>
        <v>#VALUE!</v>
      </c>
    </row>
    <row r="10554" spans="3:3" ht="13.5" customHeight="1">
      <c r="C10554" s="4" t="str">
        <f ca="1">IFERROR(__xludf.DUMMYFUNCTION("GOOGLETRANSLATE(D:D,""auto"",""en"")"),"#VALUE!")</f>
        <v>#VALUE!</v>
      </c>
    </row>
    <row r="10555" spans="3:3" ht="13.5" customHeight="1">
      <c r="C10555" s="4" t="str">
        <f ca="1">IFERROR(__xludf.DUMMYFUNCTION("GOOGLETRANSLATE(D:D,""auto"",""en"")"),"#VALUE!")</f>
        <v>#VALUE!</v>
      </c>
    </row>
    <row r="10556" spans="3:3" ht="13.5" customHeight="1">
      <c r="C10556" s="4" t="str">
        <f ca="1">IFERROR(__xludf.DUMMYFUNCTION("GOOGLETRANSLATE(D:D,""auto"",""en"")"),"#VALUE!")</f>
        <v>#VALUE!</v>
      </c>
    </row>
    <row r="10557" spans="3:3" ht="13.5" customHeight="1">
      <c r="C10557" s="4" t="str">
        <f ca="1">IFERROR(__xludf.DUMMYFUNCTION("GOOGLETRANSLATE(D:D,""auto"",""en"")"),"#VALUE!")</f>
        <v>#VALUE!</v>
      </c>
    </row>
    <row r="10558" spans="3:3" ht="13.5" customHeight="1">
      <c r="C10558" s="4" t="str">
        <f ca="1">IFERROR(__xludf.DUMMYFUNCTION("GOOGLETRANSLATE(D:D,""auto"",""en"")"),"#VALUE!")</f>
        <v>#VALUE!</v>
      </c>
    </row>
    <row r="10559" spans="3:3" ht="13.5" customHeight="1">
      <c r="C10559" s="4" t="str">
        <f ca="1">IFERROR(__xludf.DUMMYFUNCTION("GOOGLETRANSLATE(D:D,""auto"",""en"")"),"#VALUE!")</f>
        <v>#VALUE!</v>
      </c>
    </row>
    <row r="10560" spans="3:3" ht="13.5" customHeight="1">
      <c r="C10560" s="4" t="str">
        <f ca="1">IFERROR(__xludf.DUMMYFUNCTION("GOOGLETRANSLATE(D:D,""auto"",""en"")"),"#VALUE!")</f>
        <v>#VALUE!</v>
      </c>
    </row>
    <row r="10561" spans="3:3" ht="13.5" customHeight="1">
      <c r="C10561" s="4" t="str">
        <f ca="1">IFERROR(__xludf.DUMMYFUNCTION("GOOGLETRANSLATE(D:D,""auto"",""en"")"),"#VALUE!")</f>
        <v>#VALUE!</v>
      </c>
    </row>
    <row r="10562" spans="3:3" ht="13.5" customHeight="1">
      <c r="C10562" s="4" t="str">
        <f ca="1">IFERROR(__xludf.DUMMYFUNCTION("GOOGLETRANSLATE(D:D,""auto"",""en"")"),"#VALUE!")</f>
        <v>#VALUE!</v>
      </c>
    </row>
    <row r="10563" spans="3:3" ht="13.5" customHeight="1">
      <c r="C10563" s="4" t="str">
        <f ca="1">IFERROR(__xludf.DUMMYFUNCTION("GOOGLETRANSLATE(D:D,""auto"",""en"")"),"#VALUE!")</f>
        <v>#VALUE!</v>
      </c>
    </row>
    <row r="10564" spans="3:3" ht="13.5" customHeight="1">
      <c r="C10564" s="4" t="str">
        <f ca="1">IFERROR(__xludf.DUMMYFUNCTION("GOOGLETRANSLATE(D:D,""auto"",""en"")"),"#VALUE!")</f>
        <v>#VALUE!</v>
      </c>
    </row>
    <row r="10565" spans="3:3" ht="13.5" customHeight="1">
      <c r="C10565" s="4" t="str">
        <f ca="1">IFERROR(__xludf.DUMMYFUNCTION("GOOGLETRANSLATE(D:D,""auto"",""en"")"),"#VALUE!")</f>
        <v>#VALUE!</v>
      </c>
    </row>
    <row r="10566" spans="3:3" ht="13.5" customHeight="1">
      <c r="C10566" s="4" t="str">
        <f ca="1">IFERROR(__xludf.DUMMYFUNCTION("GOOGLETRANSLATE(D:D,""auto"",""en"")"),"#VALUE!")</f>
        <v>#VALUE!</v>
      </c>
    </row>
    <row r="10567" spans="3:3" ht="13.5" customHeight="1">
      <c r="C10567" s="4" t="str">
        <f ca="1">IFERROR(__xludf.DUMMYFUNCTION("GOOGLETRANSLATE(D:D,""auto"",""en"")"),"#VALUE!")</f>
        <v>#VALUE!</v>
      </c>
    </row>
    <row r="10568" spans="3:3" ht="13.5" customHeight="1">
      <c r="C10568" s="4" t="str">
        <f ca="1">IFERROR(__xludf.DUMMYFUNCTION("GOOGLETRANSLATE(D:D,""auto"",""en"")"),"#VALUE!")</f>
        <v>#VALUE!</v>
      </c>
    </row>
    <row r="10569" spans="3:3" ht="13.5" customHeight="1">
      <c r="C10569" s="4" t="str">
        <f ca="1">IFERROR(__xludf.DUMMYFUNCTION("GOOGLETRANSLATE(D:D,""auto"",""en"")"),"#VALUE!")</f>
        <v>#VALUE!</v>
      </c>
    </row>
    <row r="10570" spans="3:3" ht="13.5" customHeight="1">
      <c r="C10570" s="4" t="str">
        <f ca="1">IFERROR(__xludf.DUMMYFUNCTION("GOOGLETRANSLATE(D:D,""auto"",""en"")"),"#VALUE!")</f>
        <v>#VALUE!</v>
      </c>
    </row>
    <row r="10571" spans="3:3" ht="13.5" customHeight="1">
      <c r="C10571" s="4" t="str">
        <f ca="1">IFERROR(__xludf.DUMMYFUNCTION("GOOGLETRANSLATE(D:D,""auto"",""en"")"),"#VALUE!")</f>
        <v>#VALUE!</v>
      </c>
    </row>
    <row r="10572" spans="3:3" ht="13.5" customHeight="1">
      <c r="C10572" s="4" t="str">
        <f ca="1">IFERROR(__xludf.DUMMYFUNCTION("GOOGLETRANSLATE(D:D,""auto"",""en"")"),"#VALUE!")</f>
        <v>#VALUE!</v>
      </c>
    </row>
    <row r="10573" spans="3:3" ht="13.5" customHeight="1">
      <c r="C10573" s="4" t="str">
        <f ca="1">IFERROR(__xludf.DUMMYFUNCTION("GOOGLETRANSLATE(D:D,""auto"",""en"")"),"#VALUE!")</f>
        <v>#VALUE!</v>
      </c>
    </row>
    <row r="10574" spans="3:3" ht="13.5" customHeight="1">
      <c r="C10574" s="4" t="str">
        <f ca="1">IFERROR(__xludf.DUMMYFUNCTION("GOOGLETRANSLATE(D:D,""auto"",""en"")"),"#VALUE!")</f>
        <v>#VALUE!</v>
      </c>
    </row>
    <row r="10575" spans="3:3" ht="13.5" customHeight="1">
      <c r="C10575" s="4" t="str">
        <f ca="1">IFERROR(__xludf.DUMMYFUNCTION("GOOGLETRANSLATE(D:D,""auto"",""en"")"),"#VALUE!")</f>
        <v>#VALUE!</v>
      </c>
    </row>
    <row r="10576" spans="3:3" ht="13.5" customHeight="1">
      <c r="C10576" s="4" t="str">
        <f ca="1">IFERROR(__xludf.DUMMYFUNCTION("GOOGLETRANSLATE(D:D,""auto"",""en"")"),"#VALUE!")</f>
        <v>#VALUE!</v>
      </c>
    </row>
    <row r="10577" spans="3:3" ht="13.5" customHeight="1">
      <c r="C10577" s="4" t="str">
        <f ca="1">IFERROR(__xludf.DUMMYFUNCTION("GOOGLETRANSLATE(D:D,""auto"",""en"")"),"#VALUE!")</f>
        <v>#VALUE!</v>
      </c>
    </row>
    <row r="10578" spans="3:3" ht="13.5" customHeight="1">
      <c r="C10578" s="4" t="str">
        <f ca="1">IFERROR(__xludf.DUMMYFUNCTION("GOOGLETRANSLATE(D:D,""auto"",""en"")"),"#VALUE!")</f>
        <v>#VALUE!</v>
      </c>
    </row>
    <row r="10579" spans="3:3" ht="13.5" customHeight="1">
      <c r="C10579" s="4" t="str">
        <f ca="1">IFERROR(__xludf.DUMMYFUNCTION("GOOGLETRANSLATE(D:D,""auto"",""en"")"),"#VALUE!")</f>
        <v>#VALUE!</v>
      </c>
    </row>
    <row r="10580" spans="3:3" ht="13.5" customHeight="1">
      <c r="C10580" s="4" t="str">
        <f ca="1">IFERROR(__xludf.DUMMYFUNCTION("GOOGLETRANSLATE(D:D,""auto"",""en"")"),"#VALUE!")</f>
        <v>#VALUE!</v>
      </c>
    </row>
    <row r="10581" spans="3:3" ht="13.5" customHeight="1">
      <c r="C10581" s="4" t="str">
        <f ca="1">IFERROR(__xludf.DUMMYFUNCTION("GOOGLETRANSLATE(D:D,""auto"",""en"")"),"#VALUE!")</f>
        <v>#VALUE!</v>
      </c>
    </row>
    <row r="10582" spans="3:3" ht="13.5" customHeight="1">
      <c r="C10582" s="4" t="str">
        <f ca="1">IFERROR(__xludf.DUMMYFUNCTION("GOOGLETRANSLATE(D:D,""auto"",""en"")"),"#VALUE!")</f>
        <v>#VALUE!</v>
      </c>
    </row>
    <row r="10583" spans="3:3" ht="13.5" customHeight="1">
      <c r="C10583" s="4" t="str">
        <f ca="1">IFERROR(__xludf.DUMMYFUNCTION("GOOGLETRANSLATE(D:D,""auto"",""en"")"),"#VALUE!")</f>
        <v>#VALUE!</v>
      </c>
    </row>
    <row r="10584" spans="3:3" ht="13.5" customHeight="1">
      <c r="C10584" s="4" t="str">
        <f ca="1">IFERROR(__xludf.DUMMYFUNCTION("GOOGLETRANSLATE(D:D,""auto"",""en"")"),"#VALUE!")</f>
        <v>#VALUE!</v>
      </c>
    </row>
    <row r="10585" spans="3:3" ht="13.5" customHeight="1">
      <c r="C10585" s="4" t="str">
        <f ca="1">IFERROR(__xludf.DUMMYFUNCTION("GOOGLETRANSLATE(D:D,""auto"",""en"")"),"#VALUE!")</f>
        <v>#VALUE!</v>
      </c>
    </row>
    <row r="10586" spans="3:3" ht="13.5" customHeight="1">
      <c r="C10586" s="4" t="str">
        <f ca="1">IFERROR(__xludf.DUMMYFUNCTION("GOOGLETRANSLATE(D:D,""auto"",""en"")"),"#VALUE!")</f>
        <v>#VALUE!</v>
      </c>
    </row>
    <row r="10587" spans="3:3" ht="13.5" customHeight="1">
      <c r="C10587" s="4" t="str">
        <f ca="1">IFERROR(__xludf.DUMMYFUNCTION("GOOGLETRANSLATE(D:D,""auto"",""en"")"),"#VALUE!")</f>
        <v>#VALUE!</v>
      </c>
    </row>
    <row r="10588" spans="3:3" ht="13.5" customHeight="1">
      <c r="C10588" s="4" t="str">
        <f ca="1">IFERROR(__xludf.DUMMYFUNCTION("GOOGLETRANSLATE(D:D,""auto"",""en"")"),"#VALUE!")</f>
        <v>#VALUE!</v>
      </c>
    </row>
    <row r="10589" spans="3:3" ht="13.5" customHeight="1">
      <c r="C10589" s="4" t="str">
        <f ca="1">IFERROR(__xludf.DUMMYFUNCTION("GOOGLETRANSLATE(D:D,""auto"",""en"")"),"#VALUE!")</f>
        <v>#VALUE!</v>
      </c>
    </row>
    <row r="10590" spans="3:3" ht="13.5" customHeight="1">
      <c r="C10590" s="4" t="str">
        <f ca="1">IFERROR(__xludf.DUMMYFUNCTION("GOOGLETRANSLATE(D:D,""auto"",""en"")"),"#VALUE!")</f>
        <v>#VALUE!</v>
      </c>
    </row>
    <row r="10591" spans="3:3" ht="13.5" customHeight="1">
      <c r="C10591" s="4" t="str">
        <f ca="1">IFERROR(__xludf.DUMMYFUNCTION("GOOGLETRANSLATE(D:D,""auto"",""en"")"),"#VALUE!")</f>
        <v>#VALUE!</v>
      </c>
    </row>
    <row r="10592" spans="3:3" ht="13.5" customHeight="1">
      <c r="C10592" s="4" t="str">
        <f ca="1">IFERROR(__xludf.DUMMYFUNCTION("GOOGLETRANSLATE(D:D,""auto"",""en"")"),"#VALUE!")</f>
        <v>#VALUE!</v>
      </c>
    </row>
    <row r="10593" spans="3:3" ht="13.5" customHeight="1">
      <c r="C10593" s="4" t="str">
        <f ca="1">IFERROR(__xludf.DUMMYFUNCTION("GOOGLETRANSLATE(D:D,""auto"",""en"")"),"#VALUE!")</f>
        <v>#VALUE!</v>
      </c>
    </row>
    <row r="10594" spans="3:3" ht="13.5" customHeight="1">
      <c r="C10594" s="4" t="str">
        <f ca="1">IFERROR(__xludf.DUMMYFUNCTION("GOOGLETRANSLATE(D:D,""auto"",""en"")"),"#VALUE!")</f>
        <v>#VALUE!</v>
      </c>
    </row>
    <row r="10595" spans="3:3" ht="13.5" customHeight="1">
      <c r="C10595" s="4" t="str">
        <f ca="1">IFERROR(__xludf.DUMMYFUNCTION("GOOGLETRANSLATE(D:D,""auto"",""en"")"),"#VALUE!")</f>
        <v>#VALUE!</v>
      </c>
    </row>
    <row r="10596" spans="3:3" ht="13.5" customHeight="1">
      <c r="C10596" s="4" t="str">
        <f ca="1">IFERROR(__xludf.DUMMYFUNCTION("GOOGLETRANSLATE(D:D,""auto"",""en"")"),"#VALUE!")</f>
        <v>#VALUE!</v>
      </c>
    </row>
    <row r="10597" spans="3:3" ht="13.5" customHeight="1">
      <c r="C10597" s="4" t="str">
        <f ca="1">IFERROR(__xludf.DUMMYFUNCTION("GOOGLETRANSLATE(D:D,""auto"",""en"")"),"#VALUE!")</f>
        <v>#VALUE!</v>
      </c>
    </row>
    <row r="10598" spans="3:3" ht="13.5" customHeight="1">
      <c r="C10598" s="4" t="str">
        <f ca="1">IFERROR(__xludf.DUMMYFUNCTION("GOOGLETRANSLATE(D:D,""auto"",""en"")"),"#VALUE!")</f>
        <v>#VALUE!</v>
      </c>
    </row>
    <row r="10599" spans="3:3" ht="13.5" customHeight="1">
      <c r="C10599" s="4" t="str">
        <f ca="1">IFERROR(__xludf.DUMMYFUNCTION("GOOGLETRANSLATE(D:D,""auto"",""en"")"),"#VALUE!")</f>
        <v>#VALUE!</v>
      </c>
    </row>
    <row r="10600" spans="3:3" ht="13.5" customHeight="1">
      <c r="C10600" s="4" t="str">
        <f ca="1">IFERROR(__xludf.DUMMYFUNCTION("GOOGLETRANSLATE(D:D,""auto"",""en"")"),"#VALUE!")</f>
        <v>#VALUE!</v>
      </c>
    </row>
    <row r="10601" spans="3:3" ht="13.5" customHeight="1">
      <c r="C10601" s="4" t="str">
        <f ca="1">IFERROR(__xludf.DUMMYFUNCTION("GOOGLETRANSLATE(D:D,""auto"",""en"")"),"#VALUE!")</f>
        <v>#VALUE!</v>
      </c>
    </row>
    <row r="10602" spans="3:3" ht="13.5" customHeight="1">
      <c r="C10602" s="4" t="str">
        <f ca="1">IFERROR(__xludf.DUMMYFUNCTION("GOOGLETRANSLATE(D:D,""auto"",""en"")"),"#VALUE!")</f>
        <v>#VALUE!</v>
      </c>
    </row>
    <row r="10603" spans="3:3" ht="13.5" customHeight="1">
      <c r="C10603" s="4" t="str">
        <f ca="1">IFERROR(__xludf.DUMMYFUNCTION("GOOGLETRANSLATE(D:D,""auto"",""en"")"),"#VALUE!")</f>
        <v>#VALUE!</v>
      </c>
    </row>
    <row r="10604" spans="3:3" ht="13.5" customHeight="1">
      <c r="C10604" s="4" t="str">
        <f ca="1">IFERROR(__xludf.DUMMYFUNCTION("GOOGLETRANSLATE(D:D,""auto"",""en"")"),"#VALUE!")</f>
        <v>#VALUE!</v>
      </c>
    </row>
    <row r="10605" spans="3:3" ht="13.5" customHeight="1">
      <c r="C10605" s="4" t="str">
        <f ca="1">IFERROR(__xludf.DUMMYFUNCTION("GOOGLETRANSLATE(D:D,""auto"",""en"")"),"#VALUE!")</f>
        <v>#VALUE!</v>
      </c>
    </row>
    <row r="10606" spans="3:3" ht="13.5" customHeight="1">
      <c r="C10606" s="4" t="str">
        <f ca="1">IFERROR(__xludf.DUMMYFUNCTION("GOOGLETRANSLATE(D:D,""auto"",""en"")"),"#VALUE!")</f>
        <v>#VALUE!</v>
      </c>
    </row>
    <row r="10607" spans="3:3" ht="13.5" customHeight="1">
      <c r="C10607" s="4" t="str">
        <f ca="1">IFERROR(__xludf.DUMMYFUNCTION("GOOGLETRANSLATE(D:D,""auto"",""en"")"),"#VALUE!")</f>
        <v>#VALUE!</v>
      </c>
    </row>
    <row r="10608" spans="3:3" ht="13.5" customHeight="1">
      <c r="C10608" s="4" t="str">
        <f ca="1">IFERROR(__xludf.DUMMYFUNCTION("GOOGLETRANSLATE(D:D,""auto"",""en"")"),"#VALUE!")</f>
        <v>#VALUE!</v>
      </c>
    </row>
    <row r="10609" spans="3:3" ht="13.5" customHeight="1">
      <c r="C10609" s="4" t="str">
        <f ca="1">IFERROR(__xludf.DUMMYFUNCTION("GOOGLETRANSLATE(D:D,""auto"",""en"")"),"#VALUE!")</f>
        <v>#VALUE!</v>
      </c>
    </row>
    <row r="10610" spans="3:3" ht="13.5" customHeight="1">
      <c r="C10610" s="4" t="str">
        <f ca="1">IFERROR(__xludf.DUMMYFUNCTION("GOOGLETRANSLATE(D:D,""auto"",""en"")"),"#VALUE!")</f>
        <v>#VALUE!</v>
      </c>
    </row>
    <row r="10611" spans="3:3" ht="13.5" customHeight="1">
      <c r="C10611" s="4" t="str">
        <f ca="1">IFERROR(__xludf.DUMMYFUNCTION("GOOGLETRANSLATE(D:D,""auto"",""en"")"),"#VALUE!")</f>
        <v>#VALUE!</v>
      </c>
    </row>
    <row r="10612" spans="3:3" ht="13.5" customHeight="1">
      <c r="C10612" s="4" t="str">
        <f ca="1">IFERROR(__xludf.DUMMYFUNCTION("GOOGLETRANSLATE(D:D,""auto"",""en"")"),"#VALUE!")</f>
        <v>#VALUE!</v>
      </c>
    </row>
    <row r="10613" spans="3:3" ht="13.5" customHeight="1">
      <c r="C10613" s="4" t="str">
        <f ca="1">IFERROR(__xludf.DUMMYFUNCTION("GOOGLETRANSLATE(D:D,""auto"",""en"")"),"#VALUE!")</f>
        <v>#VALUE!</v>
      </c>
    </row>
    <row r="10614" spans="3:3" ht="13.5" customHeight="1">
      <c r="C10614" s="4" t="str">
        <f ca="1">IFERROR(__xludf.DUMMYFUNCTION("GOOGLETRANSLATE(D:D,""auto"",""en"")"),"#VALUE!")</f>
        <v>#VALUE!</v>
      </c>
    </row>
    <row r="10615" spans="3:3" ht="13.5" customHeight="1">
      <c r="C10615" s="4" t="str">
        <f ca="1">IFERROR(__xludf.DUMMYFUNCTION("GOOGLETRANSLATE(D:D,""auto"",""en"")"),"#VALUE!")</f>
        <v>#VALUE!</v>
      </c>
    </row>
    <row r="10616" spans="3:3" ht="13.5" customHeight="1">
      <c r="C10616" s="4" t="str">
        <f ca="1">IFERROR(__xludf.DUMMYFUNCTION("GOOGLETRANSLATE(D:D,""auto"",""en"")"),"#VALUE!")</f>
        <v>#VALUE!</v>
      </c>
    </row>
    <row r="10617" spans="3:3" ht="13.5" customHeight="1">
      <c r="C10617" s="4" t="str">
        <f ca="1">IFERROR(__xludf.DUMMYFUNCTION("GOOGLETRANSLATE(D:D,""auto"",""en"")"),"#VALUE!")</f>
        <v>#VALUE!</v>
      </c>
    </row>
    <row r="10618" spans="3:3" ht="13.5" customHeight="1">
      <c r="C10618" s="4" t="str">
        <f ca="1">IFERROR(__xludf.DUMMYFUNCTION("GOOGLETRANSLATE(D:D,""auto"",""en"")"),"#VALUE!")</f>
        <v>#VALUE!</v>
      </c>
    </row>
    <row r="10619" spans="3:3" ht="13.5" customHeight="1">
      <c r="C10619" s="4" t="str">
        <f ca="1">IFERROR(__xludf.DUMMYFUNCTION("GOOGLETRANSLATE(D:D,""auto"",""en"")"),"#VALUE!")</f>
        <v>#VALUE!</v>
      </c>
    </row>
    <row r="10620" spans="3:3" ht="13.5" customHeight="1">
      <c r="C10620" s="4" t="str">
        <f ca="1">IFERROR(__xludf.DUMMYFUNCTION("GOOGLETRANSLATE(D:D,""auto"",""en"")"),"#VALUE!")</f>
        <v>#VALUE!</v>
      </c>
    </row>
    <row r="10621" spans="3:3" ht="13.5" customHeight="1">
      <c r="C10621" s="4" t="str">
        <f ca="1">IFERROR(__xludf.DUMMYFUNCTION("GOOGLETRANSLATE(D:D,""auto"",""en"")"),"#VALUE!")</f>
        <v>#VALUE!</v>
      </c>
    </row>
    <row r="10622" spans="3:3" ht="13.5" customHeight="1">
      <c r="C10622" s="4" t="str">
        <f ca="1">IFERROR(__xludf.DUMMYFUNCTION("GOOGLETRANSLATE(D:D,""auto"",""en"")"),"#VALUE!")</f>
        <v>#VALUE!</v>
      </c>
    </row>
    <row r="10623" spans="3:3" ht="13.5" customHeight="1">
      <c r="C10623" s="4" t="str">
        <f ca="1">IFERROR(__xludf.DUMMYFUNCTION("GOOGLETRANSLATE(D:D,""auto"",""en"")"),"#VALUE!")</f>
        <v>#VALUE!</v>
      </c>
    </row>
    <row r="10624" spans="3:3" ht="13.5" customHeight="1">
      <c r="C10624" s="4" t="str">
        <f ca="1">IFERROR(__xludf.DUMMYFUNCTION("GOOGLETRANSLATE(D:D,""auto"",""en"")"),"#VALUE!")</f>
        <v>#VALUE!</v>
      </c>
    </row>
    <row r="10625" spans="3:3" ht="13.5" customHeight="1">
      <c r="C10625" s="4" t="str">
        <f ca="1">IFERROR(__xludf.DUMMYFUNCTION("GOOGLETRANSLATE(D:D,""auto"",""en"")"),"#VALUE!")</f>
        <v>#VALUE!</v>
      </c>
    </row>
    <row r="10626" spans="3:3" ht="13.5" customHeight="1">
      <c r="C10626" s="4" t="str">
        <f ca="1">IFERROR(__xludf.DUMMYFUNCTION("GOOGLETRANSLATE(D:D,""auto"",""en"")"),"#VALUE!")</f>
        <v>#VALUE!</v>
      </c>
    </row>
    <row r="10627" spans="3:3" ht="13.5" customHeight="1">
      <c r="C10627" s="4" t="str">
        <f ca="1">IFERROR(__xludf.DUMMYFUNCTION("GOOGLETRANSLATE(D:D,""auto"",""en"")"),"#VALUE!")</f>
        <v>#VALUE!</v>
      </c>
    </row>
    <row r="10628" spans="3:3" ht="13.5" customHeight="1">
      <c r="C10628" s="4" t="str">
        <f ca="1">IFERROR(__xludf.DUMMYFUNCTION("GOOGLETRANSLATE(D:D,""auto"",""en"")"),"#VALUE!")</f>
        <v>#VALUE!</v>
      </c>
    </row>
    <row r="10629" spans="3:3" ht="13.5" customHeight="1">
      <c r="C10629" s="4" t="str">
        <f ca="1">IFERROR(__xludf.DUMMYFUNCTION("GOOGLETRANSLATE(D:D,""auto"",""en"")"),"#VALUE!")</f>
        <v>#VALUE!</v>
      </c>
    </row>
    <row r="10630" spans="3:3" ht="13.5" customHeight="1">
      <c r="C10630" s="4" t="str">
        <f ca="1">IFERROR(__xludf.DUMMYFUNCTION("GOOGLETRANSLATE(D:D,""auto"",""en"")"),"#VALUE!")</f>
        <v>#VALUE!</v>
      </c>
    </row>
    <row r="10631" spans="3:3" ht="13.5" customHeight="1">
      <c r="C10631" s="4" t="str">
        <f ca="1">IFERROR(__xludf.DUMMYFUNCTION("GOOGLETRANSLATE(D:D,""auto"",""en"")"),"#VALUE!")</f>
        <v>#VALUE!</v>
      </c>
    </row>
    <row r="10632" spans="3:3" ht="13.5" customHeight="1">
      <c r="C10632" s="4" t="str">
        <f ca="1">IFERROR(__xludf.DUMMYFUNCTION("GOOGLETRANSLATE(D:D,""auto"",""en"")"),"#VALUE!")</f>
        <v>#VALUE!</v>
      </c>
    </row>
    <row r="10633" spans="3:3" ht="13.5" customHeight="1">
      <c r="C10633" s="4" t="str">
        <f ca="1">IFERROR(__xludf.DUMMYFUNCTION("GOOGLETRANSLATE(D:D,""auto"",""en"")"),"#VALUE!")</f>
        <v>#VALUE!</v>
      </c>
    </row>
    <row r="10634" spans="3:3" ht="13.5" customHeight="1">
      <c r="C10634" s="4" t="str">
        <f ca="1">IFERROR(__xludf.DUMMYFUNCTION("GOOGLETRANSLATE(D:D,""auto"",""en"")"),"#VALUE!")</f>
        <v>#VALUE!</v>
      </c>
    </row>
    <row r="10635" spans="3:3" ht="13.5" customHeight="1">
      <c r="C10635" s="4" t="str">
        <f ca="1">IFERROR(__xludf.DUMMYFUNCTION("GOOGLETRANSLATE(D:D,""auto"",""en"")"),"#VALUE!")</f>
        <v>#VALUE!</v>
      </c>
    </row>
    <row r="10636" spans="3:3" ht="13.5" customHeight="1">
      <c r="C10636" s="4" t="str">
        <f ca="1">IFERROR(__xludf.DUMMYFUNCTION("GOOGLETRANSLATE(D:D,""auto"",""en"")"),"#VALUE!")</f>
        <v>#VALUE!</v>
      </c>
    </row>
    <row r="10637" spans="3:3" ht="13.5" customHeight="1">
      <c r="C10637" s="4" t="str">
        <f ca="1">IFERROR(__xludf.DUMMYFUNCTION("GOOGLETRANSLATE(D:D,""auto"",""en"")"),"#VALUE!")</f>
        <v>#VALUE!</v>
      </c>
    </row>
    <row r="10638" spans="3:3" ht="13.5" customHeight="1">
      <c r="C10638" s="4" t="str">
        <f ca="1">IFERROR(__xludf.DUMMYFUNCTION("GOOGLETRANSLATE(D:D,""auto"",""en"")"),"#VALUE!")</f>
        <v>#VALUE!</v>
      </c>
    </row>
    <row r="10639" spans="3:3" ht="13.5" customHeight="1">
      <c r="C10639" s="4" t="str">
        <f ca="1">IFERROR(__xludf.DUMMYFUNCTION("GOOGLETRANSLATE(D:D,""auto"",""en"")"),"#VALUE!")</f>
        <v>#VALUE!</v>
      </c>
    </row>
    <row r="10640" spans="3:3" ht="13.5" customHeight="1">
      <c r="C10640" s="4" t="str">
        <f ca="1">IFERROR(__xludf.DUMMYFUNCTION("GOOGLETRANSLATE(D:D,""auto"",""en"")"),"#VALUE!")</f>
        <v>#VALUE!</v>
      </c>
    </row>
    <row r="10641" spans="3:3" ht="13.5" customHeight="1">
      <c r="C10641" s="4" t="str">
        <f ca="1">IFERROR(__xludf.DUMMYFUNCTION("GOOGLETRANSLATE(D:D,""auto"",""en"")"),"#VALUE!")</f>
        <v>#VALUE!</v>
      </c>
    </row>
    <row r="10642" spans="3:3" ht="13.5" customHeight="1">
      <c r="C10642" s="4" t="str">
        <f ca="1">IFERROR(__xludf.DUMMYFUNCTION("GOOGLETRANSLATE(D:D,""auto"",""en"")"),"#VALUE!")</f>
        <v>#VALUE!</v>
      </c>
    </row>
    <row r="10643" spans="3:3" ht="13.5" customHeight="1">
      <c r="C10643" s="4" t="str">
        <f ca="1">IFERROR(__xludf.DUMMYFUNCTION("GOOGLETRANSLATE(D:D,""auto"",""en"")"),"#VALUE!")</f>
        <v>#VALUE!</v>
      </c>
    </row>
    <row r="10644" spans="3:3" ht="13.5" customHeight="1">
      <c r="C10644" s="4" t="str">
        <f ca="1">IFERROR(__xludf.DUMMYFUNCTION("GOOGLETRANSLATE(D:D,""auto"",""en"")"),"#VALUE!")</f>
        <v>#VALUE!</v>
      </c>
    </row>
    <row r="10645" spans="3:3" ht="13.5" customHeight="1">
      <c r="C10645" s="4" t="str">
        <f ca="1">IFERROR(__xludf.DUMMYFUNCTION("GOOGLETRANSLATE(D:D,""auto"",""en"")"),"#VALUE!")</f>
        <v>#VALUE!</v>
      </c>
    </row>
    <row r="10646" spans="3:3" ht="13.5" customHeight="1">
      <c r="C10646" s="4" t="str">
        <f ca="1">IFERROR(__xludf.DUMMYFUNCTION("GOOGLETRANSLATE(D:D,""auto"",""en"")"),"#VALUE!")</f>
        <v>#VALUE!</v>
      </c>
    </row>
    <row r="10647" spans="3:3" ht="13.5" customHeight="1">
      <c r="C10647" s="4" t="str">
        <f ca="1">IFERROR(__xludf.DUMMYFUNCTION("GOOGLETRANSLATE(D:D,""auto"",""en"")"),"#VALUE!")</f>
        <v>#VALUE!</v>
      </c>
    </row>
    <row r="10648" spans="3:3" ht="13.5" customHeight="1">
      <c r="C10648" s="4" t="str">
        <f ca="1">IFERROR(__xludf.DUMMYFUNCTION("GOOGLETRANSLATE(D:D,""auto"",""en"")"),"#VALUE!")</f>
        <v>#VALUE!</v>
      </c>
    </row>
    <row r="10649" spans="3:3" ht="13.5" customHeight="1">
      <c r="C10649" s="4" t="str">
        <f ca="1">IFERROR(__xludf.DUMMYFUNCTION("GOOGLETRANSLATE(D:D,""auto"",""en"")"),"#VALUE!")</f>
        <v>#VALUE!</v>
      </c>
    </row>
    <row r="10650" spans="3:3" ht="13.5" customHeight="1">
      <c r="C10650" s="4" t="str">
        <f ca="1">IFERROR(__xludf.DUMMYFUNCTION("GOOGLETRANSLATE(D:D,""auto"",""en"")"),"#VALUE!")</f>
        <v>#VALUE!</v>
      </c>
    </row>
    <row r="10651" spans="3:3" ht="13.5" customHeight="1">
      <c r="C10651" s="4" t="str">
        <f ca="1">IFERROR(__xludf.DUMMYFUNCTION("GOOGLETRANSLATE(D:D,""auto"",""en"")"),"#VALUE!")</f>
        <v>#VALUE!</v>
      </c>
    </row>
    <row r="10652" spans="3:3" ht="13.5" customHeight="1">
      <c r="C10652" s="4" t="str">
        <f ca="1">IFERROR(__xludf.DUMMYFUNCTION("GOOGLETRANSLATE(D:D,""auto"",""en"")"),"#VALUE!")</f>
        <v>#VALUE!</v>
      </c>
    </row>
    <row r="10653" spans="3:3" ht="13.5" customHeight="1">
      <c r="C10653" s="4" t="str">
        <f ca="1">IFERROR(__xludf.DUMMYFUNCTION("GOOGLETRANSLATE(D:D,""auto"",""en"")"),"#VALUE!")</f>
        <v>#VALUE!</v>
      </c>
    </row>
    <row r="10654" spans="3:3" ht="13.5" customHeight="1">
      <c r="C10654" s="4" t="str">
        <f ca="1">IFERROR(__xludf.DUMMYFUNCTION("GOOGLETRANSLATE(D:D,""auto"",""en"")"),"#VALUE!")</f>
        <v>#VALUE!</v>
      </c>
    </row>
    <row r="10655" spans="3:3" ht="13.5" customHeight="1">
      <c r="C10655" s="4" t="str">
        <f ca="1">IFERROR(__xludf.DUMMYFUNCTION("GOOGLETRANSLATE(D:D,""auto"",""en"")"),"#VALUE!")</f>
        <v>#VALUE!</v>
      </c>
    </row>
    <row r="10656" spans="3:3" ht="13.5" customHeight="1">
      <c r="C10656" s="4" t="str">
        <f ca="1">IFERROR(__xludf.DUMMYFUNCTION("GOOGLETRANSLATE(D:D,""auto"",""en"")"),"#VALUE!")</f>
        <v>#VALUE!</v>
      </c>
    </row>
    <row r="10657" spans="3:3" ht="13.5" customHeight="1">
      <c r="C10657" s="4" t="str">
        <f ca="1">IFERROR(__xludf.DUMMYFUNCTION("GOOGLETRANSLATE(D:D,""auto"",""en"")"),"#VALUE!")</f>
        <v>#VALUE!</v>
      </c>
    </row>
    <row r="10658" spans="3:3" ht="13.5" customHeight="1">
      <c r="C10658" s="4" t="str">
        <f ca="1">IFERROR(__xludf.DUMMYFUNCTION("GOOGLETRANSLATE(D:D,""auto"",""en"")"),"#VALUE!")</f>
        <v>#VALUE!</v>
      </c>
    </row>
    <row r="10659" spans="3:3" ht="13.5" customHeight="1">
      <c r="C10659" s="4" t="str">
        <f ca="1">IFERROR(__xludf.DUMMYFUNCTION("GOOGLETRANSLATE(D:D,""auto"",""en"")"),"#VALUE!")</f>
        <v>#VALUE!</v>
      </c>
    </row>
    <row r="10660" spans="3:3" ht="13.5" customHeight="1">
      <c r="C10660" s="4" t="str">
        <f ca="1">IFERROR(__xludf.DUMMYFUNCTION("GOOGLETRANSLATE(D:D,""auto"",""en"")"),"#VALUE!")</f>
        <v>#VALUE!</v>
      </c>
    </row>
    <row r="10661" spans="3:3" ht="13.5" customHeight="1">
      <c r="C10661" s="4" t="str">
        <f ca="1">IFERROR(__xludf.DUMMYFUNCTION("GOOGLETRANSLATE(D:D,""auto"",""en"")"),"#VALUE!")</f>
        <v>#VALUE!</v>
      </c>
    </row>
    <row r="10662" spans="3:3" ht="13.5" customHeight="1">
      <c r="C10662" s="4" t="str">
        <f ca="1">IFERROR(__xludf.DUMMYFUNCTION("GOOGLETRANSLATE(D:D,""auto"",""en"")"),"#VALUE!")</f>
        <v>#VALUE!</v>
      </c>
    </row>
    <row r="10663" spans="3:3" ht="13.5" customHeight="1">
      <c r="C10663" s="4" t="str">
        <f ca="1">IFERROR(__xludf.DUMMYFUNCTION("GOOGLETRANSLATE(D:D,""auto"",""en"")"),"#VALUE!")</f>
        <v>#VALUE!</v>
      </c>
    </row>
    <row r="10664" spans="3:3" ht="13.5" customHeight="1">
      <c r="C10664" s="4" t="str">
        <f ca="1">IFERROR(__xludf.DUMMYFUNCTION("GOOGLETRANSLATE(D:D,""auto"",""en"")"),"#VALUE!")</f>
        <v>#VALUE!</v>
      </c>
    </row>
    <row r="10665" spans="3:3" ht="13.5" customHeight="1">
      <c r="C10665" s="4" t="str">
        <f ca="1">IFERROR(__xludf.DUMMYFUNCTION("GOOGLETRANSLATE(D:D,""auto"",""en"")"),"#VALUE!")</f>
        <v>#VALUE!</v>
      </c>
    </row>
    <row r="10666" spans="3:3" ht="13.5" customHeight="1">
      <c r="C10666" s="4" t="str">
        <f ca="1">IFERROR(__xludf.DUMMYFUNCTION("GOOGLETRANSLATE(D:D,""auto"",""en"")"),"#VALUE!")</f>
        <v>#VALUE!</v>
      </c>
    </row>
    <row r="10667" spans="3:3" ht="13.5" customHeight="1">
      <c r="C10667" s="4" t="str">
        <f ca="1">IFERROR(__xludf.DUMMYFUNCTION("GOOGLETRANSLATE(D:D,""auto"",""en"")"),"#VALUE!")</f>
        <v>#VALUE!</v>
      </c>
    </row>
    <row r="10668" spans="3:3" ht="13.5" customHeight="1">
      <c r="C10668" s="4" t="str">
        <f ca="1">IFERROR(__xludf.DUMMYFUNCTION("GOOGLETRANSLATE(D:D,""auto"",""en"")"),"#VALUE!")</f>
        <v>#VALUE!</v>
      </c>
    </row>
    <row r="10669" spans="3:3" ht="13.5" customHeight="1">
      <c r="C10669" s="4" t="str">
        <f ca="1">IFERROR(__xludf.DUMMYFUNCTION("GOOGLETRANSLATE(D:D,""auto"",""en"")"),"#VALUE!")</f>
        <v>#VALUE!</v>
      </c>
    </row>
    <row r="10670" spans="3:3" ht="13.5" customHeight="1">
      <c r="C10670" s="4" t="str">
        <f ca="1">IFERROR(__xludf.DUMMYFUNCTION("GOOGLETRANSLATE(D:D,""auto"",""en"")"),"#VALUE!")</f>
        <v>#VALUE!</v>
      </c>
    </row>
    <row r="10671" spans="3:3" ht="13.5" customHeight="1">
      <c r="C10671" s="4" t="str">
        <f ca="1">IFERROR(__xludf.DUMMYFUNCTION("GOOGLETRANSLATE(D:D,""auto"",""en"")"),"#VALUE!")</f>
        <v>#VALUE!</v>
      </c>
    </row>
    <row r="10672" spans="3:3" ht="13.5" customHeight="1">
      <c r="C10672" s="4" t="str">
        <f ca="1">IFERROR(__xludf.DUMMYFUNCTION("GOOGLETRANSLATE(D:D,""auto"",""en"")"),"#VALUE!")</f>
        <v>#VALUE!</v>
      </c>
    </row>
    <row r="10673" spans="3:3" ht="13.5" customHeight="1">
      <c r="C10673" s="4" t="str">
        <f ca="1">IFERROR(__xludf.DUMMYFUNCTION("GOOGLETRANSLATE(D:D,""auto"",""en"")"),"#VALUE!")</f>
        <v>#VALUE!</v>
      </c>
    </row>
    <row r="10674" spans="3:3" ht="13.5" customHeight="1">
      <c r="C10674" s="4" t="str">
        <f ca="1">IFERROR(__xludf.DUMMYFUNCTION("GOOGLETRANSLATE(D:D,""auto"",""en"")"),"#VALUE!")</f>
        <v>#VALUE!</v>
      </c>
    </row>
    <row r="10675" spans="3:3" ht="13.5" customHeight="1">
      <c r="C10675" s="4" t="str">
        <f ca="1">IFERROR(__xludf.DUMMYFUNCTION("GOOGLETRANSLATE(D:D,""auto"",""en"")"),"#VALUE!")</f>
        <v>#VALUE!</v>
      </c>
    </row>
    <row r="10676" spans="3:3" ht="13.5" customHeight="1">
      <c r="C10676" s="4" t="str">
        <f ca="1">IFERROR(__xludf.DUMMYFUNCTION("GOOGLETRANSLATE(D:D,""auto"",""en"")"),"#VALUE!")</f>
        <v>#VALUE!</v>
      </c>
    </row>
    <row r="10677" spans="3:3" ht="13.5" customHeight="1">
      <c r="C10677" s="4" t="str">
        <f ca="1">IFERROR(__xludf.DUMMYFUNCTION("GOOGLETRANSLATE(D:D,""auto"",""en"")"),"#VALUE!")</f>
        <v>#VALUE!</v>
      </c>
    </row>
    <row r="10678" spans="3:3" ht="13.5" customHeight="1">
      <c r="C10678" s="4" t="str">
        <f ca="1">IFERROR(__xludf.DUMMYFUNCTION("GOOGLETRANSLATE(D:D,""auto"",""en"")"),"#VALUE!")</f>
        <v>#VALUE!</v>
      </c>
    </row>
    <row r="10679" spans="3:3" ht="13.5" customHeight="1">
      <c r="C10679" s="4" t="str">
        <f ca="1">IFERROR(__xludf.DUMMYFUNCTION("GOOGLETRANSLATE(D:D,""auto"",""en"")"),"#VALUE!")</f>
        <v>#VALUE!</v>
      </c>
    </row>
    <row r="10680" spans="3:3" ht="13.5" customHeight="1">
      <c r="C10680" s="4" t="str">
        <f ca="1">IFERROR(__xludf.DUMMYFUNCTION("GOOGLETRANSLATE(D:D,""auto"",""en"")"),"#VALUE!")</f>
        <v>#VALUE!</v>
      </c>
    </row>
    <row r="10681" spans="3:3" ht="13.5" customHeight="1">
      <c r="C10681" s="4" t="str">
        <f ca="1">IFERROR(__xludf.DUMMYFUNCTION("GOOGLETRANSLATE(D:D,""auto"",""en"")"),"#VALUE!")</f>
        <v>#VALUE!</v>
      </c>
    </row>
    <row r="10682" spans="3:3" ht="13.5" customHeight="1">
      <c r="C10682" s="4" t="str">
        <f ca="1">IFERROR(__xludf.DUMMYFUNCTION("GOOGLETRANSLATE(D:D,""auto"",""en"")"),"#VALUE!")</f>
        <v>#VALUE!</v>
      </c>
    </row>
    <row r="10683" spans="3:3" ht="13.5" customHeight="1">
      <c r="C10683" s="4" t="str">
        <f ca="1">IFERROR(__xludf.DUMMYFUNCTION("GOOGLETRANSLATE(D:D,""auto"",""en"")"),"#VALUE!")</f>
        <v>#VALUE!</v>
      </c>
    </row>
    <row r="10684" spans="3:3" ht="13.5" customHeight="1">
      <c r="C10684" s="4" t="str">
        <f ca="1">IFERROR(__xludf.DUMMYFUNCTION("GOOGLETRANSLATE(D:D,""auto"",""en"")"),"#VALUE!")</f>
        <v>#VALUE!</v>
      </c>
    </row>
    <row r="10685" spans="3:3" ht="13.5" customHeight="1">
      <c r="C10685" s="4" t="str">
        <f ca="1">IFERROR(__xludf.DUMMYFUNCTION("GOOGLETRANSLATE(D:D,""auto"",""en"")"),"#VALUE!")</f>
        <v>#VALUE!</v>
      </c>
    </row>
    <row r="10686" spans="3:3" ht="13.5" customHeight="1">
      <c r="C10686" s="4" t="str">
        <f ca="1">IFERROR(__xludf.DUMMYFUNCTION("GOOGLETRANSLATE(D:D,""auto"",""en"")"),"#VALUE!")</f>
        <v>#VALUE!</v>
      </c>
    </row>
    <row r="10687" spans="3:3" ht="13.5" customHeight="1">
      <c r="C10687" s="4" t="str">
        <f ca="1">IFERROR(__xludf.DUMMYFUNCTION("GOOGLETRANSLATE(D:D,""auto"",""en"")"),"#VALUE!")</f>
        <v>#VALUE!</v>
      </c>
    </row>
    <row r="10688" spans="3:3" ht="13.5" customHeight="1">
      <c r="C10688" s="4" t="str">
        <f ca="1">IFERROR(__xludf.DUMMYFUNCTION("GOOGLETRANSLATE(D:D,""auto"",""en"")"),"#VALUE!")</f>
        <v>#VALUE!</v>
      </c>
    </row>
    <row r="10689" spans="3:3" ht="13.5" customHeight="1">
      <c r="C10689" s="4" t="str">
        <f ca="1">IFERROR(__xludf.DUMMYFUNCTION("GOOGLETRANSLATE(D:D,""auto"",""en"")"),"#VALUE!")</f>
        <v>#VALUE!</v>
      </c>
    </row>
    <row r="10690" spans="3:3" ht="13.5" customHeight="1">
      <c r="C10690" s="4" t="str">
        <f ca="1">IFERROR(__xludf.DUMMYFUNCTION("GOOGLETRANSLATE(D:D,""auto"",""en"")"),"#VALUE!")</f>
        <v>#VALUE!</v>
      </c>
    </row>
    <row r="10691" spans="3:3" ht="13.5" customHeight="1">
      <c r="C10691" s="4" t="str">
        <f ca="1">IFERROR(__xludf.DUMMYFUNCTION("GOOGLETRANSLATE(D:D,""auto"",""en"")"),"#VALUE!")</f>
        <v>#VALUE!</v>
      </c>
    </row>
    <row r="10692" spans="3:3" ht="13.5" customHeight="1">
      <c r="C10692" s="4" t="str">
        <f ca="1">IFERROR(__xludf.DUMMYFUNCTION("GOOGLETRANSLATE(D:D,""auto"",""en"")"),"#VALUE!")</f>
        <v>#VALUE!</v>
      </c>
    </row>
    <row r="10693" spans="3:3" ht="13.5" customHeight="1">
      <c r="C10693" s="4" t="str">
        <f ca="1">IFERROR(__xludf.DUMMYFUNCTION("GOOGLETRANSLATE(D:D,""auto"",""en"")"),"#VALUE!")</f>
        <v>#VALUE!</v>
      </c>
    </row>
    <row r="10694" spans="3:3" ht="13.5" customHeight="1">
      <c r="C10694" s="4" t="str">
        <f ca="1">IFERROR(__xludf.DUMMYFUNCTION("GOOGLETRANSLATE(D:D,""auto"",""en"")"),"#VALUE!")</f>
        <v>#VALUE!</v>
      </c>
    </row>
    <row r="10695" spans="3:3" ht="13.5" customHeight="1">
      <c r="C10695" s="4" t="str">
        <f ca="1">IFERROR(__xludf.DUMMYFUNCTION("GOOGLETRANSLATE(D:D,""auto"",""en"")"),"#VALUE!")</f>
        <v>#VALUE!</v>
      </c>
    </row>
    <row r="10696" spans="3:3" ht="13.5" customHeight="1">
      <c r="C10696" s="4" t="str">
        <f ca="1">IFERROR(__xludf.DUMMYFUNCTION("GOOGLETRANSLATE(D:D,""auto"",""en"")"),"#VALUE!")</f>
        <v>#VALUE!</v>
      </c>
    </row>
    <row r="10697" spans="3:3" ht="13.5" customHeight="1">
      <c r="C10697" s="4" t="str">
        <f ca="1">IFERROR(__xludf.DUMMYFUNCTION("GOOGLETRANSLATE(D:D,""auto"",""en"")"),"#VALUE!")</f>
        <v>#VALUE!</v>
      </c>
    </row>
    <row r="10698" spans="3:3" ht="13.5" customHeight="1">
      <c r="C10698" s="4" t="str">
        <f ca="1">IFERROR(__xludf.DUMMYFUNCTION("GOOGLETRANSLATE(D:D,""auto"",""en"")"),"#VALUE!")</f>
        <v>#VALUE!</v>
      </c>
    </row>
    <row r="10699" spans="3:3" ht="13.5" customHeight="1">
      <c r="C10699" s="4" t="str">
        <f ca="1">IFERROR(__xludf.DUMMYFUNCTION("GOOGLETRANSLATE(D:D,""auto"",""en"")"),"#VALUE!")</f>
        <v>#VALUE!</v>
      </c>
    </row>
    <row r="10700" spans="3:3" ht="13.5" customHeight="1">
      <c r="C10700" s="4" t="str">
        <f ca="1">IFERROR(__xludf.DUMMYFUNCTION("GOOGLETRANSLATE(D:D,""auto"",""en"")"),"#VALUE!")</f>
        <v>#VALUE!</v>
      </c>
    </row>
    <row r="10701" spans="3:3" ht="13.5" customHeight="1">
      <c r="C10701" s="4" t="str">
        <f ca="1">IFERROR(__xludf.DUMMYFUNCTION("GOOGLETRANSLATE(D:D,""auto"",""en"")"),"#VALUE!")</f>
        <v>#VALUE!</v>
      </c>
    </row>
    <row r="10702" spans="3:3" ht="13.5" customHeight="1">
      <c r="C10702" s="4" t="str">
        <f ca="1">IFERROR(__xludf.DUMMYFUNCTION("GOOGLETRANSLATE(D:D,""auto"",""en"")"),"#VALUE!")</f>
        <v>#VALUE!</v>
      </c>
    </row>
    <row r="10703" spans="3:3" ht="13.5" customHeight="1">
      <c r="C10703" s="4" t="str">
        <f ca="1">IFERROR(__xludf.DUMMYFUNCTION("GOOGLETRANSLATE(D:D,""auto"",""en"")"),"#VALUE!")</f>
        <v>#VALUE!</v>
      </c>
    </row>
    <row r="10704" spans="3:3" ht="13.5" customHeight="1">
      <c r="C10704" s="4" t="str">
        <f ca="1">IFERROR(__xludf.DUMMYFUNCTION("GOOGLETRANSLATE(D:D,""auto"",""en"")"),"#VALUE!")</f>
        <v>#VALUE!</v>
      </c>
    </row>
    <row r="10705" spans="3:3" ht="13.5" customHeight="1">
      <c r="C10705" s="4" t="str">
        <f ca="1">IFERROR(__xludf.DUMMYFUNCTION("GOOGLETRANSLATE(D:D,""auto"",""en"")"),"#VALUE!")</f>
        <v>#VALUE!</v>
      </c>
    </row>
    <row r="10706" spans="3:3" ht="13.5" customHeight="1">
      <c r="C10706" s="4" t="str">
        <f ca="1">IFERROR(__xludf.DUMMYFUNCTION("GOOGLETRANSLATE(D:D,""auto"",""en"")"),"#VALUE!")</f>
        <v>#VALUE!</v>
      </c>
    </row>
    <row r="10707" spans="3:3" ht="13.5" customHeight="1">
      <c r="C10707" s="4" t="str">
        <f ca="1">IFERROR(__xludf.DUMMYFUNCTION("GOOGLETRANSLATE(D:D,""auto"",""en"")"),"#VALUE!")</f>
        <v>#VALUE!</v>
      </c>
    </row>
    <row r="10708" spans="3:3" ht="13.5" customHeight="1">
      <c r="C10708" s="4" t="str">
        <f ca="1">IFERROR(__xludf.DUMMYFUNCTION("GOOGLETRANSLATE(D:D,""auto"",""en"")"),"#VALUE!")</f>
        <v>#VALUE!</v>
      </c>
    </row>
    <row r="10709" spans="3:3" ht="13.5" customHeight="1">
      <c r="C10709" s="4" t="str">
        <f ca="1">IFERROR(__xludf.DUMMYFUNCTION("GOOGLETRANSLATE(D:D,""auto"",""en"")"),"#VALUE!")</f>
        <v>#VALUE!</v>
      </c>
    </row>
    <row r="10710" spans="3:3" ht="13.5" customHeight="1">
      <c r="C10710" s="4" t="str">
        <f ca="1">IFERROR(__xludf.DUMMYFUNCTION("GOOGLETRANSLATE(D:D,""auto"",""en"")"),"#VALUE!")</f>
        <v>#VALUE!</v>
      </c>
    </row>
    <row r="10711" spans="3:3" ht="13.5" customHeight="1">
      <c r="C10711" s="4" t="str">
        <f ca="1">IFERROR(__xludf.DUMMYFUNCTION("GOOGLETRANSLATE(D:D,""auto"",""en"")"),"#VALUE!")</f>
        <v>#VALUE!</v>
      </c>
    </row>
    <row r="10712" spans="3:3" ht="13.5" customHeight="1">
      <c r="C10712" s="4" t="str">
        <f ca="1">IFERROR(__xludf.DUMMYFUNCTION("GOOGLETRANSLATE(D:D,""auto"",""en"")"),"#VALUE!")</f>
        <v>#VALUE!</v>
      </c>
    </row>
    <row r="10713" spans="3:3" ht="13.5" customHeight="1">
      <c r="C10713" s="4" t="str">
        <f ca="1">IFERROR(__xludf.DUMMYFUNCTION("GOOGLETRANSLATE(D:D,""auto"",""en"")"),"#VALUE!")</f>
        <v>#VALUE!</v>
      </c>
    </row>
    <row r="10714" spans="3:3" ht="13.5" customHeight="1">
      <c r="C10714" s="4" t="str">
        <f ca="1">IFERROR(__xludf.DUMMYFUNCTION("GOOGLETRANSLATE(D:D,""auto"",""en"")"),"#VALUE!")</f>
        <v>#VALUE!</v>
      </c>
    </row>
    <row r="10715" spans="3:3" ht="13.5" customHeight="1">
      <c r="C10715" s="4" t="str">
        <f ca="1">IFERROR(__xludf.DUMMYFUNCTION("GOOGLETRANSLATE(D:D,""auto"",""en"")"),"#VALUE!")</f>
        <v>#VALUE!</v>
      </c>
    </row>
    <row r="10716" spans="3:3" ht="13.5" customHeight="1">
      <c r="C10716" s="4" t="str">
        <f ca="1">IFERROR(__xludf.DUMMYFUNCTION("GOOGLETRANSLATE(D:D,""auto"",""en"")"),"#VALUE!")</f>
        <v>#VALUE!</v>
      </c>
    </row>
    <row r="10717" spans="3:3" ht="13.5" customHeight="1">
      <c r="C10717" s="4" t="str">
        <f ca="1">IFERROR(__xludf.DUMMYFUNCTION("GOOGLETRANSLATE(D:D,""auto"",""en"")"),"#VALUE!")</f>
        <v>#VALUE!</v>
      </c>
    </row>
    <row r="10718" spans="3:3" ht="13.5" customHeight="1">
      <c r="C10718" s="4" t="str">
        <f ca="1">IFERROR(__xludf.DUMMYFUNCTION("GOOGLETRANSLATE(D:D,""auto"",""en"")"),"#VALUE!")</f>
        <v>#VALUE!</v>
      </c>
    </row>
    <row r="10719" spans="3:3" ht="13.5" customHeight="1">
      <c r="C10719" s="4" t="str">
        <f ca="1">IFERROR(__xludf.DUMMYFUNCTION("GOOGLETRANSLATE(D:D,""auto"",""en"")"),"#VALUE!")</f>
        <v>#VALUE!</v>
      </c>
    </row>
    <row r="10720" spans="3:3" ht="13.5" customHeight="1">
      <c r="C10720" s="4" t="str">
        <f ca="1">IFERROR(__xludf.DUMMYFUNCTION("GOOGLETRANSLATE(D:D,""auto"",""en"")"),"#VALUE!")</f>
        <v>#VALUE!</v>
      </c>
    </row>
    <row r="10721" spans="3:3" ht="13.5" customHeight="1">
      <c r="C10721" s="4" t="str">
        <f ca="1">IFERROR(__xludf.DUMMYFUNCTION("GOOGLETRANSLATE(D:D,""auto"",""en"")"),"#VALUE!")</f>
        <v>#VALUE!</v>
      </c>
    </row>
    <row r="10722" spans="3:3" ht="13.5" customHeight="1">
      <c r="C10722" s="4" t="str">
        <f ca="1">IFERROR(__xludf.DUMMYFUNCTION("GOOGLETRANSLATE(D:D,""auto"",""en"")"),"#VALUE!")</f>
        <v>#VALUE!</v>
      </c>
    </row>
    <row r="10723" spans="3:3" ht="13.5" customHeight="1">
      <c r="C10723" s="4" t="str">
        <f ca="1">IFERROR(__xludf.DUMMYFUNCTION("GOOGLETRANSLATE(D:D,""auto"",""en"")"),"#VALUE!")</f>
        <v>#VALUE!</v>
      </c>
    </row>
    <row r="10724" spans="3:3" ht="13.5" customHeight="1">
      <c r="C10724" s="4" t="str">
        <f ca="1">IFERROR(__xludf.DUMMYFUNCTION("GOOGLETRANSLATE(D:D,""auto"",""en"")"),"#VALUE!")</f>
        <v>#VALUE!</v>
      </c>
    </row>
    <row r="10725" spans="3:3" ht="13.5" customHeight="1">
      <c r="C10725" s="4" t="str">
        <f ca="1">IFERROR(__xludf.DUMMYFUNCTION("GOOGLETRANSLATE(D:D,""auto"",""en"")"),"#VALUE!")</f>
        <v>#VALUE!</v>
      </c>
    </row>
    <row r="10726" spans="3:3" ht="13.5" customHeight="1">
      <c r="C10726" s="4" t="str">
        <f ca="1">IFERROR(__xludf.DUMMYFUNCTION("GOOGLETRANSLATE(D:D,""auto"",""en"")"),"#VALUE!")</f>
        <v>#VALUE!</v>
      </c>
    </row>
    <row r="10727" spans="3:3" ht="13.5" customHeight="1">
      <c r="C10727" s="4" t="str">
        <f ca="1">IFERROR(__xludf.DUMMYFUNCTION("GOOGLETRANSLATE(D:D,""auto"",""en"")"),"#VALUE!")</f>
        <v>#VALUE!</v>
      </c>
    </row>
    <row r="10728" spans="3:3" ht="13.5" customHeight="1">
      <c r="C10728" s="4" t="str">
        <f ca="1">IFERROR(__xludf.DUMMYFUNCTION("GOOGLETRANSLATE(D:D,""auto"",""en"")"),"#VALUE!")</f>
        <v>#VALUE!</v>
      </c>
    </row>
    <row r="10729" spans="3:3" ht="13.5" customHeight="1">
      <c r="C10729" s="4" t="str">
        <f ca="1">IFERROR(__xludf.DUMMYFUNCTION("GOOGLETRANSLATE(D:D,""auto"",""en"")"),"#VALUE!")</f>
        <v>#VALUE!</v>
      </c>
    </row>
    <row r="10730" spans="3:3" ht="13.5" customHeight="1">
      <c r="C10730" s="4" t="str">
        <f ca="1">IFERROR(__xludf.DUMMYFUNCTION("GOOGLETRANSLATE(D:D,""auto"",""en"")"),"#VALUE!")</f>
        <v>#VALUE!</v>
      </c>
    </row>
    <row r="10731" spans="3:3" ht="13.5" customHeight="1">
      <c r="C10731" s="4" t="str">
        <f ca="1">IFERROR(__xludf.DUMMYFUNCTION("GOOGLETRANSLATE(D:D,""auto"",""en"")"),"#VALUE!")</f>
        <v>#VALUE!</v>
      </c>
    </row>
    <row r="10732" spans="3:3" ht="13.5" customHeight="1">
      <c r="C10732" s="4" t="str">
        <f ca="1">IFERROR(__xludf.DUMMYFUNCTION("GOOGLETRANSLATE(D:D,""auto"",""en"")"),"#VALUE!")</f>
        <v>#VALUE!</v>
      </c>
    </row>
    <row r="10733" spans="3:3" ht="13.5" customHeight="1">
      <c r="C10733" s="4" t="str">
        <f ca="1">IFERROR(__xludf.DUMMYFUNCTION("GOOGLETRANSLATE(D:D,""auto"",""en"")"),"#VALUE!")</f>
        <v>#VALUE!</v>
      </c>
    </row>
    <row r="10734" spans="3:3" ht="13.5" customHeight="1">
      <c r="C10734" s="4" t="str">
        <f ca="1">IFERROR(__xludf.DUMMYFUNCTION("GOOGLETRANSLATE(D:D,""auto"",""en"")"),"#VALUE!")</f>
        <v>#VALUE!</v>
      </c>
    </row>
    <row r="10735" spans="3:3" ht="13.5" customHeight="1">
      <c r="C10735" s="4" t="str">
        <f ca="1">IFERROR(__xludf.DUMMYFUNCTION("GOOGLETRANSLATE(D:D,""auto"",""en"")"),"#VALUE!")</f>
        <v>#VALUE!</v>
      </c>
    </row>
    <row r="10736" spans="3:3" ht="13.5" customHeight="1">
      <c r="C10736" s="4" t="str">
        <f ca="1">IFERROR(__xludf.DUMMYFUNCTION("GOOGLETRANSLATE(D:D,""auto"",""en"")"),"#VALUE!")</f>
        <v>#VALUE!</v>
      </c>
    </row>
    <row r="10737" spans="3:3" ht="13.5" customHeight="1">
      <c r="C10737" s="4" t="str">
        <f ca="1">IFERROR(__xludf.DUMMYFUNCTION("GOOGLETRANSLATE(D:D,""auto"",""en"")"),"#VALUE!")</f>
        <v>#VALUE!</v>
      </c>
    </row>
    <row r="10738" spans="3:3" ht="13.5" customHeight="1">
      <c r="C10738" s="4" t="str">
        <f ca="1">IFERROR(__xludf.DUMMYFUNCTION("GOOGLETRANSLATE(D:D,""auto"",""en"")"),"#VALUE!")</f>
        <v>#VALUE!</v>
      </c>
    </row>
    <row r="10739" spans="3:3" ht="13.5" customHeight="1">
      <c r="C10739" s="4" t="str">
        <f ca="1">IFERROR(__xludf.DUMMYFUNCTION("GOOGLETRANSLATE(D:D,""auto"",""en"")"),"#VALUE!")</f>
        <v>#VALUE!</v>
      </c>
    </row>
    <row r="10740" spans="3:3" ht="13.5" customHeight="1">
      <c r="C10740" s="4" t="str">
        <f ca="1">IFERROR(__xludf.DUMMYFUNCTION("GOOGLETRANSLATE(D:D,""auto"",""en"")"),"#VALUE!")</f>
        <v>#VALUE!</v>
      </c>
    </row>
    <row r="10741" spans="3:3" ht="13.5" customHeight="1">
      <c r="C10741" s="4" t="str">
        <f ca="1">IFERROR(__xludf.DUMMYFUNCTION("GOOGLETRANSLATE(D:D,""auto"",""en"")"),"#VALUE!")</f>
        <v>#VALUE!</v>
      </c>
    </row>
    <row r="10742" spans="3:3" ht="13.5" customHeight="1">
      <c r="C10742" s="4" t="str">
        <f ca="1">IFERROR(__xludf.DUMMYFUNCTION("GOOGLETRANSLATE(D:D,""auto"",""en"")"),"#VALUE!")</f>
        <v>#VALUE!</v>
      </c>
    </row>
    <row r="10743" spans="3:3" ht="13.5" customHeight="1">
      <c r="C10743" s="4" t="str">
        <f ca="1">IFERROR(__xludf.DUMMYFUNCTION("GOOGLETRANSLATE(D:D,""auto"",""en"")"),"#VALUE!")</f>
        <v>#VALUE!</v>
      </c>
    </row>
    <row r="10744" spans="3:3" ht="13.5" customHeight="1">
      <c r="C10744" s="4" t="str">
        <f ca="1">IFERROR(__xludf.DUMMYFUNCTION("GOOGLETRANSLATE(D:D,""auto"",""en"")"),"#VALUE!")</f>
        <v>#VALUE!</v>
      </c>
    </row>
    <row r="10745" spans="3:3" ht="13.5" customHeight="1">
      <c r="C10745" s="4" t="str">
        <f ca="1">IFERROR(__xludf.DUMMYFUNCTION("GOOGLETRANSLATE(D:D,""auto"",""en"")"),"#VALUE!")</f>
        <v>#VALUE!</v>
      </c>
    </row>
    <row r="10746" spans="3:3" ht="13.5" customHeight="1">
      <c r="C10746" s="4" t="str">
        <f ca="1">IFERROR(__xludf.DUMMYFUNCTION("GOOGLETRANSLATE(D:D,""auto"",""en"")"),"#VALUE!")</f>
        <v>#VALUE!</v>
      </c>
    </row>
    <row r="10747" spans="3:3" ht="13.5" customHeight="1">
      <c r="C10747" s="4" t="str">
        <f ca="1">IFERROR(__xludf.DUMMYFUNCTION("GOOGLETRANSLATE(D:D,""auto"",""en"")"),"#VALUE!")</f>
        <v>#VALUE!</v>
      </c>
    </row>
    <row r="10748" spans="3:3" ht="13.5" customHeight="1">
      <c r="C10748" s="4" t="str">
        <f ca="1">IFERROR(__xludf.DUMMYFUNCTION("GOOGLETRANSLATE(D:D,""auto"",""en"")"),"#VALUE!")</f>
        <v>#VALUE!</v>
      </c>
    </row>
    <row r="10749" spans="3:3" ht="13.5" customHeight="1">
      <c r="C10749" s="4" t="str">
        <f ca="1">IFERROR(__xludf.DUMMYFUNCTION("GOOGLETRANSLATE(D:D,""auto"",""en"")"),"#VALUE!")</f>
        <v>#VALUE!</v>
      </c>
    </row>
    <row r="10750" spans="3:3" ht="13.5" customHeight="1">
      <c r="C10750" s="4" t="str">
        <f ca="1">IFERROR(__xludf.DUMMYFUNCTION("GOOGLETRANSLATE(D:D,""auto"",""en"")"),"#VALUE!")</f>
        <v>#VALUE!</v>
      </c>
    </row>
    <row r="10751" spans="3:3" ht="13.5" customHeight="1">
      <c r="C10751" s="4" t="str">
        <f ca="1">IFERROR(__xludf.DUMMYFUNCTION("GOOGLETRANSLATE(D:D,""auto"",""en"")"),"#VALUE!")</f>
        <v>#VALUE!</v>
      </c>
    </row>
    <row r="10752" spans="3:3" ht="13.5" customHeight="1">
      <c r="C10752" s="4" t="str">
        <f ca="1">IFERROR(__xludf.DUMMYFUNCTION("GOOGLETRANSLATE(D:D,""auto"",""en"")"),"#VALUE!")</f>
        <v>#VALUE!</v>
      </c>
    </row>
    <row r="10753" spans="3:3" ht="13.5" customHeight="1">
      <c r="C10753" s="4" t="str">
        <f ca="1">IFERROR(__xludf.DUMMYFUNCTION("GOOGLETRANSLATE(D:D,""auto"",""en"")"),"#VALUE!")</f>
        <v>#VALUE!</v>
      </c>
    </row>
    <row r="10754" spans="3:3" ht="13.5" customHeight="1">
      <c r="C10754" s="4" t="str">
        <f ca="1">IFERROR(__xludf.DUMMYFUNCTION("GOOGLETRANSLATE(D:D,""auto"",""en"")"),"#VALUE!")</f>
        <v>#VALUE!</v>
      </c>
    </row>
    <row r="10755" spans="3:3" ht="13.5" customHeight="1">
      <c r="C10755" s="4" t="str">
        <f ca="1">IFERROR(__xludf.DUMMYFUNCTION("GOOGLETRANSLATE(D:D,""auto"",""en"")"),"#VALUE!")</f>
        <v>#VALUE!</v>
      </c>
    </row>
    <row r="10756" spans="3:3" ht="13.5" customHeight="1">
      <c r="C10756" s="4" t="str">
        <f ca="1">IFERROR(__xludf.DUMMYFUNCTION("GOOGLETRANSLATE(D:D,""auto"",""en"")"),"#VALUE!")</f>
        <v>#VALUE!</v>
      </c>
    </row>
    <row r="10757" spans="3:3" ht="13.5" customHeight="1">
      <c r="C10757" s="4" t="str">
        <f ca="1">IFERROR(__xludf.DUMMYFUNCTION("GOOGLETRANSLATE(D:D,""auto"",""en"")"),"#VALUE!")</f>
        <v>#VALUE!</v>
      </c>
    </row>
    <row r="10758" spans="3:3" ht="13.5" customHeight="1">
      <c r="C10758" s="4" t="str">
        <f ca="1">IFERROR(__xludf.DUMMYFUNCTION("GOOGLETRANSLATE(D:D,""auto"",""en"")"),"#VALUE!")</f>
        <v>#VALUE!</v>
      </c>
    </row>
    <row r="10759" spans="3:3" ht="13.5" customHeight="1">
      <c r="C10759" s="4" t="str">
        <f ca="1">IFERROR(__xludf.DUMMYFUNCTION("GOOGLETRANSLATE(D:D,""auto"",""en"")"),"#VALUE!")</f>
        <v>#VALUE!</v>
      </c>
    </row>
    <row r="10760" spans="3:3" ht="13.5" customHeight="1">
      <c r="C10760" s="4" t="str">
        <f ca="1">IFERROR(__xludf.DUMMYFUNCTION("GOOGLETRANSLATE(D:D,""auto"",""en"")"),"#VALUE!")</f>
        <v>#VALUE!</v>
      </c>
    </row>
    <row r="10761" spans="3:3" ht="13.5" customHeight="1">
      <c r="C10761" s="4" t="str">
        <f ca="1">IFERROR(__xludf.DUMMYFUNCTION("GOOGLETRANSLATE(D:D,""auto"",""en"")"),"#VALUE!")</f>
        <v>#VALUE!</v>
      </c>
    </row>
    <row r="10762" spans="3:3" ht="13.5" customHeight="1">
      <c r="C10762" s="4" t="str">
        <f ca="1">IFERROR(__xludf.DUMMYFUNCTION("GOOGLETRANSLATE(D:D,""auto"",""en"")"),"#VALUE!")</f>
        <v>#VALUE!</v>
      </c>
    </row>
    <row r="10763" spans="3:3" ht="13.5" customHeight="1">
      <c r="C10763" s="4" t="str">
        <f ca="1">IFERROR(__xludf.DUMMYFUNCTION("GOOGLETRANSLATE(D:D,""auto"",""en"")"),"#VALUE!")</f>
        <v>#VALUE!</v>
      </c>
    </row>
    <row r="10764" spans="3:3" ht="13.5" customHeight="1">
      <c r="C10764" s="4" t="str">
        <f ca="1">IFERROR(__xludf.DUMMYFUNCTION("GOOGLETRANSLATE(D:D,""auto"",""en"")"),"#VALUE!")</f>
        <v>#VALUE!</v>
      </c>
    </row>
    <row r="10765" spans="3:3" ht="13.5" customHeight="1">
      <c r="C10765" s="4" t="str">
        <f ca="1">IFERROR(__xludf.DUMMYFUNCTION("GOOGLETRANSLATE(D:D,""auto"",""en"")"),"#VALUE!")</f>
        <v>#VALUE!</v>
      </c>
    </row>
    <row r="10766" spans="3:3" ht="13.5" customHeight="1">
      <c r="C10766" s="4" t="str">
        <f ca="1">IFERROR(__xludf.DUMMYFUNCTION("GOOGLETRANSLATE(D:D,""auto"",""en"")"),"#VALUE!")</f>
        <v>#VALUE!</v>
      </c>
    </row>
    <row r="10767" spans="3:3" ht="13.5" customHeight="1">
      <c r="C10767" s="4" t="str">
        <f ca="1">IFERROR(__xludf.DUMMYFUNCTION("GOOGLETRANSLATE(D:D,""auto"",""en"")"),"#VALUE!")</f>
        <v>#VALUE!</v>
      </c>
    </row>
    <row r="10768" spans="3:3" ht="13.5" customHeight="1">
      <c r="C10768" s="4" t="str">
        <f ca="1">IFERROR(__xludf.DUMMYFUNCTION("GOOGLETRANSLATE(D:D,""auto"",""en"")"),"#VALUE!")</f>
        <v>#VALUE!</v>
      </c>
    </row>
    <row r="10769" spans="3:3" ht="13.5" customHeight="1">
      <c r="C10769" s="4" t="str">
        <f ca="1">IFERROR(__xludf.DUMMYFUNCTION("GOOGLETRANSLATE(D:D,""auto"",""en"")"),"#VALUE!")</f>
        <v>#VALUE!</v>
      </c>
    </row>
    <row r="10770" spans="3:3" ht="13.5" customHeight="1">
      <c r="C10770" s="4" t="str">
        <f ca="1">IFERROR(__xludf.DUMMYFUNCTION("GOOGLETRANSLATE(D:D,""auto"",""en"")"),"#VALUE!")</f>
        <v>#VALUE!</v>
      </c>
    </row>
    <row r="10771" spans="3:3" ht="13.5" customHeight="1">
      <c r="C10771" s="4" t="str">
        <f ca="1">IFERROR(__xludf.DUMMYFUNCTION("GOOGLETRANSLATE(D:D,""auto"",""en"")"),"#VALUE!")</f>
        <v>#VALUE!</v>
      </c>
    </row>
    <row r="10772" spans="3:3" ht="13.5" customHeight="1">
      <c r="C10772" s="4" t="str">
        <f ca="1">IFERROR(__xludf.DUMMYFUNCTION("GOOGLETRANSLATE(D:D,""auto"",""en"")"),"#VALUE!")</f>
        <v>#VALUE!</v>
      </c>
    </row>
    <row r="10773" spans="3:3" ht="13.5" customHeight="1">
      <c r="C10773" s="4" t="str">
        <f ca="1">IFERROR(__xludf.DUMMYFUNCTION("GOOGLETRANSLATE(D:D,""auto"",""en"")"),"#VALUE!")</f>
        <v>#VALUE!</v>
      </c>
    </row>
    <row r="10774" spans="3:3" ht="13.5" customHeight="1">
      <c r="C10774" s="4" t="str">
        <f ca="1">IFERROR(__xludf.DUMMYFUNCTION("GOOGLETRANSLATE(D:D,""auto"",""en"")"),"#VALUE!")</f>
        <v>#VALUE!</v>
      </c>
    </row>
    <row r="10775" spans="3:3" ht="13.5" customHeight="1">
      <c r="C10775" s="4" t="str">
        <f ca="1">IFERROR(__xludf.DUMMYFUNCTION("GOOGLETRANSLATE(D:D,""auto"",""en"")"),"#VALUE!")</f>
        <v>#VALUE!</v>
      </c>
    </row>
    <row r="10776" spans="3:3" ht="13.5" customHeight="1">
      <c r="C10776" s="4" t="str">
        <f ca="1">IFERROR(__xludf.DUMMYFUNCTION("GOOGLETRANSLATE(D:D,""auto"",""en"")"),"#VALUE!")</f>
        <v>#VALUE!</v>
      </c>
    </row>
    <row r="10777" spans="3:3" ht="13.5" customHeight="1">
      <c r="C10777" s="4" t="str">
        <f ca="1">IFERROR(__xludf.DUMMYFUNCTION("GOOGLETRANSLATE(D:D,""auto"",""en"")"),"#VALUE!")</f>
        <v>#VALUE!</v>
      </c>
    </row>
    <row r="10778" spans="3:3" ht="13.5" customHeight="1">
      <c r="C10778" s="4" t="str">
        <f ca="1">IFERROR(__xludf.DUMMYFUNCTION("GOOGLETRANSLATE(D:D,""auto"",""en"")"),"#VALUE!")</f>
        <v>#VALUE!</v>
      </c>
    </row>
    <row r="10779" spans="3:3" ht="13.5" customHeight="1">
      <c r="C10779" s="4" t="str">
        <f ca="1">IFERROR(__xludf.DUMMYFUNCTION("GOOGLETRANSLATE(D:D,""auto"",""en"")"),"#VALUE!")</f>
        <v>#VALUE!</v>
      </c>
    </row>
    <row r="10780" spans="3:3" ht="13.5" customHeight="1">
      <c r="C10780" s="4" t="str">
        <f ca="1">IFERROR(__xludf.DUMMYFUNCTION("GOOGLETRANSLATE(D:D,""auto"",""en"")"),"#VALUE!")</f>
        <v>#VALUE!</v>
      </c>
    </row>
    <row r="10781" spans="3:3" ht="13.5" customHeight="1">
      <c r="C10781" s="4" t="str">
        <f ca="1">IFERROR(__xludf.DUMMYFUNCTION("GOOGLETRANSLATE(D:D,""auto"",""en"")"),"#VALUE!")</f>
        <v>#VALUE!</v>
      </c>
    </row>
    <row r="10782" spans="3:3" ht="13.5" customHeight="1">
      <c r="C10782" s="4" t="str">
        <f ca="1">IFERROR(__xludf.DUMMYFUNCTION("GOOGLETRANSLATE(D:D,""auto"",""en"")"),"#VALUE!")</f>
        <v>#VALUE!</v>
      </c>
    </row>
    <row r="10783" spans="3:3" ht="13.5" customHeight="1">
      <c r="C10783" s="4" t="str">
        <f ca="1">IFERROR(__xludf.DUMMYFUNCTION("GOOGLETRANSLATE(D:D,""auto"",""en"")"),"#VALUE!")</f>
        <v>#VALUE!</v>
      </c>
    </row>
    <row r="10784" spans="3:3" ht="13.5" customHeight="1">
      <c r="C10784" s="4" t="str">
        <f ca="1">IFERROR(__xludf.DUMMYFUNCTION("GOOGLETRANSLATE(D:D,""auto"",""en"")"),"#VALUE!")</f>
        <v>#VALUE!</v>
      </c>
    </row>
    <row r="10785" spans="3:3" ht="13.5" customHeight="1">
      <c r="C10785" s="4" t="str">
        <f ca="1">IFERROR(__xludf.DUMMYFUNCTION("GOOGLETRANSLATE(D:D,""auto"",""en"")"),"#VALUE!")</f>
        <v>#VALUE!</v>
      </c>
    </row>
    <row r="10786" spans="3:3" ht="13.5" customHeight="1">
      <c r="C10786" s="4" t="str">
        <f ca="1">IFERROR(__xludf.DUMMYFUNCTION("GOOGLETRANSLATE(D:D,""auto"",""en"")"),"#VALUE!")</f>
        <v>#VALUE!</v>
      </c>
    </row>
    <row r="10787" spans="3:3" ht="13.5" customHeight="1">
      <c r="C10787" s="4" t="str">
        <f ca="1">IFERROR(__xludf.DUMMYFUNCTION("GOOGLETRANSLATE(D:D,""auto"",""en"")"),"#VALUE!")</f>
        <v>#VALUE!</v>
      </c>
    </row>
    <row r="10788" spans="3:3" ht="13.5" customHeight="1">
      <c r="C10788" s="4" t="str">
        <f ca="1">IFERROR(__xludf.DUMMYFUNCTION("GOOGLETRANSLATE(D:D,""auto"",""en"")"),"#VALUE!")</f>
        <v>#VALUE!</v>
      </c>
    </row>
    <row r="10789" spans="3:3" ht="13.5" customHeight="1">
      <c r="C10789" s="4" t="str">
        <f ca="1">IFERROR(__xludf.DUMMYFUNCTION("GOOGLETRANSLATE(D:D,""auto"",""en"")"),"#VALUE!")</f>
        <v>#VALUE!</v>
      </c>
    </row>
    <row r="10790" spans="3:3" ht="13.5" customHeight="1">
      <c r="C10790" s="4" t="str">
        <f ca="1">IFERROR(__xludf.DUMMYFUNCTION("GOOGLETRANSLATE(D:D,""auto"",""en"")"),"#VALUE!")</f>
        <v>#VALUE!</v>
      </c>
    </row>
    <row r="10791" spans="3:3" ht="13.5" customHeight="1">
      <c r="C10791" s="4" t="str">
        <f ca="1">IFERROR(__xludf.DUMMYFUNCTION("GOOGLETRANSLATE(D:D,""auto"",""en"")"),"#VALUE!")</f>
        <v>#VALUE!</v>
      </c>
    </row>
    <row r="10792" spans="3:3" ht="13.5" customHeight="1">
      <c r="C10792" s="4" t="str">
        <f ca="1">IFERROR(__xludf.DUMMYFUNCTION("GOOGLETRANSLATE(D:D,""auto"",""en"")"),"#VALUE!")</f>
        <v>#VALUE!</v>
      </c>
    </row>
    <row r="10793" spans="3:3" ht="13.5" customHeight="1">
      <c r="C10793" s="4" t="str">
        <f ca="1">IFERROR(__xludf.DUMMYFUNCTION("GOOGLETRANSLATE(D:D,""auto"",""en"")"),"#VALUE!")</f>
        <v>#VALUE!</v>
      </c>
    </row>
    <row r="10794" spans="3:3" ht="13.5" customHeight="1">
      <c r="C10794" s="4" t="str">
        <f ca="1">IFERROR(__xludf.DUMMYFUNCTION("GOOGLETRANSLATE(D:D,""auto"",""en"")"),"#VALUE!")</f>
        <v>#VALUE!</v>
      </c>
    </row>
    <row r="10795" spans="3:3" ht="13.5" customHeight="1">
      <c r="C10795" s="4" t="str">
        <f ca="1">IFERROR(__xludf.DUMMYFUNCTION("GOOGLETRANSLATE(D:D,""auto"",""en"")"),"#VALUE!")</f>
        <v>#VALUE!</v>
      </c>
    </row>
    <row r="10796" spans="3:3" ht="13.5" customHeight="1">
      <c r="C10796" s="4" t="str">
        <f ca="1">IFERROR(__xludf.DUMMYFUNCTION("GOOGLETRANSLATE(D:D,""auto"",""en"")"),"#VALUE!")</f>
        <v>#VALUE!</v>
      </c>
    </row>
    <row r="10797" spans="3:3" ht="13.5" customHeight="1">
      <c r="C10797" s="4" t="str">
        <f ca="1">IFERROR(__xludf.DUMMYFUNCTION("GOOGLETRANSLATE(D:D,""auto"",""en"")"),"#VALUE!")</f>
        <v>#VALUE!</v>
      </c>
    </row>
    <row r="10798" spans="3:3" ht="13.5" customHeight="1">
      <c r="C10798" s="4" t="str">
        <f ca="1">IFERROR(__xludf.DUMMYFUNCTION("GOOGLETRANSLATE(D:D,""auto"",""en"")"),"#VALUE!")</f>
        <v>#VALUE!</v>
      </c>
    </row>
    <row r="10799" spans="3:3" ht="13.5" customHeight="1">
      <c r="C10799" s="4" t="str">
        <f ca="1">IFERROR(__xludf.DUMMYFUNCTION("GOOGLETRANSLATE(D:D,""auto"",""en"")"),"#VALUE!")</f>
        <v>#VALUE!</v>
      </c>
    </row>
    <row r="10800" spans="3:3" ht="13.5" customHeight="1">
      <c r="C10800" s="4" t="str">
        <f ca="1">IFERROR(__xludf.DUMMYFUNCTION("GOOGLETRANSLATE(D:D,""auto"",""en"")"),"#VALUE!")</f>
        <v>#VALUE!</v>
      </c>
    </row>
    <row r="10801" spans="3:3" ht="13.5" customHeight="1">
      <c r="C10801" s="4" t="str">
        <f ca="1">IFERROR(__xludf.DUMMYFUNCTION("GOOGLETRANSLATE(D:D,""auto"",""en"")"),"#VALUE!")</f>
        <v>#VALUE!</v>
      </c>
    </row>
    <row r="10802" spans="3:3" ht="13.5" customHeight="1">
      <c r="C10802" s="4" t="str">
        <f ca="1">IFERROR(__xludf.DUMMYFUNCTION("GOOGLETRANSLATE(D:D,""auto"",""en"")"),"#VALUE!")</f>
        <v>#VALUE!</v>
      </c>
    </row>
    <row r="10803" spans="3:3" ht="13.5" customHeight="1">
      <c r="C10803" s="4" t="str">
        <f ca="1">IFERROR(__xludf.DUMMYFUNCTION("GOOGLETRANSLATE(D:D,""auto"",""en"")"),"#VALUE!")</f>
        <v>#VALUE!</v>
      </c>
    </row>
    <row r="10804" spans="3:3" ht="13.5" customHeight="1">
      <c r="C10804" s="4" t="str">
        <f ca="1">IFERROR(__xludf.DUMMYFUNCTION("GOOGLETRANSLATE(D:D,""auto"",""en"")"),"#VALUE!")</f>
        <v>#VALUE!</v>
      </c>
    </row>
    <row r="10805" spans="3:3" ht="13.5" customHeight="1">
      <c r="C10805" s="4" t="str">
        <f ca="1">IFERROR(__xludf.DUMMYFUNCTION("GOOGLETRANSLATE(D:D,""auto"",""en"")"),"#VALUE!")</f>
        <v>#VALUE!</v>
      </c>
    </row>
    <row r="10806" spans="3:3" ht="13.5" customHeight="1">
      <c r="C10806" s="4" t="str">
        <f ca="1">IFERROR(__xludf.DUMMYFUNCTION("GOOGLETRANSLATE(D:D,""auto"",""en"")"),"#VALUE!")</f>
        <v>#VALUE!</v>
      </c>
    </row>
    <row r="10807" spans="3:3" ht="13.5" customHeight="1">
      <c r="C10807" s="4" t="str">
        <f ca="1">IFERROR(__xludf.DUMMYFUNCTION("GOOGLETRANSLATE(D:D,""auto"",""en"")"),"#VALUE!")</f>
        <v>#VALUE!</v>
      </c>
    </row>
    <row r="10808" spans="3:3" ht="13.5" customHeight="1">
      <c r="C10808" s="4" t="str">
        <f ca="1">IFERROR(__xludf.DUMMYFUNCTION("GOOGLETRANSLATE(D:D,""auto"",""en"")"),"#VALUE!")</f>
        <v>#VALUE!</v>
      </c>
    </row>
    <row r="10809" spans="3:3" ht="13.5" customHeight="1">
      <c r="C10809" s="4" t="str">
        <f ca="1">IFERROR(__xludf.DUMMYFUNCTION("GOOGLETRANSLATE(D:D,""auto"",""en"")"),"#VALUE!")</f>
        <v>#VALUE!</v>
      </c>
    </row>
    <row r="10810" spans="3:3" ht="13.5" customHeight="1">
      <c r="C10810" s="4" t="str">
        <f ca="1">IFERROR(__xludf.DUMMYFUNCTION("GOOGLETRANSLATE(D:D,""auto"",""en"")"),"#VALUE!")</f>
        <v>#VALUE!</v>
      </c>
    </row>
    <row r="10811" spans="3:3" ht="13.5" customHeight="1">
      <c r="C10811" s="4" t="str">
        <f ca="1">IFERROR(__xludf.DUMMYFUNCTION("GOOGLETRANSLATE(D:D,""auto"",""en"")"),"#VALUE!")</f>
        <v>#VALUE!</v>
      </c>
    </row>
    <row r="10812" spans="3:3" ht="13.5" customHeight="1">
      <c r="C10812" s="4" t="str">
        <f ca="1">IFERROR(__xludf.DUMMYFUNCTION("GOOGLETRANSLATE(D:D,""auto"",""en"")"),"#VALUE!")</f>
        <v>#VALUE!</v>
      </c>
    </row>
    <row r="10813" spans="3:3" ht="13.5" customHeight="1">
      <c r="C10813" s="4" t="str">
        <f ca="1">IFERROR(__xludf.DUMMYFUNCTION("GOOGLETRANSLATE(D:D,""auto"",""en"")"),"#VALUE!")</f>
        <v>#VALUE!</v>
      </c>
    </row>
    <row r="10814" spans="3:3" ht="13.5" customHeight="1">
      <c r="C10814" s="4" t="str">
        <f ca="1">IFERROR(__xludf.DUMMYFUNCTION("GOOGLETRANSLATE(D:D,""auto"",""en"")"),"#VALUE!")</f>
        <v>#VALUE!</v>
      </c>
    </row>
    <row r="10815" spans="3:3" ht="13.5" customHeight="1">
      <c r="C10815" s="4" t="str">
        <f ca="1">IFERROR(__xludf.DUMMYFUNCTION("GOOGLETRANSLATE(D:D,""auto"",""en"")"),"#VALUE!")</f>
        <v>#VALUE!</v>
      </c>
    </row>
    <row r="10816" spans="3:3" ht="13.5" customHeight="1">
      <c r="C10816" s="4" t="str">
        <f ca="1">IFERROR(__xludf.DUMMYFUNCTION("GOOGLETRANSLATE(D:D,""auto"",""en"")"),"#VALUE!")</f>
        <v>#VALUE!</v>
      </c>
    </row>
    <row r="10817" spans="3:3" ht="13.5" customHeight="1">
      <c r="C10817" s="4" t="str">
        <f ca="1">IFERROR(__xludf.DUMMYFUNCTION("GOOGLETRANSLATE(D:D,""auto"",""en"")"),"#VALUE!")</f>
        <v>#VALUE!</v>
      </c>
    </row>
    <row r="10818" spans="3:3" ht="13.5" customHeight="1">
      <c r="C10818" s="4" t="str">
        <f ca="1">IFERROR(__xludf.DUMMYFUNCTION("GOOGLETRANSLATE(D:D,""auto"",""en"")"),"#VALUE!")</f>
        <v>#VALUE!</v>
      </c>
    </row>
    <row r="10819" spans="3:3" ht="13.5" customHeight="1">
      <c r="C10819" s="4" t="str">
        <f ca="1">IFERROR(__xludf.DUMMYFUNCTION("GOOGLETRANSLATE(D:D,""auto"",""en"")"),"#VALUE!")</f>
        <v>#VALUE!</v>
      </c>
    </row>
    <row r="10820" spans="3:3" ht="13.5" customHeight="1">
      <c r="C10820" s="4" t="str">
        <f ca="1">IFERROR(__xludf.DUMMYFUNCTION("GOOGLETRANSLATE(D:D,""auto"",""en"")"),"#VALUE!")</f>
        <v>#VALUE!</v>
      </c>
    </row>
    <row r="10821" spans="3:3" ht="13.5" customHeight="1">
      <c r="C10821" s="4" t="str">
        <f ca="1">IFERROR(__xludf.DUMMYFUNCTION("GOOGLETRANSLATE(D:D,""auto"",""en"")"),"#VALUE!")</f>
        <v>#VALUE!</v>
      </c>
    </row>
    <row r="10822" spans="3:3" ht="13.5" customHeight="1">
      <c r="C10822" s="4" t="str">
        <f ca="1">IFERROR(__xludf.DUMMYFUNCTION("GOOGLETRANSLATE(D:D,""auto"",""en"")"),"#VALUE!")</f>
        <v>#VALUE!</v>
      </c>
    </row>
    <row r="10823" spans="3:3" ht="13.5" customHeight="1">
      <c r="C10823" s="4" t="str">
        <f ca="1">IFERROR(__xludf.DUMMYFUNCTION("GOOGLETRANSLATE(D:D,""auto"",""en"")"),"#VALUE!")</f>
        <v>#VALUE!</v>
      </c>
    </row>
    <row r="10824" spans="3:3" ht="13.5" customHeight="1">
      <c r="C10824" s="4" t="str">
        <f ca="1">IFERROR(__xludf.DUMMYFUNCTION("GOOGLETRANSLATE(D:D,""auto"",""en"")"),"#VALUE!")</f>
        <v>#VALUE!</v>
      </c>
    </row>
    <row r="10825" spans="3:3" ht="13.5" customHeight="1">
      <c r="C10825" s="4" t="str">
        <f ca="1">IFERROR(__xludf.DUMMYFUNCTION("GOOGLETRANSLATE(D:D,""auto"",""en"")"),"#VALUE!")</f>
        <v>#VALUE!</v>
      </c>
    </row>
    <row r="10826" spans="3:3" ht="13.5" customHeight="1">
      <c r="C10826" s="4" t="str">
        <f ca="1">IFERROR(__xludf.DUMMYFUNCTION("GOOGLETRANSLATE(D:D,""auto"",""en"")"),"#VALUE!")</f>
        <v>#VALUE!</v>
      </c>
    </row>
    <row r="10827" spans="3:3" ht="13.5" customHeight="1">
      <c r="C10827" s="4" t="str">
        <f ca="1">IFERROR(__xludf.DUMMYFUNCTION("GOOGLETRANSLATE(D:D,""auto"",""en"")"),"#VALUE!")</f>
        <v>#VALUE!</v>
      </c>
    </row>
    <row r="10828" spans="3:3" ht="13.5" customHeight="1">
      <c r="C10828" s="4" t="str">
        <f ca="1">IFERROR(__xludf.DUMMYFUNCTION("GOOGLETRANSLATE(D:D,""auto"",""en"")"),"#VALUE!")</f>
        <v>#VALUE!</v>
      </c>
    </row>
    <row r="10829" spans="3:3" ht="13.5" customHeight="1">
      <c r="C10829" s="4" t="str">
        <f ca="1">IFERROR(__xludf.DUMMYFUNCTION("GOOGLETRANSLATE(D:D,""auto"",""en"")"),"#VALUE!")</f>
        <v>#VALUE!</v>
      </c>
    </row>
    <row r="10830" spans="3:3" ht="13.5" customHeight="1">
      <c r="C10830" s="4" t="str">
        <f ca="1">IFERROR(__xludf.DUMMYFUNCTION("GOOGLETRANSLATE(D:D,""auto"",""en"")"),"#VALUE!")</f>
        <v>#VALUE!</v>
      </c>
    </row>
    <row r="10831" spans="3:3" ht="13.5" customHeight="1">
      <c r="C10831" s="4" t="str">
        <f ca="1">IFERROR(__xludf.DUMMYFUNCTION("GOOGLETRANSLATE(D:D,""auto"",""en"")"),"#VALUE!")</f>
        <v>#VALUE!</v>
      </c>
    </row>
    <row r="10832" spans="3:3" ht="13.5" customHeight="1">
      <c r="C10832" s="4" t="str">
        <f ca="1">IFERROR(__xludf.DUMMYFUNCTION("GOOGLETRANSLATE(D:D,""auto"",""en"")"),"#VALUE!")</f>
        <v>#VALUE!</v>
      </c>
    </row>
    <row r="10833" spans="3:3" ht="13.5" customHeight="1">
      <c r="C10833" s="4" t="str">
        <f ca="1">IFERROR(__xludf.DUMMYFUNCTION("GOOGLETRANSLATE(D:D,""auto"",""en"")"),"#VALUE!")</f>
        <v>#VALUE!</v>
      </c>
    </row>
    <row r="10834" spans="3:3" ht="13.5" customHeight="1">
      <c r="C10834" s="4" t="str">
        <f ca="1">IFERROR(__xludf.DUMMYFUNCTION("GOOGLETRANSLATE(D:D,""auto"",""en"")"),"#VALUE!")</f>
        <v>#VALUE!</v>
      </c>
    </row>
    <row r="10835" spans="3:3" ht="13.5" customHeight="1">
      <c r="C10835" s="4" t="str">
        <f ca="1">IFERROR(__xludf.DUMMYFUNCTION("GOOGLETRANSLATE(D:D,""auto"",""en"")"),"#VALUE!")</f>
        <v>#VALUE!</v>
      </c>
    </row>
    <row r="10836" spans="3:3" ht="13.5" customHeight="1">
      <c r="C10836" s="4" t="str">
        <f ca="1">IFERROR(__xludf.DUMMYFUNCTION("GOOGLETRANSLATE(D:D,""auto"",""en"")"),"#VALUE!")</f>
        <v>#VALUE!</v>
      </c>
    </row>
    <row r="10837" spans="3:3" ht="13.5" customHeight="1">
      <c r="C10837" s="4" t="str">
        <f ca="1">IFERROR(__xludf.DUMMYFUNCTION("GOOGLETRANSLATE(D:D,""auto"",""en"")"),"#VALUE!")</f>
        <v>#VALUE!</v>
      </c>
    </row>
    <row r="10838" spans="3:3" ht="13.5" customHeight="1">
      <c r="C10838" s="4" t="str">
        <f ca="1">IFERROR(__xludf.DUMMYFUNCTION("GOOGLETRANSLATE(D:D,""auto"",""en"")"),"#VALUE!")</f>
        <v>#VALUE!</v>
      </c>
    </row>
    <row r="10839" spans="3:3" ht="13.5" customHeight="1">
      <c r="C10839" s="4" t="str">
        <f ca="1">IFERROR(__xludf.DUMMYFUNCTION("GOOGLETRANSLATE(D:D,""auto"",""en"")"),"#VALUE!")</f>
        <v>#VALUE!</v>
      </c>
    </row>
    <row r="10840" spans="3:3" ht="13.5" customHeight="1">
      <c r="C10840" s="4" t="str">
        <f ca="1">IFERROR(__xludf.DUMMYFUNCTION("GOOGLETRANSLATE(D:D,""auto"",""en"")"),"#VALUE!")</f>
        <v>#VALUE!</v>
      </c>
    </row>
    <row r="10841" spans="3:3" ht="13.5" customHeight="1">
      <c r="C10841" s="4" t="str">
        <f ca="1">IFERROR(__xludf.DUMMYFUNCTION("GOOGLETRANSLATE(D:D,""auto"",""en"")"),"#VALUE!")</f>
        <v>#VALUE!</v>
      </c>
    </row>
    <row r="10842" spans="3:3" ht="13.5" customHeight="1">
      <c r="C10842" s="4" t="str">
        <f ca="1">IFERROR(__xludf.DUMMYFUNCTION("GOOGLETRANSLATE(D:D,""auto"",""en"")"),"#VALUE!")</f>
        <v>#VALUE!</v>
      </c>
    </row>
    <row r="10843" spans="3:3" ht="13.5" customHeight="1">
      <c r="C10843" s="4" t="str">
        <f ca="1">IFERROR(__xludf.DUMMYFUNCTION("GOOGLETRANSLATE(D:D,""auto"",""en"")"),"#VALUE!")</f>
        <v>#VALUE!</v>
      </c>
    </row>
    <row r="10844" spans="3:3" ht="13.5" customHeight="1">
      <c r="C10844" s="4" t="str">
        <f ca="1">IFERROR(__xludf.DUMMYFUNCTION("GOOGLETRANSLATE(D:D,""auto"",""en"")"),"#VALUE!")</f>
        <v>#VALUE!</v>
      </c>
    </row>
    <row r="10845" spans="3:3" ht="13.5" customHeight="1">
      <c r="C10845" s="4" t="str">
        <f ca="1">IFERROR(__xludf.DUMMYFUNCTION("GOOGLETRANSLATE(D:D,""auto"",""en"")"),"#VALUE!")</f>
        <v>#VALUE!</v>
      </c>
    </row>
    <row r="10846" spans="3:3" ht="13.5" customHeight="1">
      <c r="C10846" s="4" t="str">
        <f ca="1">IFERROR(__xludf.DUMMYFUNCTION("GOOGLETRANSLATE(D:D,""auto"",""en"")"),"#VALUE!")</f>
        <v>#VALUE!</v>
      </c>
    </row>
    <row r="10847" spans="3:3" ht="13.5" customHeight="1">
      <c r="C10847" s="4" t="str">
        <f ca="1">IFERROR(__xludf.DUMMYFUNCTION("GOOGLETRANSLATE(D:D,""auto"",""en"")"),"#VALUE!")</f>
        <v>#VALUE!</v>
      </c>
    </row>
    <row r="10848" spans="3:3" ht="13.5" customHeight="1">
      <c r="C10848" s="4" t="str">
        <f ca="1">IFERROR(__xludf.DUMMYFUNCTION("GOOGLETRANSLATE(D:D,""auto"",""en"")"),"#VALUE!")</f>
        <v>#VALUE!</v>
      </c>
    </row>
    <row r="10849" spans="3:3" ht="13.5" customHeight="1">
      <c r="C10849" s="4" t="str">
        <f ca="1">IFERROR(__xludf.DUMMYFUNCTION("GOOGLETRANSLATE(D:D,""auto"",""en"")"),"#VALUE!")</f>
        <v>#VALUE!</v>
      </c>
    </row>
    <row r="10850" spans="3:3" ht="13.5" customHeight="1">
      <c r="C10850" s="4" t="str">
        <f ca="1">IFERROR(__xludf.DUMMYFUNCTION("GOOGLETRANSLATE(D:D,""auto"",""en"")"),"#VALUE!")</f>
        <v>#VALUE!</v>
      </c>
    </row>
    <row r="10851" spans="3:3" ht="13.5" customHeight="1">
      <c r="C10851" s="4" t="str">
        <f ca="1">IFERROR(__xludf.DUMMYFUNCTION("GOOGLETRANSLATE(D:D,""auto"",""en"")"),"#VALUE!")</f>
        <v>#VALUE!</v>
      </c>
    </row>
    <row r="10852" spans="3:3" ht="13.5" customHeight="1">
      <c r="C10852" s="4" t="str">
        <f ca="1">IFERROR(__xludf.DUMMYFUNCTION("GOOGLETRANSLATE(D:D,""auto"",""en"")"),"#VALUE!")</f>
        <v>#VALUE!</v>
      </c>
    </row>
    <row r="10853" spans="3:3" ht="13.5" customHeight="1">
      <c r="C10853" s="4" t="str">
        <f ca="1">IFERROR(__xludf.DUMMYFUNCTION("GOOGLETRANSLATE(D:D,""auto"",""en"")"),"#VALUE!")</f>
        <v>#VALUE!</v>
      </c>
    </row>
    <row r="10854" spans="3:3" ht="13.5" customHeight="1">
      <c r="C10854" s="4" t="str">
        <f ca="1">IFERROR(__xludf.DUMMYFUNCTION("GOOGLETRANSLATE(D:D,""auto"",""en"")"),"#VALUE!")</f>
        <v>#VALUE!</v>
      </c>
    </row>
    <row r="10855" spans="3:3" ht="13.5" customHeight="1">
      <c r="C10855" s="4" t="str">
        <f ca="1">IFERROR(__xludf.DUMMYFUNCTION("GOOGLETRANSLATE(D:D,""auto"",""en"")"),"#VALUE!")</f>
        <v>#VALUE!</v>
      </c>
    </row>
    <row r="10856" spans="3:3" ht="13.5" customHeight="1">
      <c r="C10856" s="4" t="str">
        <f ca="1">IFERROR(__xludf.DUMMYFUNCTION("GOOGLETRANSLATE(D:D,""auto"",""en"")"),"#VALUE!")</f>
        <v>#VALUE!</v>
      </c>
    </row>
    <row r="10857" spans="3:3" ht="13.5" customHeight="1">
      <c r="C10857" s="4" t="str">
        <f ca="1">IFERROR(__xludf.DUMMYFUNCTION("GOOGLETRANSLATE(D:D,""auto"",""en"")"),"#VALUE!")</f>
        <v>#VALUE!</v>
      </c>
    </row>
    <row r="10858" spans="3:3" ht="13.5" customHeight="1">
      <c r="C10858" s="4" t="str">
        <f ca="1">IFERROR(__xludf.DUMMYFUNCTION("GOOGLETRANSLATE(D:D,""auto"",""en"")"),"#VALUE!")</f>
        <v>#VALUE!</v>
      </c>
    </row>
    <row r="10859" spans="3:3" ht="13.5" customHeight="1">
      <c r="C10859" s="4" t="str">
        <f ca="1">IFERROR(__xludf.DUMMYFUNCTION("GOOGLETRANSLATE(D:D,""auto"",""en"")"),"#VALUE!")</f>
        <v>#VALUE!</v>
      </c>
    </row>
    <row r="10860" spans="3:3" ht="13.5" customHeight="1">
      <c r="C10860" s="4" t="str">
        <f ca="1">IFERROR(__xludf.DUMMYFUNCTION("GOOGLETRANSLATE(D:D,""auto"",""en"")"),"#VALUE!")</f>
        <v>#VALUE!</v>
      </c>
    </row>
    <row r="10861" spans="3:3" ht="13.5" customHeight="1">
      <c r="C10861" s="4" t="str">
        <f ca="1">IFERROR(__xludf.DUMMYFUNCTION("GOOGLETRANSLATE(D:D,""auto"",""en"")"),"#VALUE!")</f>
        <v>#VALUE!</v>
      </c>
    </row>
    <row r="10862" spans="3:3" ht="13.5" customHeight="1">
      <c r="C10862" s="4" t="str">
        <f ca="1">IFERROR(__xludf.DUMMYFUNCTION("GOOGLETRANSLATE(D:D,""auto"",""en"")"),"#VALUE!")</f>
        <v>#VALUE!</v>
      </c>
    </row>
    <row r="10863" spans="3:3" ht="13.5" customHeight="1">
      <c r="C10863" s="4" t="str">
        <f ca="1">IFERROR(__xludf.DUMMYFUNCTION("GOOGLETRANSLATE(D:D,""auto"",""en"")"),"#VALUE!")</f>
        <v>#VALUE!</v>
      </c>
    </row>
    <row r="10864" spans="3:3" ht="13.5" customHeight="1">
      <c r="C10864" s="4" t="str">
        <f ca="1">IFERROR(__xludf.DUMMYFUNCTION("GOOGLETRANSLATE(D:D,""auto"",""en"")"),"#VALUE!")</f>
        <v>#VALUE!</v>
      </c>
    </row>
    <row r="10865" spans="3:3" ht="13.5" customHeight="1">
      <c r="C10865" s="4" t="str">
        <f ca="1">IFERROR(__xludf.DUMMYFUNCTION("GOOGLETRANSLATE(D:D,""auto"",""en"")"),"#VALUE!")</f>
        <v>#VALUE!</v>
      </c>
    </row>
    <row r="10866" spans="3:3" ht="13.5" customHeight="1">
      <c r="C10866" s="4" t="str">
        <f ca="1">IFERROR(__xludf.DUMMYFUNCTION("GOOGLETRANSLATE(D:D,""auto"",""en"")"),"#VALUE!")</f>
        <v>#VALUE!</v>
      </c>
    </row>
    <row r="10867" spans="3:3" ht="13.5" customHeight="1">
      <c r="C10867" s="4" t="str">
        <f ca="1">IFERROR(__xludf.DUMMYFUNCTION("GOOGLETRANSLATE(D:D,""auto"",""en"")"),"#VALUE!")</f>
        <v>#VALUE!</v>
      </c>
    </row>
    <row r="10868" spans="3:3" ht="13.5" customHeight="1">
      <c r="C10868" s="4" t="str">
        <f ca="1">IFERROR(__xludf.DUMMYFUNCTION("GOOGLETRANSLATE(D:D,""auto"",""en"")"),"#VALUE!")</f>
        <v>#VALUE!</v>
      </c>
    </row>
    <row r="10869" spans="3:3" ht="13.5" customHeight="1">
      <c r="C10869" s="4" t="str">
        <f ca="1">IFERROR(__xludf.DUMMYFUNCTION("GOOGLETRANSLATE(D:D,""auto"",""en"")"),"#VALUE!")</f>
        <v>#VALUE!</v>
      </c>
    </row>
    <row r="10870" spans="3:3" ht="13.5" customHeight="1">
      <c r="C10870" s="4" t="str">
        <f ca="1">IFERROR(__xludf.DUMMYFUNCTION("GOOGLETRANSLATE(D:D,""auto"",""en"")"),"#VALUE!")</f>
        <v>#VALUE!</v>
      </c>
    </row>
    <row r="10871" spans="3:3" ht="13.5" customHeight="1">
      <c r="C10871" s="4" t="str">
        <f ca="1">IFERROR(__xludf.DUMMYFUNCTION("GOOGLETRANSLATE(D:D,""auto"",""en"")"),"#VALUE!")</f>
        <v>#VALUE!</v>
      </c>
    </row>
    <row r="10872" spans="3:3" ht="13.5" customHeight="1">
      <c r="C10872" s="4" t="str">
        <f ca="1">IFERROR(__xludf.DUMMYFUNCTION("GOOGLETRANSLATE(D:D,""auto"",""en"")"),"#VALUE!")</f>
        <v>#VALUE!</v>
      </c>
    </row>
    <row r="10873" spans="3:3" ht="13.5" customHeight="1">
      <c r="C10873" s="4" t="str">
        <f ca="1">IFERROR(__xludf.DUMMYFUNCTION("GOOGLETRANSLATE(D:D,""auto"",""en"")"),"#VALUE!")</f>
        <v>#VALUE!</v>
      </c>
    </row>
    <row r="10874" spans="3:3" ht="13.5" customHeight="1">
      <c r="C10874" s="4" t="str">
        <f ca="1">IFERROR(__xludf.DUMMYFUNCTION("GOOGLETRANSLATE(D:D,""auto"",""en"")"),"#VALUE!")</f>
        <v>#VALUE!</v>
      </c>
    </row>
    <row r="10875" spans="3:3" ht="13.5" customHeight="1">
      <c r="C10875" s="4" t="str">
        <f ca="1">IFERROR(__xludf.DUMMYFUNCTION("GOOGLETRANSLATE(D:D,""auto"",""en"")"),"#VALUE!")</f>
        <v>#VALUE!</v>
      </c>
    </row>
    <row r="10876" spans="3:3" ht="13.5" customHeight="1">
      <c r="C10876" s="4" t="str">
        <f ca="1">IFERROR(__xludf.DUMMYFUNCTION("GOOGLETRANSLATE(D:D,""auto"",""en"")"),"#VALUE!")</f>
        <v>#VALUE!</v>
      </c>
    </row>
    <row r="10877" spans="3:3" ht="13.5" customHeight="1">
      <c r="C10877" s="4" t="str">
        <f ca="1">IFERROR(__xludf.DUMMYFUNCTION("GOOGLETRANSLATE(D:D,""auto"",""en"")"),"#VALUE!")</f>
        <v>#VALUE!</v>
      </c>
    </row>
    <row r="10878" spans="3:3" ht="13.5" customHeight="1">
      <c r="C10878" s="4" t="str">
        <f ca="1">IFERROR(__xludf.DUMMYFUNCTION("GOOGLETRANSLATE(D:D,""auto"",""en"")"),"#VALUE!")</f>
        <v>#VALUE!</v>
      </c>
    </row>
    <row r="10879" spans="3:3" ht="13.5" customHeight="1">
      <c r="C10879" s="4" t="str">
        <f ca="1">IFERROR(__xludf.DUMMYFUNCTION("GOOGLETRANSLATE(D:D,""auto"",""en"")"),"#VALUE!")</f>
        <v>#VALUE!</v>
      </c>
    </row>
    <row r="10880" spans="3:3" ht="13.5" customHeight="1">
      <c r="C10880" s="4" t="str">
        <f ca="1">IFERROR(__xludf.DUMMYFUNCTION("GOOGLETRANSLATE(D:D,""auto"",""en"")"),"#VALUE!")</f>
        <v>#VALUE!</v>
      </c>
    </row>
    <row r="10881" spans="3:3" ht="13.5" customHeight="1">
      <c r="C10881" s="4" t="str">
        <f ca="1">IFERROR(__xludf.DUMMYFUNCTION("GOOGLETRANSLATE(D:D,""auto"",""en"")"),"#VALUE!")</f>
        <v>#VALUE!</v>
      </c>
    </row>
    <row r="10882" spans="3:3" ht="13.5" customHeight="1">
      <c r="C10882" s="4" t="str">
        <f ca="1">IFERROR(__xludf.DUMMYFUNCTION("GOOGLETRANSLATE(D:D,""auto"",""en"")"),"#VALUE!")</f>
        <v>#VALUE!</v>
      </c>
    </row>
    <row r="10883" spans="3:3" ht="13.5" customHeight="1">
      <c r="C10883" s="4" t="str">
        <f ca="1">IFERROR(__xludf.DUMMYFUNCTION("GOOGLETRANSLATE(D:D,""auto"",""en"")"),"#VALUE!")</f>
        <v>#VALUE!</v>
      </c>
    </row>
    <row r="10884" spans="3:3" ht="13.5" customHeight="1">
      <c r="C10884" s="4" t="str">
        <f ca="1">IFERROR(__xludf.DUMMYFUNCTION("GOOGLETRANSLATE(D:D,""auto"",""en"")"),"#VALUE!")</f>
        <v>#VALUE!</v>
      </c>
    </row>
    <row r="10885" spans="3:3" ht="13.5" customHeight="1">
      <c r="C10885" s="4" t="str">
        <f ca="1">IFERROR(__xludf.DUMMYFUNCTION("GOOGLETRANSLATE(D:D,""auto"",""en"")"),"#VALUE!")</f>
        <v>#VALUE!</v>
      </c>
    </row>
    <row r="10886" spans="3:3" ht="13.5" customHeight="1">
      <c r="C10886" s="4" t="str">
        <f ca="1">IFERROR(__xludf.DUMMYFUNCTION("GOOGLETRANSLATE(D:D,""auto"",""en"")"),"#VALUE!")</f>
        <v>#VALUE!</v>
      </c>
    </row>
    <row r="10887" spans="3:3" ht="13.5" customHeight="1">
      <c r="C10887" s="4" t="str">
        <f ca="1">IFERROR(__xludf.DUMMYFUNCTION("GOOGLETRANSLATE(D:D,""auto"",""en"")"),"#VALUE!")</f>
        <v>#VALUE!</v>
      </c>
    </row>
    <row r="10888" spans="3:3" ht="13.5" customHeight="1">
      <c r="C10888" s="4" t="str">
        <f ca="1">IFERROR(__xludf.DUMMYFUNCTION("GOOGLETRANSLATE(D:D,""auto"",""en"")"),"#VALUE!")</f>
        <v>#VALUE!</v>
      </c>
    </row>
    <row r="10889" spans="3:3" ht="13.5" customHeight="1">
      <c r="C10889" s="4" t="str">
        <f ca="1">IFERROR(__xludf.DUMMYFUNCTION("GOOGLETRANSLATE(D:D,""auto"",""en"")"),"#VALUE!")</f>
        <v>#VALUE!</v>
      </c>
    </row>
    <row r="10890" spans="3:3" ht="13.5" customHeight="1">
      <c r="C10890" s="4" t="str">
        <f ca="1">IFERROR(__xludf.DUMMYFUNCTION("GOOGLETRANSLATE(D:D,""auto"",""en"")"),"#VALUE!")</f>
        <v>#VALUE!</v>
      </c>
    </row>
    <row r="10891" spans="3:3" ht="13.5" customHeight="1">
      <c r="C10891" s="4" t="str">
        <f ca="1">IFERROR(__xludf.DUMMYFUNCTION("GOOGLETRANSLATE(D:D,""auto"",""en"")"),"#VALUE!")</f>
        <v>#VALUE!</v>
      </c>
    </row>
    <row r="10892" spans="3:3" ht="13.5" customHeight="1">
      <c r="C10892" s="4" t="str">
        <f ca="1">IFERROR(__xludf.DUMMYFUNCTION("GOOGLETRANSLATE(D:D,""auto"",""en"")"),"#VALUE!")</f>
        <v>#VALUE!</v>
      </c>
    </row>
    <row r="10893" spans="3:3" ht="13.5" customHeight="1">
      <c r="C10893" s="4" t="str">
        <f ca="1">IFERROR(__xludf.DUMMYFUNCTION("GOOGLETRANSLATE(D:D,""auto"",""en"")"),"#VALUE!")</f>
        <v>#VALUE!</v>
      </c>
    </row>
    <row r="10894" spans="3:3" ht="13.5" customHeight="1">
      <c r="C10894" s="4" t="str">
        <f ca="1">IFERROR(__xludf.DUMMYFUNCTION("GOOGLETRANSLATE(D:D,""auto"",""en"")"),"#VALUE!")</f>
        <v>#VALUE!</v>
      </c>
    </row>
    <row r="10895" spans="3:3" ht="13.5" customHeight="1">
      <c r="C10895" s="4" t="str">
        <f ca="1">IFERROR(__xludf.DUMMYFUNCTION("GOOGLETRANSLATE(D:D,""auto"",""en"")"),"#VALUE!")</f>
        <v>#VALUE!</v>
      </c>
    </row>
    <row r="10896" spans="3:3" ht="13.5" customHeight="1">
      <c r="C10896" s="4" t="str">
        <f ca="1">IFERROR(__xludf.DUMMYFUNCTION("GOOGLETRANSLATE(D:D,""auto"",""en"")"),"#VALUE!")</f>
        <v>#VALUE!</v>
      </c>
    </row>
    <row r="10897" spans="3:3" ht="13.5" customHeight="1">
      <c r="C10897" s="4" t="str">
        <f ca="1">IFERROR(__xludf.DUMMYFUNCTION("GOOGLETRANSLATE(D:D,""auto"",""en"")"),"#VALUE!")</f>
        <v>#VALUE!</v>
      </c>
    </row>
    <row r="10898" spans="3:3" ht="13.5" customHeight="1">
      <c r="C10898" s="4" t="str">
        <f ca="1">IFERROR(__xludf.DUMMYFUNCTION("GOOGLETRANSLATE(D:D,""auto"",""en"")"),"#VALUE!")</f>
        <v>#VALUE!</v>
      </c>
    </row>
    <row r="10899" spans="3:3" ht="13.5" customHeight="1">
      <c r="C10899" s="4" t="str">
        <f ca="1">IFERROR(__xludf.DUMMYFUNCTION("GOOGLETRANSLATE(D:D,""auto"",""en"")"),"#VALUE!")</f>
        <v>#VALUE!</v>
      </c>
    </row>
    <row r="10900" spans="3:3" ht="13.5" customHeight="1">
      <c r="C10900" s="4" t="str">
        <f ca="1">IFERROR(__xludf.DUMMYFUNCTION("GOOGLETRANSLATE(D:D,""auto"",""en"")"),"#VALUE!")</f>
        <v>#VALUE!</v>
      </c>
    </row>
    <row r="10901" spans="3:3" ht="13.5" customHeight="1">
      <c r="C10901" s="4" t="str">
        <f ca="1">IFERROR(__xludf.DUMMYFUNCTION("GOOGLETRANSLATE(D:D,""auto"",""en"")"),"#VALUE!")</f>
        <v>#VALUE!</v>
      </c>
    </row>
    <row r="10902" spans="3:3" ht="13.5" customHeight="1">
      <c r="C10902" s="4" t="str">
        <f ca="1">IFERROR(__xludf.DUMMYFUNCTION("GOOGLETRANSLATE(D:D,""auto"",""en"")"),"#VALUE!")</f>
        <v>#VALUE!</v>
      </c>
    </row>
    <row r="10903" spans="3:3" ht="13.5" customHeight="1">
      <c r="C10903" s="4" t="str">
        <f ca="1">IFERROR(__xludf.DUMMYFUNCTION("GOOGLETRANSLATE(D:D,""auto"",""en"")"),"#VALUE!")</f>
        <v>#VALUE!</v>
      </c>
    </row>
    <row r="10904" spans="3:3" ht="13.5" customHeight="1">
      <c r="C10904" s="4" t="str">
        <f ca="1">IFERROR(__xludf.DUMMYFUNCTION("GOOGLETRANSLATE(D:D,""auto"",""en"")"),"#VALUE!")</f>
        <v>#VALUE!</v>
      </c>
    </row>
    <row r="10905" spans="3:3" ht="13.5" customHeight="1">
      <c r="C10905" s="4" t="str">
        <f ca="1">IFERROR(__xludf.DUMMYFUNCTION("GOOGLETRANSLATE(D:D,""auto"",""en"")"),"#VALUE!")</f>
        <v>#VALUE!</v>
      </c>
    </row>
    <row r="10906" spans="3:3" ht="13.5" customHeight="1">
      <c r="C10906" s="4" t="str">
        <f ca="1">IFERROR(__xludf.DUMMYFUNCTION("GOOGLETRANSLATE(D:D,""auto"",""en"")"),"#VALUE!")</f>
        <v>#VALUE!</v>
      </c>
    </row>
    <row r="10907" spans="3:3" ht="13.5" customHeight="1">
      <c r="C10907" s="4" t="str">
        <f ca="1">IFERROR(__xludf.DUMMYFUNCTION("GOOGLETRANSLATE(D:D,""auto"",""en"")"),"#VALUE!")</f>
        <v>#VALUE!</v>
      </c>
    </row>
    <row r="10908" spans="3:3" ht="13.5" customHeight="1">
      <c r="C10908" s="4" t="str">
        <f ca="1">IFERROR(__xludf.DUMMYFUNCTION("GOOGLETRANSLATE(D:D,""auto"",""en"")"),"#VALUE!")</f>
        <v>#VALUE!</v>
      </c>
    </row>
    <row r="10909" spans="3:3" ht="13.5" customHeight="1">
      <c r="C10909" s="4" t="str">
        <f ca="1">IFERROR(__xludf.DUMMYFUNCTION("GOOGLETRANSLATE(D:D,""auto"",""en"")"),"#VALUE!")</f>
        <v>#VALUE!</v>
      </c>
    </row>
    <row r="10910" spans="3:3" ht="13.5" customHeight="1">
      <c r="C10910" s="4" t="str">
        <f ca="1">IFERROR(__xludf.DUMMYFUNCTION("GOOGLETRANSLATE(D:D,""auto"",""en"")"),"#VALUE!")</f>
        <v>#VALUE!</v>
      </c>
    </row>
    <row r="10911" spans="3:3" ht="13.5" customHeight="1">
      <c r="C10911" s="4" t="str">
        <f ca="1">IFERROR(__xludf.DUMMYFUNCTION("GOOGLETRANSLATE(D:D,""auto"",""en"")"),"#VALUE!")</f>
        <v>#VALUE!</v>
      </c>
    </row>
    <row r="10912" spans="3:3" ht="13.5" customHeight="1">
      <c r="C10912" s="4" t="str">
        <f ca="1">IFERROR(__xludf.DUMMYFUNCTION("GOOGLETRANSLATE(D:D,""auto"",""en"")"),"#VALUE!")</f>
        <v>#VALUE!</v>
      </c>
    </row>
    <row r="10913" spans="3:3" ht="13.5" customHeight="1">
      <c r="C10913" s="4" t="str">
        <f ca="1">IFERROR(__xludf.DUMMYFUNCTION("GOOGLETRANSLATE(D:D,""auto"",""en"")"),"#VALUE!")</f>
        <v>#VALUE!</v>
      </c>
    </row>
    <row r="10914" spans="3:3" ht="13.5" customHeight="1">
      <c r="C10914" s="4" t="str">
        <f ca="1">IFERROR(__xludf.DUMMYFUNCTION("GOOGLETRANSLATE(D:D,""auto"",""en"")"),"#VALUE!")</f>
        <v>#VALUE!</v>
      </c>
    </row>
    <row r="10915" spans="3:3" ht="13.5" customHeight="1">
      <c r="C10915" s="4" t="str">
        <f ca="1">IFERROR(__xludf.DUMMYFUNCTION("GOOGLETRANSLATE(D:D,""auto"",""en"")"),"#VALUE!")</f>
        <v>#VALUE!</v>
      </c>
    </row>
    <row r="10916" spans="3:3" ht="13.5" customHeight="1">
      <c r="C10916" s="4" t="str">
        <f ca="1">IFERROR(__xludf.DUMMYFUNCTION("GOOGLETRANSLATE(D:D,""auto"",""en"")"),"#VALUE!")</f>
        <v>#VALUE!</v>
      </c>
    </row>
    <row r="10917" spans="3:3" ht="13.5" customHeight="1">
      <c r="C10917" s="4" t="str">
        <f ca="1">IFERROR(__xludf.DUMMYFUNCTION("GOOGLETRANSLATE(D:D,""auto"",""en"")"),"#VALUE!")</f>
        <v>#VALUE!</v>
      </c>
    </row>
    <row r="10918" spans="3:3" ht="13.5" customHeight="1">
      <c r="C10918" s="4" t="str">
        <f ca="1">IFERROR(__xludf.DUMMYFUNCTION("GOOGLETRANSLATE(D:D,""auto"",""en"")"),"#VALUE!")</f>
        <v>#VALUE!</v>
      </c>
    </row>
    <row r="10919" spans="3:3" ht="13.5" customHeight="1">
      <c r="C10919" s="4" t="str">
        <f ca="1">IFERROR(__xludf.DUMMYFUNCTION("GOOGLETRANSLATE(D:D,""auto"",""en"")"),"#VALUE!")</f>
        <v>#VALUE!</v>
      </c>
    </row>
    <row r="10920" spans="3:3" ht="13.5" customHeight="1">
      <c r="C10920" s="4" t="str">
        <f ca="1">IFERROR(__xludf.DUMMYFUNCTION("GOOGLETRANSLATE(D:D,""auto"",""en"")"),"#VALUE!")</f>
        <v>#VALUE!</v>
      </c>
    </row>
    <row r="10921" spans="3:3" ht="13.5" customHeight="1">
      <c r="C10921" s="4" t="str">
        <f ca="1">IFERROR(__xludf.DUMMYFUNCTION("GOOGLETRANSLATE(D:D,""auto"",""en"")"),"#VALUE!")</f>
        <v>#VALUE!</v>
      </c>
    </row>
    <row r="10922" spans="3:3" ht="13.5" customHeight="1">
      <c r="C10922" s="4" t="str">
        <f ca="1">IFERROR(__xludf.DUMMYFUNCTION("GOOGLETRANSLATE(D:D,""auto"",""en"")"),"#VALUE!")</f>
        <v>#VALUE!</v>
      </c>
    </row>
    <row r="10923" spans="3:3" ht="13.5" customHeight="1">
      <c r="C10923" s="4" t="str">
        <f ca="1">IFERROR(__xludf.DUMMYFUNCTION("GOOGLETRANSLATE(D:D,""auto"",""en"")"),"#VALUE!")</f>
        <v>#VALUE!</v>
      </c>
    </row>
    <row r="10924" spans="3:3" ht="13.5" customHeight="1">
      <c r="C10924" s="4" t="str">
        <f ca="1">IFERROR(__xludf.DUMMYFUNCTION("GOOGLETRANSLATE(D:D,""auto"",""en"")"),"#VALUE!")</f>
        <v>#VALUE!</v>
      </c>
    </row>
    <row r="10925" spans="3:3" ht="13.5" customHeight="1">
      <c r="C10925" s="4" t="str">
        <f ca="1">IFERROR(__xludf.DUMMYFUNCTION("GOOGLETRANSLATE(D:D,""auto"",""en"")"),"#VALUE!")</f>
        <v>#VALUE!</v>
      </c>
    </row>
    <row r="10926" spans="3:3" ht="13.5" customHeight="1">
      <c r="C10926" s="4" t="str">
        <f ca="1">IFERROR(__xludf.DUMMYFUNCTION("GOOGLETRANSLATE(D:D,""auto"",""en"")"),"#VALUE!")</f>
        <v>#VALUE!</v>
      </c>
    </row>
    <row r="10927" spans="3:3" ht="13.5" customHeight="1">
      <c r="C10927" s="4" t="str">
        <f ca="1">IFERROR(__xludf.DUMMYFUNCTION("GOOGLETRANSLATE(D:D,""auto"",""en"")"),"#VALUE!")</f>
        <v>#VALUE!</v>
      </c>
    </row>
    <row r="10928" spans="3:3" ht="13.5" customHeight="1">
      <c r="C10928" s="4" t="str">
        <f ca="1">IFERROR(__xludf.DUMMYFUNCTION("GOOGLETRANSLATE(D:D,""auto"",""en"")"),"#VALUE!")</f>
        <v>#VALUE!</v>
      </c>
    </row>
    <row r="10929" spans="3:3" ht="13.5" customHeight="1">
      <c r="C10929" s="4" t="str">
        <f ca="1">IFERROR(__xludf.DUMMYFUNCTION("GOOGLETRANSLATE(D:D,""auto"",""en"")"),"#VALUE!")</f>
        <v>#VALUE!</v>
      </c>
    </row>
    <row r="10930" spans="3:3" ht="13.5" customHeight="1">
      <c r="C10930" s="4" t="str">
        <f ca="1">IFERROR(__xludf.DUMMYFUNCTION("GOOGLETRANSLATE(D:D,""auto"",""en"")"),"#VALUE!")</f>
        <v>#VALUE!</v>
      </c>
    </row>
    <row r="10931" spans="3:3" ht="13.5" customHeight="1">
      <c r="C10931" s="4" t="str">
        <f ca="1">IFERROR(__xludf.DUMMYFUNCTION("GOOGLETRANSLATE(D:D,""auto"",""en"")"),"#VALUE!")</f>
        <v>#VALUE!</v>
      </c>
    </row>
    <row r="10932" spans="3:3" ht="13.5" customHeight="1">
      <c r="C10932" s="4" t="str">
        <f ca="1">IFERROR(__xludf.DUMMYFUNCTION("GOOGLETRANSLATE(D:D,""auto"",""en"")"),"#VALUE!")</f>
        <v>#VALUE!</v>
      </c>
    </row>
    <row r="10933" spans="3:3" ht="13.5" customHeight="1">
      <c r="C10933" s="4" t="str">
        <f ca="1">IFERROR(__xludf.DUMMYFUNCTION("GOOGLETRANSLATE(D:D,""auto"",""en"")"),"#VALUE!")</f>
        <v>#VALUE!</v>
      </c>
    </row>
    <row r="10934" spans="3:3" ht="13.5" customHeight="1">
      <c r="C10934" s="4" t="str">
        <f ca="1">IFERROR(__xludf.DUMMYFUNCTION("GOOGLETRANSLATE(D:D,""auto"",""en"")"),"#VALUE!")</f>
        <v>#VALUE!</v>
      </c>
    </row>
    <row r="10935" spans="3:3" ht="13.5" customHeight="1">
      <c r="C10935" s="4" t="str">
        <f ca="1">IFERROR(__xludf.DUMMYFUNCTION("GOOGLETRANSLATE(D:D,""auto"",""en"")"),"#VALUE!")</f>
        <v>#VALUE!</v>
      </c>
    </row>
    <row r="10936" spans="3:3" ht="13.5" customHeight="1">
      <c r="C10936" s="4" t="str">
        <f ca="1">IFERROR(__xludf.DUMMYFUNCTION("GOOGLETRANSLATE(D:D,""auto"",""en"")"),"#VALUE!")</f>
        <v>#VALUE!</v>
      </c>
    </row>
    <row r="10937" spans="3:3" ht="13.5" customHeight="1">
      <c r="C10937" s="4" t="str">
        <f ca="1">IFERROR(__xludf.DUMMYFUNCTION("GOOGLETRANSLATE(D:D,""auto"",""en"")"),"#VALUE!")</f>
        <v>#VALUE!</v>
      </c>
    </row>
    <row r="10938" spans="3:3" ht="13.5" customHeight="1">
      <c r="C10938" s="4" t="str">
        <f ca="1">IFERROR(__xludf.DUMMYFUNCTION("GOOGLETRANSLATE(D:D,""auto"",""en"")"),"#VALUE!")</f>
        <v>#VALUE!</v>
      </c>
    </row>
    <row r="10939" spans="3:3" ht="13.5" customHeight="1">
      <c r="C10939" s="4" t="str">
        <f ca="1">IFERROR(__xludf.DUMMYFUNCTION("GOOGLETRANSLATE(D:D,""auto"",""en"")"),"#VALUE!")</f>
        <v>#VALUE!</v>
      </c>
    </row>
    <row r="10940" spans="3:3" ht="13.5" customHeight="1">
      <c r="C10940" s="4" t="str">
        <f ca="1">IFERROR(__xludf.DUMMYFUNCTION("GOOGLETRANSLATE(D:D,""auto"",""en"")"),"#VALUE!")</f>
        <v>#VALUE!</v>
      </c>
    </row>
    <row r="10941" spans="3:3" ht="13.5" customHeight="1">
      <c r="C10941" s="4" t="str">
        <f ca="1">IFERROR(__xludf.DUMMYFUNCTION("GOOGLETRANSLATE(D:D,""auto"",""en"")"),"#VALUE!")</f>
        <v>#VALUE!</v>
      </c>
    </row>
    <row r="10942" spans="3:3" ht="13.5" customHeight="1">
      <c r="C10942" s="4" t="str">
        <f ca="1">IFERROR(__xludf.DUMMYFUNCTION("GOOGLETRANSLATE(D:D,""auto"",""en"")"),"#VALUE!")</f>
        <v>#VALUE!</v>
      </c>
    </row>
    <row r="10943" spans="3:3" ht="13.5" customHeight="1">
      <c r="C10943" s="4" t="str">
        <f ca="1">IFERROR(__xludf.DUMMYFUNCTION("GOOGLETRANSLATE(D:D,""auto"",""en"")"),"#VALUE!")</f>
        <v>#VALUE!</v>
      </c>
    </row>
    <row r="10944" spans="3:3" ht="13.5" customHeight="1">
      <c r="C10944" s="4" t="str">
        <f ca="1">IFERROR(__xludf.DUMMYFUNCTION("GOOGLETRANSLATE(D:D,""auto"",""en"")"),"#VALUE!")</f>
        <v>#VALUE!</v>
      </c>
    </row>
    <row r="10945" spans="3:3" ht="13.5" customHeight="1">
      <c r="C10945" s="4" t="str">
        <f ca="1">IFERROR(__xludf.DUMMYFUNCTION("GOOGLETRANSLATE(D:D,""auto"",""en"")"),"#VALUE!")</f>
        <v>#VALUE!</v>
      </c>
    </row>
    <row r="10946" spans="3:3" ht="13.5" customHeight="1">
      <c r="C10946" s="4" t="str">
        <f ca="1">IFERROR(__xludf.DUMMYFUNCTION("GOOGLETRANSLATE(D:D,""auto"",""en"")"),"#VALUE!")</f>
        <v>#VALUE!</v>
      </c>
    </row>
    <row r="10947" spans="3:3" ht="13.5" customHeight="1">
      <c r="C10947" s="4" t="str">
        <f ca="1">IFERROR(__xludf.DUMMYFUNCTION("GOOGLETRANSLATE(D:D,""auto"",""en"")"),"#VALUE!")</f>
        <v>#VALUE!</v>
      </c>
    </row>
    <row r="10948" spans="3:3" ht="13.5" customHeight="1">
      <c r="C10948" s="4" t="str">
        <f ca="1">IFERROR(__xludf.DUMMYFUNCTION("GOOGLETRANSLATE(D:D,""auto"",""en"")"),"#VALUE!")</f>
        <v>#VALUE!</v>
      </c>
    </row>
    <row r="10949" spans="3:3" ht="13.5" customHeight="1">
      <c r="C10949" s="4" t="str">
        <f ca="1">IFERROR(__xludf.DUMMYFUNCTION("GOOGLETRANSLATE(D:D,""auto"",""en"")"),"#VALUE!")</f>
        <v>#VALUE!</v>
      </c>
    </row>
    <row r="10950" spans="3:3" ht="13.5" customHeight="1">
      <c r="C10950" s="4" t="str">
        <f ca="1">IFERROR(__xludf.DUMMYFUNCTION("GOOGLETRANSLATE(D:D,""auto"",""en"")"),"#VALUE!")</f>
        <v>#VALUE!</v>
      </c>
    </row>
    <row r="10951" spans="3:3" ht="13.5" customHeight="1">
      <c r="C10951" s="4" t="str">
        <f ca="1">IFERROR(__xludf.DUMMYFUNCTION("GOOGLETRANSLATE(D:D,""auto"",""en"")"),"#VALUE!")</f>
        <v>#VALUE!</v>
      </c>
    </row>
    <row r="10952" spans="3:3" ht="13.5" customHeight="1">
      <c r="C10952" s="4" t="str">
        <f ca="1">IFERROR(__xludf.DUMMYFUNCTION("GOOGLETRANSLATE(D:D,""auto"",""en"")"),"#VALUE!")</f>
        <v>#VALUE!</v>
      </c>
    </row>
    <row r="10953" spans="3:3" ht="13.5" customHeight="1">
      <c r="C10953" s="4" t="str">
        <f ca="1">IFERROR(__xludf.DUMMYFUNCTION("GOOGLETRANSLATE(D:D,""auto"",""en"")"),"#VALUE!")</f>
        <v>#VALUE!</v>
      </c>
    </row>
    <row r="10954" spans="3:3" ht="13.5" customHeight="1">
      <c r="C10954" s="4" t="str">
        <f ca="1">IFERROR(__xludf.DUMMYFUNCTION("GOOGLETRANSLATE(D:D,""auto"",""en"")"),"#VALUE!")</f>
        <v>#VALUE!</v>
      </c>
    </row>
    <row r="10955" spans="3:3" ht="13.5" customHeight="1">
      <c r="C10955" s="4" t="str">
        <f ca="1">IFERROR(__xludf.DUMMYFUNCTION("GOOGLETRANSLATE(D:D,""auto"",""en"")"),"#VALUE!")</f>
        <v>#VALUE!</v>
      </c>
    </row>
    <row r="10956" spans="3:3" ht="13.5" customHeight="1">
      <c r="C10956" s="4" t="str">
        <f ca="1">IFERROR(__xludf.DUMMYFUNCTION("GOOGLETRANSLATE(D:D,""auto"",""en"")"),"#VALUE!")</f>
        <v>#VALUE!</v>
      </c>
    </row>
    <row r="10957" spans="3:3" ht="13.5" customHeight="1">
      <c r="C10957" s="4" t="str">
        <f ca="1">IFERROR(__xludf.DUMMYFUNCTION("GOOGLETRANSLATE(D:D,""auto"",""en"")"),"#VALUE!")</f>
        <v>#VALUE!</v>
      </c>
    </row>
    <row r="10958" spans="3:3" ht="13.5" customHeight="1">
      <c r="C10958" s="4" t="str">
        <f ca="1">IFERROR(__xludf.DUMMYFUNCTION("GOOGLETRANSLATE(D:D,""auto"",""en"")"),"#VALUE!")</f>
        <v>#VALUE!</v>
      </c>
    </row>
    <row r="10959" spans="3:3" ht="13.5" customHeight="1">
      <c r="C10959" s="4" t="str">
        <f ca="1">IFERROR(__xludf.DUMMYFUNCTION("GOOGLETRANSLATE(D:D,""auto"",""en"")"),"#VALUE!")</f>
        <v>#VALUE!</v>
      </c>
    </row>
    <row r="10960" spans="3:3" ht="13.5" customHeight="1">
      <c r="C10960" s="4" t="str">
        <f ca="1">IFERROR(__xludf.DUMMYFUNCTION("GOOGLETRANSLATE(D:D,""auto"",""en"")"),"#VALUE!")</f>
        <v>#VALUE!</v>
      </c>
    </row>
    <row r="10961" spans="3:3" ht="13.5" customHeight="1">
      <c r="C10961" s="4" t="str">
        <f ca="1">IFERROR(__xludf.DUMMYFUNCTION("GOOGLETRANSLATE(D:D,""auto"",""en"")"),"#VALUE!")</f>
        <v>#VALUE!</v>
      </c>
    </row>
    <row r="10962" spans="3:3" ht="13.5" customHeight="1">
      <c r="C10962" s="4" t="str">
        <f ca="1">IFERROR(__xludf.DUMMYFUNCTION("GOOGLETRANSLATE(D:D,""auto"",""en"")"),"#VALUE!")</f>
        <v>#VALUE!</v>
      </c>
    </row>
    <row r="10963" spans="3:3" ht="13.5" customHeight="1">
      <c r="C10963" s="4" t="str">
        <f ca="1">IFERROR(__xludf.DUMMYFUNCTION("GOOGLETRANSLATE(D:D,""auto"",""en"")"),"#VALUE!")</f>
        <v>#VALUE!</v>
      </c>
    </row>
    <row r="10964" spans="3:3" ht="13.5" customHeight="1">
      <c r="C10964" s="4" t="str">
        <f ca="1">IFERROR(__xludf.DUMMYFUNCTION("GOOGLETRANSLATE(D:D,""auto"",""en"")"),"#VALUE!")</f>
        <v>#VALUE!</v>
      </c>
    </row>
    <row r="10965" spans="3:3" ht="13.5" customHeight="1">
      <c r="C10965" s="4" t="str">
        <f ca="1">IFERROR(__xludf.DUMMYFUNCTION("GOOGLETRANSLATE(D:D,""auto"",""en"")"),"#VALUE!")</f>
        <v>#VALUE!</v>
      </c>
    </row>
    <row r="10966" spans="3:3" ht="13.5" customHeight="1">
      <c r="C10966" s="4" t="str">
        <f ca="1">IFERROR(__xludf.DUMMYFUNCTION("GOOGLETRANSLATE(D:D,""auto"",""en"")"),"#VALUE!")</f>
        <v>#VALUE!</v>
      </c>
    </row>
    <row r="10967" spans="3:3" ht="13.5" customHeight="1">
      <c r="C10967" s="4" t="str">
        <f ca="1">IFERROR(__xludf.DUMMYFUNCTION("GOOGLETRANSLATE(D:D,""auto"",""en"")"),"#VALUE!")</f>
        <v>#VALUE!</v>
      </c>
    </row>
    <row r="10968" spans="3:3" ht="13.5" customHeight="1">
      <c r="C10968" s="4" t="str">
        <f ca="1">IFERROR(__xludf.DUMMYFUNCTION("GOOGLETRANSLATE(D:D,""auto"",""en"")"),"#VALUE!")</f>
        <v>#VALUE!</v>
      </c>
    </row>
    <row r="10969" spans="3:3" ht="13.5" customHeight="1">
      <c r="C10969" s="4" t="str">
        <f ca="1">IFERROR(__xludf.DUMMYFUNCTION("GOOGLETRANSLATE(D:D,""auto"",""en"")"),"#VALUE!")</f>
        <v>#VALUE!</v>
      </c>
    </row>
    <row r="10970" spans="3:3" ht="13.5" customHeight="1">
      <c r="C10970" s="4" t="str">
        <f ca="1">IFERROR(__xludf.DUMMYFUNCTION("GOOGLETRANSLATE(D:D,""auto"",""en"")"),"#VALUE!")</f>
        <v>#VALUE!</v>
      </c>
    </row>
    <row r="10971" spans="3:3" ht="13.5" customHeight="1">
      <c r="C10971" s="4" t="str">
        <f ca="1">IFERROR(__xludf.DUMMYFUNCTION("GOOGLETRANSLATE(D:D,""auto"",""en"")"),"#VALUE!")</f>
        <v>#VALUE!</v>
      </c>
    </row>
    <row r="10972" spans="3:3" ht="13.5" customHeight="1">
      <c r="C10972" s="4" t="str">
        <f ca="1">IFERROR(__xludf.DUMMYFUNCTION("GOOGLETRANSLATE(D:D,""auto"",""en"")"),"#VALUE!")</f>
        <v>#VALUE!</v>
      </c>
    </row>
    <row r="10973" spans="3:3" ht="13.5" customHeight="1">
      <c r="C10973" s="4" t="str">
        <f ca="1">IFERROR(__xludf.DUMMYFUNCTION("GOOGLETRANSLATE(D:D,""auto"",""en"")"),"#VALUE!")</f>
        <v>#VALUE!</v>
      </c>
    </row>
    <row r="10974" spans="3:3" ht="13.5" customHeight="1">
      <c r="C10974" s="4" t="str">
        <f ca="1">IFERROR(__xludf.DUMMYFUNCTION("GOOGLETRANSLATE(D:D,""auto"",""en"")"),"#VALUE!")</f>
        <v>#VALUE!</v>
      </c>
    </row>
    <row r="10975" spans="3:3" ht="13.5" customHeight="1">
      <c r="C10975" s="4" t="str">
        <f ca="1">IFERROR(__xludf.DUMMYFUNCTION("GOOGLETRANSLATE(D:D,""auto"",""en"")"),"#VALUE!")</f>
        <v>#VALUE!</v>
      </c>
    </row>
    <row r="10976" spans="3:3" ht="13.5" customHeight="1">
      <c r="C10976" s="4" t="str">
        <f ca="1">IFERROR(__xludf.DUMMYFUNCTION("GOOGLETRANSLATE(D:D,""auto"",""en"")"),"#VALUE!")</f>
        <v>#VALUE!</v>
      </c>
    </row>
    <row r="10977" spans="3:3" ht="13.5" customHeight="1">
      <c r="C10977" s="4" t="str">
        <f ca="1">IFERROR(__xludf.DUMMYFUNCTION("GOOGLETRANSLATE(D:D,""auto"",""en"")"),"#VALUE!")</f>
        <v>#VALUE!</v>
      </c>
    </row>
    <row r="10978" spans="3:3" ht="13.5" customHeight="1">
      <c r="C10978" s="4" t="str">
        <f ca="1">IFERROR(__xludf.DUMMYFUNCTION("GOOGLETRANSLATE(D:D,""auto"",""en"")"),"#VALUE!")</f>
        <v>#VALUE!</v>
      </c>
    </row>
    <row r="10979" spans="3:3" ht="13.5" customHeight="1">
      <c r="C10979" s="4" t="str">
        <f ca="1">IFERROR(__xludf.DUMMYFUNCTION("GOOGLETRANSLATE(D:D,""auto"",""en"")"),"#VALUE!")</f>
        <v>#VALUE!</v>
      </c>
    </row>
    <row r="10980" spans="3:3" ht="13.5" customHeight="1">
      <c r="C10980" s="4" t="str">
        <f ca="1">IFERROR(__xludf.DUMMYFUNCTION("GOOGLETRANSLATE(D:D,""auto"",""en"")"),"#VALUE!")</f>
        <v>#VALUE!</v>
      </c>
    </row>
    <row r="10981" spans="3:3" ht="13.5" customHeight="1">
      <c r="C10981" s="4" t="str">
        <f ca="1">IFERROR(__xludf.DUMMYFUNCTION("GOOGLETRANSLATE(D:D,""auto"",""en"")"),"#VALUE!")</f>
        <v>#VALUE!</v>
      </c>
    </row>
    <row r="10982" spans="3:3" ht="13.5" customHeight="1">
      <c r="C10982" s="4" t="str">
        <f ca="1">IFERROR(__xludf.DUMMYFUNCTION("GOOGLETRANSLATE(D:D,""auto"",""en"")"),"#VALUE!")</f>
        <v>#VALUE!</v>
      </c>
    </row>
    <row r="10983" spans="3:3" ht="13.5" customHeight="1">
      <c r="C10983" s="4" t="str">
        <f ca="1">IFERROR(__xludf.DUMMYFUNCTION("GOOGLETRANSLATE(D:D,""auto"",""en"")"),"#VALUE!")</f>
        <v>#VALUE!</v>
      </c>
    </row>
    <row r="10984" spans="3:3" ht="13.5" customHeight="1">
      <c r="C10984" s="4" t="str">
        <f ca="1">IFERROR(__xludf.DUMMYFUNCTION("GOOGLETRANSLATE(D:D,""auto"",""en"")"),"#VALUE!")</f>
        <v>#VALUE!</v>
      </c>
    </row>
    <row r="10985" spans="3:3" ht="13.5" customHeight="1">
      <c r="C10985" s="4" t="str">
        <f ca="1">IFERROR(__xludf.DUMMYFUNCTION("GOOGLETRANSLATE(D:D,""auto"",""en"")"),"#VALUE!")</f>
        <v>#VALUE!</v>
      </c>
    </row>
    <row r="10986" spans="3:3" ht="13.5" customHeight="1">
      <c r="C10986" s="4" t="str">
        <f ca="1">IFERROR(__xludf.DUMMYFUNCTION("GOOGLETRANSLATE(D:D,""auto"",""en"")"),"#VALUE!")</f>
        <v>#VALUE!</v>
      </c>
    </row>
    <row r="10987" spans="3:3" ht="13.5" customHeight="1">
      <c r="C10987" s="4" t="str">
        <f ca="1">IFERROR(__xludf.DUMMYFUNCTION("GOOGLETRANSLATE(D:D,""auto"",""en"")"),"#VALUE!")</f>
        <v>#VALUE!</v>
      </c>
    </row>
    <row r="10988" spans="3:3" ht="13.5" customHeight="1">
      <c r="C10988" s="4" t="str">
        <f ca="1">IFERROR(__xludf.DUMMYFUNCTION("GOOGLETRANSLATE(D:D,""auto"",""en"")"),"#VALUE!")</f>
        <v>#VALUE!</v>
      </c>
    </row>
    <row r="10989" spans="3:3" ht="13.5" customHeight="1">
      <c r="C10989" s="4" t="str">
        <f ca="1">IFERROR(__xludf.DUMMYFUNCTION("GOOGLETRANSLATE(D:D,""auto"",""en"")"),"#VALUE!")</f>
        <v>#VALUE!</v>
      </c>
    </row>
    <row r="10990" spans="3:3" ht="13.5" customHeight="1">
      <c r="C10990" s="4" t="str">
        <f ca="1">IFERROR(__xludf.DUMMYFUNCTION("GOOGLETRANSLATE(D:D,""auto"",""en"")"),"#VALUE!")</f>
        <v>#VALUE!</v>
      </c>
    </row>
    <row r="10991" spans="3:3" ht="13.5" customHeight="1">
      <c r="C10991" s="4" t="str">
        <f ca="1">IFERROR(__xludf.DUMMYFUNCTION("GOOGLETRANSLATE(D:D,""auto"",""en"")"),"#VALUE!")</f>
        <v>#VALUE!</v>
      </c>
    </row>
    <row r="10992" spans="3:3" ht="13.5" customHeight="1">
      <c r="C10992" s="4" t="str">
        <f ca="1">IFERROR(__xludf.DUMMYFUNCTION("GOOGLETRANSLATE(D:D,""auto"",""en"")"),"#VALUE!")</f>
        <v>#VALUE!</v>
      </c>
    </row>
    <row r="10993" spans="3:3" ht="13.5" customHeight="1">
      <c r="C10993" s="4" t="str">
        <f ca="1">IFERROR(__xludf.DUMMYFUNCTION("GOOGLETRANSLATE(D:D,""auto"",""en"")"),"#VALUE!")</f>
        <v>#VALUE!</v>
      </c>
    </row>
    <row r="10994" spans="3:3" ht="13.5" customHeight="1">
      <c r="C10994" s="4" t="str">
        <f ca="1">IFERROR(__xludf.DUMMYFUNCTION("GOOGLETRANSLATE(D:D,""auto"",""en"")"),"#VALUE!")</f>
        <v>#VALUE!</v>
      </c>
    </row>
    <row r="10995" spans="3:3" ht="13.5" customHeight="1">
      <c r="C10995" s="4" t="str">
        <f ca="1">IFERROR(__xludf.DUMMYFUNCTION("GOOGLETRANSLATE(D:D,""auto"",""en"")"),"#VALUE!")</f>
        <v>#VALUE!</v>
      </c>
    </row>
    <row r="10996" spans="3:3" ht="13.5" customHeight="1">
      <c r="C10996" s="4" t="str">
        <f ca="1">IFERROR(__xludf.DUMMYFUNCTION("GOOGLETRANSLATE(D:D,""auto"",""en"")"),"#VALUE!")</f>
        <v>#VALUE!</v>
      </c>
    </row>
    <row r="10997" spans="3:3" ht="13.5" customHeight="1">
      <c r="C10997" s="4" t="str">
        <f ca="1">IFERROR(__xludf.DUMMYFUNCTION("GOOGLETRANSLATE(D:D,""auto"",""en"")"),"#VALUE!")</f>
        <v>#VALUE!</v>
      </c>
    </row>
    <row r="10998" spans="3:3" ht="13.5" customHeight="1">
      <c r="C10998" s="4" t="str">
        <f ca="1">IFERROR(__xludf.DUMMYFUNCTION("GOOGLETRANSLATE(D:D,""auto"",""en"")"),"#VALUE!")</f>
        <v>#VALUE!</v>
      </c>
    </row>
    <row r="10999" spans="3:3" ht="13.5" customHeight="1">
      <c r="C10999" s="4" t="str">
        <f ca="1">IFERROR(__xludf.DUMMYFUNCTION("GOOGLETRANSLATE(D:D,""auto"",""en"")"),"#VALUE!")</f>
        <v>#VALUE!</v>
      </c>
    </row>
    <row r="11000" spans="3:3" ht="13.5" customHeight="1">
      <c r="C11000" s="4" t="str">
        <f ca="1">IFERROR(__xludf.DUMMYFUNCTION("GOOGLETRANSLATE(D:D,""auto"",""en"")"),"#VALUE!")</f>
        <v>#VALUE!</v>
      </c>
    </row>
    <row r="11001" spans="3:3" ht="13.5" customHeight="1">
      <c r="C11001" s="4" t="str">
        <f ca="1">IFERROR(__xludf.DUMMYFUNCTION("GOOGLETRANSLATE(D:D,""auto"",""en"")"),"#VALUE!")</f>
        <v>#VALUE!</v>
      </c>
    </row>
    <row r="11002" spans="3:3" ht="13.5" customHeight="1">
      <c r="C11002" s="4" t="str">
        <f ca="1">IFERROR(__xludf.DUMMYFUNCTION("GOOGLETRANSLATE(D:D,""auto"",""en"")"),"#VALUE!")</f>
        <v>#VALUE!</v>
      </c>
    </row>
    <row r="11003" spans="3:3" ht="13.5" customHeight="1">
      <c r="C11003" s="4" t="str">
        <f ca="1">IFERROR(__xludf.DUMMYFUNCTION("GOOGLETRANSLATE(D:D,""auto"",""en"")"),"#VALUE!")</f>
        <v>#VALUE!</v>
      </c>
    </row>
    <row r="11004" spans="3:3" ht="13.5" customHeight="1">
      <c r="C11004" s="4" t="str">
        <f ca="1">IFERROR(__xludf.DUMMYFUNCTION("GOOGLETRANSLATE(D:D,""auto"",""en"")"),"#VALUE!")</f>
        <v>#VALUE!</v>
      </c>
    </row>
    <row r="11005" spans="3:3" ht="13.5" customHeight="1">
      <c r="C11005" s="4" t="str">
        <f ca="1">IFERROR(__xludf.DUMMYFUNCTION("GOOGLETRANSLATE(D:D,""auto"",""en"")"),"#VALUE!")</f>
        <v>#VALUE!</v>
      </c>
    </row>
    <row r="11006" spans="3:3" ht="13.5" customHeight="1">
      <c r="C11006" s="4" t="str">
        <f ca="1">IFERROR(__xludf.DUMMYFUNCTION("GOOGLETRANSLATE(D:D,""auto"",""en"")"),"#VALUE!")</f>
        <v>#VALUE!</v>
      </c>
    </row>
    <row r="11007" spans="3:3" ht="13.5" customHeight="1">
      <c r="C11007" s="4" t="str">
        <f ca="1">IFERROR(__xludf.DUMMYFUNCTION("GOOGLETRANSLATE(D:D,""auto"",""en"")"),"#VALUE!")</f>
        <v>#VALUE!</v>
      </c>
    </row>
    <row r="11008" spans="3:3" ht="13.5" customHeight="1">
      <c r="C11008" s="4" t="str">
        <f ca="1">IFERROR(__xludf.DUMMYFUNCTION("GOOGLETRANSLATE(D:D,""auto"",""en"")"),"#VALUE!")</f>
        <v>#VALUE!</v>
      </c>
    </row>
    <row r="11009" spans="3:3" ht="13.5" customHeight="1">
      <c r="C11009" s="4" t="str">
        <f ca="1">IFERROR(__xludf.DUMMYFUNCTION("GOOGLETRANSLATE(D:D,""auto"",""en"")"),"#VALUE!")</f>
        <v>#VALUE!</v>
      </c>
    </row>
    <row r="11010" spans="3:3" ht="13.5" customHeight="1">
      <c r="C11010" s="4" t="str">
        <f ca="1">IFERROR(__xludf.DUMMYFUNCTION("GOOGLETRANSLATE(D:D,""auto"",""en"")"),"#VALUE!")</f>
        <v>#VALUE!</v>
      </c>
    </row>
    <row r="11011" spans="3:3" ht="13.5" customHeight="1">
      <c r="C11011" s="4" t="str">
        <f ca="1">IFERROR(__xludf.DUMMYFUNCTION("GOOGLETRANSLATE(D:D,""auto"",""en"")"),"#VALUE!")</f>
        <v>#VALUE!</v>
      </c>
    </row>
    <row r="11012" spans="3:3" ht="13.5" customHeight="1">
      <c r="C11012" s="4" t="str">
        <f ca="1">IFERROR(__xludf.DUMMYFUNCTION("GOOGLETRANSLATE(D:D,""auto"",""en"")"),"#VALUE!")</f>
        <v>#VALUE!</v>
      </c>
    </row>
    <row r="11013" spans="3:3" ht="13.5" customHeight="1">
      <c r="C11013" s="4" t="str">
        <f ca="1">IFERROR(__xludf.DUMMYFUNCTION("GOOGLETRANSLATE(D:D,""auto"",""en"")"),"#VALUE!")</f>
        <v>#VALUE!</v>
      </c>
    </row>
    <row r="11014" spans="3:3" ht="13.5" customHeight="1">
      <c r="C11014" s="4" t="str">
        <f ca="1">IFERROR(__xludf.DUMMYFUNCTION("GOOGLETRANSLATE(D:D,""auto"",""en"")"),"#VALUE!")</f>
        <v>#VALUE!</v>
      </c>
    </row>
    <row r="11015" spans="3:3" ht="13.5" customHeight="1">
      <c r="C11015" s="4" t="str">
        <f ca="1">IFERROR(__xludf.DUMMYFUNCTION("GOOGLETRANSLATE(D:D,""auto"",""en"")"),"#VALUE!")</f>
        <v>#VALUE!</v>
      </c>
    </row>
    <row r="11016" spans="3:3" ht="13.5" customHeight="1">
      <c r="C11016" s="4" t="str">
        <f ca="1">IFERROR(__xludf.DUMMYFUNCTION("GOOGLETRANSLATE(D:D,""auto"",""en"")"),"#VALUE!")</f>
        <v>#VALUE!</v>
      </c>
    </row>
    <row r="11017" spans="3:3" ht="13.5" customHeight="1">
      <c r="C11017" s="4" t="str">
        <f ca="1">IFERROR(__xludf.DUMMYFUNCTION("GOOGLETRANSLATE(D:D,""auto"",""en"")"),"#VALUE!")</f>
        <v>#VALUE!</v>
      </c>
    </row>
    <row r="11018" spans="3:3" ht="13.5" customHeight="1">
      <c r="C11018" s="4" t="str">
        <f ca="1">IFERROR(__xludf.DUMMYFUNCTION("GOOGLETRANSLATE(D:D,""auto"",""en"")"),"#VALUE!")</f>
        <v>#VALUE!</v>
      </c>
    </row>
    <row r="11019" spans="3:3" ht="13.5" customHeight="1">
      <c r="C11019" s="4" t="str">
        <f ca="1">IFERROR(__xludf.DUMMYFUNCTION("GOOGLETRANSLATE(D:D,""auto"",""en"")"),"#VALUE!")</f>
        <v>#VALUE!</v>
      </c>
    </row>
    <row r="11020" spans="3:3" ht="13.5" customHeight="1">
      <c r="C11020" s="4" t="str">
        <f ca="1">IFERROR(__xludf.DUMMYFUNCTION("GOOGLETRANSLATE(D:D,""auto"",""en"")"),"#VALUE!")</f>
        <v>#VALUE!</v>
      </c>
    </row>
    <row r="11021" spans="3:3" ht="13.5" customHeight="1">
      <c r="C11021" s="4" t="str">
        <f ca="1">IFERROR(__xludf.DUMMYFUNCTION("GOOGLETRANSLATE(D:D,""auto"",""en"")"),"#VALUE!")</f>
        <v>#VALUE!</v>
      </c>
    </row>
    <row r="11022" spans="3:3" ht="13.5" customHeight="1">
      <c r="C11022" s="4" t="str">
        <f ca="1">IFERROR(__xludf.DUMMYFUNCTION("GOOGLETRANSLATE(D:D,""auto"",""en"")"),"#VALUE!")</f>
        <v>#VALUE!</v>
      </c>
    </row>
    <row r="11023" spans="3:3" ht="13.5" customHeight="1">
      <c r="C11023" s="4" t="str">
        <f ca="1">IFERROR(__xludf.DUMMYFUNCTION("GOOGLETRANSLATE(D:D,""auto"",""en"")"),"#VALUE!")</f>
        <v>#VALUE!</v>
      </c>
    </row>
    <row r="11024" spans="3:3" ht="13.5" customHeight="1">
      <c r="C11024" s="4" t="str">
        <f ca="1">IFERROR(__xludf.DUMMYFUNCTION("GOOGLETRANSLATE(D:D,""auto"",""en"")"),"#VALUE!")</f>
        <v>#VALUE!</v>
      </c>
    </row>
    <row r="11025" spans="3:3" ht="13.5" customHeight="1">
      <c r="C11025" s="4" t="str">
        <f ca="1">IFERROR(__xludf.DUMMYFUNCTION("GOOGLETRANSLATE(D:D,""auto"",""en"")"),"#VALUE!")</f>
        <v>#VALUE!</v>
      </c>
    </row>
    <row r="11026" spans="3:3" ht="13.5" customHeight="1">
      <c r="C11026" s="4" t="str">
        <f ca="1">IFERROR(__xludf.DUMMYFUNCTION("GOOGLETRANSLATE(D:D,""auto"",""en"")"),"#VALUE!")</f>
        <v>#VALUE!</v>
      </c>
    </row>
    <row r="11027" spans="3:3" ht="13.5" customHeight="1">
      <c r="C11027" s="4" t="str">
        <f ca="1">IFERROR(__xludf.DUMMYFUNCTION("GOOGLETRANSLATE(D:D,""auto"",""en"")"),"#VALUE!")</f>
        <v>#VALUE!</v>
      </c>
    </row>
    <row r="11028" spans="3:3" ht="13.5" customHeight="1">
      <c r="C11028" s="4" t="str">
        <f ca="1">IFERROR(__xludf.DUMMYFUNCTION("GOOGLETRANSLATE(D:D,""auto"",""en"")"),"#VALUE!")</f>
        <v>#VALUE!</v>
      </c>
    </row>
    <row r="11029" spans="3:3" ht="13.5" customHeight="1">
      <c r="C11029" s="4" t="str">
        <f ca="1">IFERROR(__xludf.DUMMYFUNCTION("GOOGLETRANSLATE(D:D,""auto"",""en"")"),"#VALUE!")</f>
        <v>#VALUE!</v>
      </c>
    </row>
    <row r="11030" spans="3:3" ht="13.5" customHeight="1">
      <c r="C11030" s="4" t="str">
        <f ca="1">IFERROR(__xludf.DUMMYFUNCTION("GOOGLETRANSLATE(D:D,""auto"",""en"")"),"#VALUE!")</f>
        <v>#VALUE!</v>
      </c>
    </row>
    <row r="11031" spans="3:3" ht="13.5" customHeight="1">
      <c r="C11031" s="4" t="str">
        <f ca="1">IFERROR(__xludf.DUMMYFUNCTION("GOOGLETRANSLATE(D:D,""auto"",""en"")"),"#VALUE!")</f>
        <v>#VALUE!</v>
      </c>
    </row>
    <row r="11032" spans="3:3" ht="13.5" customHeight="1">
      <c r="C11032" s="4" t="str">
        <f ca="1">IFERROR(__xludf.DUMMYFUNCTION("GOOGLETRANSLATE(D:D,""auto"",""en"")"),"#VALUE!")</f>
        <v>#VALUE!</v>
      </c>
    </row>
    <row r="11033" spans="3:3" ht="13.5" customHeight="1">
      <c r="C11033" s="4" t="str">
        <f ca="1">IFERROR(__xludf.DUMMYFUNCTION("GOOGLETRANSLATE(D:D,""auto"",""en"")"),"#VALUE!")</f>
        <v>#VALUE!</v>
      </c>
    </row>
    <row r="11034" spans="3:3" ht="13.5" customHeight="1">
      <c r="C11034" s="4" t="str">
        <f ca="1">IFERROR(__xludf.DUMMYFUNCTION("GOOGLETRANSLATE(D:D,""auto"",""en"")"),"#VALUE!")</f>
        <v>#VALUE!</v>
      </c>
    </row>
    <row r="11035" spans="3:3" ht="13.5" customHeight="1">
      <c r="C11035" s="4" t="str">
        <f ca="1">IFERROR(__xludf.DUMMYFUNCTION("GOOGLETRANSLATE(D:D,""auto"",""en"")"),"#VALUE!")</f>
        <v>#VALUE!</v>
      </c>
    </row>
    <row r="11036" spans="3:3" ht="13.5" customHeight="1">
      <c r="C11036" s="4" t="str">
        <f ca="1">IFERROR(__xludf.DUMMYFUNCTION("GOOGLETRANSLATE(D:D,""auto"",""en"")"),"#VALUE!")</f>
        <v>#VALUE!</v>
      </c>
    </row>
    <row r="11037" spans="3:3" ht="13.5" customHeight="1">
      <c r="C11037" s="4" t="str">
        <f ca="1">IFERROR(__xludf.DUMMYFUNCTION("GOOGLETRANSLATE(D:D,""auto"",""en"")"),"#VALUE!")</f>
        <v>#VALUE!</v>
      </c>
    </row>
    <row r="11038" spans="3:3" ht="13.5" customHeight="1">
      <c r="C11038" s="4" t="str">
        <f ca="1">IFERROR(__xludf.DUMMYFUNCTION("GOOGLETRANSLATE(D:D,""auto"",""en"")"),"#VALUE!")</f>
        <v>#VALUE!</v>
      </c>
    </row>
    <row r="11039" spans="3:3" ht="13.5" customHeight="1">
      <c r="C11039" s="4" t="str">
        <f ca="1">IFERROR(__xludf.DUMMYFUNCTION("GOOGLETRANSLATE(D:D,""auto"",""en"")"),"#VALUE!")</f>
        <v>#VALUE!</v>
      </c>
    </row>
    <row r="11040" spans="3:3" ht="13.5" customHeight="1">
      <c r="C11040" s="4" t="str">
        <f ca="1">IFERROR(__xludf.DUMMYFUNCTION("GOOGLETRANSLATE(D:D,""auto"",""en"")"),"#VALUE!")</f>
        <v>#VALUE!</v>
      </c>
    </row>
    <row r="11041" spans="3:3" ht="13.5" customHeight="1">
      <c r="C11041" s="4" t="str">
        <f ca="1">IFERROR(__xludf.DUMMYFUNCTION("GOOGLETRANSLATE(D:D,""auto"",""en"")"),"#VALUE!")</f>
        <v>#VALUE!</v>
      </c>
    </row>
    <row r="11042" spans="3:3" ht="13.5" customHeight="1">
      <c r="C11042" s="4" t="str">
        <f ca="1">IFERROR(__xludf.DUMMYFUNCTION("GOOGLETRANSLATE(D:D,""auto"",""en"")"),"#VALUE!")</f>
        <v>#VALUE!</v>
      </c>
    </row>
    <row r="11043" spans="3:3" ht="13.5" customHeight="1">
      <c r="C11043" s="4" t="str">
        <f ca="1">IFERROR(__xludf.DUMMYFUNCTION("GOOGLETRANSLATE(D:D,""auto"",""en"")"),"#VALUE!")</f>
        <v>#VALUE!</v>
      </c>
    </row>
    <row r="11044" spans="3:3" ht="13.5" customHeight="1">
      <c r="C11044" s="4" t="str">
        <f ca="1">IFERROR(__xludf.DUMMYFUNCTION("GOOGLETRANSLATE(D:D,""auto"",""en"")"),"#VALUE!")</f>
        <v>#VALUE!</v>
      </c>
    </row>
    <row r="11045" spans="3:3" ht="13.5" customHeight="1">
      <c r="C11045" s="4" t="str">
        <f ca="1">IFERROR(__xludf.DUMMYFUNCTION("GOOGLETRANSLATE(D:D,""auto"",""en"")"),"#VALUE!")</f>
        <v>#VALUE!</v>
      </c>
    </row>
    <row r="11046" spans="3:3" ht="13.5" customHeight="1">
      <c r="C11046" s="4" t="str">
        <f ca="1">IFERROR(__xludf.DUMMYFUNCTION("GOOGLETRANSLATE(D:D,""auto"",""en"")"),"#VALUE!")</f>
        <v>#VALUE!</v>
      </c>
    </row>
    <row r="11047" spans="3:3" ht="13.5" customHeight="1">
      <c r="C11047" s="4" t="str">
        <f ca="1">IFERROR(__xludf.DUMMYFUNCTION("GOOGLETRANSLATE(D:D,""auto"",""en"")"),"#VALUE!")</f>
        <v>#VALUE!</v>
      </c>
    </row>
    <row r="11048" spans="3:3" ht="13.5" customHeight="1">
      <c r="C11048" s="4" t="str">
        <f ca="1">IFERROR(__xludf.DUMMYFUNCTION("GOOGLETRANSLATE(D:D,""auto"",""en"")"),"#VALUE!")</f>
        <v>#VALUE!</v>
      </c>
    </row>
    <row r="11049" spans="3:3" ht="13.5" customHeight="1">
      <c r="C11049" s="4" t="str">
        <f ca="1">IFERROR(__xludf.DUMMYFUNCTION("GOOGLETRANSLATE(D:D,""auto"",""en"")"),"#VALUE!")</f>
        <v>#VALUE!</v>
      </c>
    </row>
    <row r="11050" spans="3:3" ht="13.5" customHeight="1">
      <c r="C11050" s="4" t="str">
        <f ca="1">IFERROR(__xludf.DUMMYFUNCTION("GOOGLETRANSLATE(D:D,""auto"",""en"")"),"#VALUE!")</f>
        <v>#VALUE!</v>
      </c>
    </row>
    <row r="11051" spans="3:3" ht="13.5" customHeight="1">
      <c r="C11051" s="4" t="str">
        <f ca="1">IFERROR(__xludf.DUMMYFUNCTION("GOOGLETRANSLATE(D:D,""auto"",""en"")"),"#VALUE!")</f>
        <v>#VALUE!</v>
      </c>
    </row>
    <row r="11052" spans="3:3" ht="13.5" customHeight="1">
      <c r="C11052" s="4" t="str">
        <f ca="1">IFERROR(__xludf.DUMMYFUNCTION("GOOGLETRANSLATE(D:D,""auto"",""en"")"),"#VALUE!")</f>
        <v>#VALUE!</v>
      </c>
    </row>
    <row r="11053" spans="3:3" ht="13.5" customHeight="1">
      <c r="C11053" s="4" t="str">
        <f ca="1">IFERROR(__xludf.DUMMYFUNCTION("GOOGLETRANSLATE(D:D,""auto"",""en"")"),"#VALUE!")</f>
        <v>#VALUE!</v>
      </c>
    </row>
    <row r="11054" spans="3:3" ht="13.5" customHeight="1">
      <c r="C11054" s="4" t="str">
        <f ca="1">IFERROR(__xludf.DUMMYFUNCTION("GOOGLETRANSLATE(D:D,""auto"",""en"")"),"#VALUE!")</f>
        <v>#VALUE!</v>
      </c>
    </row>
    <row r="11055" spans="3:3" ht="13.5" customHeight="1">
      <c r="C11055" s="4" t="str">
        <f ca="1">IFERROR(__xludf.DUMMYFUNCTION("GOOGLETRANSLATE(D:D,""auto"",""en"")"),"#VALUE!")</f>
        <v>#VALUE!</v>
      </c>
    </row>
    <row r="11056" spans="3:3" ht="13.5" customHeight="1">
      <c r="C11056" s="4" t="str">
        <f ca="1">IFERROR(__xludf.DUMMYFUNCTION("GOOGLETRANSLATE(D:D,""auto"",""en"")"),"#VALUE!")</f>
        <v>#VALUE!</v>
      </c>
    </row>
    <row r="11057" spans="3:3" ht="13.5" customHeight="1">
      <c r="C11057" s="4" t="str">
        <f ca="1">IFERROR(__xludf.DUMMYFUNCTION("GOOGLETRANSLATE(D:D,""auto"",""en"")"),"#VALUE!")</f>
        <v>#VALUE!</v>
      </c>
    </row>
    <row r="11058" spans="3:3" ht="13.5" customHeight="1">
      <c r="C11058" s="4" t="str">
        <f ca="1">IFERROR(__xludf.DUMMYFUNCTION("GOOGLETRANSLATE(D:D,""auto"",""en"")"),"#VALUE!")</f>
        <v>#VALUE!</v>
      </c>
    </row>
    <row r="11059" spans="3:3" ht="13.5" customHeight="1">
      <c r="C11059" s="4" t="str">
        <f ca="1">IFERROR(__xludf.DUMMYFUNCTION("GOOGLETRANSLATE(D:D,""auto"",""en"")"),"#VALUE!")</f>
        <v>#VALUE!</v>
      </c>
    </row>
    <row r="11060" spans="3:3" ht="13.5" customHeight="1">
      <c r="C11060" s="4" t="str">
        <f ca="1">IFERROR(__xludf.DUMMYFUNCTION("GOOGLETRANSLATE(D:D,""auto"",""en"")"),"#VALUE!")</f>
        <v>#VALUE!</v>
      </c>
    </row>
    <row r="11061" spans="3:3" ht="13.5" customHeight="1">
      <c r="C11061" s="4" t="str">
        <f ca="1">IFERROR(__xludf.DUMMYFUNCTION("GOOGLETRANSLATE(D:D,""auto"",""en"")"),"#VALUE!")</f>
        <v>#VALUE!</v>
      </c>
    </row>
    <row r="11062" spans="3:3" ht="13.5" customHeight="1">
      <c r="C11062" s="4" t="str">
        <f ca="1">IFERROR(__xludf.DUMMYFUNCTION("GOOGLETRANSLATE(D:D,""auto"",""en"")"),"#VALUE!")</f>
        <v>#VALUE!</v>
      </c>
    </row>
    <row r="11063" spans="3:3" ht="13.5" customHeight="1">
      <c r="C11063" s="4" t="str">
        <f ca="1">IFERROR(__xludf.DUMMYFUNCTION("GOOGLETRANSLATE(D:D,""auto"",""en"")"),"#VALUE!")</f>
        <v>#VALUE!</v>
      </c>
    </row>
    <row r="11064" spans="3:3" ht="13.5" customHeight="1">
      <c r="C11064" s="4" t="str">
        <f ca="1">IFERROR(__xludf.DUMMYFUNCTION("GOOGLETRANSLATE(D:D,""auto"",""en"")"),"#VALUE!")</f>
        <v>#VALUE!</v>
      </c>
    </row>
    <row r="11065" spans="3:3" ht="13.5" customHeight="1">
      <c r="C11065" s="4" t="str">
        <f ca="1">IFERROR(__xludf.DUMMYFUNCTION("GOOGLETRANSLATE(D:D,""auto"",""en"")"),"#VALUE!")</f>
        <v>#VALUE!</v>
      </c>
    </row>
    <row r="11066" spans="3:3" ht="13.5" customHeight="1">
      <c r="C11066" s="4" t="str">
        <f ca="1">IFERROR(__xludf.DUMMYFUNCTION("GOOGLETRANSLATE(D:D,""auto"",""en"")"),"#VALUE!")</f>
        <v>#VALUE!</v>
      </c>
    </row>
    <row r="11067" spans="3:3" ht="13.5" customHeight="1">
      <c r="C11067" s="4" t="str">
        <f ca="1">IFERROR(__xludf.DUMMYFUNCTION("GOOGLETRANSLATE(D:D,""auto"",""en"")"),"#VALUE!")</f>
        <v>#VALUE!</v>
      </c>
    </row>
    <row r="11068" spans="3:3" ht="13.5" customHeight="1">
      <c r="C11068" s="4" t="str">
        <f ca="1">IFERROR(__xludf.DUMMYFUNCTION("GOOGLETRANSLATE(D:D,""auto"",""en"")"),"#VALUE!")</f>
        <v>#VALUE!</v>
      </c>
    </row>
    <row r="11069" spans="3:3" ht="13.5" customHeight="1">
      <c r="C11069" s="4" t="str">
        <f ca="1">IFERROR(__xludf.DUMMYFUNCTION("GOOGLETRANSLATE(D:D,""auto"",""en"")"),"#VALUE!")</f>
        <v>#VALUE!</v>
      </c>
    </row>
    <row r="11070" spans="3:3" ht="13.5" customHeight="1">
      <c r="C11070" s="4" t="str">
        <f ca="1">IFERROR(__xludf.DUMMYFUNCTION("GOOGLETRANSLATE(D:D,""auto"",""en"")"),"#VALUE!")</f>
        <v>#VALUE!</v>
      </c>
    </row>
    <row r="11071" spans="3:3" ht="13.5" customHeight="1">
      <c r="C11071" s="4" t="str">
        <f ca="1">IFERROR(__xludf.DUMMYFUNCTION("GOOGLETRANSLATE(D:D,""auto"",""en"")"),"#VALUE!")</f>
        <v>#VALUE!</v>
      </c>
    </row>
    <row r="11072" spans="3:3" ht="13.5" customHeight="1">
      <c r="C11072" s="4" t="str">
        <f ca="1">IFERROR(__xludf.DUMMYFUNCTION("GOOGLETRANSLATE(D:D,""auto"",""en"")"),"#VALUE!")</f>
        <v>#VALUE!</v>
      </c>
    </row>
    <row r="11073" spans="3:3" ht="13.5" customHeight="1">
      <c r="C11073" s="4" t="str">
        <f ca="1">IFERROR(__xludf.DUMMYFUNCTION("GOOGLETRANSLATE(D:D,""auto"",""en"")"),"#VALUE!")</f>
        <v>#VALUE!</v>
      </c>
    </row>
    <row r="11074" spans="3:3" ht="13.5" customHeight="1">
      <c r="C11074" s="4" t="str">
        <f ca="1">IFERROR(__xludf.DUMMYFUNCTION("GOOGLETRANSLATE(D:D,""auto"",""en"")"),"#VALUE!")</f>
        <v>#VALUE!</v>
      </c>
    </row>
    <row r="11075" spans="3:3" ht="13.5" customHeight="1">
      <c r="C11075" s="4" t="str">
        <f ca="1">IFERROR(__xludf.DUMMYFUNCTION("GOOGLETRANSLATE(D:D,""auto"",""en"")"),"#VALUE!")</f>
        <v>#VALUE!</v>
      </c>
    </row>
    <row r="11076" spans="3:3" ht="13.5" customHeight="1">
      <c r="C11076" s="4" t="str">
        <f ca="1">IFERROR(__xludf.DUMMYFUNCTION("GOOGLETRANSLATE(D:D,""auto"",""en"")"),"#VALUE!")</f>
        <v>#VALUE!</v>
      </c>
    </row>
    <row r="11077" spans="3:3" ht="13.5" customHeight="1">
      <c r="C11077" s="4" t="str">
        <f ca="1">IFERROR(__xludf.DUMMYFUNCTION("GOOGLETRANSLATE(D:D,""auto"",""en"")"),"#VALUE!")</f>
        <v>#VALUE!</v>
      </c>
    </row>
    <row r="11078" spans="3:3" ht="13.5" customHeight="1">
      <c r="C11078" s="4" t="str">
        <f ca="1">IFERROR(__xludf.DUMMYFUNCTION("GOOGLETRANSLATE(D:D,""auto"",""en"")"),"#VALUE!")</f>
        <v>#VALUE!</v>
      </c>
    </row>
    <row r="11079" spans="3:3" ht="13.5" customHeight="1">
      <c r="C11079" s="4" t="str">
        <f ca="1">IFERROR(__xludf.DUMMYFUNCTION("GOOGLETRANSLATE(D:D,""auto"",""en"")"),"#VALUE!")</f>
        <v>#VALUE!</v>
      </c>
    </row>
    <row r="11080" spans="3:3" ht="13.5" customHeight="1">
      <c r="C11080" s="4" t="str">
        <f ca="1">IFERROR(__xludf.DUMMYFUNCTION("GOOGLETRANSLATE(D:D,""auto"",""en"")"),"#VALUE!")</f>
        <v>#VALUE!</v>
      </c>
    </row>
    <row r="11081" spans="3:3" ht="13.5" customHeight="1">
      <c r="C11081" s="4" t="str">
        <f ca="1">IFERROR(__xludf.DUMMYFUNCTION("GOOGLETRANSLATE(D:D,""auto"",""en"")"),"#VALUE!")</f>
        <v>#VALUE!</v>
      </c>
    </row>
    <row r="11082" spans="3:3" ht="13.5" customHeight="1">
      <c r="C11082" s="4" t="str">
        <f ca="1">IFERROR(__xludf.DUMMYFUNCTION("GOOGLETRANSLATE(D:D,""auto"",""en"")"),"#VALUE!")</f>
        <v>#VALUE!</v>
      </c>
    </row>
    <row r="11083" spans="3:3" ht="13.5" customHeight="1">
      <c r="C11083" s="4" t="str">
        <f ca="1">IFERROR(__xludf.DUMMYFUNCTION("GOOGLETRANSLATE(D:D,""auto"",""en"")"),"#VALUE!")</f>
        <v>#VALUE!</v>
      </c>
    </row>
    <row r="11084" spans="3:3" ht="13.5" customHeight="1">
      <c r="C11084" s="4" t="str">
        <f ca="1">IFERROR(__xludf.DUMMYFUNCTION("GOOGLETRANSLATE(D:D,""auto"",""en"")"),"#VALUE!")</f>
        <v>#VALUE!</v>
      </c>
    </row>
    <row r="11085" spans="3:3" ht="13.5" customHeight="1">
      <c r="C11085" s="4" t="str">
        <f ca="1">IFERROR(__xludf.DUMMYFUNCTION("GOOGLETRANSLATE(D:D,""auto"",""en"")"),"#VALUE!")</f>
        <v>#VALUE!</v>
      </c>
    </row>
    <row r="11086" spans="3:3" ht="13.5" customHeight="1">
      <c r="C11086" s="4" t="str">
        <f ca="1">IFERROR(__xludf.DUMMYFUNCTION("GOOGLETRANSLATE(D:D,""auto"",""en"")"),"#VALUE!")</f>
        <v>#VALUE!</v>
      </c>
    </row>
    <row r="11087" spans="3:3" ht="13.5" customHeight="1">
      <c r="C11087" s="4" t="str">
        <f ca="1">IFERROR(__xludf.DUMMYFUNCTION("GOOGLETRANSLATE(D:D,""auto"",""en"")"),"#VALUE!")</f>
        <v>#VALUE!</v>
      </c>
    </row>
    <row r="11088" spans="3:3" ht="13.5" customHeight="1">
      <c r="C11088" s="4" t="str">
        <f ca="1">IFERROR(__xludf.DUMMYFUNCTION("GOOGLETRANSLATE(D:D,""auto"",""en"")"),"#VALUE!")</f>
        <v>#VALUE!</v>
      </c>
    </row>
    <row r="11089" spans="3:3" ht="13.5" customHeight="1">
      <c r="C11089" s="4" t="str">
        <f ca="1">IFERROR(__xludf.DUMMYFUNCTION("GOOGLETRANSLATE(D:D,""auto"",""en"")"),"#VALUE!")</f>
        <v>#VALUE!</v>
      </c>
    </row>
    <row r="11090" spans="3:3" ht="13.5" customHeight="1">
      <c r="C11090" s="4" t="str">
        <f ca="1">IFERROR(__xludf.DUMMYFUNCTION("GOOGLETRANSLATE(D:D,""auto"",""en"")"),"#VALUE!")</f>
        <v>#VALUE!</v>
      </c>
    </row>
    <row r="11091" spans="3:3" ht="13.5" customHeight="1">
      <c r="C11091" s="4" t="str">
        <f ca="1">IFERROR(__xludf.DUMMYFUNCTION("GOOGLETRANSLATE(D:D,""auto"",""en"")"),"#VALUE!")</f>
        <v>#VALUE!</v>
      </c>
    </row>
    <row r="11092" spans="3:3" ht="13.5" customHeight="1">
      <c r="C11092" s="4" t="str">
        <f ca="1">IFERROR(__xludf.DUMMYFUNCTION("GOOGLETRANSLATE(D:D,""auto"",""en"")"),"#VALUE!")</f>
        <v>#VALUE!</v>
      </c>
    </row>
    <row r="11093" spans="3:3" ht="13.5" customHeight="1">
      <c r="C11093" s="4" t="str">
        <f ca="1">IFERROR(__xludf.DUMMYFUNCTION("GOOGLETRANSLATE(D:D,""auto"",""en"")"),"#VALUE!")</f>
        <v>#VALUE!</v>
      </c>
    </row>
    <row r="11094" spans="3:3" ht="13.5" customHeight="1">
      <c r="C11094" s="4" t="str">
        <f ca="1">IFERROR(__xludf.DUMMYFUNCTION("GOOGLETRANSLATE(D:D,""auto"",""en"")"),"#VALUE!")</f>
        <v>#VALUE!</v>
      </c>
    </row>
    <row r="11095" spans="3:3" ht="13.5" customHeight="1">
      <c r="C11095" s="4" t="str">
        <f ca="1">IFERROR(__xludf.DUMMYFUNCTION("GOOGLETRANSLATE(D:D,""auto"",""en"")"),"#VALUE!")</f>
        <v>#VALUE!</v>
      </c>
    </row>
    <row r="11096" spans="3:3" ht="13.5" customHeight="1">
      <c r="C11096" s="4" t="str">
        <f ca="1">IFERROR(__xludf.DUMMYFUNCTION("GOOGLETRANSLATE(D:D,""auto"",""en"")"),"#VALUE!")</f>
        <v>#VALUE!</v>
      </c>
    </row>
    <row r="11097" spans="3:3" ht="13.5" customHeight="1">
      <c r="C11097" s="4" t="str">
        <f ca="1">IFERROR(__xludf.DUMMYFUNCTION("GOOGLETRANSLATE(D:D,""auto"",""en"")"),"#VALUE!")</f>
        <v>#VALUE!</v>
      </c>
    </row>
    <row r="11098" spans="3:3" ht="13.5" customHeight="1">
      <c r="C11098" s="4" t="str">
        <f ca="1">IFERROR(__xludf.DUMMYFUNCTION("GOOGLETRANSLATE(D:D,""auto"",""en"")"),"#VALUE!")</f>
        <v>#VALUE!</v>
      </c>
    </row>
    <row r="11099" spans="3:3" ht="13.5" customHeight="1">
      <c r="C11099" s="4" t="str">
        <f ca="1">IFERROR(__xludf.DUMMYFUNCTION("GOOGLETRANSLATE(D:D,""auto"",""en"")"),"#VALUE!")</f>
        <v>#VALUE!</v>
      </c>
    </row>
    <row r="11100" spans="3:3" ht="13.5" customHeight="1">
      <c r="C11100" s="4" t="str">
        <f ca="1">IFERROR(__xludf.DUMMYFUNCTION("GOOGLETRANSLATE(D:D,""auto"",""en"")"),"#VALUE!")</f>
        <v>#VALUE!</v>
      </c>
    </row>
    <row r="11101" spans="3:3" ht="13.5" customHeight="1">
      <c r="C11101" s="4" t="str">
        <f ca="1">IFERROR(__xludf.DUMMYFUNCTION("GOOGLETRANSLATE(D:D,""auto"",""en"")"),"#VALUE!")</f>
        <v>#VALUE!</v>
      </c>
    </row>
    <row r="11102" spans="3:3" ht="13.5" customHeight="1">
      <c r="C11102" s="4" t="str">
        <f ca="1">IFERROR(__xludf.DUMMYFUNCTION("GOOGLETRANSLATE(D:D,""auto"",""en"")"),"#VALUE!")</f>
        <v>#VALUE!</v>
      </c>
    </row>
    <row r="11103" spans="3:3" ht="13.5" customHeight="1">
      <c r="C11103" s="4" t="str">
        <f ca="1">IFERROR(__xludf.DUMMYFUNCTION("GOOGLETRANSLATE(D:D,""auto"",""en"")"),"#VALUE!")</f>
        <v>#VALUE!</v>
      </c>
    </row>
    <row r="11104" spans="3:3" ht="13.5" customHeight="1">
      <c r="C11104" s="4" t="str">
        <f ca="1">IFERROR(__xludf.DUMMYFUNCTION("GOOGLETRANSLATE(D:D,""auto"",""en"")"),"#VALUE!")</f>
        <v>#VALUE!</v>
      </c>
    </row>
    <row r="11105" spans="3:3" ht="13.5" customHeight="1">
      <c r="C11105" s="4" t="str">
        <f ca="1">IFERROR(__xludf.DUMMYFUNCTION("GOOGLETRANSLATE(D:D,""auto"",""en"")"),"#VALUE!")</f>
        <v>#VALUE!</v>
      </c>
    </row>
    <row r="11106" spans="3:3" ht="13.5" customHeight="1">
      <c r="C11106" s="4" t="str">
        <f ca="1">IFERROR(__xludf.DUMMYFUNCTION("GOOGLETRANSLATE(D:D,""auto"",""en"")"),"#VALUE!")</f>
        <v>#VALUE!</v>
      </c>
    </row>
    <row r="11107" spans="3:3" ht="13.5" customHeight="1">
      <c r="C11107" s="4" t="str">
        <f ca="1">IFERROR(__xludf.DUMMYFUNCTION("GOOGLETRANSLATE(D:D,""auto"",""en"")"),"#VALUE!")</f>
        <v>#VALUE!</v>
      </c>
    </row>
    <row r="11108" spans="3:3" ht="13.5" customHeight="1">
      <c r="C11108" s="4" t="str">
        <f ca="1">IFERROR(__xludf.DUMMYFUNCTION("GOOGLETRANSLATE(D:D,""auto"",""en"")"),"#VALUE!")</f>
        <v>#VALUE!</v>
      </c>
    </row>
    <row r="11109" spans="3:3" ht="13.5" customHeight="1">
      <c r="C11109" s="4" t="str">
        <f ca="1">IFERROR(__xludf.DUMMYFUNCTION("GOOGLETRANSLATE(D:D,""auto"",""en"")"),"#VALUE!")</f>
        <v>#VALUE!</v>
      </c>
    </row>
    <row r="11110" spans="3:3" ht="13.5" customHeight="1">
      <c r="C11110" s="4" t="str">
        <f ca="1">IFERROR(__xludf.DUMMYFUNCTION("GOOGLETRANSLATE(D:D,""auto"",""en"")"),"#VALUE!")</f>
        <v>#VALUE!</v>
      </c>
    </row>
    <row r="11111" spans="3:3" ht="13.5" customHeight="1">
      <c r="C11111" s="4" t="str">
        <f ca="1">IFERROR(__xludf.DUMMYFUNCTION("GOOGLETRANSLATE(D:D,""auto"",""en"")"),"#VALUE!")</f>
        <v>#VALUE!</v>
      </c>
    </row>
    <row r="11112" spans="3:3" ht="13.5" customHeight="1">
      <c r="C11112" s="4" t="str">
        <f ca="1">IFERROR(__xludf.DUMMYFUNCTION("GOOGLETRANSLATE(D:D,""auto"",""en"")"),"#VALUE!")</f>
        <v>#VALUE!</v>
      </c>
    </row>
    <row r="11113" spans="3:3" ht="13.5" customHeight="1">
      <c r="C11113" s="4" t="str">
        <f ca="1">IFERROR(__xludf.DUMMYFUNCTION("GOOGLETRANSLATE(D:D,""auto"",""en"")"),"#VALUE!")</f>
        <v>#VALUE!</v>
      </c>
    </row>
    <row r="11114" spans="3:3" ht="13.5" customHeight="1">
      <c r="C11114" s="4" t="str">
        <f ca="1">IFERROR(__xludf.DUMMYFUNCTION("GOOGLETRANSLATE(D:D,""auto"",""en"")"),"#VALUE!")</f>
        <v>#VALUE!</v>
      </c>
    </row>
    <row r="11115" spans="3:3" ht="13.5" customHeight="1">
      <c r="C11115" s="4" t="str">
        <f ca="1">IFERROR(__xludf.DUMMYFUNCTION("GOOGLETRANSLATE(D:D,""auto"",""en"")"),"#VALUE!")</f>
        <v>#VALUE!</v>
      </c>
    </row>
    <row r="11116" spans="3:3" ht="13.5" customHeight="1">
      <c r="C11116" s="4" t="str">
        <f ca="1">IFERROR(__xludf.DUMMYFUNCTION("GOOGLETRANSLATE(D:D,""auto"",""en"")"),"#VALUE!")</f>
        <v>#VALUE!</v>
      </c>
    </row>
    <row r="11117" spans="3:3" ht="13.5" customHeight="1">
      <c r="C11117" s="4" t="str">
        <f ca="1">IFERROR(__xludf.DUMMYFUNCTION("GOOGLETRANSLATE(D:D,""auto"",""en"")"),"#VALUE!")</f>
        <v>#VALUE!</v>
      </c>
    </row>
    <row r="11118" spans="3:3" ht="13.5" customHeight="1">
      <c r="C11118" s="4" t="str">
        <f ca="1">IFERROR(__xludf.DUMMYFUNCTION("GOOGLETRANSLATE(D:D,""auto"",""en"")"),"#VALUE!")</f>
        <v>#VALUE!</v>
      </c>
    </row>
    <row r="11119" spans="3:3" ht="13.5" customHeight="1">
      <c r="C11119" s="4" t="str">
        <f ca="1">IFERROR(__xludf.DUMMYFUNCTION("GOOGLETRANSLATE(D:D,""auto"",""en"")"),"#VALUE!")</f>
        <v>#VALUE!</v>
      </c>
    </row>
    <row r="11120" spans="3:3" ht="13.5" customHeight="1">
      <c r="C11120" s="4" t="str">
        <f ca="1">IFERROR(__xludf.DUMMYFUNCTION("GOOGLETRANSLATE(D:D,""auto"",""en"")"),"#VALUE!")</f>
        <v>#VALUE!</v>
      </c>
    </row>
    <row r="11121" spans="3:3" ht="13.5" customHeight="1">
      <c r="C11121" s="4" t="str">
        <f ca="1">IFERROR(__xludf.DUMMYFUNCTION("GOOGLETRANSLATE(D:D,""auto"",""en"")"),"#VALUE!")</f>
        <v>#VALUE!</v>
      </c>
    </row>
    <row r="11122" spans="3:3" ht="13.5" customHeight="1">
      <c r="C11122" s="4" t="str">
        <f ca="1">IFERROR(__xludf.DUMMYFUNCTION("GOOGLETRANSLATE(D:D,""auto"",""en"")"),"#VALUE!")</f>
        <v>#VALUE!</v>
      </c>
    </row>
    <row r="11123" spans="3:3" ht="13.5" customHeight="1">
      <c r="C11123" s="4" t="str">
        <f ca="1">IFERROR(__xludf.DUMMYFUNCTION("GOOGLETRANSLATE(D:D,""auto"",""en"")"),"#VALUE!")</f>
        <v>#VALUE!</v>
      </c>
    </row>
    <row r="11124" spans="3:3" ht="13.5" customHeight="1">
      <c r="C11124" s="4" t="str">
        <f ca="1">IFERROR(__xludf.DUMMYFUNCTION("GOOGLETRANSLATE(D:D,""auto"",""en"")"),"#VALUE!")</f>
        <v>#VALUE!</v>
      </c>
    </row>
    <row r="11125" spans="3:3" ht="13.5" customHeight="1">
      <c r="C11125" s="4" t="str">
        <f ca="1">IFERROR(__xludf.DUMMYFUNCTION("GOOGLETRANSLATE(D:D,""auto"",""en"")"),"#VALUE!")</f>
        <v>#VALUE!</v>
      </c>
    </row>
    <row r="11126" spans="3:3" ht="13.5" customHeight="1">
      <c r="C11126" s="4" t="str">
        <f ca="1">IFERROR(__xludf.DUMMYFUNCTION("GOOGLETRANSLATE(D:D,""auto"",""en"")"),"#VALUE!")</f>
        <v>#VALUE!</v>
      </c>
    </row>
    <row r="11127" spans="3:3" ht="13.5" customHeight="1">
      <c r="C11127" s="4" t="str">
        <f ca="1">IFERROR(__xludf.DUMMYFUNCTION("GOOGLETRANSLATE(D:D,""auto"",""en"")"),"#VALUE!")</f>
        <v>#VALUE!</v>
      </c>
    </row>
    <row r="11128" spans="3:3" ht="13.5" customHeight="1">
      <c r="C11128" s="4" t="str">
        <f ca="1">IFERROR(__xludf.DUMMYFUNCTION("GOOGLETRANSLATE(D:D,""auto"",""en"")"),"#VALUE!")</f>
        <v>#VALUE!</v>
      </c>
    </row>
    <row r="11129" spans="3:3" ht="13.5" customHeight="1">
      <c r="C11129" s="4" t="str">
        <f ca="1">IFERROR(__xludf.DUMMYFUNCTION("GOOGLETRANSLATE(D:D,""auto"",""en"")"),"#VALUE!")</f>
        <v>#VALUE!</v>
      </c>
    </row>
    <row r="11130" spans="3:3" ht="13.5" customHeight="1">
      <c r="C11130" s="4" t="str">
        <f ca="1">IFERROR(__xludf.DUMMYFUNCTION("GOOGLETRANSLATE(D:D,""auto"",""en"")"),"#VALUE!")</f>
        <v>#VALUE!</v>
      </c>
    </row>
    <row r="11131" spans="3:3" ht="13.5" customHeight="1">
      <c r="C11131" s="4" t="str">
        <f ca="1">IFERROR(__xludf.DUMMYFUNCTION("GOOGLETRANSLATE(D:D,""auto"",""en"")"),"#VALUE!")</f>
        <v>#VALUE!</v>
      </c>
    </row>
    <row r="11132" spans="3:3" ht="13.5" customHeight="1">
      <c r="C11132" s="4" t="str">
        <f ca="1">IFERROR(__xludf.DUMMYFUNCTION("GOOGLETRANSLATE(D:D,""auto"",""en"")"),"#VALUE!")</f>
        <v>#VALUE!</v>
      </c>
    </row>
    <row r="11133" spans="3:3" ht="13.5" customHeight="1">
      <c r="C11133" s="4" t="str">
        <f ca="1">IFERROR(__xludf.DUMMYFUNCTION("GOOGLETRANSLATE(D:D,""auto"",""en"")"),"#VALUE!")</f>
        <v>#VALUE!</v>
      </c>
    </row>
    <row r="11134" spans="3:3" ht="13.5" customHeight="1">
      <c r="C11134" s="4" t="str">
        <f ca="1">IFERROR(__xludf.DUMMYFUNCTION("GOOGLETRANSLATE(D:D,""auto"",""en"")"),"#VALUE!")</f>
        <v>#VALUE!</v>
      </c>
    </row>
    <row r="11135" spans="3:3" ht="13.5" customHeight="1">
      <c r="C11135" s="4" t="str">
        <f ca="1">IFERROR(__xludf.DUMMYFUNCTION("GOOGLETRANSLATE(D:D,""auto"",""en"")"),"#VALUE!")</f>
        <v>#VALUE!</v>
      </c>
    </row>
    <row r="11136" spans="3:3" ht="13.5" customHeight="1">
      <c r="C11136" s="4" t="str">
        <f ca="1">IFERROR(__xludf.DUMMYFUNCTION("GOOGLETRANSLATE(D:D,""auto"",""en"")"),"#VALUE!")</f>
        <v>#VALUE!</v>
      </c>
    </row>
    <row r="11137" spans="3:3" ht="13.5" customHeight="1">
      <c r="C11137" s="4" t="str">
        <f ca="1">IFERROR(__xludf.DUMMYFUNCTION("GOOGLETRANSLATE(D:D,""auto"",""en"")"),"#VALUE!")</f>
        <v>#VALUE!</v>
      </c>
    </row>
    <row r="11138" spans="3:3" ht="13.5" customHeight="1">
      <c r="C11138" s="4" t="str">
        <f ca="1">IFERROR(__xludf.DUMMYFUNCTION("GOOGLETRANSLATE(D:D,""auto"",""en"")"),"#VALUE!")</f>
        <v>#VALUE!</v>
      </c>
    </row>
    <row r="11139" spans="3:3" ht="13.5" customHeight="1">
      <c r="C11139" s="4" t="str">
        <f ca="1">IFERROR(__xludf.DUMMYFUNCTION("GOOGLETRANSLATE(D:D,""auto"",""en"")"),"#VALUE!")</f>
        <v>#VALUE!</v>
      </c>
    </row>
    <row r="11140" spans="3:3" ht="13.5" customHeight="1">
      <c r="C11140" s="4" t="str">
        <f ca="1">IFERROR(__xludf.DUMMYFUNCTION("GOOGLETRANSLATE(D:D,""auto"",""en"")"),"#VALUE!")</f>
        <v>#VALUE!</v>
      </c>
    </row>
    <row r="11141" spans="3:3" ht="13.5" customHeight="1">
      <c r="C11141" s="4" t="str">
        <f ca="1">IFERROR(__xludf.DUMMYFUNCTION("GOOGLETRANSLATE(D:D,""auto"",""en"")"),"#VALUE!")</f>
        <v>#VALUE!</v>
      </c>
    </row>
    <row r="11142" spans="3:3" ht="13.5" customHeight="1">
      <c r="C11142" s="4" t="str">
        <f ca="1">IFERROR(__xludf.DUMMYFUNCTION("GOOGLETRANSLATE(D:D,""auto"",""en"")"),"#VALUE!")</f>
        <v>#VALUE!</v>
      </c>
    </row>
    <row r="11143" spans="3:3" ht="13.5" customHeight="1">
      <c r="C11143" s="4" t="str">
        <f ca="1">IFERROR(__xludf.DUMMYFUNCTION("GOOGLETRANSLATE(D:D,""auto"",""en"")"),"#VALUE!")</f>
        <v>#VALUE!</v>
      </c>
    </row>
    <row r="11144" spans="3:3" ht="13.5" customHeight="1">
      <c r="C11144" s="4" t="str">
        <f ca="1">IFERROR(__xludf.DUMMYFUNCTION("GOOGLETRANSLATE(D:D,""auto"",""en"")"),"#VALUE!")</f>
        <v>#VALUE!</v>
      </c>
    </row>
    <row r="11145" spans="3:3" ht="13.5" customHeight="1">
      <c r="C11145" s="4" t="str">
        <f ca="1">IFERROR(__xludf.DUMMYFUNCTION("GOOGLETRANSLATE(D:D,""auto"",""en"")"),"#VALUE!")</f>
        <v>#VALUE!</v>
      </c>
    </row>
    <row r="11146" spans="3:3" ht="13.5" customHeight="1">
      <c r="C11146" s="4" t="str">
        <f ca="1">IFERROR(__xludf.DUMMYFUNCTION("GOOGLETRANSLATE(D:D,""auto"",""en"")"),"#VALUE!")</f>
        <v>#VALUE!</v>
      </c>
    </row>
    <row r="11147" spans="3:3" ht="13.5" customHeight="1">
      <c r="C11147" s="4" t="str">
        <f ca="1">IFERROR(__xludf.DUMMYFUNCTION("GOOGLETRANSLATE(D:D,""auto"",""en"")"),"#VALUE!")</f>
        <v>#VALUE!</v>
      </c>
    </row>
    <row r="11148" spans="3:3" ht="13.5" customHeight="1">
      <c r="C11148" s="4" t="str">
        <f ca="1">IFERROR(__xludf.DUMMYFUNCTION("GOOGLETRANSLATE(D:D,""auto"",""en"")"),"#VALUE!")</f>
        <v>#VALUE!</v>
      </c>
    </row>
    <row r="11149" spans="3:3" ht="13.5" customHeight="1">
      <c r="C11149" s="4" t="str">
        <f ca="1">IFERROR(__xludf.DUMMYFUNCTION("GOOGLETRANSLATE(D:D,""auto"",""en"")"),"#VALUE!")</f>
        <v>#VALUE!</v>
      </c>
    </row>
    <row r="11150" spans="3:3" ht="13.5" customHeight="1">
      <c r="C11150" s="4" t="str">
        <f ca="1">IFERROR(__xludf.DUMMYFUNCTION("GOOGLETRANSLATE(D:D,""auto"",""en"")"),"#VALUE!")</f>
        <v>#VALUE!</v>
      </c>
    </row>
    <row r="11151" spans="3:3" ht="13.5" customHeight="1">
      <c r="C11151" s="4" t="str">
        <f ca="1">IFERROR(__xludf.DUMMYFUNCTION("GOOGLETRANSLATE(D:D,""auto"",""en"")"),"#VALUE!")</f>
        <v>#VALUE!</v>
      </c>
    </row>
    <row r="11152" spans="3:3" ht="13.5" customHeight="1">
      <c r="C11152" s="4" t="str">
        <f ca="1">IFERROR(__xludf.DUMMYFUNCTION("GOOGLETRANSLATE(D:D,""auto"",""en"")"),"#VALUE!")</f>
        <v>#VALUE!</v>
      </c>
    </row>
    <row r="11153" spans="3:3" ht="13.5" customHeight="1">
      <c r="C11153" s="4" t="str">
        <f ca="1">IFERROR(__xludf.DUMMYFUNCTION("GOOGLETRANSLATE(D:D,""auto"",""en"")"),"#VALUE!")</f>
        <v>#VALUE!</v>
      </c>
    </row>
    <row r="11154" spans="3:3" ht="13.5" customHeight="1">
      <c r="C11154" s="4" t="str">
        <f ca="1">IFERROR(__xludf.DUMMYFUNCTION("GOOGLETRANSLATE(D:D,""auto"",""en"")"),"#VALUE!")</f>
        <v>#VALUE!</v>
      </c>
    </row>
    <row r="11155" spans="3:3" ht="13.5" customHeight="1">
      <c r="C11155" s="4" t="str">
        <f ca="1">IFERROR(__xludf.DUMMYFUNCTION("GOOGLETRANSLATE(D:D,""auto"",""en"")"),"#VALUE!")</f>
        <v>#VALUE!</v>
      </c>
    </row>
    <row r="11156" spans="3:3" ht="13.5" customHeight="1">
      <c r="C11156" s="4" t="str">
        <f ca="1">IFERROR(__xludf.DUMMYFUNCTION("GOOGLETRANSLATE(D:D,""auto"",""en"")"),"#VALUE!")</f>
        <v>#VALUE!</v>
      </c>
    </row>
    <row r="11157" spans="3:3" ht="13.5" customHeight="1">
      <c r="C11157" s="4" t="str">
        <f ca="1">IFERROR(__xludf.DUMMYFUNCTION("GOOGLETRANSLATE(D:D,""auto"",""en"")"),"#VALUE!")</f>
        <v>#VALUE!</v>
      </c>
    </row>
    <row r="11158" spans="3:3" ht="13.5" customHeight="1">
      <c r="C11158" s="4" t="str">
        <f ca="1">IFERROR(__xludf.DUMMYFUNCTION("GOOGLETRANSLATE(D:D,""auto"",""en"")"),"#VALUE!")</f>
        <v>#VALUE!</v>
      </c>
    </row>
    <row r="11159" spans="3:3" ht="13.5" customHeight="1">
      <c r="C11159" s="4" t="str">
        <f ca="1">IFERROR(__xludf.DUMMYFUNCTION("GOOGLETRANSLATE(D:D,""auto"",""en"")"),"#VALUE!")</f>
        <v>#VALUE!</v>
      </c>
    </row>
    <row r="11160" spans="3:3" ht="13.5" customHeight="1">
      <c r="C11160" s="4" t="str">
        <f ca="1">IFERROR(__xludf.DUMMYFUNCTION("GOOGLETRANSLATE(D:D,""auto"",""en"")"),"#VALUE!")</f>
        <v>#VALUE!</v>
      </c>
    </row>
    <row r="11161" spans="3:3" ht="13.5" customHeight="1">
      <c r="C11161" s="4" t="str">
        <f ca="1">IFERROR(__xludf.DUMMYFUNCTION("GOOGLETRANSLATE(D:D,""auto"",""en"")"),"#VALUE!")</f>
        <v>#VALUE!</v>
      </c>
    </row>
    <row r="11162" spans="3:3" ht="13.5" customHeight="1">
      <c r="C11162" s="4" t="str">
        <f ca="1">IFERROR(__xludf.DUMMYFUNCTION("GOOGLETRANSLATE(D:D,""auto"",""en"")"),"#VALUE!")</f>
        <v>#VALUE!</v>
      </c>
    </row>
    <row r="11163" spans="3:3" ht="13.5" customHeight="1">
      <c r="C11163" s="4" t="str">
        <f ca="1">IFERROR(__xludf.DUMMYFUNCTION("GOOGLETRANSLATE(D:D,""auto"",""en"")"),"#VALUE!")</f>
        <v>#VALUE!</v>
      </c>
    </row>
    <row r="11164" spans="3:3" ht="13.5" customHeight="1">
      <c r="C11164" s="4" t="str">
        <f ca="1">IFERROR(__xludf.DUMMYFUNCTION("GOOGLETRANSLATE(D:D,""auto"",""en"")"),"#VALUE!")</f>
        <v>#VALUE!</v>
      </c>
    </row>
    <row r="11165" spans="3:3" ht="13.5" customHeight="1">
      <c r="C11165" s="4" t="str">
        <f ca="1">IFERROR(__xludf.DUMMYFUNCTION("GOOGLETRANSLATE(D:D,""auto"",""en"")"),"#VALUE!")</f>
        <v>#VALUE!</v>
      </c>
    </row>
    <row r="11166" spans="3:3" ht="13.5" customHeight="1">
      <c r="C11166" s="4" t="str">
        <f ca="1">IFERROR(__xludf.DUMMYFUNCTION("GOOGLETRANSLATE(D:D,""auto"",""en"")"),"#VALUE!")</f>
        <v>#VALUE!</v>
      </c>
    </row>
    <row r="11167" spans="3:3" ht="13.5" customHeight="1">
      <c r="C11167" s="4" t="str">
        <f ca="1">IFERROR(__xludf.DUMMYFUNCTION("GOOGLETRANSLATE(D:D,""auto"",""en"")"),"#VALUE!")</f>
        <v>#VALUE!</v>
      </c>
    </row>
    <row r="11168" spans="3:3" ht="13.5" customHeight="1">
      <c r="C11168" s="4" t="str">
        <f ca="1">IFERROR(__xludf.DUMMYFUNCTION("GOOGLETRANSLATE(D:D,""auto"",""en"")"),"#VALUE!")</f>
        <v>#VALUE!</v>
      </c>
    </row>
    <row r="11169" spans="3:3" ht="13.5" customHeight="1">
      <c r="C11169" s="4" t="str">
        <f ca="1">IFERROR(__xludf.DUMMYFUNCTION("GOOGLETRANSLATE(D:D,""auto"",""en"")"),"#VALUE!")</f>
        <v>#VALUE!</v>
      </c>
    </row>
    <row r="11170" spans="3:3" ht="13.5" customHeight="1">
      <c r="C11170" s="4" t="str">
        <f ca="1">IFERROR(__xludf.DUMMYFUNCTION("GOOGLETRANSLATE(D:D,""auto"",""en"")"),"#VALUE!")</f>
        <v>#VALUE!</v>
      </c>
    </row>
    <row r="11171" spans="3:3" ht="13.5" customHeight="1">
      <c r="C11171" s="4" t="str">
        <f ca="1">IFERROR(__xludf.DUMMYFUNCTION("GOOGLETRANSLATE(D:D,""auto"",""en"")"),"#VALUE!")</f>
        <v>#VALUE!</v>
      </c>
    </row>
    <row r="11172" spans="3:3" ht="13.5" customHeight="1">
      <c r="C11172" s="4" t="str">
        <f ca="1">IFERROR(__xludf.DUMMYFUNCTION("GOOGLETRANSLATE(D:D,""auto"",""en"")"),"#VALUE!")</f>
        <v>#VALUE!</v>
      </c>
    </row>
    <row r="11173" spans="3:3" ht="13.5" customHeight="1">
      <c r="C11173" s="4" t="str">
        <f ca="1">IFERROR(__xludf.DUMMYFUNCTION("GOOGLETRANSLATE(D:D,""auto"",""en"")"),"#VALUE!")</f>
        <v>#VALUE!</v>
      </c>
    </row>
    <row r="11174" spans="3:3" ht="13.5" customHeight="1">
      <c r="C11174" s="4" t="str">
        <f ca="1">IFERROR(__xludf.DUMMYFUNCTION("GOOGLETRANSLATE(D:D,""auto"",""en"")"),"#VALUE!")</f>
        <v>#VALUE!</v>
      </c>
    </row>
    <row r="11175" spans="3:3" ht="13.5" customHeight="1">
      <c r="C11175" s="4" t="str">
        <f ca="1">IFERROR(__xludf.DUMMYFUNCTION("GOOGLETRANSLATE(D:D,""auto"",""en"")"),"#VALUE!")</f>
        <v>#VALUE!</v>
      </c>
    </row>
    <row r="11176" spans="3:3" ht="13.5" customHeight="1">
      <c r="C11176" s="4" t="str">
        <f ca="1">IFERROR(__xludf.DUMMYFUNCTION("GOOGLETRANSLATE(D:D,""auto"",""en"")"),"#VALUE!")</f>
        <v>#VALUE!</v>
      </c>
    </row>
    <row r="11177" spans="3:3" ht="13.5" customHeight="1">
      <c r="C11177" s="4" t="str">
        <f ca="1">IFERROR(__xludf.DUMMYFUNCTION("GOOGLETRANSLATE(D:D,""auto"",""en"")"),"#VALUE!")</f>
        <v>#VALUE!</v>
      </c>
    </row>
    <row r="11178" spans="3:3" ht="13.5" customHeight="1">
      <c r="C11178" s="4" t="str">
        <f ca="1">IFERROR(__xludf.DUMMYFUNCTION("GOOGLETRANSLATE(D:D,""auto"",""en"")"),"#VALUE!")</f>
        <v>#VALUE!</v>
      </c>
    </row>
    <row r="11179" spans="3:3" ht="13.5" customHeight="1">
      <c r="C11179" s="4" t="str">
        <f ca="1">IFERROR(__xludf.DUMMYFUNCTION("GOOGLETRANSLATE(D:D,""auto"",""en"")"),"#VALUE!")</f>
        <v>#VALUE!</v>
      </c>
    </row>
    <row r="11180" spans="3:3" ht="13.5" customHeight="1">
      <c r="C11180" s="4" t="str">
        <f ca="1">IFERROR(__xludf.DUMMYFUNCTION("GOOGLETRANSLATE(D:D,""auto"",""en"")"),"#VALUE!")</f>
        <v>#VALUE!</v>
      </c>
    </row>
    <row r="11181" spans="3:3" ht="13.5" customHeight="1">
      <c r="C11181" s="4" t="str">
        <f ca="1">IFERROR(__xludf.DUMMYFUNCTION("GOOGLETRANSLATE(D:D,""auto"",""en"")"),"#VALUE!")</f>
        <v>#VALUE!</v>
      </c>
    </row>
    <row r="11182" spans="3:3" ht="13.5" customHeight="1">
      <c r="C11182" s="4" t="str">
        <f ca="1">IFERROR(__xludf.DUMMYFUNCTION("GOOGLETRANSLATE(D:D,""auto"",""en"")"),"#VALUE!")</f>
        <v>#VALUE!</v>
      </c>
    </row>
    <row r="11183" spans="3:3" ht="13.5" customHeight="1">
      <c r="C11183" s="4" t="str">
        <f ca="1">IFERROR(__xludf.DUMMYFUNCTION("GOOGLETRANSLATE(D:D,""auto"",""en"")"),"#VALUE!")</f>
        <v>#VALUE!</v>
      </c>
    </row>
    <row r="11184" spans="3:3" ht="13.5" customHeight="1">
      <c r="C11184" s="4" t="str">
        <f ca="1">IFERROR(__xludf.DUMMYFUNCTION("GOOGLETRANSLATE(D:D,""auto"",""en"")"),"#VALUE!")</f>
        <v>#VALUE!</v>
      </c>
    </row>
    <row r="11185" spans="3:3" ht="13.5" customHeight="1">
      <c r="C11185" s="4" t="str">
        <f ca="1">IFERROR(__xludf.DUMMYFUNCTION("GOOGLETRANSLATE(D:D,""auto"",""en"")"),"#VALUE!")</f>
        <v>#VALUE!</v>
      </c>
    </row>
    <row r="11186" spans="3:3" ht="13.5" customHeight="1">
      <c r="C11186" s="4" t="str">
        <f ca="1">IFERROR(__xludf.DUMMYFUNCTION("GOOGLETRANSLATE(D:D,""auto"",""en"")"),"#VALUE!")</f>
        <v>#VALUE!</v>
      </c>
    </row>
    <row r="11187" spans="3:3" ht="13.5" customHeight="1">
      <c r="C11187" s="4" t="str">
        <f ca="1">IFERROR(__xludf.DUMMYFUNCTION("GOOGLETRANSLATE(D:D,""auto"",""en"")"),"#VALUE!")</f>
        <v>#VALUE!</v>
      </c>
    </row>
    <row r="11188" spans="3:3" ht="13.5" customHeight="1">
      <c r="C11188" s="4" t="str">
        <f ca="1">IFERROR(__xludf.DUMMYFUNCTION("GOOGLETRANSLATE(D:D,""auto"",""en"")"),"#VALUE!")</f>
        <v>#VALUE!</v>
      </c>
    </row>
    <row r="11189" spans="3:3" ht="13.5" customHeight="1">
      <c r="C11189" s="4" t="str">
        <f ca="1">IFERROR(__xludf.DUMMYFUNCTION("GOOGLETRANSLATE(D:D,""auto"",""en"")"),"#VALUE!")</f>
        <v>#VALUE!</v>
      </c>
    </row>
    <row r="11190" spans="3:3" ht="13.5" customHeight="1">
      <c r="C11190" s="4" t="str">
        <f ca="1">IFERROR(__xludf.DUMMYFUNCTION("GOOGLETRANSLATE(D:D,""auto"",""en"")"),"#VALUE!")</f>
        <v>#VALUE!</v>
      </c>
    </row>
    <row r="11191" spans="3:3" ht="13.5" customHeight="1">
      <c r="C11191" s="4" t="str">
        <f ca="1">IFERROR(__xludf.DUMMYFUNCTION("GOOGLETRANSLATE(D:D,""auto"",""en"")"),"#VALUE!")</f>
        <v>#VALUE!</v>
      </c>
    </row>
    <row r="11192" spans="3:3" ht="13.5" customHeight="1">
      <c r="C11192" s="4" t="str">
        <f ca="1">IFERROR(__xludf.DUMMYFUNCTION("GOOGLETRANSLATE(D:D,""auto"",""en"")"),"#VALUE!")</f>
        <v>#VALUE!</v>
      </c>
    </row>
    <row r="11193" spans="3:3" ht="13.5" customHeight="1">
      <c r="C11193" s="4" t="str">
        <f ca="1">IFERROR(__xludf.DUMMYFUNCTION("GOOGLETRANSLATE(D:D,""auto"",""en"")"),"#VALUE!")</f>
        <v>#VALUE!</v>
      </c>
    </row>
    <row r="11194" spans="3:3" ht="13.5" customHeight="1">
      <c r="C11194" s="4" t="str">
        <f ca="1">IFERROR(__xludf.DUMMYFUNCTION("GOOGLETRANSLATE(D:D,""auto"",""en"")"),"#VALUE!")</f>
        <v>#VALUE!</v>
      </c>
    </row>
    <row r="11195" spans="3:3" ht="13.5" customHeight="1">
      <c r="C11195" s="4" t="str">
        <f ca="1">IFERROR(__xludf.DUMMYFUNCTION("GOOGLETRANSLATE(D:D,""auto"",""en"")"),"#VALUE!")</f>
        <v>#VALUE!</v>
      </c>
    </row>
    <row r="11196" spans="3:3" ht="13.5" customHeight="1">
      <c r="C11196" s="4" t="str">
        <f ca="1">IFERROR(__xludf.DUMMYFUNCTION("GOOGLETRANSLATE(D:D,""auto"",""en"")"),"#VALUE!")</f>
        <v>#VALUE!</v>
      </c>
    </row>
    <row r="11197" spans="3:3" ht="13.5" customHeight="1">
      <c r="C11197" s="4" t="str">
        <f ca="1">IFERROR(__xludf.DUMMYFUNCTION("GOOGLETRANSLATE(D:D,""auto"",""en"")"),"#VALUE!")</f>
        <v>#VALUE!</v>
      </c>
    </row>
    <row r="11198" spans="3:3" ht="13.5" customHeight="1">
      <c r="C11198" s="4" t="str">
        <f ca="1">IFERROR(__xludf.DUMMYFUNCTION("GOOGLETRANSLATE(D:D,""auto"",""en"")"),"#VALUE!")</f>
        <v>#VALUE!</v>
      </c>
    </row>
    <row r="11199" spans="3:3" ht="13.5" customHeight="1">
      <c r="C11199" s="4" t="str">
        <f ca="1">IFERROR(__xludf.DUMMYFUNCTION("GOOGLETRANSLATE(D:D,""auto"",""en"")"),"#VALUE!")</f>
        <v>#VALUE!</v>
      </c>
    </row>
    <row r="11200" spans="3:3" ht="13.5" customHeight="1">
      <c r="C11200" s="4" t="str">
        <f ca="1">IFERROR(__xludf.DUMMYFUNCTION("GOOGLETRANSLATE(D:D,""auto"",""en"")"),"#VALUE!")</f>
        <v>#VALUE!</v>
      </c>
    </row>
    <row r="11201" spans="3:3" ht="13.5" customHeight="1">
      <c r="C11201" s="4" t="str">
        <f ca="1">IFERROR(__xludf.DUMMYFUNCTION("GOOGLETRANSLATE(D:D,""auto"",""en"")"),"#VALUE!")</f>
        <v>#VALUE!</v>
      </c>
    </row>
    <row r="11202" spans="3:3" ht="13.5" customHeight="1">
      <c r="C11202" s="4" t="str">
        <f ca="1">IFERROR(__xludf.DUMMYFUNCTION("GOOGLETRANSLATE(D:D,""auto"",""en"")"),"#VALUE!")</f>
        <v>#VALUE!</v>
      </c>
    </row>
    <row r="11203" spans="3:3" ht="13.5" customHeight="1">
      <c r="C11203" s="4" t="str">
        <f ca="1">IFERROR(__xludf.DUMMYFUNCTION("GOOGLETRANSLATE(D:D,""auto"",""en"")"),"#VALUE!")</f>
        <v>#VALUE!</v>
      </c>
    </row>
    <row r="11204" spans="3:3" ht="13.5" customHeight="1">
      <c r="C11204" s="4" t="str">
        <f ca="1">IFERROR(__xludf.DUMMYFUNCTION("GOOGLETRANSLATE(D:D,""auto"",""en"")"),"#VALUE!")</f>
        <v>#VALUE!</v>
      </c>
    </row>
    <row r="11205" spans="3:3" ht="13.5" customHeight="1">
      <c r="C11205" s="4" t="str">
        <f ca="1">IFERROR(__xludf.DUMMYFUNCTION("GOOGLETRANSLATE(D:D,""auto"",""en"")"),"#VALUE!")</f>
        <v>#VALUE!</v>
      </c>
    </row>
    <row r="11206" spans="3:3" ht="13.5" customHeight="1">
      <c r="C11206" s="4" t="str">
        <f ca="1">IFERROR(__xludf.DUMMYFUNCTION("GOOGLETRANSLATE(D:D,""auto"",""en"")"),"#VALUE!")</f>
        <v>#VALUE!</v>
      </c>
    </row>
    <row r="11207" spans="3:3" ht="13.5" customHeight="1">
      <c r="C11207" s="4" t="str">
        <f ca="1">IFERROR(__xludf.DUMMYFUNCTION("GOOGLETRANSLATE(D:D,""auto"",""en"")"),"#VALUE!")</f>
        <v>#VALUE!</v>
      </c>
    </row>
    <row r="11208" spans="3:3" ht="13.5" customHeight="1">
      <c r="C11208" s="4" t="str">
        <f ca="1">IFERROR(__xludf.DUMMYFUNCTION("GOOGLETRANSLATE(D:D,""auto"",""en"")"),"#VALUE!")</f>
        <v>#VALUE!</v>
      </c>
    </row>
    <row r="11209" spans="3:3" ht="13.5" customHeight="1">
      <c r="C11209" s="4" t="str">
        <f ca="1">IFERROR(__xludf.DUMMYFUNCTION("GOOGLETRANSLATE(D:D,""auto"",""en"")"),"#VALUE!")</f>
        <v>#VALUE!</v>
      </c>
    </row>
    <row r="11210" spans="3:3" ht="13.5" customHeight="1">
      <c r="C11210" s="4" t="str">
        <f ca="1">IFERROR(__xludf.DUMMYFUNCTION("GOOGLETRANSLATE(D:D,""auto"",""en"")"),"#VALUE!")</f>
        <v>#VALUE!</v>
      </c>
    </row>
    <row r="11211" spans="3:3" ht="13.5" customHeight="1">
      <c r="C11211" s="4" t="str">
        <f ca="1">IFERROR(__xludf.DUMMYFUNCTION("GOOGLETRANSLATE(D:D,""auto"",""en"")"),"#VALUE!")</f>
        <v>#VALUE!</v>
      </c>
    </row>
    <row r="11212" spans="3:3" ht="13.5" customHeight="1">
      <c r="C11212" s="4" t="str">
        <f ca="1">IFERROR(__xludf.DUMMYFUNCTION("GOOGLETRANSLATE(D:D,""auto"",""en"")"),"#VALUE!")</f>
        <v>#VALUE!</v>
      </c>
    </row>
    <row r="11213" spans="3:3" ht="13.5" customHeight="1">
      <c r="C11213" s="4" t="str">
        <f ca="1">IFERROR(__xludf.DUMMYFUNCTION("GOOGLETRANSLATE(D:D,""auto"",""en"")"),"#VALUE!")</f>
        <v>#VALUE!</v>
      </c>
    </row>
    <row r="11214" spans="3:3" ht="13.5" customHeight="1">
      <c r="C11214" s="4" t="str">
        <f ca="1">IFERROR(__xludf.DUMMYFUNCTION("GOOGLETRANSLATE(D:D,""auto"",""en"")"),"#VALUE!")</f>
        <v>#VALUE!</v>
      </c>
    </row>
    <row r="11215" spans="3:3" ht="13.5" customHeight="1">
      <c r="C11215" s="4" t="str">
        <f ca="1">IFERROR(__xludf.DUMMYFUNCTION("GOOGLETRANSLATE(D:D,""auto"",""en"")"),"#VALUE!")</f>
        <v>#VALUE!</v>
      </c>
    </row>
    <row r="11216" spans="3:3" ht="13.5" customHeight="1">
      <c r="C11216" s="4" t="str">
        <f ca="1">IFERROR(__xludf.DUMMYFUNCTION("GOOGLETRANSLATE(D:D,""auto"",""en"")"),"#VALUE!")</f>
        <v>#VALUE!</v>
      </c>
    </row>
    <row r="11217" spans="3:3" ht="13.5" customHeight="1">
      <c r="C11217" s="4" t="str">
        <f ca="1">IFERROR(__xludf.DUMMYFUNCTION("GOOGLETRANSLATE(D:D,""auto"",""en"")"),"#VALUE!")</f>
        <v>#VALUE!</v>
      </c>
    </row>
    <row r="11218" spans="3:3" ht="13.5" customHeight="1">
      <c r="C11218" s="4" t="str">
        <f ca="1">IFERROR(__xludf.DUMMYFUNCTION("GOOGLETRANSLATE(D:D,""auto"",""en"")"),"#VALUE!")</f>
        <v>#VALUE!</v>
      </c>
    </row>
    <row r="11219" spans="3:3" ht="13.5" customHeight="1">
      <c r="C11219" s="4" t="str">
        <f ca="1">IFERROR(__xludf.DUMMYFUNCTION("GOOGLETRANSLATE(D:D,""auto"",""en"")"),"#VALUE!")</f>
        <v>#VALUE!</v>
      </c>
    </row>
    <row r="11220" spans="3:3" ht="13.5" customHeight="1">
      <c r="C11220" s="4" t="str">
        <f ca="1">IFERROR(__xludf.DUMMYFUNCTION("GOOGLETRANSLATE(D:D,""auto"",""en"")"),"#VALUE!")</f>
        <v>#VALUE!</v>
      </c>
    </row>
    <row r="11221" spans="3:3" ht="13.5" customHeight="1">
      <c r="C11221" s="4" t="str">
        <f ca="1">IFERROR(__xludf.DUMMYFUNCTION("GOOGLETRANSLATE(D:D,""auto"",""en"")"),"#VALUE!")</f>
        <v>#VALUE!</v>
      </c>
    </row>
    <row r="11222" spans="3:3" ht="13.5" customHeight="1">
      <c r="C11222" s="4" t="str">
        <f ca="1">IFERROR(__xludf.DUMMYFUNCTION("GOOGLETRANSLATE(D:D,""auto"",""en"")"),"#VALUE!")</f>
        <v>#VALUE!</v>
      </c>
    </row>
    <row r="11223" spans="3:3" ht="13.5" customHeight="1">
      <c r="C11223" s="4" t="str">
        <f ca="1">IFERROR(__xludf.DUMMYFUNCTION("GOOGLETRANSLATE(D:D,""auto"",""en"")"),"#VALUE!")</f>
        <v>#VALUE!</v>
      </c>
    </row>
    <row r="11224" spans="3:3" ht="13.5" customHeight="1">
      <c r="C11224" s="4" t="str">
        <f ca="1">IFERROR(__xludf.DUMMYFUNCTION("GOOGLETRANSLATE(D:D,""auto"",""en"")"),"#VALUE!")</f>
        <v>#VALUE!</v>
      </c>
    </row>
    <row r="11225" spans="3:3" ht="13.5" customHeight="1">
      <c r="C11225" s="4" t="str">
        <f ca="1">IFERROR(__xludf.DUMMYFUNCTION("GOOGLETRANSLATE(D:D,""auto"",""en"")"),"#VALUE!")</f>
        <v>#VALUE!</v>
      </c>
    </row>
    <row r="11226" spans="3:3" ht="13.5" customHeight="1">
      <c r="C11226" s="4" t="str">
        <f ca="1">IFERROR(__xludf.DUMMYFUNCTION("GOOGLETRANSLATE(D:D,""auto"",""en"")"),"#VALUE!")</f>
        <v>#VALUE!</v>
      </c>
    </row>
    <row r="11227" spans="3:3" ht="13.5" customHeight="1">
      <c r="C11227" s="4" t="str">
        <f ca="1">IFERROR(__xludf.DUMMYFUNCTION("GOOGLETRANSLATE(D:D,""auto"",""en"")"),"#VALUE!")</f>
        <v>#VALUE!</v>
      </c>
    </row>
    <row r="11228" spans="3:3" ht="13.5" customHeight="1">
      <c r="C11228" s="4" t="str">
        <f ca="1">IFERROR(__xludf.DUMMYFUNCTION("GOOGLETRANSLATE(D:D,""auto"",""en"")"),"#VALUE!")</f>
        <v>#VALUE!</v>
      </c>
    </row>
    <row r="11229" spans="3:3" ht="13.5" customHeight="1">
      <c r="C11229" s="4" t="str">
        <f ca="1">IFERROR(__xludf.DUMMYFUNCTION("GOOGLETRANSLATE(D:D,""auto"",""en"")"),"#VALUE!")</f>
        <v>#VALUE!</v>
      </c>
    </row>
    <row r="11230" spans="3:3" ht="13.5" customHeight="1">
      <c r="C11230" s="4" t="str">
        <f ca="1">IFERROR(__xludf.DUMMYFUNCTION("GOOGLETRANSLATE(D:D,""auto"",""en"")"),"#VALUE!")</f>
        <v>#VALUE!</v>
      </c>
    </row>
    <row r="11231" spans="3:3" ht="13.5" customHeight="1">
      <c r="C11231" s="4" t="str">
        <f ca="1">IFERROR(__xludf.DUMMYFUNCTION("GOOGLETRANSLATE(D:D,""auto"",""en"")"),"#VALUE!")</f>
        <v>#VALUE!</v>
      </c>
    </row>
    <row r="11232" spans="3:3" ht="13.5" customHeight="1">
      <c r="C11232" s="4" t="str">
        <f ca="1">IFERROR(__xludf.DUMMYFUNCTION("GOOGLETRANSLATE(D:D,""auto"",""en"")"),"#VALUE!")</f>
        <v>#VALUE!</v>
      </c>
    </row>
    <row r="11233" spans="3:3" ht="13.5" customHeight="1">
      <c r="C11233" s="4" t="str">
        <f ca="1">IFERROR(__xludf.DUMMYFUNCTION("GOOGLETRANSLATE(D:D,""auto"",""en"")"),"#VALUE!")</f>
        <v>#VALUE!</v>
      </c>
    </row>
    <row r="11234" spans="3:3" ht="13.5" customHeight="1">
      <c r="C11234" s="4" t="str">
        <f ca="1">IFERROR(__xludf.DUMMYFUNCTION("GOOGLETRANSLATE(D:D,""auto"",""en"")"),"#VALUE!")</f>
        <v>#VALUE!</v>
      </c>
    </row>
    <row r="11235" spans="3:3" ht="13.5" customHeight="1">
      <c r="C11235" s="4" t="str">
        <f ca="1">IFERROR(__xludf.DUMMYFUNCTION("GOOGLETRANSLATE(D:D,""auto"",""en"")"),"#VALUE!")</f>
        <v>#VALUE!</v>
      </c>
    </row>
    <row r="11236" spans="3:3" ht="13.5" customHeight="1">
      <c r="C11236" s="4" t="str">
        <f ca="1">IFERROR(__xludf.DUMMYFUNCTION("GOOGLETRANSLATE(D:D,""auto"",""en"")"),"#VALUE!")</f>
        <v>#VALUE!</v>
      </c>
    </row>
    <row r="11237" spans="3:3" ht="13.5" customHeight="1">
      <c r="C11237" s="4" t="str">
        <f ca="1">IFERROR(__xludf.DUMMYFUNCTION("GOOGLETRANSLATE(D:D,""auto"",""en"")"),"#VALUE!")</f>
        <v>#VALUE!</v>
      </c>
    </row>
    <row r="11238" spans="3:3" ht="13.5" customHeight="1">
      <c r="C11238" s="4" t="str">
        <f ca="1">IFERROR(__xludf.DUMMYFUNCTION("GOOGLETRANSLATE(D:D,""auto"",""en"")"),"#VALUE!")</f>
        <v>#VALUE!</v>
      </c>
    </row>
    <row r="11239" spans="3:3" ht="13.5" customHeight="1">
      <c r="C11239" s="4" t="str">
        <f ca="1">IFERROR(__xludf.DUMMYFUNCTION("GOOGLETRANSLATE(D:D,""auto"",""en"")"),"#VALUE!")</f>
        <v>#VALUE!</v>
      </c>
    </row>
    <row r="11240" spans="3:3" ht="13.5" customHeight="1">
      <c r="C11240" s="4" t="str">
        <f ca="1">IFERROR(__xludf.DUMMYFUNCTION("GOOGLETRANSLATE(D:D,""auto"",""en"")"),"#VALUE!")</f>
        <v>#VALUE!</v>
      </c>
    </row>
    <row r="11241" spans="3:3" ht="13.5" customHeight="1">
      <c r="C11241" s="4" t="str">
        <f ca="1">IFERROR(__xludf.DUMMYFUNCTION("GOOGLETRANSLATE(D:D,""auto"",""en"")"),"#VALUE!")</f>
        <v>#VALUE!</v>
      </c>
    </row>
    <row r="11242" spans="3:3" ht="13.5" customHeight="1">
      <c r="C11242" s="4" t="str">
        <f ca="1">IFERROR(__xludf.DUMMYFUNCTION("GOOGLETRANSLATE(D:D,""auto"",""en"")"),"#VALUE!")</f>
        <v>#VALUE!</v>
      </c>
    </row>
    <row r="11243" spans="3:3" ht="13.5" customHeight="1">
      <c r="C11243" s="4" t="str">
        <f ca="1">IFERROR(__xludf.DUMMYFUNCTION("GOOGLETRANSLATE(D:D,""auto"",""en"")"),"#VALUE!")</f>
        <v>#VALUE!</v>
      </c>
    </row>
    <row r="11244" spans="3:3" ht="13.5" customHeight="1">
      <c r="C11244" s="4" t="str">
        <f ca="1">IFERROR(__xludf.DUMMYFUNCTION("GOOGLETRANSLATE(D:D,""auto"",""en"")"),"#VALUE!")</f>
        <v>#VALUE!</v>
      </c>
    </row>
    <row r="11245" spans="3:3" ht="13.5" customHeight="1">
      <c r="C11245" s="4" t="str">
        <f ca="1">IFERROR(__xludf.DUMMYFUNCTION("GOOGLETRANSLATE(D:D,""auto"",""en"")"),"#VALUE!")</f>
        <v>#VALUE!</v>
      </c>
    </row>
    <row r="11246" spans="3:3" ht="13.5" customHeight="1">
      <c r="C11246" s="4" t="str">
        <f ca="1">IFERROR(__xludf.DUMMYFUNCTION("GOOGLETRANSLATE(D:D,""auto"",""en"")"),"#VALUE!")</f>
        <v>#VALUE!</v>
      </c>
    </row>
    <row r="11247" spans="3:3" ht="13.5" customHeight="1">
      <c r="C11247" s="4" t="str">
        <f ca="1">IFERROR(__xludf.DUMMYFUNCTION("GOOGLETRANSLATE(D:D,""auto"",""en"")"),"#VALUE!")</f>
        <v>#VALUE!</v>
      </c>
    </row>
    <row r="11248" spans="3:3" ht="13.5" customHeight="1">
      <c r="C11248" s="4" t="str">
        <f ca="1">IFERROR(__xludf.DUMMYFUNCTION("GOOGLETRANSLATE(D:D,""auto"",""en"")"),"#VALUE!")</f>
        <v>#VALUE!</v>
      </c>
    </row>
    <row r="11249" spans="3:3" ht="13.5" customHeight="1">
      <c r="C11249" s="4" t="str">
        <f ca="1">IFERROR(__xludf.DUMMYFUNCTION("GOOGLETRANSLATE(D:D,""auto"",""en"")"),"#VALUE!")</f>
        <v>#VALUE!</v>
      </c>
    </row>
    <row r="11250" spans="3:3" ht="13.5" customHeight="1">
      <c r="C11250" s="4" t="str">
        <f ca="1">IFERROR(__xludf.DUMMYFUNCTION("GOOGLETRANSLATE(D:D,""auto"",""en"")"),"#VALUE!")</f>
        <v>#VALUE!</v>
      </c>
    </row>
    <row r="11251" spans="3:3" ht="13.5" customHeight="1">
      <c r="C11251" s="4" t="str">
        <f ca="1">IFERROR(__xludf.DUMMYFUNCTION("GOOGLETRANSLATE(D:D,""auto"",""en"")"),"#VALUE!")</f>
        <v>#VALUE!</v>
      </c>
    </row>
    <row r="11252" spans="3:3" ht="13.5" customHeight="1">
      <c r="C11252" s="4" t="str">
        <f ca="1">IFERROR(__xludf.DUMMYFUNCTION("GOOGLETRANSLATE(D:D,""auto"",""en"")"),"#VALUE!")</f>
        <v>#VALUE!</v>
      </c>
    </row>
    <row r="11253" spans="3:3" ht="13.5" customHeight="1">
      <c r="C11253" s="4" t="str">
        <f ca="1">IFERROR(__xludf.DUMMYFUNCTION("GOOGLETRANSLATE(D:D,""auto"",""en"")"),"#VALUE!")</f>
        <v>#VALUE!</v>
      </c>
    </row>
    <row r="11254" spans="3:3" ht="13.5" customHeight="1">
      <c r="C11254" s="4" t="str">
        <f ca="1">IFERROR(__xludf.DUMMYFUNCTION("GOOGLETRANSLATE(D:D,""auto"",""en"")"),"#VALUE!")</f>
        <v>#VALUE!</v>
      </c>
    </row>
    <row r="11255" spans="3:3" ht="13.5" customHeight="1">
      <c r="C11255" s="4" t="str">
        <f ca="1">IFERROR(__xludf.DUMMYFUNCTION("GOOGLETRANSLATE(D:D,""auto"",""en"")"),"#VALUE!")</f>
        <v>#VALUE!</v>
      </c>
    </row>
    <row r="11256" spans="3:3" ht="13.5" customHeight="1">
      <c r="C11256" s="4" t="str">
        <f ca="1">IFERROR(__xludf.DUMMYFUNCTION("GOOGLETRANSLATE(D:D,""auto"",""en"")"),"#VALUE!")</f>
        <v>#VALUE!</v>
      </c>
    </row>
    <row r="11257" spans="3:3" ht="13.5" customHeight="1">
      <c r="C11257" s="4" t="str">
        <f ca="1">IFERROR(__xludf.DUMMYFUNCTION("GOOGLETRANSLATE(D:D,""auto"",""en"")"),"#VALUE!")</f>
        <v>#VALUE!</v>
      </c>
    </row>
    <row r="11258" spans="3:3" ht="13.5" customHeight="1">
      <c r="C11258" s="4" t="str">
        <f ca="1">IFERROR(__xludf.DUMMYFUNCTION("GOOGLETRANSLATE(D:D,""auto"",""en"")"),"#VALUE!")</f>
        <v>#VALUE!</v>
      </c>
    </row>
    <row r="11259" spans="3:3" ht="13.5" customHeight="1">
      <c r="C11259" s="4" t="str">
        <f ca="1">IFERROR(__xludf.DUMMYFUNCTION("GOOGLETRANSLATE(D:D,""auto"",""en"")"),"#VALUE!")</f>
        <v>#VALUE!</v>
      </c>
    </row>
    <row r="11260" spans="3:3" ht="13.5" customHeight="1">
      <c r="C11260" s="4" t="str">
        <f ca="1">IFERROR(__xludf.DUMMYFUNCTION("GOOGLETRANSLATE(D:D,""auto"",""en"")"),"#VALUE!")</f>
        <v>#VALUE!</v>
      </c>
    </row>
    <row r="11261" spans="3:3" ht="13.5" customHeight="1">
      <c r="C11261" s="4" t="str">
        <f ca="1">IFERROR(__xludf.DUMMYFUNCTION("GOOGLETRANSLATE(D:D,""auto"",""en"")"),"#VALUE!")</f>
        <v>#VALUE!</v>
      </c>
    </row>
    <row r="11262" spans="3:3" ht="13.5" customHeight="1">
      <c r="C11262" s="4" t="str">
        <f ca="1">IFERROR(__xludf.DUMMYFUNCTION("GOOGLETRANSLATE(D:D,""auto"",""en"")"),"#VALUE!")</f>
        <v>#VALUE!</v>
      </c>
    </row>
    <row r="11263" spans="3:3" ht="13.5" customHeight="1">
      <c r="C11263" s="4" t="str">
        <f ca="1">IFERROR(__xludf.DUMMYFUNCTION("GOOGLETRANSLATE(D:D,""auto"",""en"")"),"#VALUE!")</f>
        <v>#VALUE!</v>
      </c>
    </row>
    <row r="11264" spans="3:3" ht="13.5" customHeight="1">
      <c r="C11264" s="4" t="str">
        <f ca="1">IFERROR(__xludf.DUMMYFUNCTION("GOOGLETRANSLATE(D:D,""auto"",""en"")"),"#VALUE!")</f>
        <v>#VALUE!</v>
      </c>
    </row>
    <row r="11265" spans="3:3" ht="13.5" customHeight="1">
      <c r="C11265" s="4" t="str">
        <f ca="1">IFERROR(__xludf.DUMMYFUNCTION("GOOGLETRANSLATE(D:D,""auto"",""en"")"),"#VALUE!")</f>
        <v>#VALUE!</v>
      </c>
    </row>
    <row r="11266" spans="3:3" ht="13.5" customHeight="1">
      <c r="C11266" s="4" t="str">
        <f ca="1">IFERROR(__xludf.DUMMYFUNCTION("GOOGLETRANSLATE(D:D,""auto"",""en"")"),"#VALUE!")</f>
        <v>#VALUE!</v>
      </c>
    </row>
    <row r="11267" spans="3:3" ht="13.5" customHeight="1">
      <c r="C11267" s="4" t="str">
        <f ca="1">IFERROR(__xludf.DUMMYFUNCTION("GOOGLETRANSLATE(D:D,""auto"",""en"")"),"#VALUE!")</f>
        <v>#VALUE!</v>
      </c>
    </row>
    <row r="11268" spans="3:3" ht="13.5" customHeight="1">
      <c r="C11268" s="4" t="str">
        <f ca="1">IFERROR(__xludf.DUMMYFUNCTION("GOOGLETRANSLATE(D:D,""auto"",""en"")"),"#VALUE!")</f>
        <v>#VALUE!</v>
      </c>
    </row>
    <row r="11269" spans="3:3" ht="13.5" customHeight="1">
      <c r="C11269" s="4" t="str">
        <f ca="1">IFERROR(__xludf.DUMMYFUNCTION("GOOGLETRANSLATE(D:D,""auto"",""en"")"),"#VALUE!")</f>
        <v>#VALUE!</v>
      </c>
    </row>
    <row r="11270" spans="3:3" ht="13.5" customHeight="1">
      <c r="C11270" s="4" t="str">
        <f ca="1">IFERROR(__xludf.DUMMYFUNCTION("GOOGLETRANSLATE(D:D,""auto"",""en"")"),"#VALUE!")</f>
        <v>#VALUE!</v>
      </c>
    </row>
    <row r="11271" spans="3:3" ht="13.5" customHeight="1">
      <c r="C11271" s="4" t="str">
        <f ca="1">IFERROR(__xludf.DUMMYFUNCTION("GOOGLETRANSLATE(D:D,""auto"",""en"")"),"#VALUE!")</f>
        <v>#VALUE!</v>
      </c>
    </row>
    <row r="11272" spans="3:3" ht="13.5" customHeight="1">
      <c r="C11272" s="4" t="str">
        <f ca="1">IFERROR(__xludf.DUMMYFUNCTION("GOOGLETRANSLATE(D:D,""auto"",""en"")"),"#VALUE!")</f>
        <v>#VALUE!</v>
      </c>
    </row>
    <row r="11273" spans="3:3" ht="13.5" customHeight="1">
      <c r="C11273" s="4" t="str">
        <f ca="1">IFERROR(__xludf.DUMMYFUNCTION("GOOGLETRANSLATE(D:D,""auto"",""en"")"),"#VALUE!")</f>
        <v>#VALUE!</v>
      </c>
    </row>
    <row r="11274" spans="3:3" ht="13.5" customHeight="1">
      <c r="C11274" s="4" t="str">
        <f ca="1">IFERROR(__xludf.DUMMYFUNCTION("GOOGLETRANSLATE(D:D,""auto"",""en"")"),"#VALUE!")</f>
        <v>#VALUE!</v>
      </c>
    </row>
    <row r="11275" spans="3:3" ht="13.5" customHeight="1">
      <c r="C11275" s="4" t="str">
        <f ca="1">IFERROR(__xludf.DUMMYFUNCTION("GOOGLETRANSLATE(D:D,""auto"",""en"")"),"#VALUE!")</f>
        <v>#VALUE!</v>
      </c>
    </row>
    <row r="11276" spans="3:3" ht="13.5" customHeight="1">
      <c r="C11276" s="4" t="str">
        <f ca="1">IFERROR(__xludf.DUMMYFUNCTION("GOOGLETRANSLATE(D:D,""auto"",""en"")"),"#VALUE!")</f>
        <v>#VALUE!</v>
      </c>
    </row>
    <row r="11277" spans="3:3" ht="13.5" customHeight="1">
      <c r="C11277" s="4" t="str">
        <f ca="1">IFERROR(__xludf.DUMMYFUNCTION("GOOGLETRANSLATE(D:D,""auto"",""en"")"),"#VALUE!")</f>
        <v>#VALUE!</v>
      </c>
    </row>
    <row r="11278" spans="3:3" ht="13.5" customHeight="1">
      <c r="C11278" s="4" t="str">
        <f ca="1">IFERROR(__xludf.DUMMYFUNCTION("GOOGLETRANSLATE(D:D,""auto"",""en"")"),"#VALUE!")</f>
        <v>#VALUE!</v>
      </c>
    </row>
    <row r="11279" spans="3:3" ht="13.5" customHeight="1">
      <c r="C11279" s="4" t="str">
        <f ca="1">IFERROR(__xludf.DUMMYFUNCTION("GOOGLETRANSLATE(D:D,""auto"",""en"")"),"#VALUE!")</f>
        <v>#VALUE!</v>
      </c>
    </row>
    <row r="11280" spans="3:3" ht="13.5" customHeight="1">
      <c r="C11280" s="4" t="str">
        <f ca="1">IFERROR(__xludf.DUMMYFUNCTION("GOOGLETRANSLATE(D:D,""auto"",""en"")"),"#VALUE!")</f>
        <v>#VALUE!</v>
      </c>
    </row>
    <row r="11281" spans="3:3" ht="13.5" customHeight="1">
      <c r="C11281" s="4" t="str">
        <f ca="1">IFERROR(__xludf.DUMMYFUNCTION("GOOGLETRANSLATE(D:D,""auto"",""en"")"),"#VALUE!")</f>
        <v>#VALUE!</v>
      </c>
    </row>
    <row r="11282" spans="3:3" ht="13.5" customHeight="1">
      <c r="C11282" s="4" t="str">
        <f ca="1">IFERROR(__xludf.DUMMYFUNCTION("GOOGLETRANSLATE(D:D,""auto"",""en"")"),"#VALUE!")</f>
        <v>#VALUE!</v>
      </c>
    </row>
    <row r="11283" spans="3:3" ht="13.5" customHeight="1">
      <c r="C11283" s="4" t="str">
        <f ca="1">IFERROR(__xludf.DUMMYFUNCTION("GOOGLETRANSLATE(D:D,""auto"",""en"")"),"#VALUE!")</f>
        <v>#VALUE!</v>
      </c>
    </row>
    <row r="11284" spans="3:3" ht="13.5" customHeight="1">
      <c r="C11284" s="4" t="str">
        <f ca="1">IFERROR(__xludf.DUMMYFUNCTION("GOOGLETRANSLATE(D:D,""auto"",""en"")"),"#VALUE!")</f>
        <v>#VALUE!</v>
      </c>
    </row>
    <row r="11285" spans="3:3" ht="13.5" customHeight="1">
      <c r="C11285" s="4" t="str">
        <f ca="1">IFERROR(__xludf.DUMMYFUNCTION("GOOGLETRANSLATE(D:D,""auto"",""en"")"),"#VALUE!")</f>
        <v>#VALUE!</v>
      </c>
    </row>
    <row r="11286" spans="3:3" ht="13.5" customHeight="1">
      <c r="C11286" s="4" t="str">
        <f ca="1">IFERROR(__xludf.DUMMYFUNCTION("GOOGLETRANSLATE(D:D,""auto"",""en"")"),"#VALUE!")</f>
        <v>#VALUE!</v>
      </c>
    </row>
    <row r="11287" spans="3:3" ht="13.5" customHeight="1">
      <c r="C11287" s="4" t="str">
        <f ca="1">IFERROR(__xludf.DUMMYFUNCTION("GOOGLETRANSLATE(D:D,""auto"",""en"")"),"#VALUE!")</f>
        <v>#VALUE!</v>
      </c>
    </row>
    <row r="11288" spans="3:3" ht="13.5" customHeight="1">
      <c r="C11288" s="4" t="str">
        <f ca="1">IFERROR(__xludf.DUMMYFUNCTION("GOOGLETRANSLATE(D:D,""auto"",""en"")"),"#VALUE!")</f>
        <v>#VALUE!</v>
      </c>
    </row>
    <row r="11289" spans="3:3" ht="13.5" customHeight="1">
      <c r="C11289" s="4" t="str">
        <f ca="1">IFERROR(__xludf.DUMMYFUNCTION("GOOGLETRANSLATE(D:D,""auto"",""en"")"),"#VALUE!")</f>
        <v>#VALUE!</v>
      </c>
    </row>
    <row r="11290" spans="3:3" ht="13.5" customHeight="1">
      <c r="C11290" s="4" t="str">
        <f ca="1">IFERROR(__xludf.DUMMYFUNCTION("GOOGLETRANSLATE(D:D,""auto"",""en"")"),"#VALUE!")</f>
        <v>#VALUE!</v>
      </c>
    </row>
    <row r="11291" spans="3:3" ht="13.5" customHeight="1">
      <c r="C11291" s="4" t="str">
        <f ca="1">IFERROR(__xludf.DUMMYFUNCTION("GOOGLETRANSLATE(D:D,""auto"",""en"")"),"#VALUE!")</f>
        <v>#VALUE!</v>
      </c>
    </row>
    <row r="11292" spans="3:3" ht="13.5" customHeight="1">
      <c r="C11292" s="4" t="str">
        <f ca="1">IFERROR(__xludf.DUMMYFUNCTION("GOOGLETRANSLATE(D:D,""auto"",""en"")"),"#VALUE!")</f>
        <v>#VALUE!</v>
      </c>
    </row>
    <row r="11293" spans="3:3" ht="13.5" customHeight="1">
      <c r="C11293" s="4" t="str">
        <f ca="1">IFERROR(__xludf.DUMMYFUNCTION("GOOGLETRANSLATE(D:D,""auto"",""en"")"),"#VALUE!")</f>
        <v>#VALUE!</v>
      </c>
    </row>
    <row r="11294" spans="3:3" ht="13.5" customHeight="1">
      <c r="C11294" s="4" t="str">
        <f ca="1">IFERROR(__xludf.DUMMYFUNCTION("GOOGLETRANSLATE(D:D,""auto"",""en"")"),"#VALUE!")</f>
        <v>#VALUE!</v>
      </c>
    </row>
    <row r="11295" spans="3:3" ht="13.5" customHeight="1">
      <c r="C11295" s="4" t="str">
        <f ca="1">IFERROR(__xludf.DUMMYFUNCTION("GOOGLETRANSLATE(D:D,""auto"",""en"")"),"#VALUE!")</f>
        <v>#VALUE!</v>
      </c>
    </row>
    <row r="11296" spans="3:3" ht="13.5" customHeight="1">
      <c r="C11296" s="4" t="str">
        <f ca="1">IFERROR(__xludf.DUMMYFUNCTION("GOOGLETRANSLATE(D:D,""auto"",""en"")"),"#VALUE!")</f>
        <v>#VALUE!</v>
      </c>
    </row>
    <row r="11297" spans="3:3" ht="13.5" customHeight="1">
      <c r="C11297" s="4" t="str">
        <f ca="1">IFERROR(__xludf.DUMMYFUNCTION("GOOGLETRANSLATE(D:D,""auto"",""en"")"),"#VALUE!")</f>
        <v>#VALUE!</v>
      </c>
    </row>
    <row r="11298" spans="3:3" ht="13.5" customHeight="1">
      <c r="C11298" s="4" t="str">
        <f ca="1">IFERROR(__xludf.DUMMYFUNCTION("GOOGLETRANSLATE(D:D,""auto"",""en"")"),"#VALUE!")</f>
        <v>#VALUE!</v>
      </c>
    </row>
    <row r="11299" spans="3:3" ht="13.5" customHeight="1">
      <c r="C11299" s="4" t="str">
        <f ca="1">IFERROR(__xludf.DUMMYFUNCTION("GOOGLETRANSLATE(D:D,""auto"",""en"")"),"#VALUE!")</f>
        <v>#VALUE!</v>
      </c>
    </row>
    <row r="11300" spans="3:3" ht="13.5" customHeight="1">
      <c r="C11300" s="4" t="str">
        <f ca="1">IFERROR(__xludf.DUMMYFUNCTION("GOOGLETRANSLATE(D:D,""auto"",""en"")"),"#VALUE!")</f>
        <v>#VALUE!</v>
      </c>
    </row>
    <row r="11301" spans="3:3" ht="13.5" customHeight="1">
      <c r="C11301" s="4" t="str">
        <f ca="1">IFERROR(__xludf.DUMMYFUNCTION("GOOGLETRANSLATE(D:D,""auto"",""en"")"),"#VALUE!")</f>
        <v>#VALUE!</v>
      </c>
    </row>
    <row r="11302" spans="3:3" ht="13.5" customHeight="1">
      <c r="C11302" s="4" t="str">
        <f ca="1">IFERROR(__xludf.DUMMYFUNCTION("GOOGLETRANSLATE(D:D,""auto"",""en"")"),"#VALUE!")</f>
        <v>#VALUE!</v>
      </c>
    </row>
    <row r="11303" spans="3:3" ht="13.5" customHeight="1">
      <c r="C11303" s="4" t="str">
        <f ca="1">IFERROR(__xludf.DUMMYFUNCTION("GOOGLETRANSLATE(D:D,""auto"",""en"")"),"#VALUE!")</f>
        <v>#VALUE!</v>
      </c>
    </row>
    <row r="11304" spans="3:3" ht="13.5" customHeight="1">
      <c r="C11304" s="4" t="str">
        <f ca="1">IFERROR(__xludf.DUMMYFUNCTION("GOOGLETRANSLATE(D:D,""auto"",""en"")"),"#VALUE!")</f>
        <v>#VALUE!</v>
      </c>
    </row>
    <row r="11305" spans="3:3" ht="13.5" customHeight="1">
      <c r="C11305" s="4" t="str">
        <f ca="1">IFERROR(__xludf.DUMMYFUNCTION("GOOGLETRANSLATE(D:D,""auto"",""en"")"),"#VALUE!")</f>
        <v>#VALUE!</v>
      </c>
    </row>
    <row r="11306" spans="3:3" ht="13.5" customHeight="1">
      <c r="C11306" s="4" t="str">
        <f ca="1">IFERROR(__xludf.DUMMYFUNCTION("GOOGLETRANSLATE(D:D,""auto"",""en"")"),"#VALUE!")</f>
        <v>#VALUE!</v>
      </c>
    </row>
    <row r="11307" spans="3:3" ht="13.5" customHeight="1">
      <c r="C11307" s="4" t="str">
        <f ca="1">IFERROR(__xludf.DUMMYFUNCTION("GOOGLETRANSLATE(D:D,""auto"",""en"")"),"#VALUE!")</f>
        <v>#VALUE!</v>
      </c>
    </row>
    <row r="11308" spans="3:3" ht="13.5" customHeight="1">
      <c r="C11308" s="4" t="str">
        <f ca="1">IFERROR(__xludf.DUMMYFUNCTION("GOOGLETRANSLATE(D:D,""auto"",""en"")"),"#VALUE!")</f>
        <v>#VALUE!</v>
      </c>
    </row>
    <row r="11309" spans="3:3" ht="13.5" customHeight="1">
      <c r="C11309" s="4" t="str">
        <f ca="1">IFERROR(__xludf.DUMMYFUNCTION("GOOGLETRANSLATE(D:D,""auto"",""en"")"),"#VALUE!")</f>
        <v>#VALUE!</v>
      </c>
    </row>
    <row r="11310" spans="3:3" ht="13.5" customHeight="1">
      <c r="C11310" s="4" t="str">
        <f ca="1">IFERROR(__xludf.DUMMYFUNCTION("GOOGLETRANSLATE(D:D,""auto"",""en"")"),"#VALUE!")</f>
        <v>#VALUE!</v>
      </c>
    </row>
    <row r="11311" spans="3:3" ht="13.5" customHeight="1">
      <c r="C11311" s="4" t="str">
        <f ca="1">IFERROR(__xludf.DUMMYFUNCTION("GOOGLETRANSLATE(D:D,""auto"",""en"")"),"#VALUE!")</f>
        <v>#VALUE!</v>
      </c>
    </row>
    <row r="11312" spans="3:3" ht="13.5" customHeight="1">
      <c r="C11312" s="4" t="str">
        <f ca="1">IFERROR(__xludf.DUMMYFUNCTION("GOOGLETRANSLATE(D:D,""auto"",""en"")"),"#VALUE!")</f>
        <v>#VALUE!</v>
      </c>
    </row>
    <row r="11313" spans="3:3" ht="13.5" customHeight="1">
      <c r="C11313" s="4" t="str">
        <f ca="1">IFERROR(__xludf.DUMMYFUNCTION("GOOGLETRANSLATE(D:D,""auto"",""en"")"),"#VALUE!")</f>
        <v>#VALUE!</v>
      </c>
    </row>
    <row r="11314" spans="3:3" ht="13.5" customHeight="1">
      <c r="C11314" s="4" t="str">
        <f ca="1">IFERROR(__xludf.DUMMYFUNCTION("GOOGLETRANSLATE(D:D,""auto"",""en"")"),"#VALUE!")</f>
        <v>#VALUE!</v>
      </c>
    </row>
    <row r="11315" spans="3:3" ht="13.5" customHeight="1">
      <c r="C11315" s="4" t="str">
        <f ca="1">IFERROR(__xludf.DUMMYFUNCTION("GOOGLETRANSLATE(D:D,""auto"",""en"")"),"#VALUE!")</f>
        <v>#VALUE!</v>
      </c>
    </row>
    <row r="11316" spans="3:3" ht="13.5" customHeight="1">
      <c r="C11316" s="4" t="str">
        <f ca="1">IFERROR(__xludf.DUMMYFUNCTION("GOOGLETRANSLATE(D:D,""auto"",""en"")"),"#VALUE!")</f>
        <v>#VALUE!</v>
      </c>
    </row>
    <row r="11317" spans="3:3" ht="13.5" customHeight="1">
      <c r="C11317" s="4" t="str">
        <f ca="1">IFERROR(__xludf.DUMMYFUNCTION("GOOGLETRANSLATE(D:D,""auto"",""en"")"),"#VALUE!")</f>
        <v>#VALUE!</v>
      </c>
    </row>
    <row r="11318" spans="3:3" ht="13.5" customHeight="1">
      <c r="C11318" s="4" t="str">
        <f ca="1">IFERROR(__xludf.DUMMYFUNCTION("GOOGLETRANSLATE(D:D,""auto"",""en"")"),"#VALUE!")</f>
        <v>#VALUE!</v>
      </c>
    </row>
    <row r="11319" spans="3:3" ht="13.5" customHeight="1">
      <c r="C11319" s="4" t="str">
        <f ca="1">IFERROR(__xludf.DUMMYFUNCTION("GOOGLETRANSLATE(D:D,""auto"",""en"")"),"#VALUE!")</f>
        <v>#VALUE!</v>
      </c>
    </row>
    <row r="11320" spans="3:3" ht="13.5" customHeight="1">
      <c r="C11320" s="4" t="str">
        <f ca="1">IFERROR(__xludf.DUMMYFUNCTION("GOOGLETRANSLATE(D:D,""auto"",""en"")"),"#VALUE!")</f>
        <v>#VALUE!</v>
      </c>
    </row>
    <row r="11321" spans="3:3" ht="13.5" customHeight="1">
      <c r="C11321" s="4" t="str">
        <f ca="1">IFERROR(__xludf.DUMMYFUNCTION("GOOGLETRANSLATE(D:D,""auto"",""en"")"),"#VALUE!")</f>
        <v>#VALUE!</v>
      </c>
    </row>
    <row r="11322" spans="3:3" ht="13.5" customHeight="1">
      <c r="C11322" s="4" t="str">
        <f ca="1">IFERROR(__xludf.DUMMYFUNCTION("GOOGLETRANSLATE(D:D,""auto"",""en"")"),"#VALUE!")</f>
        <v>#VALUE!</v>
      </c>
    </row>
    <row r="11323" spans="3:3" ht="13.5" customHeight="1">
      <c r="C11323" s="4" t="str">
        <f ca="1">IFERROR(__xludf.DUMMYFUNCTION("GOOGLETRANSLATE(D:D,""auto"",""en"")"),"#VALUE!")</f>
        <v>#VALUE!</v>
      </c>
    </row>
    <row r="11324" spans="3:3" ht="13.5" customHeight="1">
      <c r="C11324" s="4" t="str">
        <f ca="1">IFERROR(__xludf.DUMMYFUNCTION("GOOGLETRANSLATE(D:D,""auto"",""en"")"),"#VALUE!")</f>
        <v>#VALUE!</v>
      </c>
    </row>
    <row r="11325" spans="3:3" ht="13.5" customHeight="1">
      <c r="C11325" s="4" t="str">
        <f ca="1">IFERROR(__xludf.DUMMYFUNCTION("GOOGLETRANSLATE(D:D,""auto"",""en"")"),"#VALUE!")</f>
        <v>#VALUE!</v>
      </c>
    </row>
    <row r="11326" spans="3:3" ht="13.5" customHeight="1">
      <c r="C11326" s="4" t="str">
        <f ca="1">IFERROR(__xludf.DUMMYFUNCTION("GOOGLETRANSLATE(D:D,""auto"",""en"")"),"#VALUE!")</f>
        <v>#VALUE!</v>
      </c>
    </row>
    <row r="11327" spans="3:3" ht="13.5" customHeight="1">
      <c r="C11327" s="4" t="str">
        <f ca="1">IFERROR(__xludf.DUMMYFUNCTION("GOOGLETRANSLATE(D:D,""auto"",""en"")"),"#VALUE!")</f>
        <v>#VALUE!</v>
      </c>
    </row>
    <row r="11328" spans="3:3" ht="13.5" customHeight="1">
      <c r="C11328" s="4" t="str">
        <f ca="1">IFERROR(__xludf.DUMMYFUNCTION("GOOGLETRANSLATE(D:D,""auto"",""en"")"),"#VALUE!")</f>
        <v>#VALUE!</v>
      </c>
    </row>
    <row r="11329" spans="3:3" ht="13.5" customHeight="1">
      <c r="C11329" s="4" t="str">
        <f ca="1">IFERROR(__xludf.DUMMYFUNCTION("GOOGLETRANSLATE(D:D,""auto"",""en"")"),"#VALUE!")</f>
        <v>#VALUE!</v>
      </c>
    </row>
    <row r="11330" spans="3:3" ht="13.5" customHeight="1">
      <c r="C11330" s="4" t="str">
        <f ca="1">IFERROR(__xludf.DUMMYFUNCTION("GOOGLETRANSLATE(D:D,""auto"",""en"")"),"#VALUE!")</f>
        <v>#VALUE!</v>
      </c>
    </row>
    <row r="11331" spans="3:3" ht="13.5" customHeight="1">
      <c r="C11331" s="4" t="str">
        <f ca="1">IFERROR(__xludf.DUMMYFUNCTION("GOOGLETRANSLATE(D:D,""auto"",""en"")"),"#VALUE!")</f>
        <v>#VALUE!</v>
      </c>
    </row>
    <row r="11332" spans="3:3" ht="13.5" customHeight="1">
      <c r="C11332" s="4" t="str">
        <f ca="1">IFERROR(__xludf.DUMMYFUNCTION("GOOGLETRANSLATE(D:D,""auto"",""en"")"),"#VALUE!")</f>
        <v>#VALUE!</v>
      </c>
    </row>
    <row r="11333" spans="3:3" ht="13.5" customHeight="1">
      <c r="C11333" s="4" t="str">
        <f ca="1">IFERROR(__xludf.DUMMYFUNCTION("GOOGLETRANSLATE(D:D,""auto"",""en"")"),"#VALUE!")</f>
        <v>#VALUE!</v>
      </c>
    </row>
    <row r="11334" spans="3:3" ht="13.5" customHeight="1">
      <c r="C11334" s="4" t="str">
        <f ca="1">IFERROR(__xludf.DUMMYFUNCTION("GOOGLETRANSLATE(D:D,""auto"",""en"")"),"#VALUE!")</f>
        <v>#VALUE!</v>
      </c>
    </row>
    <row r="11335" spans="3:3" ht="13.5" customHeight="1">
      <c r="C11335" s="4" t="str">
        <f ca="1">IFERROR(__xludf.DUMMYFUNCTION("GOOGLETRANSLATE(D:D,""auto"",""en"")"),"#VALUE!")</f>
        <v>#VALUE!</v>
      </c>
    </row>
    <row r="11336" spans="3:3" ht="13.5" customHeight="1">
      <c r="C11336" s="4" t="str">
        <f ca="1">IFERROR(__xludf.DUMMYFUNCTION("GOOGLETRANSLATE(D:D,""auto"",""en"")"),"#VALUE!")</f>
        <v>#VALUE!</v>
      </c>
    </row>
    <row r="11337" spans="3:3" ht="13.5" customHeight="1">
      <c r="C11337" s="4" t="str">
        <f ca="1">IFERROR(__xludf.DUMMYFUNCTION("GOOGLETRANSLATE(D:D,""auto"",""en"")"),"#VALUE!")</f>
        <v>#VALUE!</v>
      </c>
    </row>
    <row r="11338" spans="3:3" ht="13.5" customHeight="1">
      <c r="C11338" s="4" t="str">
        <f ca="1">IFERROR(__xludf.DUMMYFUNCTION("GOOGLETRANSLATE(D:D,""auto"",""en"")"),"#VALUE!")</f>
        <v>#VALUE!</v>
      </c>
    </row>
    <row r="11339" spans="3:3" ht="13.5" customHeight="1">
      <c r="C11339" s="4" t="str">
        <f ca="1">IFERROR(__xludf.DUMMYFUNCTION("GOOGLETRANSLATE(D:D,""auto"",""en"")"),"#VALUE!")</f>
        <v>#VALUE!</v>
      </c>
    </row>
    <row r="11340" spans="3:3" ht="13.5" customHeight="1">
      <c r="C11340" s="4" t="str">
        <f ca="1">IFERROR(__xludf.DUMMYFUNCTION("GOOGLETRANSLATE(D:D,""auto"",""en"")"),"#VALUE!")</f>
        <v>#VALUE!</v>
      </c>
    </row>
    <row r="11341" spans="3:3" ht="13.5" customHeight="1">
      <c r="C11341" s="4" t="str">
        <f ca="1">IFERROR(__xludf.DUMMYFUNCTION("GOOGLETRANSLATE(D:D,""auto"",""en"")"),"#VALUE!")</f>
        <v>#VALUE!</v>
      </c>
    </row>
    <row r="11342" spans="3:3" ht="13.5" customHeight="1">
      <c r="C11342" s="4" t="str">
        <f ca="1">IFERROR(__xludf.DUMMYFUNCTION("GOOGLETRANSLATE(D:D,""auto"",""en"")"),"#VALUE!")</f>
        <v>#VALUE!</v>
      </c>
    </row>
    <row r="11343" spans="3:3" ht="13.5" customHeight="1">
      <c r="C11343" s="4" t="str">
        <f ca="1">IFERROR(__xludf.DUMMYFUNCTION("GOOGLETRANSLATE(D:D,""auto"",""en"")"),"#VALUE!")</f>
        <v>#VALUE!</v>
      </c>
    </row>
    <row r="11344" spans="3:3" ht="13.5" customHeight="1">
      <c r="C11344" s="4" t="str">
        <f ca="1">IFERROR(__xludf.DUMMYFUNCTION("GOOGLETRANSLATE(D:D,""auto"",""en"")"),"#VALUE!")</f>
        <v>#VALUE!</v>
      </c>
    </row>
    <row r="11345" spans="3:3" ht="13.5" customHeight="1">
      <c r="C11345" s="4" t="str">
        <f ca="1">IFERROR(__xludf.DUMMYFUNCTION("GOOGLETRANSLATE(D:D,""auto"",""en"")"),"#VALUE!")</f>
        <v>#VALUE!</v>
      </c>
    </row>
    <row r="11346" spans="3:3" ht="13.5" customHeight="1">
      <c r="C11346" s="4" t="str">
        <f ca="1">IFERROR(__xludf.DUMMYFUNCTION("GOOGLETRANSLATE(D:D,""auto"",""en"")"),"#VALUE!")</f>
        <v>#VALUE!</v>
      </c>
    </row>
    <row r="11347" spans="3:3" ht="13.5" customHeight="1">
      <c r="C11347" s="4" t="str">
        <f ca="1">IFERROR(__xludf.DUMMYFUNCTION("GOOGLETRANSLATE(D:D,""auto"",""en"")"),"#VALUE!")</f>
        <v>#VALUE!</v>
      </c>
    </row>
    <row r="11348" spans="3:3" ht="13.5" customHeight="1">
      <c r="C11348" s="4" t="str">
        <f ca="1">IFERROR(__xludf.DUMMYFUNCTION("GOOGLETRANSLATE(D:D,""auto"",""en"")"),"#VALUE!")</f>
        <v>#VALUE!</v>
      </c>
    </row>
    <row r="11349" spans="3:3" ht="13.5" customHeight="1">
      <c r="C11349" s="4" t="str">
        <f ca="1">IFERROR(__xludf.DUMMYFUNCTION("GOOGLETRANSLATE(D:D,""auto"",""en"")"),"#VALUE!")</f>
        <v>#VALUE!</v>
      </c>
    </row>
    <row r="11350" spans="3:3" ht="13.5" customHeight="1">
      <c r="C11350" s="4" t="str">
        <f ca="1">IFERROR(__xludf.DUMMYFUNCTION("GOOGLETRANSLATE(D:D,""auto"",""en"")"),"#VALUE!")</f>
        <v>#VALUE!</v>
      </c>
    </row>
    <row r="11351" spans="3:3" ht="13.5" customHeight="1">
      <c r="C11351" s="4" t="str">
        <f ca="1">IFERROR(__xludf.DUMMYFUNCTION("GOOGLETRANSLATE(D:D,""auto"",""en"")"),"#VALUE!")</f>
        <v>#VALUE!</v>
      </c>
    </row>
    <row r="11352" spans="3:3" ht="13.5" customHeight="1">
      <c r="C11352" s="4" t="str">
        <f ca="1">IFERROR(__xludf.DUMMYFUNCTION("GOOGLETRANSLATE(D:D,""auto"",""en"")"),"#VALUE!")</f>
        <v>#VALUE!</v>
      </c>
    </row>
    <row r="11353" spans="3:3" ht="13.5" customHeight="1">
      <c r="C11353" s="4" t="str">
        <f ca="1">IFERROR(__xludf.DUMMYFUNCTION("GOOGLETRANSLATE(D:D,""auto"",""en"")"),"#VALUE!")</f>
        <v>#VALUE!</v>
      </c>
    </row>
    <row r="11354" spans="3:3" ht="13.5" customHeight="1">
      <c r="C11354" s="4" t="str">
        <f ca="1">IFERROR(__xludf.DUMMYFUNCTION("GOOGLETRANSLATE(D:D,""auto"",""en"")"),"#VALUE!")</f>
        <v>#VALUE!</v>
      </c>
    </row>
    <row r="11355" spans="3:3" ht="13.5" customHeight="1">
      <c r="C11355" s="4" t="str">
        <f ca="1">IFERROR(__xludf.DUMMYFUNCTION("GOOGLETRANSLATE(D:D,""auto"",""en"")"),"#VALUE!")</f>
        <v>#VALUE!</v>
      </c>
    </row>
    <row r="11356" spans="3:3" ht="13.5" customHeight="1">
      <c r="C11356" s="4" t="str">
        <f ca="1">IFERROR(__xludf.DUMMYFUNCTION("GOOGLETRANSLATE(D:D,""auto"",""en"")"),"#VALUE!")</f>
        <v>#VALUE!</v>
      </c>
    </row>
    <row r="11357" spans="3:3" ht="13.5" customHeight="1">
      <c r="C11357" s="4" t="str">
        <f ca="1">IFERROR(__xludf.DUMMYFUNCTION("GOOGLETRANSLATE(D:D,""auto"",""en"")"),"#VALUE!")</f>
        <v>#VALUE!</v>
      </c>
    </row>
    <row r="11358" spans="3:3" ht="13.5" customHeight="1">
      <c r="C11358" s="4" t="str">
        <f ca="1">IFERROR(__xludf.DUMMYFUNCTION("GOOGLETRANSLATE(D:D,""auto"",""en"")"),"#VALUE!")</f>
        <v>#VALUE!</v>
      </c>
    </row>
    <row r="11359" spans="3:3" ht="13.5" customHeight="1">
      <c r="C11359" s="4" t="str">
        <f ca="1">IFERROR(__xludf.DUMMYFUNCTION("GOOGLETRANSLATE(D:D,""auto"",""en"")"),"#VALUE!")</f>
        <v>#VALUE!</v>
      </c>
    </row>
    <row r="11360" spans="3:3" ht="13.5" customHeight="1">
      <c r="C11360" s="4" t="str">
        <f ca="1">IFERROR(__xludf.DUMMYFUNCTION("GOOGLETRANSLATE(D:D,""auto"",""en"")"),"#VALUE!")</f>
        <v>#VALUE!</v>
      </c>
    </row>
    <row r="11361" spans="3:3" ht="13.5" customHeight="1">
      <c r="C11361" s="4" t="str">
        <f ca="1">IFERROR(__xludf.DUMMYFUNCTION("GOOGLETRANSLATE(D:D,""auto"",""en"")"),"#VALUE!")</f>
        <v>#VALUE!</v>
      </c>
    </row>
    <row r="11362" spans="3:3" ht="13.5" customHeight="1">
      <c r="C11362" s="4" t="str">
        <f ca="1">IFERROR(__xludf.DUMMYFUNCTION("GOOGLETRANSLATE(D:D,""auto"",""en"")"),"#VALUE!")</f>
        <v>#VALUE!</v>
      </c>
    </row>
    <row r="11363" spans="3:3" ht="13.5" customHeight="1">
      <c r="C11363" s="4" t="str">
        <f ca="1">IFERROR(__xludf.DUMMYFUNCTION("GOOGLETRANSLATE(D:D,""auto"",""en"")"),"#VALUE!")</f>
        <v>#VALUE!</v>
      </c>
    </row>
    <row r="11364" spans="3:3" ht="13.5" customHeight="1">
      <c r="C11364" s="4" t="str">
        <f ca="1">IFERROR(__xludf.DUMMYFUNCTION("GOOGLETRANSLATE(D:D,""auto"",""en"")"),"#VALUE!")</f>
        <v>#VALUE!</v>
      </c>
    </row>
    <row r="11365" spans="3:3" ht="13.5" customHeight="1">
      <c r="C11365" s="4" t="str">
        <f ca="1">IFERROR(__xludf.DUMMYFUNCTION("GOOGLETRANSLATE(D:D,""auto"",""en"")"),"#VALUE!")</f>
        <v>#VALUE!</v>
      </c>
    </row>
    <row r="11366" spans="3:3" ht="13.5" customHeight="1">
      <c r="C11366" s="4" t="str">
        <f ca="1">IFERROR(__xludf.DUMMYFUNCTION("GOOGLETRANSLATE(D:D,""auto"",""en"")"),"#VALUE!")</f>
        <v>#VALUE!</v>
      </c>
    </row>
    <row r="11367" spans="3:3" ht="13.5" customHeight="1">
      <c r="C11367" s="4" t="str">
        <f ca="1">IFERROR(__xludf.DUMMYFUNCTION("GOOGLETRANSLATE(D:D,""auto"",""en"")"),"#VALUE!")</f>
        <v>#VALUE!</v>
      </c>
    </row>
    <row r="11368" spans="3:3" ht="13.5" customHeight="1">
      <c r="C11368" s="4" t="str">
        <f ca="1">IFERROR(__xludf.DUMMYFUNCTION("GOOGLETRANSLATE(D:D,""auto"",""en"")"),"#VALUE!")</f>
        <v>#VALUE!</v>
      </c>
    </row>
    <row r="11369" spans="3:3" ht="13.5" customHeight="1">
      <c r="C11369" s="4" t="str">
        <f ca="1">IFERROR(__xludf.DUMMYFUNCTION("GOOGLETRANSLATE(D:D,""auto"",""en"")"),"#VALUE!")</f>
        <v>#VALUE!</v>
      </c>
    </row>
    <row r="11370" spans="3:3" ht="13.5" customHeight="1">
      <c r="C11370" s="4" t="str">
        <f ca="1">IFERROR(__xludf.DUMMYFUNCTION("GOOGLETRANSLATE(D:D,""auto"",""en"")"),"#VALUE!")</f>
        <v>#VALUE!</v>
      </c>
    </row>
    <row r="11371" spans="3:3" ht="13.5" customHeight="1">
      <c r="C11371" s="4" t="str">
        <f ca="1">IFERROR(__xludf.DUMMYFUNCTION("GOOGLETRANSLATE(D:D,""auto"",""en"")"),"#VALUE!")</f>
        <v>#VALUE!</v>
      </c>
    </row>
    <row r="11372" spans="3:3" ht="13.5" customHeight="1">
      <c r="C11372" s="4" t="str">
        <f ca="1">IFERROR(__xludf.DUMMYFUNCTION("GOOGLETRANSLATE(D:D,""auto"",""en"")"),"#VALUE!")</f>
        <v>#VALUE!</v>
      </c>
    </row>
    <row r="11373" spans="3:3" ht="13.5" customHeight="1">
      <c r="C11373" s="4" t="str">
        <f ca="1">IFERROR(__xludf.DUMMYFUNCTION("GOOGLETRANSLATE(D:D,""auto"",""en"")"),"#VALUE!")</f>
        <v>#VALUE!</v>
      </c>
    </row>
    <row r="11374" spans="3:3" ht="13.5" customHeight="1">
      <c r="C11374" s="4" t="str">
        <f ca="1">IFERROR(__xludf.DUMMYFUNCTION("GOOGLETRANSLATE(D:D,""auto"",""en"")"),"#VALUE!")</f>
        <v>#VALUE!</v>
      </c>
    </row>
    <row r="11375" spans="3:3" ht="13.5" customHeight="1">
      <c r="C11375" s="4" t="str">
        <f ca="1">IFERROR(__xludf.DUMMYFUNCTION("GOOGLETRANSLATE(D:D,""auto"",""en"")"),"#VALUE!")</f>
        <v>#VALUE!</v>
      </c>
    </row>
    <row r="11376" spans="3:3" ht="13.5" customHeight="1">
      <c r="C11376" s="4" t="str">
        <f ca="1">IFERROR(__xludf.DUMMYFUNCTION("GOOGLETRANSLATE(D:D,""auto"",""en"")"),"#VALUE!")</f>
        <v>#VALUE!</v>
      </c>
    </row>
    <row r="11377" spans="3:3" ht="13.5" customHeight="1">
      <c r="C11377" s="4" t="str">
        <f ca="1">IFERROR(__xludf.DUMMYFUNCTION("GOOGLETRANSLATE(D:D,""auto"",""en"")"),"#VALUE!")</f>
        <v>#VALUE!</v>
      </c>
    </row>
    <row r="11378" spans="3:3" ht="13.5" customHeight="1">
      <c r="C11378" s="4" t="str">
        <f ca="1">IFERROR(__xludf.DUMMYFUNCTION("GOOGLETRANSLATE(D:D,""auto"",""en"")"),"#VALUE!")</f>
        <v>#VALUE!</v>
      </c>
    </row>
    <row r="11379" spans="3:3" ht="13.5" customHeight="1">
      <c r="C11379" s="4" t="str">
        <f ca="1">IFERROR(__xludf.DUMMYFUNCTION("GOOGLETRANSLATE(D:D,""auto"",""en"")"),"#VALUE!")</f>
        <v>#VALUE!</v>
      </c>
    </row>
    <row r="11380" spans="3:3" ht="13.5" customHeight="1">
      <c r="C11380" s="4" t="str">
        <f ca="1">IFERROR(__xludf.DUMMYFUNCTION("GOOGLETRANSLATE(D:D,""auto"",""en"")"),"#VALUE!")</f>
        <v>#VALUE!</v>
      </c>
    </row>
    <row r="11381" spans="3:3" ht="13.5" customHeight="1">
      <c r="C11381" s="4" t="str">
        <f ca="1">IFERROR(__xludf.DUMMYFUNCTION("GOOGLETRANSLATE(D:D,""auto"",""en"")"),"#VALUE!")</f>
        <v>#VALUE!</v>
      </c>
    </row>
    <row r="11382" spans="3:3" ht="13.5" customHeight="1">
      <c r="C11382" s="4" t="str">
        <f ca="1">IFERROR(__xludf.DUMMYFUNCTION("GOOGLETRANSLATE(D:D,""auto"",""en"")"),"#VALUE!")</f>
        <v>#VALUE!</v>
      </c>
    </row>
    <row r="11383" spans="3:3" ht="13.5" customHeight="1">
      <c r="C11383" s="4" t="str">
        <f ca="1">IFERROR(__xludf.DUMMYFUNCTION("GOOGLETRANSLATE(D:D,""auto"",""en"")"),"#VALUE!")</f>
        <v>#VALUE!</v>
      </c>
    </row>
    <row r="11384" spans="3:3" ht="13.5" customHeight="1">
      <c r="C11384" s="4" t="str">
        <f ca="1">IFERROR(__xludf.DUMMYFUNCTION("GOOGLETRANSLATE(D:D,""auto"",""en"")"),"#VALUE!")</f>
        <v>#VALUE!</v>
      </c>
    </row>
    <row r="11385" spans="3:3" ht="13.5" customHeight="1">
      <c r="C11385" s="4" t="str">
        <f ca="1">IFERROR(__xludf.DUMMYFUNCTION("GOOGLETRANSLATE(D:D,""auto"",""en"")"),"#VALUE!")</f>
        <v>#VALUE!</v>
      </c>
    </row>
    <row r="11386" spans="3:3" ht="13.5" customHeight="1">
      <c r="C11386" s="4" t="str">
        <f ca="1">IFERROR(__xludf.DUMMYFUNCTION("GOOGLETRANSLATE(D:D,""auto"",""en"")"),"#VALUE!")</f>
        <v>#VALUE!</v>
      </c>
    </row>
    <row r="11387" spans="3:3" ht="13.5" customHeight="1">
      <c r="C11387" s="4" t="str">
        <f ca="1">IFERROR(__xludf.DUMMYFUNCTION("GOOGLETRANSLATE(D:D,""auto"",""en"")"),"#VALUE!")</f>
        <v>#VALUE!</v>
      </c>
    </row>
    <row r="11388" spans="3:3" ht="13.5" customHeight="1">
      <c r="C11388" s="4" t="str">
        <f ca="1">IFERROR(__xludf.DUMMYFUNCTION("GOOGLETRANSLATE(D:D,""auto"",""en"")"),"#VALUE!")</f>
        <v>#VALUE!</v>
      </c>
    </row>
    <row r="11389" spans="3:3" ht="13.5" customHeight="1">
      <c r="C11389" s="4" t="str">
        <f ca="1">IFERROR(__xludf.DUMMYFUNCTION("GOOGLETRANSLATE(D:D,""auto"",""en"")"),"#VALUE!")</f>
        <v>#VALUE!</v>
      </c>
    </row>
    <row r="11390" spans="3:3" ht="13.5" customHeight="1">
      <c r="C11390" s="4" t="str">
        <f ca="1">IFERROR(__xludf.DUMMYFUNCTION("GOOGLETRANSLATE(D:D,""auto"",""en"")"),"#VALUE!")</f>
        <v>#VALUE!</v>
      </c>
    </row>
    <row r="11391" spans="3:3" ht="13.5" customHeight="1">
      <c r="C11391" s="4" t="str">
        <f ca="1">IFERROR(__xludf.DUMMYFUNCTION("GOOGLETRANSLATE(D:D,""auto"",""en"")"),"#VALUE!")</f>
        <v>#VALUE!</v>
      </c>
    </row>
    <row r="11392" spans="3:3" ht="13.5" customHeight="1">
      <c r="C11392" s="4" t="str">
        <f ca="1">IFERROR(__xludf.DUMMYFUNCTION("GOOGLETRANSLATE(D:D,""auto"",""en"")"),"#VALUE!")</f>
        <v>#VALUE!</v>
      </c>
    </row>
    <row r="11393" spans="3:3" ht="13.5" customHeight="1">
      <c r="C11393" s="4" t="str">
        <f ca="1">IFERROR(__xludf.DUMMYFUNCTION("GOOGLETRANSLATE(D:D,""auto"",""en"")"),"#VALUE!")</f>
        <v>#VALUE!</v>
      </c>
    </row>
    <row r="11394" spans="3:3" ht="13.5" customHeight="1">
      <c r="C11394" s="4" t="str">
        <f ca="1">IFERROR(__xludf.DUMMYFUNCTION("GOOGLETRANSLATE(D:D,""auto"",""en"")"),"#VALUE!")</f>
        <v>#VALUE!</v>
      </c>
    </row>
    <row r="11395" spans="3:3" ht="13.5" customHeight="1">
      <c r="C11395" s="4" t="str">
        <f ca="1">IFERROR(__xludf.DUMMYFUNCTION("GOOGLETRANSLATE(D:D,""auto"",""en"")"),"#VALUE!")</f>
        <v>#VALUE!</v>
      </c>
    </row>
    <row r="11396" spans="3:3" ht="13.5" customHeight="1">
      <c r="C11396" s="4" t="str">
        <f ca="1">IFERROR(__xludf.DUMMYFUNCTION("GOOGLETRANSLATE(D:D,""auto"",""en"")"),"#VALUE!")</f>
        <v>#VALUE!</v>
      </c>
    </row>
    <row r="11397" spans="3:3" ht="13.5" customHeight="1">
      <c r="C11397" s="4" t="str">
        <f ca="1">IFERROR(__xludf.DUMMYFUNCTION("GOOGLETRANSLATE(D:D,""auto"",""en"")"),"#VALUE!")</f>
        <v>#VALUE!</v>
      </c>
    </row>
    <row r="11398" spans="3:3" ht="13.5" customHeight="1">
      <c r="C11398" s="4" t="str">
        <f ca="1">IFERROR(__xludf.DUMMYFUNCTION("GOOGLETRANSLATE(D:D,""auto"",""en"")"),"#VALUE!")</f>
        <v>#VALUE!</v>
      </c>
    </row>
    <row r="11399" spans="3:3" ht="13.5" customHeight="1">
      <c r="C11399" s="4" t="str">
        <f ca="1">IFERROR(__xludf.DUMMYFUNCTION("GOOGLETRANSLATE(D:D,""auto"",""en"")"),"#VALUE!")</f>
        <v>#VALUE!</v>
      </c>
    </row>
    <row r="11400" spans="3:3" ht="13.5" customHeight="1">
      <c r="C11400" s="4" t="str">
        <f ca="1">IFERROR(__xludf.DUMMYFUNCTION("GOOGLETRANSLATE(D:D,""auto"",""en"")"),"#VALUE!")</f>
        <v>#VALUE!</v>
      </c>
    </row>
    <row r="11401" spans="3:3" ht="13.5" customHeight="1">
      <c r="C11401" s="4" t="str">
        <f ca="1">IFERROR(__xludf.DUMMYFUNCTION("GOOGLETRANSLATE(D:D,""auto"",""en"")"),"#VALUE!")</f>
        <v>#VALUE!</v>
      </c>
    </row>
    <row r="11402" spans="3:3" ht="13.5" customHeight="1">
      <c r="C11402" s="4" t="str">
        <f ca="1">IFERROR(__xludf.DUMMYFUNCTION("GOOGLETRANSLATE(D:D,""auto"",""en"")"),"#VALUE!")</f>
        <v>#VALUE!</v>
      </c>
    </row>
    <row r="11403" spans="3:3" ht="13.5" customHeight="1">
      <c r="C11403" s="4" t="str">
        <f ca="1">IFERROR(__xludf.DUMMYFUNCTION("GOOGLETRANSLATE(D:D,""auto"",""en"")"),"#VALUE!")</f>
        <v>#VALUE!</v>
      </c>
    </row>
    <row r="11404" spans="3:3" ht="13.5" customHeight="1">
      <c r="C11404" s="4" t="str">
        <f ca="1">IFERROR(__xludf.DUMMYFUNCTION("GOOGLETRANSLATE(D:D,""auto"",""en"")"),"#VALUE!")</f>
        <v>#VALUE!</v>
      </c>
    </row>
    <row r="11405" spans="3:3" ht="13.5" customHeight="1">
      <c r="C11405" s="4" t="str">
        <f ca="1">IFERROR(__xludf.DUMMYFUNCTION("GOOGLETRANSLATE(D:D,""auto"",""en"")"),"#VALUE!")</f>
        <v>#VALUE!</v>
      </c>
    </row>
    <row r="11406" spans="3:3" ht="13.5" customHeight="1">
      <c r="C11406" s="4" t="str">
        <f ca="1">IFERROR(__xludf.DUMMYFUNCTION("GOOGLETRANSLATE(D:D,""auto"",""en"")"),"#VALUE!")</f>
        <v>#VALUE!</v>
      </c>
    </row>
    <row r="11407" spans="3:3" ht="13.5" customHeight="1">
      <c r="C11407" s="4" t="str">
        <f ca="1">IFERROR(__xludf.DUMMYFUNCTION("GOOGLETRANSLATE(D:D,""auto"",""en"")"),"#VALUE!")</f>
        <v>#VALUE!</v>
      </c>
    </row>
    <row r="11408" spans="3:3" ht="13.5" customHeight="1">
      <c r="C11408" s="4" t="str">
        <f ca="1">IFERROR(__xludf.DUMMYFUNCTION("GOOGLETRANSLATE(D:D,""auto"",""en"")"),"#VALUE!")</f>
        <v>#VALUE!</v>
      </c>
    </row>
    <row r="11409" spans="3:3" ht="13.5" customHeight="1">
      <c r="C11409" s="4" t="str">
        <f ca="1">IFERROR(__xludf.DUMMYFUNCTION("GOOGLETRANSLATE(D:D,""auto"",""en"")"),"#VALUE!")</f>
        <v>#VALUE!</v>
      </c>
    </row>
    <row r="11410" spans="3:3" ht="13.5" customHeight="1">
      <c r="C11410" s="4" t="str">
        <f ca="1">IFERROR(__xludf.DUMMYFUNCTION("GOOGLETRANSLATE(D:D,""auto"",""en"")"),"#VALUE!")</f>
        <v>#VALUE!</v>
      </c>
    </row>
    <row r="11411" spans="3:3" ht="13.5" customHeight="1">
      <c r="C11411" s="4" t="str">
        <f ca="1">IFERROR(__xludf.DUMMYFUNCTION("GOOGLETRANSLATE(D:D,""auto"",""en"")"),"#VALUE!")</f>
        <v>#VALUE!</v>
      </c>
    </row>
    <row r="11412" spans="3:3" ht="13.5" customHeight="1">
      <c r="C11412" s="4" t="str">
        <f ca="1">IFERROR(__xludf.DUMMYFUNCTION("GOOGLETRANSLATE(D:D,""auto"",""en"")"),"#VALUE!")</f>
        <v>#VALUE!</v>
      </c>
    </row>
    <row r="11413" spans="3:3" ht="13.5" customHeight="1">
      <c r="C11413" s="4" t="str">
        <f ca="1">IFERROR(__xludf.DUMMYFUNCTION("GOOGLETRANSLATE(D:D,""auto"",""en"")"),"#VALUE!")</f>
        <v>#VALUE!</v>
      </c>
    </row>
    <row r="11414" spans="3:3" ht="13.5" customHeight="1">
      <c r="C11414" s="4" t="str">
        <f ca="1">IFERROR(__xludf.DUMMYFUNCTION("GOOGLETRANSLATE(D:D,""auto"",""en"")"),"#VALUE!")</f>
        <v>#VALUE!</v>
      </c>
    </row>
    <row r="11415" spans="3:3" ht="13.5" customHeight="1">
      <c r="C11415" s="4" t="str">
        <f ca="1">IFERROR(__xludf.DUMMYFUNCTION("GOOGLETRANSLATE(D:D,""auto"",""en"")"),"#VALUE!")</f>
        <v>#VALUE!</v>
      </c>
    </row>
    <row r="11416" spans="3:3" ht="13.5" customHeight="1">
      <c r="C11416" s="4" t="str">
        <f ca="1">IFERROR(__xludf.DUMMYFUNCTION("GOOGLETRANSLATE(D:D,""auto"",""en"")"),"#VALUE!")</f>
        <v>#VALUE!</v>
      </c>
    </row>
    <row r="11417" spans="3:3" ht="13.5" customHeight="1">
      <c r="C11417" s="4" t="str">
        <f ca="1">IFERROR(__xludf.DUMMYFUNCTION("GOOGLETRANSLATE(D:D,""auto"",""en"")"),"#VALUE!")</f>
        <v>#VALUE!</v>
      </c>
    </row>
    <row r="11418" spans="3:3" ht="13.5" customHeight="1">
      <c r="C11418" s="4" t="str">
        <f ca="1">IFERROR(__xludf.DUMMYFUNCTION("GOOGLETRANSLATE(D:D,""auto"",""en"")"),"#VALUE!")</f>
        <v>#VALUE!</v>
      </c>
    </row>
    <row r="11419" spans="3:3" ht="13.5" customHeight="1">
      <c r="C11419" s="4" t="str">
        <f ca="1">IFERROR(__xludf.DUMMYFUNCTION("GOOGLETRANSLATE(D:D,""auto"",""en"")"),"#VALUE!")</f>
        <v>#VALUE!</v>
      </c>
    </row>
    <row r="11420" spans="3:3" ht="13.5" customHeight="1">
      <c r="C11420" s="4" t="str">
        <f ca="1">IFERROR(__xludf.DUMMYFUNCTION("GOOGLETRANSLATE(D:D,""auto"",""en"")"),"#VALUE!")</f>
        <v>#VALUE!</v>
      </c>
    </row>
    <row r="11421" spans="3:3" ht="13.5" customHeight="1">
      <c r="C11421" s="4" t="str">
        <f ca="1">IFERROR(__xludf.DUMMYFUNCTION("GOOGLETRANSLATE(D:D,""auto"",""en"")"),"#VALUE!")</f>
        <v>#VALUE!</v>
      </c>
    </row>
    <row r="11422" spans="3:3" ht="13.5" customHeight="1">
      <c r="C11422" s="4" t="str">
        <f ca="1">IFERROR(__xludf.DUMMYFUNCTION("GOOGLETRANSLATE(D:D,""auto"",""en"")"),"#VALUE!")</f>
        <v>#VALUE!</v>
      </c>
    </row>
    <row r="11423" spans="3:3" ht="13.5" customHeight="1">
      <c r="C11423" s="4" t="str">
        <f ca="1">IFERROR(__xludf.DUMMYFUNCTION("GOOGLETRANSLATE(D:D,""auto"",""en"")"),"#VALUE!")</f>
        <v>#VALUE!</v>
      </c>
    </row>
    <row r="11424" spans="3:3" ht="13.5" customHeight="1">
      <c r="C11424" s="4" t="str">
        <f ca="1">IFERROR(__xludf.DUMMYFUNCTION("GOOGLETRANSLATE(D:D,""auto"",""en"")"),"#VALUE!")</f>
        <v>#VALUE!</v>
      </c>
    </row>
    <row r="11425" spans="3:3" ht="13.5" customHeight="1">
      <c r="C11425" s="4" t="str">
        <f ca="1">IFERROR(__xludf.DUMMYFUNCTION("GOOGLETRANSLATE(D:D,""auto"",""en"")"),"#VALUE!")</f>
        <v>#VALUE!</v>
      </c>
    </row>
    <row r="11426" spans="3:3" ht="13.5" customHeight="1">
      <c r="C11426" s="4" t="str">
        <f ca="1">IFERROR(__xludf.DUMMYFUNCTION("GOOGLETRANSLATE(D:D,""auto"",""en"")"),"#VALUE!")</f>
        <v>#VALUE!</v>
      </c>
    </row>
    <row r="11427" spans="3:3" ht="13.5" customHeight="1">
      <c r="C11427" s="4" t="str">
        <f ca="1">IFERROR(__xludf.DUMMYFUNCTION("GOOGLETRANSLATE(D:D,""auto"",""en"")"),"#VALUE!")</f>
        <v>#VALUE!</v>
      </c>
    </row>
    <row r="11428" spans="3:3" ht="13.5" customHeight="1">
      <c r="C11428" s="4" t="str">
        <f ca="1">IFERROR(__xludf.DUMMYFUNCTION("GOOGLETRANSLATE(D:D,""auto"",""en"")"),"#VALUE!")</f>
        <v>#VALUE!</v>
      </c>
    </row>
    <row r="11429" spans="3:3" ht="13.5" customHeight="1">
      <c r="C11429" s="4" t="str">
        <f ca="1">IFERROR(__xludf.DUMMYFUNCTION("GOOGLETRANSLATE(D:D,""auto"",""en"")"),"#VALUE!")</f>
        <v>#VALUE!</v>
      </c>
    </row>
    <row r="11430" spans="3:3" ht="13.5" customHeight="1">
      <c r="C11430" s="4" t="str">
        <f ca="1">IFERROR(__xludf.DUMMYFUNCTION("GOOGLETRANSLATE(D:D,""auto"",""en"")"),"#VALUE!")</f>
        <v>#VALUE!</v>
      </c>
    </row>
    <row r="11431" spans="3:3" ht="13.5" customHeight="1">
      <c r="C11431" s="4" t="str">
        <f ca="1">IFERROR(__xludf.DUMMYFUNCTION("GOOGLETRANSLATE(D:D,""auto"",""en"")"),"#VALUE!")</f>
        <v>#VALUE!</v>
      </c>
    </row>
    <row r="11432" spans="3:3" ht="13.5" customHeight="1">
      <c r="C11432" s="4" t="str">
        <f ca="1">IFERROR(__xludf.DUMMYFUNCTION("GOOGLETRANSLATE(D:D,""auto"",""en"")"),"#VALUE!")</f>
        <v>#VALUE!</v>
      </c>
    </row>
    <row r="11433" spans="3:3" ht="13.5" customHeight="1">
      <c r="C11433" s="4" t="str">
        <f ca="1">IFERROR(__xludf.DUMMYFUNCTION("GOOGLETRANSLATE(D:D,""auto"",""en"")"),"#VALUE!")</f>
        <v>#VALUE!</v>
      </c>
    </row>
    <row r="11434" spans="3:3" ht="13.5" customHeight="1">
      <c r="C11434" s="4" t="str">
        <f ca="1">IFERROR(__xludf.DUMMYFUNCTION("GOOGLETRANSLATE(D:D,""auto"",""en"")"),"#VALUE!")</f>
        <v>#VALUE!</v>
      </c>
    </row>
    <row r="11435" spans="3:3" ht="13.5" customHeight="1">
      <c r="C11435" s="4" t="str">
        <f ca="1">IFERROR(__xludf.DUMMYFUNCTION("GOOGLETRANSLATE(D:D,""auto"",""en"")"),"#VALUE!")</f>
        <v>#VALUE!</v>
      </c>
    </row>
    <row r="11436" spans="3:3" ht="13.5" customHeight="1">
      <c r="C11436" s="4" t="str">
        <f ca="1">IFERROR(__xludf.DUMMYFUNCTION("GOOGLETRANSLATE(D:D,""auto"",""en"")"),"#VALUE!")</f>
        <v>#VALUE!</v>
      </c>
    </row>
    <row r="11437" spans="3:3" ht="13.5" customHeight="1">
      <c r="C11437" s="4" t="str">
        <f ca="1">IFERROR(__xludf.DUMMYFUNCTION("GOOGLETRANSLATE(D:D,""auto"",""en"")"),"#VALUE!")</f>
        <v>#VALUE!</v>
      </c>
    </row>
    <row r="11438" spans="3:3" ht="13.5" customHeight="1">
      <c r="C11438" s="4" t="str">
        <f ca="1">IFERROR(__xludf.DUMMYFUNCTION("GOOGLETRANSLATE(D:D,""auto"",""en"")"),"#VALUE!")</f>
        <v>#VALUE!</v>
      </c>
    </row>
    <row r="11439" spans="3:3" ht="13.5" customHeight="1">
      <c r="C11439" s="4" t="str">
        <f ca="1">IFERROR(__xludf.DUMMYFUNCTION("GOOGLETRANSLATE(D:D,""auto"",""en"")"),"#VALUE!")</f>
        <v>#VALUE!</v>
      </c>
    </row>
    <row r="11440" spans="3:3" ht="13.5" customHeight="1">
      <c r="C11440" s="4" t="str">
        <f ca="1">IFERROR(__xludf.DUMMYFUNCTION("GOOGLETRANSLATE(D:D,""auto"",""en"")"),"#VALUE!")</f>
        <v>#VALUE!</v>
      </c>
    </row>
    <row r="11441" spans="3:3" ht="13.5" customHeight="1">
      <c r="C11441" s="4" t="str">
        <f ca="1">IFERROR(__xludf.DUMMYFUNCTION("GOOGLETRANSLATE(D:D,""auto"",""en"")"),"#VALUE!")</f>
        <v>#VALUE!</v>
      </c>
    </row>
    <row r="11442" spans="3:3" ht="13.5" customHeight="1">
      <c r="C11442" s="4" t="str">
        <f ca="1">IFERROR(__xludf.DUMMYFUNCTION("GOOGLETRANSLATE(D:D,""auto"",""en"")"),"#VALUE!")</f>
        <v>#VALUE!</v>
      </c>
    </row>
    <row r="11443" spans="3:3" ht="13.5" customHeight="1">
      <c r="C11443" s="4" t="str">
        <f ca="1">IFERROR(__xludf.DUMMYFUNCTION("GOOGLETRANSLATE(D:D,""auto"",""en"")"),"#VALUE!")</f>
        <v>#VALUE!</v>
      </c>
    </row>
    <row r="11444" spans="3:3" ht="13.5" customHeight="1">
      <c r="C11444" s="4" t="str">
        <f ca="1">IFERROR(__xludf.DUMMYFUNCTION("GOOGLETRANSLATE(D:D,""auto"",""en"")"),"#VALUE!")</f>
        <v>#VALUE!</v>
      </c>
    </row>
    <row r="11445" spans="3:3" ht="13.5" customHeight="1">
      <c r="C11445" s="4" t="str">
        <f ca="1">IFERROR(__xludf.DUMMYFUNCTION("GOOGLETRANSLATE(D:D,""auto"",""en"")"),"#VALUE!")</f>
        <v>#VALUE!</v>
      </c>
    </row>
    <row r="11446" spans="3:3" ht="13.5" customHeight="1">
      <c r="C11446" s="4" t="str">
        <f ca="1">IFERROR(__xludf.DUMMYFUNCTION("GOOGLETRANSLATE(D:D,""auto"",""en"")"),"#VALUE!")</f>
        <v>#VALUE!</v>
      </c>
    </row>
    <row r="11447" spans="3:3" ht="13.5" customHeight="1">
      <c r="C11447" s="4" t="str">
        <f ca="1">IFERROR(__xludf.DUMMYFUNCTION("GOOGLETRANSLATE(D:D,""auto"",""en"")"),"#VALUE!")</f>
        <v>#VALUE!</v>
      </c>
    </row>
    <row r="11448" spans="3:3" ht="13.5" customHeight="1">
      <c r="C11448" s="4" t="str">
        <f ca="1">IFERROR(__xludf.DUMMYFUNCTION("GOOGLETRANSLATE(D:D,""auto"",""en"")"),"#VALUE!")</f>
        <v>#VALUE!</v>
      </c>
    </row>
    <row r="11449" spans="3:3" ht="13.5" customHeight="1">
      <c r="C11449" s="4" t="str">
        <f ca="1">IFERROR(__xludf.DUMMYFUNCTION("GOOGLETRANSLATE(D:D,""auto"",""en"")"),"#VALUE!")</f>
        <v>#VALUE!</v>
      </c>
    </row>
    <row r="11450" spans="3:3" ht="13.5" customHeight="1">
      <c r="C11450" s="4" t="str">
        <f ca="1">IFERROR(__xludf.DUMMYFUNCTION("GOOGLETRANSLATE(D:D,""auto"",""en"")"),"#VALUE!")</f>
        <v>#VALUE!</v>
      </c>
    </row>
    <row r="11451" spans="3:3" ht="13.5" customHeight="1">
      <c r="C11451" s="4" t="str">
        <f ca="1">IFERROR(__xludf.DUMMYFUNCTION("GOOGLETRANSLATE(D:D,""auto"",""en"")"),"#VALUE!")</f>
        <v>#VALUE!</v>
      </c>
    </row>
    <row r="11452" spans="3:3" ht="13.5" customHeight="1">
      <c r="C11452" s="4" t="str">
        <f ca="1">IFERROR(__xludf.DUMMYFUNCTION("GOOGLETRANSLATE(D:D,""auto"",""en"")"),"#VALUE!")</f>
        <v>#VALUE!</v>
      </c>
    </row>
    <row r="11453" spans="3:3" ht="13.5" customHeight="1">
      <c r="C11453" s="4" t="str">
        <f ca="1">IFERROR(__xludf.DUMMYFUNCTION("GOOGLETRANSLATE(D:D,""auto"",""en"")"),"#VALUE!")</f>
        <v>#VALUE!</v>
      </c>
    </row>
    <row r="11454" spans="3:3" ht="13.5" customHeight="1">
      <c r="C11454" s="4" t="str">
        <f ca="1">IFERROR(__xludf.DUMMYFUNCTION("GOOGLETRANSLATE(D:D,""auto"",""en"")"),"#VALUE!")</f>
        <v>#VALUE!</v>
      </c>
    </row>
    <row r="11455" spans="3:3" ht="13.5" customHeight="1">
      <c r="C11455" s="4" t="str">
        <f ca="1">IFERROR(__xludf.DUMMYFUNCTION("GOOGLETRANSLATE(D:D,""auto"",""en"")"),"#VALUE!")</f>
        <v>#VALUE!</v>
      </c>
    </row>
    <row r="11456" spans="3:3" ht="13.5" customHeight="1">
      <c r="C11456" s="4" t="str">
        <f ca="1">IFERROR(__xludf.DUMMYFUNCTION("GOOGLETRANSLATE(D:D,""auto"",""en"")"),"#VALUE!")</f>
        <v>#VALUE!</v>
      </c>
    </row>
    <row r="11457" spans="3:3" ht="13.5" customHeight="1">
      <c r="C11457" s="4" t="str">
        <f ca="1">IFERROR(__xludf.DUMMYFUNCTION("GOOGLETRANSLATE(D:D,""auto"",""en"")"),"#VALUE!")</f>
        <v>#VALUE!</v>
      </c>
    </row>
    <row r="11458" spans="3:3" ht="13.5" customHeight="1">
      <c r="C11458" s="4" t="str">
        <f ca="1">IFERROR(__xludf.DUMMYFUNCTION("GOOGLETRANSLATE(D:D,""auto"",""en"")"),"#VALUE!")</f>
        <v>#VALUE!</v>
      </c>
    </row>
    <row r="11459" spans="3:3" ht="13.5" customHeight="1">
      <c r="C11459" s="4" t="str">
        <f ca="1">IFERROR(__xludf.DUMMYFUNCTION("GOOGLETRANSLATE(D:D,""auto"",""en"")"),"#VALUE!")</f>
        <v>#VALUE!</v>
      </c>
    </row>
    <row r="11460" spans="3:3" ht="13.5" customHeight="1">
      <c r="C11460" s="4" t="str">
        <f ca="1">IFERROR(__xludf.DUMMYFUNCTION("GOOGLETRANSLATE(D:D,""auto"",""en"")"),"#VALUE!")</f>
        <v>#VALUE!</v>
      </c>
    </row>
    <row r="11461" spans="3:3" ht="13.5" customHeight="1">
      <c r="C11461" s="4" t="str">
        <f ca="1">IFERROR(__xludf.DUMMYFUNCTION("GOOGLETRANSLATE(D:D,""auto"",""en"")"),"#VALUE!")</f>
        <v>#VALUE!</v>
      </c>
    </row>
    <row r="11462" spans="3:3" ht="13.5" customHeight="1">
      <c r="C11462" s="4" t="str">
        <f ca="1">IFERROR(__xludf.DUMMYFUNCTION("GOOGLETRANSLATE(D:D,""auto"",""en"")"),"#VALUE!")</f>
        <v>#VALUE!</v>
      </c>
    </row>
    <row r="11463" spans="3:3" ht="13.5" customHeight="1">
      <c r="C11463" s="4" t="str">
        <f ca="1">IFERROR(__xludf.DUMMYFUNCTION("GOOGLETRANSLATE(D:D,""auto"",""en"")"),"#VALUE!")</f>
        <v>#VALUE!</v>
      </c>
    </row>
    <row r="11464" spans="3:3" ht="13.5" customHeight="1">
      <c r="C11464" s="4" t="str">
        <f ca="1">IFERROR(__xludf.DUMMYFUNCTION("GOOGLETRANSLATE(D:D,""auto"",""en"")"),"#VALUE!")</f>
        <v>#VALUE!</v>
      </c>
    </row>
    <row r="11465" spans="3:3" ht="13.5" customHeight="1">
      <c r="C11465" s="4" t="str">
        <f ca="1">IFERROR(__xludf.DUMMYFUNCTION("GOOGLETRANSLATE(D:D,""auto"",""en"")"),"#VALUE!")</f>
        <v>#VALUE!</v>
      </c>
    </row>
    <row r="11466" spans="3:3" ht="13.5" customHeight="1">
      <c r="C11466" s="4" t="str">
        <f ca="1">IFERROR(__xludf.DUMMYFUNCTION("GOOGLETRANSLATE(D:D,""auto"",""en"")"),"#VALUE!")</f>
        <v>#VALUE!</v>
      </c>
    </row>
    <row r="11467" spans="3:3" ht="13.5" customHeight="1">
      <c r="C11467" s="4" t="str">
        <f ca="1">IFERROR(__xludf.DUMMYFUNCTION("GOOGLETRANSLATE(D:D,""auto"",""en"")"),"#VALUE!")</f>
        <v>#VALUE!</v>
      </c>
    </row>
    <row r="11468" spans="3:3" ht="13.5" customHeight="1">
      <c r="C11468" s="4" t="str">
        <f ca="1">IFERROR(__xludf.DUMMYFUNCTION("GOOGLETRANSLATE(D:D,""auto"",""en"")"),"#VALUE!")</f>
        <v>#VALUE!</v>
      </c>
    </row>
    <row r="11469" spans="3:3" ht="13.5" customHeight="1">
      <c r="C11469" s="4" t="str">
        <f ca="1">IFERROR(__xludf.DUMMYFUNCTION("GOOGLETRANSLATE(D:D,""auto"",""en"")"),"#VALUE!")</f>
        <v>#VALUE!</v>
      </c>
    </row>
    <row r="11470" spans="3:3" ht="13.5" customHeight="1">
      <c r="C11470" s="4" t="str">
        <f ca="1">IFERROR(__xludf.DUMMYFUNCTION("GOOGLETRANSLATE(D:D,""auto"",""en"")"),"#VALUE!")</f>
        <v>#VALUE!</v>
      </c>
    </row>
    <row r="11471" spans="3:3" ht="13.5" customHeight="1">
      <c r="C11471" s="4" t="str">
        <f ca="1">IFERROR(__xludf.DUMMYFUNCTION("GOOGLETRANSLATE(D:D,""auto"",""en"")"),"#VALUE!")</f>
        <v>#VALUE!</v>
      </c>
    </row>
    <row r="11472" spans="3:3" ht="13.5" customHeight="1">
      <c r="C11472" s="4" t="str">
        <f ca="1">IFERROR(__xludf.DUMMYFUNCTION("GOOGLETRANSLATE(D:D,""auto"",""en"")"),"#VALUE!")</f>
        <v>#VALUE!</v>
      </c>
    </row>
    <row r="11473" spans="3:3" ht="13.5" customHeight="1">
      <c r="C11473" s="4" t="str">
        <f ca="1">IFERROR(__xludf.DUMMYFUNCTION("GOOGLETRANSLATE(D:D,""auto"",""en"")"),"#VALUE!")</f>
        <v>#VALUE!</v>
      </c>
    </row>
    <row r="11474" spans="3:3" ht="13.5" customHeight="1">
      <c r="C11474" s="4" t="str">
        <f ca="1">IFERROR(__xludf.DUMMYFUNCTION("GOOGLETRANSLATE(D:D,""auto"",""en"")"),"#VALUE!")</f>
        <v>#VALUE!</v>
      </c>
    </row>
    <row r="11475" spans="3:3" ht="13.5" customHeight="1">
      <c r="C11475" s="4" t="str">
        <f ca="1">IFERROR(__xludf.DUMMYFUNCTION("GOOGLETRANSLATE(D:D,""auto"",""en"")"),"#VALUE!")</f>
        <v>#VALUE!</v>
      </c>
    </row>
    <row r="11476" spans="3:3" ht="13.5" customHeight="1">
      <c r="C11476" s="4" t="str">
        <f ca="1">IFERROR(__xludf.DUMMYFUNCTION("GOOGLETRANSLATE(D:D,""auto"",""en"")"),"#VALUE!")</f>
        <v>#VALUE!</v>
      </c>
    </row>
    <row r="11477" spans="3:3" ht="13.5" customHeight="1">
      <c r="C11477" s="4" t="str">
        <f ca="1">IFERROR(__xludf.DUMMYFUNCTION("GOOGLETRANSLATE(D:D,""auto"",""en"")"),"#VALUE!")</f>
        <v>#VALUE!</v>
      </c>
    </row>
    <row r="11478" spans="3:3" ht="13.5" customHeight="1">
      <c r="C11478" s="4" t="str">
        <f ca="1">IFERROR(__xludf.DUMMYFUNCTION("GOOGLETRANSLATE(D:D,""auto"",""en"")"),"#VALUE!")</f>
        <v>#VALUE!</v>
      </c>
    </row>
    <row r="11479" spans="3:3" ht="13.5" customHeight="1">
      <c r="C11479" s="4" t="str">
        <f ca="1">IFERROR(__xludf.DUMMYFUNCTION("GOOGLETRANSLATE(D:D,""auto"",""en"")"),"#VALUE!")</f>
        <v>#VALUE!</v>
      </c>
    </row>
    <row r="11480" spans="3:3" ht="13.5" customHeight="1">
      <c r="C11480" s="4" t="str">
        <f ca="1">IFERROR(__xludf.DUMMYFUNCTION("GOOGLETRANSLATE(D:D,""auto"",""en"")"),"#VALUE!")</f>
        <v>#VALUE!</v>
      </c>
    </row>
    <row r="11481" spans="3:3" ht="13.5" customHeight="1">
      <c r="C11481" s="4" t="str">
        <f ca="1">IFERROR(__xludf.DUMMYFUNCTION("GOOGLETRANSLATE(D:D,""auto"",""en"")"),"#VALUE!")</f>
        <v>#VALUE!</v>
      </c>
    </row>
    <row r="11482" spans="3:3" ht="13.5" customHeight="1">
      <c r="C11482" s="4" t="str">
        <f ca="1">IFERROR(__xludf.DUMMYFUNCTION("GOOGLETRANSLATE(D:D,""auto"",""en"")"),"#VALUE!")</f>
        <v>#VALUE!</v>
      </c>
    </row>
    <row r="11483" spans="3:3" ht="13.5" customHeight="1">
      <c r="C11483" s="4" t="str">
        <f ca="1">IFERROR(__xludf.DUMMYFUNCTION("GOOGLETRANSLATE(D:D,""auto"",""en"")"),"#VALUE!")</f>
        <v>#VALUE!</v>
      </c>
    </row>
    <row r="11484" spans="3:3" ht="13.5" customHeight="1">
      <c r="C11484" s="4" t="str">
        <f ca="1">IFERROR(__xludf.DUMMYFUNCTION("GOOGLETRANSLATE(D:D,""auto"",""en"")"),"#VALUE!")</f>
        <v>#VALUE!</v>
      </c>
    </row>
    <row r="11485" spans="3:3" ht="13.5" customHeight="1">
      <c r="C11485" s="4" t="str">
        <f ca="1">IFERROR(__xludf.DUMMYFUNCTION("GOOGLETRANSLATE(D:D,""auto"",""en"")"),"#VALUE!")</f>
        <v>#VALUE!</v>
      </c>
    </row>
    <row r="11486" spans="3:3" ht="13.5" customHeight="1">
      <c r="C11486" s="4" t="str">
        <f ca="1">IFERROR(__xludf.DUMMYFUNCTION("GOOGLETRANSLATE(D:D,""auto"",""en"")"),"#VALUE!")</f>
        <v>#VALUE!</v>
      </c>
    </row>
    <row r="11487" spans="3:3" ht="13.5" customHeight="1">
      <c r="C11487" s="4" t="str">
        <f ca="1">IFERROR(__xludf.DUMMYFUNCTION("GOOGLETRANSLATE(D:D,""auto"",""en"")"),"#VALUE!")</f>
        <v>#VALUE!</v>
      </c>
    </row>
    <row r="11488" spans="3:3" ht="13.5" customHeight="1">
      <c r="C11488" s="4" t="str">
        <f ca="1">IFERROR(__xludf.DUMMYFUNCTION("GOOGLETRANSLATE(D:D,""auto"",""en"")"),"#VALUE!")</f>
        <v>#VALUE!</v>
      </c>
    </row>
    <row r="11489" spans="3:3" ht="13.5" customHeight="1">
      <c r="C11489" s="4" t="str">
        <f ca="1">IFERROR(__xludf.DUMMYFUNCTION("GOOGLETRANSLATE(D:D,""auto"",""en"")"),"#VALUE!")</f>
        <v>#VALUE!</v>
      </c>
    </row>
    <row r="11490" spans="3:3" ht="13.5" customHeight="1">
      <c r="C11490" s="4" t="str">
        <f ca="1">IFERROR(__xludf.DUMMYFUNCTION("GOOGLETRANSLATE(D:D,""auto"",""en"")"),"#VALUE!")</f>
        <v>#VALUE!</v>
      </c>
    </row>
    <row r="11491" spans="3:3" ht="13.5" customHeight="1">
      <c r="C11491" s="4" t="str">
        <f ca="1">IFERROR(__xludf.DUMMYFUNCTION("GOOGLETRANSLATE(D:D,""auto"",""en"")"),"#VALUE!")</f>
        <v>#VALUE!</v>
      </c>
    </row>
    <row r="11492" spans="3:3" ht="13.5" customHeight="1">
      <c r="C11492" s="4" t="str">
        <f ca="1">IFERROR(__xludf.DUMMYFUNCTION("GOOGLETRANSLATE(D:D,""auto"",""en"")"),"#VALUE!")</f>
        <v>#VALUE!</v>
      </c>
    </row>
    <row r="11493" spans="3:3" ht="13.5" customHeight="1">
      <c r="C11493" s="4" t="str">
        <f ca="1">IFERROR(__xludf.DUMMYFUNCTION("GOOGLETRANSLATE(D:D,""auto"",""en"")"),"#VALUE!")</f>
        <v>#VALUE!</v>
      </c>
    </row>
    <row r="11494" spans="3:3" ht="13.5" customHeight="1">
      <c r="C11494" s="4" t="str">
        <f ca="1">IFERROR(__xludf.DUMMYFUNCTION("GOOGLETRANSLATE(D:D,""auto"",""en"")"),"#VALUE!")</f>
        <v>#VALUE!</v>
      </c>
    </row>
    <row r="11495" spans="3:3" ht="13.5" customHeight="1">
      <c r="C11495" s="4" t="str">
        <f ca="1">IFERROR(__xludf.DUMMYFUNCTION("GOOGLETRANSLATE(D:D,""auto"",""en"")"),"#VALUE!")</f>
        <v>#VALUE!</v>
      </c>
    </row>
    <row r="11496" spans="3:3" ht="13.5" customHeight="1">
      <c r="C11496" s="4" t="str">
        <f ca="1">IFERROR(__xludf.DUMMYFUNCTION("GOOGLETRANSLATE(D:D,""auto"",""en"")"),"#VALUE!")</f>
        <v>#VALUE!</v>
      </c>
    </row>
    <row r="11497" spans="3:3" ht="13.5" customHeight="1">
      <c r="C11497" s="4" t="str">
        <f ca="1">IFERROR(__xludf.DUMMYFUNCTION("GOOGLETRANSLATE(D:D,""auto"",""en"")"),"#VALUE!")</f>
        <v>#VALUE!</v>
      </c>
    </row>
    <row r="11498" spans="3:3" ht="13.5" customHeight="1">
      <c r="C11498" s="4" t="str">
        <f ca="1">IFERROR(__xludf.DUMMYFUNCTION("GOOGLETRANSLATE(D:D,""auto"",""en"")"),"#VALUE!")</f>
        <v>#VALUE!</v>
      </c>
    </row>
    <row r="11499" spans="3:3" ht="13.5" customHeight="1">
      <c r="C11499" s="4" t="str">
        <f ca="1">IFERROR(__xludf.DUMMYFUNCTION("GOOGLETRANSLATE(D:D,""auto"",""en"")"),"#VALUE!")</f>
        <v>#VALUE!</v>
      </c>
    </row>
    <row r="11500" spans="3:3" ht="13.5" customHeight="1">
      <c r="C11500" s="4" t="str">
        <f ca="1">IFERROR(__xludf.DUMMYFUNCTION("GOOGLETRANSLATE(D:D,""auto"",""en"")"),"#VALUE!")</f>
        <v>#VALUE!</v>
      </c>
    </row>
    <row r="11501" spans="3:3" ht="13.5" customHeight="1">
      <c r="C11501" s="4" t="str">
        <f ca="1">IFERROR(__xludf.DUMMYFUNCTION("GOOGLETRANSLATE(D:D,""auto"",""en"")"),"#VALUE!")</f>
        <v>#VALUE!</v>
      </c>
    </row>
    <row r="11502" spans="3:3" ht="13.5" customHeight="1">
      <c r="C11502" s="4" t="str">
        <f ca="1">IFERROR(__xludf.DUMMYFUNCTION("GOOGLETRANSLATE(D:D,""auto"",""en"")"),"#VALUE!")</f>
        <v>#VALUE!</v>
      </c>
    </row>
    <row r="11503" spans="3:3" ht="13.5" customHeight="1">
      <c r="C11503" s="4" t="str">
        <f ca="1">IFERROR(__xludf.DUMMYFUNCTION("GOOGLETRANSLATE(D:D,""auto"",""en"")"),"#VALUE!")</f>
        <v>#VALUE!</v>
      </c>
    </row>
    <row r="11504" spans="3:3" ht="13.5" customHeight="1">
      <c r="C11504" s="4" t="str">
        <f ca="1">IFERROR(__xludf.DUMMYFUNCTION("GOOGLETRANSLATE(D:D,""auto"",""en"")"),"#VALUE!")</f>
        <v>#VALUE!</v>
      </c>
    </row>
    <row r="11505" spans="3:3" ht="13.5" customHeight="1">
      <c r="C11505" s="4" t="str">
        <f ca="1">IFERROR(__xludf.DUMMYFUNCTION("GOOGLETRANSLATE(D:D,""auto"",""en"")"),"#VALUE!")</f>
        <v>#VALUE!</v>
      </c>
    </row>
    <row r="11506" spans="3:3" ht="13.5" customHeight="1">
      <c r="C11506" s="4" t="str">
        <f ca="1">IFERROR(__xludf.DUMMYFUNCTION("GOOGLETRANSLATE(D:D,""auto"",""en"")"),"#VALUE!")</f>
        <v>#VALUE!</v>
      </c>
    </row>
    <row r="11507" spans="3:3" ht="13.5" customHeight="1">
      <c r="C11507" s="4" t="str">
        <f ca="1">IFERROR(__xludf.DUMMYFUNCTION("GOOGLETRANSLATE(D:D,""auto"",""en"")"),"#VALUE!")</f>
        <v>#VALUE!</v>
      </c>
    </row>
    <row r="11508" spans="3:3" ht="13.5" customHeight="1">
      <c r="C11508" s="4" t="str">
        <f ca="1">IFERROR(__xludf.DUMMYFUNCTION("GOOGLETRANSLATE(D:D,""auto"",""en"")"),"#VALUE!")</f>
        <v>#VALUE!</v>
      </c>
    </row>
    <row r="11509" spans="3:3" ht="13.5" customHeight="1">
      <c r="C11509" s="4" t="str">
        <f ca="1">IFERROR(__xludf.DUMMYFUNCTION("GOOGLETRANSLATE(D:D,""auto"",""en"")"),"#VALUE!")</f>
        <v>#VALUE!</v>
      </c>
    </row>
    <row r="11510" spans="3:3" ht="13.5" customHeight="1">
      <c r="C11510" s="4" t="str">
        <f ca="1">IFERROR(__xludf.DUMMYFUNCTION("GOOGLETRANSLATE(D:D,""auto"",""en"")"),"#VALUE!")</f>
        <v>#VALUE!</v>
      </c>
    </row>
    <row r="11511" spans="3:3" ht="13.5" customHeight="1">
      <c r="C11511" s="4" t="str">
        <f ca="1">IFERROR(__xludf.DUMMYFUNCTION("GOOGLETRANSLATE(D:D,""auto"",""en"")"),"#VALUE!")</f>
        <v>#VALUE!</v>
      </c>
    </row>
    <row r="11512" spans="3:3" ht="13.5" customHeight="1">
      <c r="C11512" s="4" t="str">
        <f ca="1">IFERROR(__xludf.DUMMYFUNCTION("GOOGLETRANSLATE(D:D,""auto"",""en"")"),"#VALUE!")</f>
        <v>#VALUE!</v>
      </c>
    </row>
    <row r="11513" spans="3:3" ht="13.5" customHeight="1">
      <c r="C11513" s="4" t="str">
        <f ca="1">IFERROR(__xludf.DUMMYFUNCTION("GOOGLETRANSLATE(D:D,""auto"",""en"")"),"#VALUE!")</f>
        <v>#VALUE!</v>
      </c>
    </row>
    <row r="11514" spans="3:3" ht="13.5" customHeight="1">
      <c r="C11514" s="4" t="str">
        <f ca="1">IFERROR(__xludf.DUMMYFUNCTION("GOOGLETRANSLATE(D:D,""auto"",""en"")"),"#VALUE!")</f>
        <v>#VALUE!</v>
      </c>
    </row>
    <row r="11515" spans="3:3" ht="13.5" customHeight="1">
      <c r="C11515" s="4" t="str">
        <f ca="1">IFERROR(__xludf.DUMMYFUNCTION("GOOGLETRANSLATE(D:D,""auto"",""en"")"),"#VALUE!")</f>
        <v>#VALUE!</v>
      </c>
    </row>
    <row r="11516" spans="3:3" ht="13.5" customHeight="1">
      <c r="C11516" s="4" t="str">
        <f ca="1">IFERROR(__xludf.DUMMYFUNCTION("GOOGLETRANSLATE(D:D,""auto"",""en"")"),"#VALUE!")</f>
        <v>#VALUE!</v>
      </c>
    </row>
    <row r="11517" spans="3:3" ht="13.5" customHeight="1">
      <c r="C11517" s="4" t="str">
        <f ca="1">IFERROR(__xludf.DUMMYFUNCTION("GOOGLETRANSLATE(D:D,""auto"",""en"")"),"#VALUE!")</f>
        <v>#VALUE!</v>
      </c>
    </row>
    <row r="11518" spans="3:3" ht="13.5" customHeight="1">
      <c r="C11518" s="4" t="str">
        <f ca="1">IFERROR(__xludf.DUMMYFUNCTION("GOOGLETRANSLATE(D:D,""auto"",""en"")"),"#VALUE!")</f>
        <v>#VALUE!</v>
      </c>
    </row>
    <row r="11519" spans="3:3" ht="13.5" customHeight="1">
      <c r="C11519" s="4" t="str">
        <f ca="1">IFERROR(__xludf.DUMMYFUNCTION("GOOGLETRANSLATE(D:D,""auto"",""en"")"),"#VALUE!")</f>
        <v>#VALUE!</v>
      </c>
    </row>
    <row r="11520" spans="3:3" ht="13.5" customHeight="1">
      <c r="C11520" s="4" t="str">
        <f ca="1">IFERROR(__xludf.DUMMYFUNCTION("GOOGLETRANSLATE(D:D,""auto"",""en"")"),"#VALUE!")</f>
        <v>#VALUE!</v>
      </c>
    </row>
    <row r="11521" spans="3:3" ht="13.5" customHeight="1">
      <c r="C11521" s="4" t="str">
        <f ca="1">IFERROR(__xludf.DUMMYFUNCTION("GOOGLETRANSLATE(D:D,""auto"",""en"")"),"#VALUE!")</f>
        <v>#VALUE!</v>
      </c>
    </row>
    <row r="11522" spans="3:3" ht="13.5" customHeight="1">
      <c r="C11522" s="4" t="str">
        <f ca="1">IFERROR(__xludf.DUMMYFUNCTION("GOOGLETRANSLATE(D:D,""auto"",""en"")"),"#VALUE!")</f>
        <v>#VALUE!</v>
      </c>
    </row>
    <row r="11523" spans="3:3" ht="13.5" customHeight="1">
      <c r="C11523" s="4" t="str">
        <f ca="1">IFERROR(__xludf.DUMMYFUNCTION("GOOGLETRANSLATE(D:D,""auto"",""en"")"),"#VALUE!")</f>
        <v>#VALUE!</v>
      </c>
    </row>
    <row r="11524" spans="3:3" ht="13.5" customHeight="1">
      <c r="C11524" s="4" t="str">
        <f ca="1">IFERROR(__xludf.DUMMYFUNCTION("GOOGLETRANSLATE(D:D,""auto"",""en"")"),"#VALUE!")</f>
        <v>#VALUE!</v>
      </c>
    </row>
    <row r="11525" spans="3:3" ht="13.5" customHeight="1">
      <c r="C11525" s="4" t="str">
        <f ca="1">IFERROR(__xludf.DUMMYFUNCTION("GOOGLETRANSLATE(D:D,""auto"",""en"")"),"#VALUE!")</f>
        <v>#VALUE!</v>
      </c>
    </row>
    <row r="11526" spans="3:3" ht="13.5" customHeight="1">
      <c r="C11526" s="4" t="str">
        <f ca="1">IFERROR(__xludf.DUMMYFUNCTION("GOOGLETRANSLATE(D:D,""auto"",""en"")"),"#VALUE!")</f>
        <v>#VALUE!</v>
      </c>
    </row>
    <row r="11527" spans="3:3" ht="13.5" customHeight="1">
      <c r="C11527" s="4" t="str">
        <f ca="1">IFERROR(__xludf.DUMMYFUNCTION("GOOGLETRANSLATE(D:D,""auto"",""en"")"),"#VALUE!")</f>
        <v>#VALUE!</v>
      </c>
    </row>
    <row r="11528" spans="3:3" ht="13.5" customHeight="1">
      <c r="C11528" s="4" t="str">
        <f ca="1">IFERROR(__xludf.DUMMYFUNCTION("GOOGLETRANSLATE(D:D,""auto"",""en"")"),"#VALUE!")</f>
        <v>#VALUE!</v>
      </c>
    </row>
    <row r="11529" spans="3:3" ht="13.5" customHeight="1">
      <c r="C11529" s="4" t="str">
        <f ca="1">IFERROR(__xludf.DUMMYFUNCTION("GOOGLETRANSLATE(D:D,""auto"",""en"")"),"#VALUE!")</f>
        <v>#VALUE!</v>
      </c>
    </row>
    <row r="11530" spans="3:3" ht="13.5" customHeight="1">
      <c r="C11530" s="4" t="str">
        <f ca="1">IFERROR(__xludf.DUMMYFUNCTION("GOOGLETRANSLATE(D:D,""auto"",""en"")"),"#VALUE!")</f>
        <v>#VALUE!</v>
      </c>
    </row>
    <row r="11531" spans="3:3" ht="13.5" customHeight="1">
      <c r="C11531" s="4" t="str">
        <f ca="1">IFERROR(__xludf.DUMMYFUNCTION("GOOGLETRANSLATE(D:D,""auto"",""en"")"),"#VALUE!")</f>
        <v>#VALUE!</v>
      </c>
    </row>
    <row r="11532" spans="3:3" ht="13.5" customHeight="1">
      <c r="C11532" s="4" t="str">
        <f ca="1">IFERROR(__xludf.DUMMYFUNCTION("GOOGLETRANSLATE(D:D,""auto"",""en"")"),"#VALUE!")</f>
        <v>#VALUE!</v>
      </c>
    </row>
    <row r="11533" spans="3:3" ht="13.5" customHeight="1">
      <c r="C11533" s="4" t="str">
        <f ca="1">IFERROR(__xludf.DUMMYFUNCTION("GOOGLETRANSLATE(D:D,""auto"",""en"")"),"#VALUE!")</f>
        <v>#VALUE!</v>
      </c>
    </row>
    <row r="11534" spans="3:3" ht="13.5" customHeight="1">
      <c r="C11534" s="4" t="str">
        <f ca="1">IFERROR(__xludf.DUMMYFUNCTION("GOOGLETRANSLATE(D:D,""auto"",""en"")"),"#VALUE!")</f>
        <v>#VALUE!</v>
      </c>
    </row>
    <row r="11535" spans="3:3" ht="13.5" customHeight="1">
      <c r="C11535" s="4" t="str">
        <f ca="1">IFERROR(__xludf.DUMMYFUNCTION("GOOGLETRANSLATE(D:D,""auto"",""en"")"),"#VALUE!")</f>
        <v>#VALUE!</v>
      </c>
    </row>
    <row r="11536" spans="3:3" ht="13.5" customHeight="1">
      <c r="C11536" s="4" t="str">
        <f ca="1">IFERROR(__xludf.DUMMYFUNCTION("GOOGLETRANSLATE(D:D,""auto"",""en"")"),"#VALUE!")</f>
        <v>#VALUE!</v>
      </c>
    </row>
    <row r="11537" spans="3:3" ht="13.5" customHeight="1">
      <c r="C11537" s="4" t="str">
        <f ca="1">IFERROR(__xludf.DUMMYFUNCTION("GOOGLETRANSLATE(D:D,""auto"",""en"")"),"#VALUE!")</f>
        <v>#VALUE!</v>
      </c>
    </row>
    <row r="11538" spans="3:3" ht="13.5" customHeight="1">
      <c r="C11538" s="4" t="str">
        <f ca="1">IFERROR(__xludf.DUMMYFUNCTION("GOOGLETRANSLATE(D:D,""auto"",""en"")"),"#VALUE!")</f>
        <v>#VALUE!</v>
      </c>
    </row>
    <row r="11539" spans="3:3" ht="13.5" customHeight="1">
      <c r="C11539" s="4" t="str">
        <f ca="1">IFERROR(__xludf.DUMMYFUNCTION("GOOGLETRANSLATE(D:D,""auto"",""en"")"),"#VALUE!")</f>
        <v>#VALUE!</v>
      </c>
    </row>
    <row r="11540" spans="3:3" ht="13.5" customHeight="1">
      <c r="C11540" s="4" t="str">
        <f ca="1">IFERROR(__xludf.DUMMYFUNCTION("GOOGLETRANSLATE(D:D,""auto"",""en"")"),"#VALUE!")</f>
        <v>#VALUE!</v>
      </c>
    </row>
    <row r="11541" spans="3:3" ht="13.5" customHeight="1">
      <c r="C11541" s="4" t="str">
        <f ca="1">IFERROR(__xludf.DUMMYFUNCTION("GOOGLETRANSLATE(D:D,""auto"",""en"")"),"#VALUE!")</f>
        <v>#VALUE!</v>
      </c>
    </row>
    <row r="11542" spans="3:3" ht="13.5" customHeight="1">
      <c r="C11542" s="4" t="str">
        <f ca="1">IFERROR(__xludf.DUMMYFUNCTION("GOOGLETRANSLATE(D:D,""auto"",""en"")"),"#VALUE!")</f>
        <v>#VALUE!</v>
      </c>
    </row>
    <row r="11543" spans="3:3" ht="13.5" customHeight="1">
      <c r="C11543" s="4" t="str">
        <f ca="1">IFERROR(__xludf.DUMMYFUNCTION("GOOGLETRANSLATE(D:D,""auto"",""en"")"),"#VALUE!")</f>
        <v>#VALUE!</v>
      </c>
    </row>
    <row r="11544" spans="3:3" ht="13.5" customHeight="1">
      <c r="C11544" s="4" t="str">
        <f ca="1">IFERROR(__xludf.DUMMYFUNCTION("GOOGLETRANSLATE(D:D,""auto"",""en"")"),"#VALUE!")</f>
        <v>#VALUE!</v>
      </c>
    </row>
    <row r="11545" spans="3:3" ht="13.5" customHeight="1">
      <c r="C11545" s="4" t="str">
        <f ca="1">IFERROR(__xludf.DUMMYFUNCTION("GOOGLETRANSLATE(D:D,""auto"",""en"")"),"#VALUE!")</f>
        <v>#VALUE!</v>
      </c>
    </row>
    <row r="11546" spans="3:3" ht="13.5" customHeight="1">
      <c r="C11546" s="4" t="str">
        <f ca="1">IFERROR(__xludf.DUMMYFUNCTION("GOOGLETRANSLATE(D:D,""auto"",""en"")"),"#VALUE!")</f>
        <v>#VALUE!</v>
      </c>
    </row>
    <row r="11547" spans="3:3" ht="13.5" customHeight="1">
      <c r="C11547" s="4" t="str">
        <f ca="1">IFERROR(__xludf.DUMMYFUNCTION("GOOGLETRANSLATE(D:D,""auto"",""en"")"),"#VALUE!")</f>
        <v>#VALUE!</v>
      </c>
    </row>
    <row r="11548" spans="3:3" ht="13.5" customHeight="1">
      <c r="C11548" s="4" t="str">
        <f ca="1">IFERROR(__xludf.DUMMYFUNCTION("GOOGLETRANSLATE(D:D,""auto"",""en"")"),"#VALUE!")</f>
        <v>#VALUE!</v>
      </c>
    </row>
    <row r="11549" spans="3:3" ht="13.5" customHeight="1">
      <c r="C11549" s="4" t="str">
        <f ca="1">IFERROR(__xludf.DUMMYFUNCTION("GOOGLETRANSLATE(D:D,""auto"",""en"")"),"#VALUE!")</f>
        <v>#VALUE!</v>
      </c>
    </row>
    <row r="11550" spans="3:3" ht="13.5" customHeight="1">
      <c r="C11550" s="4" t="str">
        <f ca="1">IFERROR(__xludf.DUMMYFUNCTION("GOOGLETRANSLATE(D:D,""auto"",""en"")"),"#VALUE!")</f>
        <v>#VALUE!</v>
      </c>
    </row>
    <row r="11551" spans="3:3" ht="13.5" customHeight="1">
      <c r="C11551" s="4" t="str">
        <f ca="1">IFERROR(__xludf.DUMMYFUNCTION("GOOGLETRANSLATE(D:D,""auto"",""en"")"),"#VALUE!")</f>
        <v>#VALUE!</v>
      </c>
    </row>
    <row r="11552" spans="3:3" ht="13.5" customHeight="1">
      <c r="C11552" s="4" t="str">
        <f ca="1">IFERROR(__xludf.DUMMYFUNCTION("GOOGLETRANSLATE(D:D,""auto"",""en"")"),"#VALUE!")</f>
        <v>#VALUE!</v>
      </c>
    </row>
    <row r="11553" spans="3:3" ht="13.5" customHeight="1">
      <c r="C11553" s="4" t="str">
        <f ca="1">IFERROR(__xludf.DUMMYFUNCTION("GOOGLETRANSLATE(D:D,""auto"",""en"")"),"#VALUE!")</f>
        <v>#VALUE!</v>
      </c>
    </row>
    <row r="11554" spans="3:3" ht="13.5" customHeight="1">
      <c r="C11554" s="4" t="str">
        <f ca="1">IFERROR(__xludf.DUMMYFUNCTION("GOOGLETRANSLATE(D:D,""auto"",""en"")"),"#VALUE!")</f>
        <v>#VALUE!</v>
      </c>
    </row>
    <row r="11555" spans="3:3" ht="13.5" customHeight="1">
      <c r="C11555" s="4" t="str">
        <f ca="1">IFERROR(__xludf.DUMMYFUNCTION("GOOGLETRANSLATE(D:D,""auto"",""en"")"),"#VALUE!")</f>
        <v>#VALUE!</v>
      </c>
    </row>
    <row r="11556" spans="3:3" ht="13.5" customHeight="1">
      <c r="C11556" s="4" t="str">
        <f ca="1">IFERROR(__xludf.DUMMYFUNCTION("GOOGLETRANSLATE(D:D,""auto"",""en"")"),"#VALUE!")</f>
        <v>#VALUE!</v>
      </c>
    </row>
    <row r="11557" spans="3:3" ht="13.5" customHeight="1">
      <c r="C11557" s="4" t="str">
        <f ca="1">IFERROR(__xludf.DUMMYFUNCTION("GOOGLETRANSLATE(D:D,""auto"",""en"")"),"#VALUE!")</f>
        <v>#VALUE!</v>
      </c>
    </row>
    <row r="11558" spans="3:3" ht="13.5" customHeight="1">
      <c r="C11558" s="4" t="str">
        <f ca="1">IFERROR(__xludf.DUMMYFUNCTION("GOOGLETRANSLATE(D:D,""auto"",""en"")"),"#VALUE!")</f>
        <v>#VALUE!</v>
      </c>
    </row>
    <row r="11559" spans="3:3" ht="13.5" customHeight="1">
      <c r="C11559" s="4" t="str">
        <f ca="1">IFERROR(__xludf.DUMMYFUNCTION("GOOGLETRANSLATE(D:D,""auto"",""en"")"),"#VALUE!")</f>
        <v>#VALUE!</v>
      </c>
    </row>
    <row r="11560" spans="3:3" ht="13.5" customHeight="1">
      <c r="C11560" s="4" t="str">
        <f ca="1">IFERROR(__xludf.DUMMYFUNCTION("GOOGLETRANSLATE(D:D,""auto"",""en"")"),"#VALUE!")</f>
        <v>#VALUE!</v>
      </c>
    </row>
    <row r="11561" spans="3:3" ht="13.5" customHeight="1">
      <c r="C11561" s="4" t="str">
        <f ca="1">IFERROR(__xludf.DUMMYFUNCTION("GOOGLETRANSLATE(D:D,""auto"",""en"")"),"#VALUE!")</f>
        <v>#VALUE!</v>
      </c>
    </row>
    <row r="11562" spans="3:3" ht="13.5" customHeight="1">
      <c r="C11562" s="4" t="str">
        <f ca="1">IFERROR(__xludf.DUMMYFUNCTION("GOOGLETRANSLATE(D:D,""auto"",""en"")"),"#VALUE!")</f>
        <v>#VALUE!</v>
      </c>
    </row>
    <row r="11563" spans="3:3" ht="13.5" customHeight="1">
      <c r="C11563" s="4" t="str">
        <f ca="1">IFERROR(__xludf.DUMMYFUNCTION("GOOGLETRANSLATE(D:D,""auto"",""en"")"),"#VALUE!")</f>
        <v>#VALUE!</v>
      </c>
    </row>
    <row r="11564" spans="3:3" ht="13.5" customHeight="1">
      <c r="C11564" s="4" t="str">
        <f ca="1">IFERROR(__xludf.DUMMYFUNCTION("GOOGLETRANSLATE(D:D,""auto"",""en"")"),"#VALUE!")</f>
        <v>#VALUE!</v>
      </c>
    </row>
    <row r="11565" spans="3:3" ht="13.5" customHeight="1">
      <c r="C11565" s="4" t="str">
        <f ca="1">IFERROR(__xludf.DUMMYFUNCTION("GOOGLETRANSLATE(D:D,""auto"",""en"")"),"#VALUE!")</f>
        <v>#VALUE!</v>
      </c>
    </row>
    <row r="11566" spans="3:3" ht="13.5" customHeight="1">
      <c r="C11566" s="4" t="str">
        <f ca="1">IFERROR(__xludf.DUMMYFUNCTION("GOOGLETRANSLATE(D:D,""auto"",""en"")"),"#VALUE!")</f>
        <v>#VALUE!</v>
      </c>
    </row>
    <row r="11567" spans="3:3" ht="13.5" customHeight="1">
      <c r="C11567" s="4" t="str">
        <f ca="1">IFERROR(__xludf.DUMMYFUNCTION("GOOGLETRANSLATE(D:D,""auto"",""en"")"),"#VALUE!")</f>
        <v>#VALUE!</v>
      </c>
    </row>
    <row r="11568" spans="3:3" ht="13.5" customHeight="1">
      <c r="C11568" s="4" t="str">
        <f ca="1">IFERROR(__xludf.DUMMYFUNCTION("GOOGLETRANSLATE(D:D,""auto"",""en"")"),"#VALUE!")</f>
        <v>#VALUE!</v>
      </c>
    </row>
    <row r="11569" spans="3:3" ht="13.5" customHeight="1">
      <c r="C11569" s="4" t="str">
        <f ca="1">IFERROR(__xludf.DUMMYFUNCTION("GOOGLETRANSLATE(D:D,""auto"",""en"")"),"#VALUE!")</f>
        <v>#VALUE!</v>
      </c>
    </row>
    <row r="11570" spans="3:3" ht="13.5" customHeight="1">
      <c r="C11570" s="4" t="str">
        <f ca="1">IFERROR(__xludf.DUMMYFUNCTION("GOOGLETRANSLATE(D:D,""auto"",""en"")"),"#VALUE!")</f>
        <v>#VALUE!</v>
      </c>
    </row>
    <row r="11571" spans="3:3" ht="13.5" customHeight="1">
      <c r="C11571" s="4" t="str">
        <f ca="1">IFERROR(__xludf.DUMMYFUNCTION("GOOGLETRANSLATE(D:D,""auto"",""en"")"),"#VALUE!")</f>
        <v>#VALUE!</v>
      </c>
    </row>
    <row r="11572" spans="3:3" ht="13.5" customHeight="1">
      <c r="C11572" s="4" t="str">
        <f ca="1">IFERROR(__xludf.DUMMYFUNCTION("GOOGLETRANSLATE(D:D,""auto"",""en"")"),"#VALUE!")</f>
        <v>#VALUE!</v>
      </c>
    </row>
    <row r="11573" spans="3:3" ht="13.5" customHeight="1">
      <c r="C11573" s="4" t="str">
        <f ca="1">IFERROR(__xludf.DUMMYFUNCTION("GOOGLETRANSLATE(D:D,""auto"",""en"")"),"#VALUE!")</f>
        <v>#VALUE!</v>
      </c>
    </row>
    <row r="11574" spans="3:3" ht="13.5" customHeight="1">
      <c r="C11574" s="4" t="str">
        <f ca="1">IFERROR(__xludf.DUMMYFUNCTION("GOOGLETRANSLATE(D:D,""auto"",""en"")"),"#VALUE!")</f>
        <v>#VALUE!</v>
      </c>
    </row>
    <row r="11575" spans="3:3" ht="13.5" customHeight="1">
      <c r="C11575" s="4" t="str">
        <f ca="1">IFERROR(__xludf.DUMMYFUNCTION("GOOGLETRANSLATE(D:D,""auto"",""en"")"),"#VALUE!")</f>
        <v>#VALUE!</v>
      </c>
    </row>
    <row r="11576" spans="3:3" ht="13.5" customHeight="1">
      <c r="C11576" s="4" t="str">
        <f ca="1">IFERROR(__xludf.DUMMYFUNCTION("GOOGLETRANSLATE(D:D,""auto"",""en"")"),"#VALUE!")</f>
        <v>#VALUE!</v>
      </c>
    </row>
    <row r="11577" spans="3:3" ht="13.5" customHeight="1">
      <c r="C11577" s="4" t="str">
        <f ca="1">IFERROR(__xludf.DUMMYFUNCTION("GOOGLETRANSLATE(D:D,""auto"",""en"")"),"#VALUE!")</f>
        <v>#VALUE!</v>
      </c>
    </row>
    <row r="11578" spans="3:3" ht="13.5" customHeight="1">
      <c r="C11578" s="4" t="str">
        <f ca="1">IFERROR(__xludf.DUMMYFUNCTION("GOOGLETRANSLATE(D:D,""auto"",""en"")"),"#VALUE!")</f>
        <v>#VALUE!</v>
      </c>
    </row>
    <row r="11579" spans="3:3" ht="13.5" customHeight="1">
      <c r="C11579" s="4" t="str">
        <f ca="1">IFERROR(__xludf.DUMMYFUNCTION("GOOGLETRANSLATE(D:D,""auto"",""en"")"),"#VALUE!")</f>
        <v>#VALUE!</v>
      </c>
    </row>
    <row r="11580" spans="3:3" ht="13.5" customHeight="1">
      <c r="C11580" s="4" t="str">
        <f ca="1">IFERROR(__xludf.DUMMYFUNCTION("GOOGLETRANSLATE(D:D,""auto"",""en"")"),"#VALUE!")</f>
        <v>#VALUE!</v>
      </c>
    </row>
    <row r="11581" spans="3:3" ht="13.5" customHeight="1">
      <c r="C11581" s="4" t="str">
        <f ca="1">IFERROR(__xludf.DUMMYFUNCTION("GOOGLETRANSLATE(D:D,""auto"",""en"")"),"#VALUE!")</f>
        <v>#VALUE!</v>
      </c>
    </row>
    <row r="11582" spans="3:3" ht="13.5" customHeight="1">
      <c r="C11582" s="4" t="str">
        <f ca="1">IFERROR(__xludf.DUMMYFUNCTION("GOOGLETRANSLATE(D:D,""auto"",""en"")"),"#VALUE!")</f>
        <v>#VALUE!</v>
      </c>
    </row>
    <row r="11583" spans="3:3" ht="13.5" customHeight="1">
      <c r="C11583" s="4" t="str">
        <f ca="1">IFERROR(__xludf.DUMMYFUNCTION("GOOGLETRANSLATE(D:D,""auto"",""en"")"),"#VALUE!")</f>
        <v>#VALUE!</v>
      </c>
    </row>
    <row r="11584" spans="3:3" ht="13.5" customHeight="1">
      <c r="C11584" s="4" t="str">
        <f ca="1">IFERROR(__xludf.DUMMYFUNCTION("GOOGLETRANSLATE(D:D,""auto"",""en"")"),"#VALUE!")</f>
        <v>#VALUE!</v>
      </c>
    </row>
    <row r="11585" spans="3:3" ht="13.5" customHeight="1">
      <c r="C11585" s="4" t="str">
        <f ca="1">IFERROR(__xludf.DUMMYFUNCTION("GOOGLETRANSLATE(D:D,""auto"",""en"")"),"#VALUE!")</f>
        <v>#VALUE!</v>
      </c>
    </row>
    <row r="11586" spans="3:3" ht="13.5" customHeight="1">
      <c r="C11586" s="4" t="str">
        <f ca="1">IFERROR(__xludf.DUMMYFUNCTION("GOOGLETRANSLATE(D:D,""auto"",""en"")"),"#VALUE!")</f>
        <v>#VALUE!</v>
      </c>
    </row>
    <row r="11587" spans="3:3" ht="13.5" customHeight="1">
      <c r="C11587" s="4" t="str">
        <f ca="1">IFERROR(__xludf.DUMMYFUNCTION("GOOGLETRANSLATE(D:D,""auto"",""en"")"),"#VALUE!")</f>
        <v>#VALUE!</v>
      </c>
    </row>
    <row r="11588" spans="3:3" ht="13.5" customHeight="1">
      <c r="C11588" s="4" t="str">
        <f ca="1">IFERROR(__xludf.DUMMYFUNCTION("GOOGLETRANSLATE(D:D,""auto"",""en"")"),"#VALUE!")</f>
        <v>#VALUE!</v>
      </c>
    </row>
    <row r="11589" spans="3:3" ht="13.5" customHeight="1">
      <c r="C11589" s="4" t="str">
        <f ca="1">IFERROR(__xludf.DUMMYFUNCTION("GOOGLETRANSLATE(D:D,""auto"",""en"")"),"#VALUE!")</f>
        <v>#VALUE!</v>
      </c>
    </row>
    <row r="11590" spans="3:3" ht="13.5" customHeight="1">
      <c r="C11590" s="4" t="str">
        <f ca="1">IFERROR(__xludf.DUMMYFUNCTION("GOOGLETRANSLATE(D:D,""auto"",""en"")"),"#VALUE!")</f>
        <v>#VALUE!</v>
      </c>
    </row>
    <row r="11591" spans="3:3" ht="13.5" customHeight="1">
      <c r="C11591" s="4" t="str">
        <f ca="1">IFERROR(__xludf.DUMMYFUNCTION("GOOGLETRANSLATE(D:D,""auto"",""en"")"),"#VALUE!")</f>
        <v>#VALUE!</v>
      </c>
    </row>
    <row r="11592" spans="3:3" ht="13.5" customHeight="1">
      <c r="C11592" s="4" t="str">
        <f ca="1">IFERROR(__xludf.DUMMYFUNCTION("GOOGLETRANSLATE(D:D,""auto"",""en"")"),"#VALUE!")</f>
        <v>#VALUE!</v>
      </c>
    </row>
    <row r="11593" spans="3:3" ht="13.5" customHeight="1">
      <c r="C11593" s="4" t="str">
        <f ca="1">IFERROR(__xludf.DUMMYFUNCTION("GOOGLETRANSLATE(D:D,""auto"",""en"")"),"#VALUE!")</f>
        <v>#VALUE!</v>
      </c>
    </row>
    <row r="11594" spans="3:3" ht="13.5" customHeight="1">
      <c r="C11594" s="4" t="str">
        <f ca="1">IFERROR(__xludf.DUMMYFUNCTION("GOOGLETRANSLATE(D:D,""auto"",""en"")"),"#VALUE!")</f>
        <v>#VALUE!</v>
      </c>
    </row>
    <row r="11595" spans="3:3" ht="13.5" customHeight="1">
      <c r="C11595" s="4" t="str">
        <f ca="1">IFERROR(__xludf.DUMMYFUNCTION("GOOGLETRANSLATE(D:D,""auto"",""en"")"),"#VALUE!")</f>
        <v>#VALUE!</v>
      </c>
    </row>
    <row r="11596" spans="3:3" ht="13.5" customHeight="1">
      <c r="C11596" s="4" t="str">
        <f ca="1">IFERROR(__xludf.DUMMYFUNCTION("GOOGLETRANSLATE(D:D,""auto"",""en"")"),"#VALUE!")</f>
        <v>#VALUE!</v>
      </c>
    </row>
    <row r="11597" spans="3:3" ht="13.5" customHeight="1">
      <c r="C11597" s="4" t="str">
        <f ca="1">IFERROR(__xludf.DUMMYFUNCTION("GOOGLETRANSLATE(D:D,""auto"",""en"")"),"#VALUE!")</f>
        <v>#VALUE!</v>
      </c>
    </row>
    <row r="11598" spans="3:3" ht="13.5" customHeight="1">
      <c r="C11598" s="4" t="str">
        <f ca="1">IFERROR(__xludf.DUMMYFUNCTION("GOOGLETRANSLATE(D:D,""auto"",""en"")"),"#VALUE!")</f>
        <v>#VALUE!</v>
      </c>
    </row>
    <row r="11599" spans="3:3" ht="13.5" customHeight="1">
      <c r="C11599" s="4" t="str">
        <f ca="1">IFERROR(__xludf.DUMMYFUNCTION("GOOGLETRANSLATE(D:D,""auto"",""en"")"),"#VALUE!")</f>
        <v>#VALUE!</v>
      </c>
    </row>
    <row r="11600" spans="3:3" ht="13.5" customHeight="1">
      <c r="C11600" s="4" t="str">
        <f ca="1">IFERROR(__xludf.DUMMYFUNCTION("GOOGLETRANSLATE(D:D,""auto"",""en"")"),"#VALUE!")</f>
        <v>#VALUE!</v>
      </c>
    </row>
    <row r="11601" spans="3:3" ht="13.5" customHeight="1">
      <c r="C11601" s="4" t="str">
        <f ca="1">IFERROR(__xludf.DUMMYFUNCTION("GOOGLETRANSLATE(D:D,""auto"",""en"")"),"#VALUE!")</f>
        <v>#VALUE!</v>
      </c>
    </row>
    <row r="11602" spans="3:3" ht="13.5" customHeight="1">
      <c r="C11602" s="4" t="str">
        <f ca="1">IFERROR(__xludf.DUMMYFUNCTION("GOOGLETRANSLATE(D:D,""auto"",""en"")"),"#VALUE!")</f>
        <v>#VALUE!</v>
      </c>
    </row>
    <row r="11603" spans="3:3" ht="13.5" customHeight="1">
      <c r="C11603" s="4" t="str">
        <f ca="1">IFERROR(__xludf.DUMMYFUNCTION("GOOGLETRANSLATE(D:D,""auto"",""en"")"),"#VALUE!")</f>
        <v>#VALUE!</v>
      </c>
    </row>
    <row r="11604" spans="3:3" ht="13.5" customHeight="1">
      <c r="C11604" s="4" t="str">
        <f ca="1">IFERROR(__xludf.DUMMYFUNCTION("GOOGLETRANSLATE(D:D,""auto"",""en"")"),"#VALUE!")</f>
        <v>#VALUE!</v>
      </c>
    </row>
    <row r="11605" spans="3:3" ht="13.5" customHeight="1">
      <c r="C11605" s="4" t="str">
        <f ca="1">IFERROR(__xludf.DUMMYFUNCTION("GOOGLETRANSLATE(D:D,""auto"",""en"")"),"#VALUE!")</f>
        <v>#VALUE!</v>
      </c>
    </row>
    <row r="11606" spans="3:3" ht="13.5" customHeight="1">
      <c r="C11606" s="4" t="str">
        <f ca="1">IFERROR(__xludf.DUMMYFUNCTION("GOOGLETRANSLATE(D:D,""auto"",""en"")"),"#VALUE!")</f>
        <v>#VALUE!</v>
      </c>
    </row>
    <row r="11607" spans="3:3" ht="13.5" customHeight="1">
      <c r="C11607" s="4" t="str">
        <f ca="1">IFERROR(__xludf.DUMMYFUNCTION("GOOGLETRANSLATE(D:D,""auto"",""en"")"),"#VALUE!")</f>
        <v>#VALUE!</v>
      </c>
    </row>
    <row r="11608" spans="3:3" ht="13.5" customHeight="1">
      <c r="C11608" s="4" t="str">
        <f ca="1">IFERROR(__xludf.DUMMYFUNCTION("GOOGLETRANSLATE(D:D,""auto"",""en"")"),"#VALUE!")</f>
        <v>#VALUE!</v>
      </c>
    </row>
    <row r="11609" spans="3:3" ht="13.5" customHeight="1">
      <c r="C11609" s="4" t="str">
        <f ca="1">IFERROR(__xludf.DUMMYFUNCTION("GOOGLETRANSLATE(D:D,""auto"",""en"")"),"#VALUE!")</f>
        <v>#VALUE!</v>
      </c>
    </row>
    <row r="11610" spans="3:3" ht="13.5" customHeight="1">
      <c r="C11610" s="4" t="str">
        <f ca="1">IFERROR(__xludf.DUMMYFUNCTION("GOOGLETRANSLATE(D:D,""auto"",""en"")"),"#VALUE!")</f>
        <v>#VALUE!</v>
      </c>
    </row>
    <row r="11611" spans="3:3" ht="13.5" customHeight="1">
      <c r="C11611" s="4" t="str">
        <f ca="1">IFERROR(__xludf.DUMMYFUNCTION("GOOGLETRANSLATE(D:D,""auto"",""en"")"),"#VALUE!")</f>
        <v>#VALUE!</v>
      </c>
    </row>
    <row r="11612" spans="3:3" ht="13.5" customHeight="1">
      <c r="C11612" s="4" t="str">
        <f ca="1">IFERROR(__xludf.DUMMYFUNCTION("GOOGLETRANSLATE(D:D,""auto"",""en"")"),"#VALUE!")</f>
        <v>#VALUE!</v>
      </c>
    </row>
    <row r="11613" spans="3:3" ht="13.5" customHeight="1">
      <c r="C11613" s="4" t="str">
        <f ca="1">IFERROR(__xludf.DUMMYFUNCTION("GOOGLETRANSLATE(D:D,""auto"",""en"")"),"#VALUE!")</f>
        <v>#VALUE!</v>
      </c>
    </row>
    <row r="11614" spans="3:3" ht="13.5" customHeight="1">
      <c r="C11614" s="4" t="str">
        <f ca="1">IFERROR(__xludf.DUMMYFUNCTION("GOOGLETRANSLATE(D:D,""auto"",""en"")"),"#VALUE!")</f>
        <v>#VALUE!</v>
      </c>
    </row>
    <row r="11615" spans="3:3" ht="13.5" customHeight="1">
      <c r="C11615" s="4" t="str">
        <f ca="1">IFERROR(__xludf.DUMMYFUNCTION("GOOGLETRANSLATE(D:D,""auto"",""en"")"),"#VALUE!")</f>
        <v>#VALUE!</v>
      </c>
    </row>
    <row r="11616" spans="3:3" ht="13.5" customHeight="1">
      <c r="C11616" s="4" t="str">
        <f ca="1">IFERROR(__xludf.DUMMYFUNCTION("GOOGLETRANSLATE(D:D,""auto"",""en"")"),"#VALUE!")</f>
        <v>#VALUE!</v>
      </c>
    </row>
    <row r="11617" spans="3:3" ht="13.5" customHeight="1">
      <c r="C11617" s="4" t="str">
        <f ca="1">IFERROR(__xludf.DUMMYFUNCTION("GOOGLETRANSLATE(D:D,""auto"",""en"")"),"#VALUE!")</f>
        <v>#VALUE!</v>
      </c>
    </row>
    <row r="11618" spans="3:3" ht="13.5" customHeight="1">
      <c r="C11618" s="4" t="str">
        <f ca="1">IFERROR(__xludf.DUMMYFUNCTION("GOOGLETRANSLATE(D:D,""auto"",""en"")"),"#VALUE!")</f>
        <v>#VALUE!</v>
      </c>
    </row>
    <row r="11619" spans="3:3" ht="13.5" customHeight="1">
      <c r="C11619" s="4" t="str">
        <f ca="1">IFERROR(__xludf.DUMMYFUNCTION("GOOGLETRANSLATE(D:D,""auto"",""en"")"),"#VALUE!")</f>
        <v>#VALUE!</v>
      </c>
    </row>
    <row r="11620" spans="3:3" ht="13.5" customHeight="1">
      <c r="C11620" s="4" t="str">
        <f ca="1">IFERROR(__xludf.DUMMYFUNCTION("GOOGLETRANSLATE(D:D,""auto"",""en"")"),"#VALUE!")</f>
        <v>#VALUE!</v>
      </c>
    </row>
    <row r="11621" spans="3:3" ht="13.5" customHeight="1">
      <c r="C11621" s="4" t="str">
        <f ca="1">IFERROR(__xludf.DUMMYFUNCTION("GOOGLETRANSLATE(D:D,""auto"",""en"")"),"#VALUE!")</f>
        <v>#VALUE!</v>
      </c>
    </row>
    <row r="11622" spans="3:3" ht="13.5" customHeight="1">
      <c r="C11622" s="4" t="str">
        <f ca="1">IFERROR(__xludf.DUMMYFUNCTION("GOOGLETRANSLATE(D:D,""auto"",""en"")"),"#VALUE!")</f>
        <v>#VALUE!</v>
      </c>
    </row>
    <row r="11623" spans="3:3" ht="13.5" customHeight="1">
      <c r="C11623" s="4" t="str">
        <f ca="1">IFERROR(__xludf.DUMMYFUNCTION("GOOGLETRANSLATE(D:D,""auto"",""en"")"),"#VALUE!")</f>
        <v>#VALUE!</v>
      </c>
    </row>
    <row r="11624" spans="3:3" ht="13.5" customHeight="1">
      <c r="C11624" s="4" t="str">
        <f ca="1">IFERROR(__xludf.DUMMYFUNCTION("GOOGLETRANSLATE(D:D,""auto"",""en"")"),"#VALUE!")</f>
        <v>#VALUE!</v>
      </c>
    </row>
    <row r="11625" spans="3:3" ht="13.5" customHeight="1">
      <c r="C11625" s="4" t="str">
        <f ca="1">IFERROR(__xludf.DUMMYFUNCTION("GOOGLETRANSLATE(D:D,""auto"",""en"")"),"#VALUE!")</f>
        <v>#VALUE!</v>
      </c>
    </row>
    <row r="11626" spans="3:3" ht="13.5" customHeight="1">
      <c r="C11626" s="4" t="str">
        <f ca="1">IFERROR(__xludf.DUMMYFUNCTION("GOOGLETRANSLATE(D:D,""auto"",""en"")"),"#VALUE!")</f>
        <v>#VALUE!</v>
      </c>
    </row>
    <row r="11627" spans="3:3" ht="13.5" customHeight="1">
      <c r="C11627" s="4" t="str">
        <f ca="1">IFERROR(__xludf.DUMMYFUNCTION("GOOGLETRANSLATE(D:D,""auto"",""en"")"),"#VALUE!")</f>
        <v>#VALUE!</v>
      </c>
    </row>
    <row r="11628" spans="3:3" ht="13.5" customHeight="1">
      <c r="C11628" s="4" t="str">
        <f ca="1">IFERROR(__xludf.DUMMYFUNCTION("GOOGLETRANSLATE(D:D,""auto"",""en"")"),"#VALUE!")</f>
        <v>#VALUE!</v>
      </c>
    </row>
    <row r="11629" spans="3:3" ht="13.5" customHeight="1">
      <c r="C11629" s="4" t="str">
        <f ca="1">IFERROR(__xludf.DUMMYFUNCTION("GOOGLETRANSLATE(D:D,""auto"",""en"")"),"#VALUE!")</f>
        <v>#VALUE!</v>
      </c>
    </row>
    <row r="11630" spans="3:3" ht="13.5" customHeight="1">
      <c r="C11630" s="4" t="str">
        <f ca="1">IFERROR(__xludf.DUMMYFUNCTION("GOOGLETRANSLATE(D:D,""auto"",""en"")"),"#VALUE!")</f>
        <v>#VALUE!</v>
      </c>
    </row>
    <row r="11631" spans="3:3" ht="13.5" customHeight="1">
      <c r="C11631" s="4" t="str">
        <f ca="1">IFERROR(__xludf.DUMMYFUNCTION("GOOGLETRANSLATE(D:D,""auto"",""en"")"),"#VALUE!")</f>
        <v>#VALUE!</v>
      </c>
    </row>
    <row r="11632" spans="3:3" ht="13.5" customHeight="1">
      <c r="C11632" s="4" t="str">
        <f ca="1">IFERROR(__xludf.DUMMYFUNCTION("GOOGLETRANSLATE(D:D,""auto"",""en"")"),"#VALUE!")</f>
        <v>#VALUE!</v>
      </c>
    </row>
    <row r="11633" spans="3:3" ht="13.5" customHeight="1">
      <c r="C11633" s="4" t="str">
        <f ca="1">IFERROR(__xludf.DUMMYFUNCTION("GOOGLETRANSLATE(D:D,""auto"",""en"")"),"#VALUE!")</f>
        <v>#VALUE!</v>
      </c>
    </row>
    <row r="11634" spans="3:3" ht="13.5" customHeight="1">
      <c r="C11634" s="4" t="str">
        <f ca="1">IFERROR(__xludf.DUMMYFUNCTION("GOOGLETRANSLATE(D:D,""auto"",""en"")"),"#VALUE!")</f>
        <v>#VALUE!</v>
      </c>
    </row>
    <row r="11635" spans="3:3" ht="13.5" customHeight="1">
      <c r="C11635" s="4" t="str">
        <f ca="1">IFERROR(__xludf.DUMMYFUNCTION("GOOGLETRANSLATE(D:D,""auto"",""en"")"),"#VALUE!")</f>
        <v>#VALUE!</v>
      </c>
    </row>
    <row r="11636" spans="3:3" ht="13.5" customHeight="1">
      <c r="C11636" s="4" t="str">
        <f ca="1">IFERROR(__xludf.DUMMYFUNCTION("GOOGLETRANSLATE(D:D,""auto"",""en"")"),"#VALUE!")</f>
        <v>#VALUE!</v>
      </c>
    </row>
    <row r="11637" spans="3:3" ht="13.5" customHeight="1">
      <c r="C11637" s="4" t="str">
        <f ca="1">IFERROR(__xludf.DUMMYFUNCTION("GOOGLETRANSLATE(D:D,""auto"",""en"")"),"#VALUE!")</f>
        <v>#VALUE!</v>
      </c>
    </row>
    <row r="11638" spans="3:3" ht="13.5" customHeight="1">
      <c r="C11638" s="4" t="str">
        <f ca="1">IFERROR(__xludf.DUMMYFUNCTION("GOOGLETRANSLATE(D:D,""auto"",""en"")"),"#VALUE!")</f>
        <v>#VALUE!</v>
      </c>
    </row>
    <row r="11639" spans="3:3" ht="13.5" customHeight="1">
      <c r="C11639" s="4" t="str">
        <f ca="1">IFERROR(__xludf.DUMMYFUNCTION("GOOGLETRANSLATE(D:D,""auto"",""en"")"),"#VALUE!")</f>
        <v>#VALUE!</v>
      </c>
    </row>
    <row r="11640" spans="3:3" ht="13.5" customHeight="1">
      <c r="C11640" s="4" t="str">
        <f ca="1">IFERROR(__xludf.DUMMYFUNCTION("GOOGLETRANSLATE(D:D,""auto"",""en"")"),"#VALUE!")</f>
        <v>#VALUE!</v>
      </c>
    </row>
    <row r="11641" spans="3:3" ht="13.5" customHeight="1">
      <c r="C11641" s="4" t="str">
        <f ca="1">IFERROR(__xludf.DUMMYFUNCTION("GOOGLETRANSLATE(D:D,""auto"",""en"")"),"#VALUE!")</f>
        <v>#VALUE!</v>
      </c>
    </row>
    <row r="11642" spans="3:3" ht="13.5" customHeight="1">
      <c r="C11642" s="4" t="str">
        <f ca="1">IFERROR(__xludf.DUMMYFUNCTION("GOOGLETRANSLATE(D:D,""auto"",""en"")"),"#VALUE!")</f>
        <v>#VALUE!</v>
      </c>
    </row>
    <row r="11643" spans="3:3" ht="13.5" customHeight="1">
      <c r="C11643" s="4" t="str">
        <f ca="1">IFERROR(__xludf.DUMMYFUNCTION("GOOGLETRANSLATE(D:D,""auto"",""en"")"),"#VALUE!")</f>
        <v>#VALUE!</v>
      </c>
    </row>
    <row r="11644" spans="3:3" ht="13.5" customHeight="1">
      <c r="C11644" s="4" t="str">
        <f ca="1">IFERROR(__xludf.DUMMYFUNCTION("GOOGLETRANSLATE(D:D,""auto"",""en"")"),"#VALUE!")</f>
        <v>#VALUE!</v>
      </c>
    </row>
    <row r="11645" spans="3:3" ht="13.5" customHeight="1">
      <c r="C11645" s="4" t="str">
        <f ca="1">IFERROR(__xludf.DUMMYFUNCTION("GOOGLETRANSLATE(D:D,""auto"",""en"")"),"#VALUE!")</f>
        <v>#VALUE!</v>
      </c>
    </row>
    <row r="11646" spans="3:3" ht="13.5" customHeight="1">
      <c r="C11646" s="4" t="str">
        <f ca="1">IFERROR(__xludf.DUMMYFUNCTION("GOOGLETRANSLATE(D:D,""auto"",""en"")"),"#VALUE!")</f>
        <v>#VALUE!</v>
      </c>
    </row>
    <row r="11647" spans="3:3" ht="13.5" customHeight="1">
      <c r="C11647" s="4" t="str">
        <f ca="1">IFERROR(__xludf.DUMMYFUNCTION("GOOGLETRANSLATE(D:D,""auto"",""en"")"),"#VALUE!")</f>
        <v>#VALUE!</v>
      </c>
    </row>
    <row r="11648" spans="3:3" ht="13.5" customHeight="1">
      <c r="C11648" s="4" t="str">
        <f ca="1">IFERROR(__xludf.DUMMYFUNCTION("GOOGLETRANSLATE(D:D,""auto"",""en"")"),"#VALUE!")</f>
        <v>#VALUE!</v>
      </c>
    </row>
    <row r="11649" spans="3:3" ht="13.5" customHeight="1">
      <c r="C11649" s="4" t="str">
        <f ca="1">IFERROR(__xludf.DUMMYFUNCTION("GOOGLETRANSLATE(D:D,""auto"",""en"")"),"#VALUE!")</f>
        <v>#VALUE!</v>
      </c>
    </row>
    <row r="11650" spans="3:3" ht="13.5" customHeight="1">
      <c r="C11650" s="4" t="str">
        <f ca="1">IFERROR(__xludf.DUMMYFUNCTION("GOOGLETRANSLATE(D:D,""auto"",""en"")"),"#VALUE!")</f>
        <v>#VALUE!</v>
      </c>
    </row>
    <row r="11651" spans="3:3" ht="13.5" customHeight="1">
      <c r="C11651" s="4" t="str">
        <f ca="1">IFERROR(__xludf.DUMMYFUNCTION("GOOGLETRANSLATE(D:D,""auto"",""en"")"),"#VALUE!")</f>
        <v>#VALUE!</v>
      </c>
    </row>
    <row r="11652" spans="3:3" ht="13.5" customHeight="1">
      <c r="C11652" s="4" t="str">
        <f ca="1">IFERROR(__xludf.DUMMYFUNCTION("GOOGLETRANSLATE(D:D,""auto"",""en"")"),"#VALUE!")</f>
        <v>#VALUE!</v>
      </c>
    </row>
    <row r="11653" spans="3:3" ht="13.5" customHeight="1">
      <c r="C11653" s="4" t="str">
        <f ca="1">IFERROR(__xludf.DUMMYFUNCTION("GOOGLETRANSLATE(D:D,""auto"",""en"")"),"#VALUE!")</f>
        <v>#VALUE!</v>
      </c>
    </row>
    <row r="11654" spans="3:3" ht="13.5" customHeight="1">
      <c r="C11654" s="4" t="str">
        <f ca="1">IFERROR(__xludf.DUMMYFUNCTION("GOOGLETRANSLATE(D:D,""auto"",""en"")"),"#VALUE!")</f>
        <v>#VALUE!</v>
      </c>
    </row>
    <row r="11655" spans="3:3" ht="13.5" customHeight="1">
      <c r="C11655" s="4" t="str">
        <f ca="1">IFERROR(__xludf.DUMMYFUNCTION("GOOGLETRANSLATE(D:D,""auto"",""en"")"),"#VALUE!")</f>
        <v>#VALUE!</v>
      </c>
    </row>
    <row r="11656" spans="3:3" ht="13.5" customHeight="1">
      <c r="C11656" s="4" t="str">
        <f ca="1">IFERROR(__xludf.DUMMYFUNCTION("GOOGLETRANSLATE(D:D,""auto"",""en"")"),"#VALUE!")</f>
        <v>#VALUE!</v>
      </c>
    </row>
    <row r="11657" spans="3:3" ht="13.5" customHeight="1">
      <c r="C11657" s="4" t="str">
        <f ca="1">IFERROR(__xludf.DUMMYFUNCTION("GOOGLETRANSLATE(D:D,""auto"",""en"")"),"#VALUE!")</f>
        <v>#VALUE!</v>
      </c>
    </row>
    <row r="11658" spans="3:3" ht="13.5" customHeight="1">
      <c r="C11658" s="4" t="str">
        <f ca="1">IFERROR(__xludf.DUMMYFUNCTION("GOOGLETRANSLATE(D:D,""auto"",""en"")"),"#VALUE!")</f>
        <v>#VALUE!</v>
      </c>
    </row>
    <row r="11659" spans="3:3" ht="13.5" customHeight="1">
      <c r="C11659" s="4" t="str">
        <f ca="1">IFERROR(__xludf.DUMMYFUNCTION("GOOGLETRANSLATE(D:D,""auto"",""en"")"),"#VALUE!")</f>
        <v>#VALUE!</v>
      </c>
    </row>
    <row r="11660" spans="3:3" ht="13.5" customHeight="1">
      <c r="C11660" s="4" t="str">
        <f ca="1">IFERROR(__xludf.DUMMYFUNCTION("GOOGLETRANSLATE(D:D,""auto"",""en"")"),"#VALUE!")</f>
        <v>#VALUE!</v>
      </c>
    </row>
    <row r="11661" spans="3:3" ht="13.5" customHeight="1">
      <c r="C11661" s="4" t="str">
        <f ca="1">IFERROR(__xludf.DUMMYFUNCTION("GOOGLETRANSLATE(D:D,""auto"",""en"")"),"#VALUE!")</f>
        <v>#VALUE!</v>
      </c>
    </row>
    <row r="11662" spans="3:3" ht="13.5" customHeight="1">
      <c r="C11662" s="4" t="str">
        <f ca="1">IFERROR(__xludf.DUMMYFUNCTION("GOOGLETRANSLATE(D:D,""auto"",""en"")"),"#VALUE!")</f>
        <v>#VALUE!</v>
      </c>
    </row>
    <row r="11663" spans="3:3" ht="13.5" customHeight="1">
      <c r="C11663" s="4" t="str">
        <f ca="1">IFERROR(__xludf.DUMMYFUNCTION("GOOGLETRANSLATE(D:D,""auto"",""en"")"),"#VALUE!")</f>
        <v>#VALUE!</v>
      </c>
    </row>
    <row r="11664" spans="3:3" ht="13.5" customHeight="1">
      <c r="C11664" s="4" t="str">
        <f ca="1">IFERROR(__xludf.DUMMYFUNCTION("GOOGLETRANSLATE(D:D,""auto"",""en"")"),"#VALUE!")</f>
        <v>#VALUE!</v>
      </c>
    </row>
    <row r="11665" spans="3:3" ht="13.5" customHeight="1">
      <c r="C11665" s="4" t="str">
        <f ca="1">IFERROR(__xludf.DUMMYFUNCTION("GOOGLETRANSLATE(D:D,""auto"",""en"")"),"#VALUE!")</f>
        <v>#VALUE!</v>
      </c>
    </row>
    <row r="11666" spans="3:3" ht="13.5" customHeight="1">
      <c r="C11666" s="4" t="str">
        <f ca="1">IFERROR(__xludf.DUMMYFUNCTION("GOOGLETRANSLATE(D:D,""auto"",""en"")"),"#VALUE!")</f>
        <v>#VALUE!</v>
      </c>
    </row>
    <row r="11667" spans="3:3" ht="13.5" customHeight="1">
      <c r="C11667" s="4" t="str">
        <f ca="1">IFERROR(__xludf.DUMMYFUNCTION("GOOGLETRANSLATE(D:D,""auto"",""en"")"),"#VALUE!")</f>
        <v>#VALUE!</v>
      </c>
    </row>
    <row r="11668" spans="3:3" ht="13.5" customHeight="1">
      <c r="C11668" s="4" t="str">
        <f ca="1">IFERROR(__xludf.DUMMYFUNCTION("GOOGLETRANSLATE(D:D,""auto"",""en"")"),"#VALUE!")</f>
        <v>#VALUE!</v>
      </c>
    </row>
    <row r="11669" spans="3:3" ht="13.5" customHeight="1">
      <c r="C11669" s="4" t="str">
        <f ca="1">IFERROR(__xludf.DUMMYFUNCTION("GOOGLETRANSLATE(D:D,""auto"",""en"")"),"#VALUE!")</f>
        <v>#VALUE!</v>
      </c>
    </row>
    <row r="11670" spans="3:3" ht="13.5" customHeight="1">
      <c r="C11670" s="4" t="str">
        <f ca="1">IFERROR(__xludf.DUMMYFUNCTION("GOOGLETRANSLATE(D:D,""auto"",""en"")"),"#VALUE!")</f>
        <v>#VALUE!</v>
      </c>
    </row>
    <row r="11671" spans="3:3" ht="13.5" customHeight="1">
      <c r="C11671" s="4" t="str">
        <f ca="1">IFERROR(__xludf.DUMMYFUNCTION("GOOGLETRANSLATE(D:D,""auto"",""en"")"),"#VALUE!")</f>
        <v>#VALUE!</v>
      </c>
    </row>
    <row r="11672" spans="3:3" ht="13.5" customHeight="1">
      <c r="C11672" s="4" t="str">
        <f ca="1">IFERROR(__xludf.DUMMYFUNCTION("GOOGLETRANSLATE(D:D,""auto"",""en"")"),"#VALUE!")</f>
        <v>#VALUE!</v>
      </c>
    </row>
    <row r="11673" spans="3:3" ht="13.5" customHeight="1">
      <c r="C11673" s="4" t="str">
        <f ca="1">IFERROR(__xludf.DUMMYFUNCTION("GOOGLETRANSLATE(D:D,""auto"",""en"")"),"#VALUE!")</f>
        <v>#VALUE!</v>
      </c>
    </row>
    <row r="11674" spans="3:3" ht="13.5" customHeight="1">
      <c r="C11674" s="4" t="str">
        <f ca="1">IFERROR(__xludf.DUMMYFUNCTION("GOOGLETRANSLATE(D:D,""auto"",""en"")"),"#VALUE!")</f>
        <v>#VALUE!</v>
      </c>
    </row>
    <row r="11675" spans="3:3" ht="13.5" customHeight="1">
      <c r="C11675" s="4" t="str">
        <f ca="1">IFERROR(__xludf.DUMMYFUNCTION("GOOGLETRANSLATE(D:D,""auto"",""en"")"),"#VALUE!")</f>
        <v>#VALUE!</v>
      </c>
    </row>
    <row r="11676" spans="3:3" ht="13.5" customHeight="1">
      <c r="C11676" s="4" t="str">
        <f ca="1">IFERROR(__xludf.DUMMYFUNCTION("GOOGLETRANSLATE(D:D,""auto"",""en"")"),"#VALUE!")</f>
        <v>#VALUE!</v>
      </c>
    </row>
    <row r="11677" spans="3:3" ht="13.5" customHeight="1">
      <c r="C11677" s="4" t="str">
        <f ca="1">IFERROR(__xludf.DUMMYFUNCTION("GOOGLETRANSLATE(D:D,""auto"",""en"")"),"#VALUE!")</f>
        <v>#VALUE!</v>
      </c>
    </row>
    <row r="11678" spans="3:3" ht="13.5" customHeight="1">
      <c r="C11678" s="4" t="str">
        <f ca="1">IFERROR(__xludf.DUMMYFUNCTION("GOOGLETRANSLATE(D:D,""auto"",""en"")"),"#VALUE!")</f>
        <v>#VALUE!</v>
      </c>
    </row>
    <row r="11679" spans="3:3" ht="13.5" customHeight="1">
      <c r="C11679" s="4" t="str">
        <f ca="1">IFERROR(__xludf.DUMMYFUNCTION("GOOGLETRANSLATE(D:D,""auto"",""en"")"),"#VALUE!")</f>
        <v>#VALUE!</v>
      </c>
    </row>
    <row r="11680" spans="3:3" ht="13.5" customHeight="1">
      <c r="C11680" s="4" t="str">
        <f ca="1">IFERROR(__xludf.DUMMYFUNCTION("GOOGLETRANSLATE(D:D,""auto"",""en"")"),"#VALUE!")</f>
        <v>#VALUE!</v>
      </c>
    </row>
    <row r="11681" spans="3:3" ht="13.5" customHeight="1">
      <c r="C11681" s="4" t="str">
        <f ca="1">IFERROR(__xludf.DUMMYFUNCTION("GOOGLETRANSLATE(D:D,""auto"",""en"")"),"#VALUE!")</f>
        <v>#VALUE!</v>
      </c>
    </row>
    <row r="11682" spans="3:3" ht="13.5" customHeight="1">
      <c r="C11682" s="4" t="str">
        <f ca="1">IFERROR(__xludf.DUMMYFUNCTION("GOOGLETRANSLATE(D:D,""auto"",""en"")"),"#VALUE!")</f>
        <v>#VALUE!</v>
      </c>
    </row>
    <row r="11683" spans="3:3" ht="13.5" customHeight="1">
      <c r="C11683" s="4" t="str">
        <f ca="1">IFERROR(__xludf.DUMMYFUNCTION("GOOGLETRANSLATE(D:D,""auto"",""en"")"),"#VALUE!")</f>
        <v>#VALUE!</v>
      </c>
    </row>
    <row r="11684" spans="3:3" ht="13.5" customHeight="1">
      <c r="C11684" s="4" t="str">
        <f ca="1">IFERROR(__xludf.DUMMYFUNCTION("GOOGLETRANSLATE(D:D,""auto"",""en"")"),"#VALUE!")</f>
        <v>#VALUE!</v>
      </c>
    </row>
    <row r="11685" spans="3:3" ht="13.5" customHeight="1">
      <c r="C11685" s="4" t="str">
        <f ca="1">IFERROR(__xludf.DUMMYFUNCTION("GOOGLETRANSLATE(D:D,""auto"",""en"")"),"#VALUE!")</f>
        <v>#VALUE!</v>
      </c>
    </row>
    <row r="11686" spans="3:3" ht="13.5" customHeight="1">
      <c r="C11686" s="4" t="str">
        <f ca="1">IFERROR(__xludf.DUMMYFUNCTION("GOOGLETRANSLATE(D:D,""auto"",""en"")"),"#VALUE!")</f>
        <v>#VALUE!</v>
      </c>
    </row>
    <row r="11687" spans="3:3" ht="13.5" customHeight="1">
      <c r="C11687" s="4" t="str">
        <f ca="1">IFERROR(__xludf.DUMMYFUNCTION("GOOGLETRANSLATE(D:D,""auto"",""en"")"),"#VALUE!")</f>
        <v>#VALUE!</v>
      </c>
    </row>
    <row r="11688" spans="3:3" ht="13.5" customHeight="1">
      <c r="C11688" s="4" t="str">
        <f ca="1">IFERROR(__xludf.DUMMYFUNCTION("GOOGLETRANSLATE(D:D,""auto"",""en"")"),"#VALUE!")</f>
        <v>#VALUE!</v>
      </c>
    </row>
    <row r="11689" spans="3:3" ht="13.5" customHeight="1">
      <c r="C11689" s="4" t="str">
        <f ca="1">IFERROR(__xludf.DUMMYFUNCTION("GOOGLETRANSLATE(D:D,""auto"",""en"")"),"#VALUE!")</f>
        <v>#VALUE!</v>
      </c>
    </row>
    <row r="11690" spans="3:3" ht="13.5" customHeight="1">
      <c r="C11690" s="4" t="str">
        <f ca="1">IFERROR(__xludf.DUMMYFUNCTION("GOOGLETRANSLATE(D:D,""auto"",""en"")"),"#VALUE!")</f>
        <v>#VALUE!</v>
      </c>
    </row>
    <row r="11691" spans="3:3" ht="13.5" customHeight="1">
      <c r="C11691" s="4" t="str">
        <f ca="1">IFERROR(__xludf.DUMMYFUNCTION("GOOGLETRANSLATE(D:D,""auto"",""en"")"),"#VALUE!")</f>
        <v>#VALUE!</v>
      </c>
    </row>
    <row r="11692" spans="3:3" ht="13.5" customHeight="1">
      <c r="C11692" s="4" t="str">
        <f ca="1">IFERROR(__xludf.DUMMYFUNCTION("GOOGLETRANSLATE(D:D,""auto"",""en"")"),"#VALUE!")</f>
        <v>#VALUE!</v>
      </c>
    </row>
    <row r="11693" spans="3:3" ht="13.5" customHeight="1">
      <c r="C11693" s="4" t="str">
        <f ca="1">IFERROR(__xludf.DUMMYFUNCTION("GOOGLETRANSLATE(D:D,""auto"",""en"")"),"#VALUE!")</f>
        <v>#VALUE!</v>
      </c>
    </row>
    <row r="11694" spans="3:3" ht="13.5" customHeight="1">
      <c r="C11694" s="4" t="str">
        <f ca="1">IFERROR(__xludf.DUMMYFUNCTION("GOOGLETRANSLATE(D:D,""auto"",""en"")"),"#VALUE!")</f>
        <v>#VALUE!</v>
      </c>
    </row>
    <row r="11695" spans="3:3" ht="13.5" customHeight="1">
      <c r="C11695" s="4" t="str">
        <f ca="1">IFERROR(__xludf.DUMMYFUNCTION("GOOGLETRANSLATE(D:D,""auto"",""en"")"),"#VALUE!")</f>
        <v>#VALUE!</v>
      </c>
    </row>
    <row r="11696" spans="3:3" ht="13.5" customHeight="1">
      <c r="C11696" s="4" t="str">
        <f ca="1">IFERROR(__xludf.DUMMYFUNCTION("GOOGLETRANSLATE(D:D,""auto"",""en"")"),"#VALUE!")</f>
        <v>#VALUE!</v>
      </c>
    </row>
    <row r="11697" spans="3:3" ht="13.5" customHeight="1">
      <c r="C11697" s="4" t="str">
        <f ca="1">IFERROR(__xludf.DUMMYFUNCTION("GOOGLETRANSLATE(D:D,""auto"",""en"")"),"#VALUE!")</f>
        <v>#VALUE!</v>
      </c>
    </row>
    <row r="11698" spans="3:3" ht="13.5" customHeight="1">
      <c r="C11698" s="4" t="str">
        <f ca="1">IFERROR(__xludf.DUMMYFUNCTION("GOOGLETRANSLATE(D:D,""auto"",""en"")"),"#VALUE!")</f>
        <v>#VALUE!</v>
      </c>
    </row>
    <row r="11699" spans="3:3" ht="13.5" customHeight="1">
      <c r="C11699" s="4" t="str">
        <f ca="1">IFERROR(__xludf.DUMMYFUNCTION("GOOGLETRANSLATE(D:D,""auto"",""en"")"),"#VALUE!")</f>
        <v>#VALUE!</v>
      </c>
    </row>
    <row r="11700" spans="3:3" ht="13.5" customHeight="1">
      <c r="C11700" s="4" t="str">
        <f ca="1">IFERROR(__xludf.DUMMYFUNCTION("GOOGLETRANSLATE(D:D,""auto"",""en"")"),"#VALUE!")</f>
        <v>#VALUE!</v>
      </c>
    </row>
    <row r="11701" spans="3:3" ht="13.5" customHeight="1">
      <c r="C11701" s="4" t="str">
        <f ca="1">IFERROR(__xludf.DUMMYFUNCTION("GOOGLETRANSLATE(D:D,""auto"",""en"")"),"#VALUE!")</f>
        <v>#VALUE!</v>
      </c>
    </row>
    <row r="11702" spans="3:3" ht="13.5" customHeight="1">
      <c r="C11702" s="4" t="str">
        <f ca="1">IFERROR(__xludf.DUMMYFUNCTION("GOOGLETRANSLATE(D:D,""auto"",""en"")"),"#VALUE!")</f>
        <v>#VALUE!</v>
      </c>
    </row>
    <row r="11703" spans="3:3" ht="13.5" customHeight="1">
      <c r="C11703" s="4" t="str">
        <f ca="1">IFERROR(__xludf.DUMMYFUNCTION("GOOGLETRANSLATE(D:D,""auto"",""en"")"),"#VALUE!")</f>
        <v>#VALUE!</v>
      </c>
    </row>
    <row r="11704" spans="3:3" ht="13.5" customHeight="1">
      <c r="C11704" s="4" t="str">
        <f ca="1">IFERROR(__xludf.DUMMYFUNCTION("GOOGLETRANSLATE(D:D,""auto"",""en"")"),"#VALUE!")</f>
        <v>#VALUE!</v>
      </c>
    </row>
    <row r="11705" spans="3:3" ht="13.5" customHeight="1">
      <c r="C11705" s="4" t="str">
        <f ca="1">IFERROR(__xludf.DUMMYFUNCTION("GOOGLETRANSLATE(D:D,""auto"",""en"")"),"#VALUE!")</f>
        <v>#VALUE!</v>
      </c>
    </row>
    <row r="11706" spans="3:3" ht="13.5" customHeight="1">
      <c r="C11706" s="4" t="str">
        <f ca="1">IFERROR(__xludf.DUMMYFUNCTION("GOOGLETRANSLATE(D:D,""auto"",""en"")"),"#VALUE!")</f>
        <v>#VALUE!</v>
      </c>
    </row>
    <row r="11707" spans="3:3" ht="13.5" customHeight="1">
      <c r="C11707" s="4" t="str">
        <f ca="1">IFERROR(__xludf.DUMMYFUNCTION("GOOGLETRANSLATE(D:D,""auto"",""en"")"),"#VALUE!")</f>
        <v>#VALUE!</v>
      </c>
    </row>
    <row r="11708" spans="3:3" ht="13.5" customHeight="1">
      <c r="C11708" s="4" t="str">
        <f ca="1">IFERROR(__xludf.DUMMYFUNCTION("GOOGLETRANSLATE(D:D,""auto"",""en"")"),"#VALUE!")</f>
        <v>#VALUE!</v>
      </c>
    </row>
    <row r="11709" spans="3:3" ht="13.5" customHeight="1">
      <c r="C11709" s="4" t="str">
        <f ca="1">IFERROR(__xludf.DUMMYFUNCTION("GOOGLETRANSLATE(D:D,""auto"",""en"")"),"#VALUE!")</f>
        <v>#VALUE!</v>
      </c>
    </row>
    <row r="11710" spans="3:3" ht="13.5" customHeight="1">
      <c r="C11710" s="4" t="str">
        <f ca="1">IFERROR(__xludf.DUMMYFUNCTION("GOOGLETRANSLATE(D:D,""auto"",""en"")"),"#VALUE!")</f>
        <v>#VALUE!</v>
      </c>
    </row>
    <row r="11711" spans="3:3" ht="13.5" customHeight="1">
      <c r="C11711" s="4" t="str">
        <f ca="1">IFERROR(__xludf.DUMMYFUNCTION("GOOGLETRANSLATE(D:D,""auto"",""en"")"),"#VALUE!")</f>
        <v>#VALUE!</v>
      </c>
    </row>
    <row r="11712" spans="3:3" ht="13.5" customHeight="1">
      <c r="C11712" s="4" t="str">
        <f ca="1">IFERROR(__xludf.DUMMYFUNCTION("GOOGLETRANSLATE(D:D,""auto"",""en"")"),"#VALUE!")</f>
        <v>#VALUE!</v>
      </c>
    </row>
    <row r="11713" spans="3:3" ht="13.5" customHeight="1">
      <c r="C11713" s="4" t="str">
        <f ca="1">IFERROR(__xludf.DUMMYFUNCTION("GOOGLETRANSLATE(D:D,""auto"",""en"")"),"#VALUE!")</f>
        <v>#VALUE!</v>
      </c>
    </row>
    <row r="11714" spans="3:3" ht="13.5" customHeight="1">
      <c r="C11714" s="4" t="str">
        <f ca="1">IFERROR(__xludf.DUMMYFUNCTION("GOOGLETRANSLATE(D:D,""auto"",""en"")"),"#VALUE!")</f>
        <v>#VALUE!</v>
      </c>
    </row>
    <row r="11715" spans="3:3" ht="13.5" customHeight="1">
      <c r="C11715" s="4" t="str">
        <f ca="1">IFERROR(__xludf.DUMMYFUNCTION("GOOGLETRANSLATE(D:D,""auto"",""en"")"),"#VALUE!")</f>
        <v>#VALUE!</v>
      </c>
    </row>
    <row r="11716" spans="3:3" ht="13.5" customHeight="1">
      <c r="C11716" s="4" t="str">
        <f ca="1">IFERROR(__xludf.DUMMYFUNCTION("GOOGLETRANSLATE(D:D,""auto"",""en"")"),"#VALUE!")</f>
        <v>#VALUE!</v>
      </c>
    </row>
    <row r="11717" spans="3:3" ht="13.5" customHeight="1">
      <c r="C11717" s="4" t="str">
        <f ca="1">IFERROR(__xludf.DUMMYFUNCTION("GOOGLETRANSLATE(D:D,""auto"",""en"")"),"#VALUE!")</f>
        <v>#VALUE!</v>
      </c>
    </row>
    <row r="11718" spans="3:3" ht="13.5" customHeight="1">
      <c r="C11718" s="4" t="str">
        <f ca="1">IFERROR(__xludf.DUMMYFUNCTION("GOOGLETRANSLATE(D:D,""auto"",""en"")"),"#VALUE!")</f>
        <v>#VALUE!</v>
      </c>
    </row>
    <row r="11719" spans="3:3" ht="13.5" customHeight="1">
      <c r="C11719" s="4" t="str">
        <f ca="1">IFERROR(__xludf.DUMMYFUNCTION("GOOGLETRANSLATE(D:D,""auto"",""en"")"),"#VALUE!")</f>
        <v>#VALUE!</v>
      </c>
    </row>
    <row r="11720" spans="3:3" ht="13.5" customHeight="1">
      <c r="C11720" s="4" t="str">
        <f ca="1">IFERROR(__xludf.DUMMYFUNCTION("GOOGLETRANSLATE(D:D,""auto"",""en"")"),"#VALUE!")</f>
        <v>#VALUE!</v>
      </c>
    </row>
    <row r="11721" spans="3:3" ht="13.5" customHeight="1">
      <c r="C11721" s="4" t="str">
        <f ca="1">IFERROR(__xludf.DUMMYFUNCTION("GOOGLETRANSLATE(D:D,""auto"",""en"")"),"#VALUE!")</f>
        <v>#VALUE!</v>
      </c>
    </row>
    <row r="11722" spans="3:3" ht="13.5" customHeight="1">
      <c r="C11722" s="4" t="str">
        <f ca="1">IFERROR(__xludf.DUMMYFUNCTION("GOOGLETRANSLATE(D:D,""auto"",""en"")"),"#VALUE!")</f>
        <v>#VALUE!</v>
      </c>
    </row>
    <row r="11723" spans="3:3" ht="13.5" customHeight="1">
      <c r="C11723" s="4" t="str">
        <f ca="1">IFERROR(__xludf.DUMMYFUNCTION("GOOGLETRANSLATE(D:D,""auto"",""en"")"),"#VALUE!")</f>
        <v>#VALUE!</v>
      </c>
    </row>
    <row r="11724" spans="3:3" ht="13.5" customHeight="1">
      <c r="C11724" s="4" t="str">
        <f ca="1">IFERROR(__xludf.DUMMYFUNCTION("GOOGLETRANSLATE(D:D,""auto"",""en"")"),"#VALUE!")</f>
        <v>#VALUE!</v>
      </c>
    </row>
    <row r="11725" spans="3:3" ht="13.5" customHeight="1">
      <c r="C11725" s="4" t="str">
        <f ca="1">IFERROR(__xludf.DUMMYFUNCTION("GOOGLETRANSLATE(D:D,""auto"",""en"")"),"#VALUE!")</f>
        <v>#VALUE!</v>
      </c>
    </row>
    <row r="11726" spans="3:3" ht="13.5" customHeight="1">
      <c r="C11726" s="4" t="str">
        <f ca="1">IFERROR(__xludf.DUMMYFUNCTION("GOOGLETRANSLATE(D:D,""auto"",""en"")"),"#VALUE!")</f>
        <v>#VALUE!</v>
      </c>
    </row>
    <row r="11727" spans="3:3" ht="13.5" customHeight="1">
      <c r="C11727" s="4" t="str">
        <f ca="1">IFERROR(__xludf.DUMMYFUNCTION("GOOGLETRANSLATE(D:D,""auto"",""en"")"),"#VALUE!")</f>
        <v>#VALUE!</v>
      </c>
    </row>
    <row r="11728" spans="3:3" ht="13.5" customHeight="1">
      <c r="C11728" s="4" t="str">
        <f ca="1">IFERROR(__xludf.DUMMYFUNCTION("GOOGLETRANSLATE(D:D,""auto"",""en"")"),"#VALUE!")</f>
        <v>#VALUE!</v>
      </c>
    </row>
    <row r="11729" spans="3:3" ht="13.5" customHeight="1">
      <c r="C11729" s="4" t="str">
        <f ca="1">IFERROR(__xludf.DUMMYFUNCTION("GOOGLETRANSLATE(D:D,""auto"",""en"")"),"#VALUE!")</f>
        <v>#VALUE!</v>
      </c>
    </row>
    <row r="11730" spans="3:3" ht="13.5" customHeight="1">
      <c r="C11730" s="4" t="str">
        <f ca="1">IFERROR(__xludf.DUMMYFUNCTION("GOOGLETRANSLATE(D:D,""auto"",""en"")"),"#VALUE!")</f>
        <v>#VALUE!</v>
      </c>
    </row>
    <row r="11731" spans="3:3" ht="13.5" customHeight="1">
      <c r="C11731" s="4" t="str">
        <f ca="1">IFERROR(__xludf.DUMMYFUNCTION("GOOGLETRANSLATE(D:D,""auto"",""en"")"),"#VALUE!")</f>
        <v>#VALUE!</v>
      </c>
    </row>
    <row r="11732" spans="3:3" ht="13.5" customHeight="1">
      <c r="C11732" s="4" t="str">
        <f ca="1">IFERROR(__xludf.DUMMYFUNCTION("GOOGLETRANSLATE(D:D,""auto"",""en"")"),"#VALUE!")</f>
        <v>#VALUE!</v>
      </c>
    </row>
    <row r="11733" spans="3:3" ht="13.5" customHeight="1">
      <c r="C11733" s="4" t="str">
        <f ca="1">IFERROR(__xludf.DUMMYFUNCTION("GOOGLETRANSLATE(D:D,""auto"",""en"")"),"#VALUE!")</f>
        <v>#VALUE!</v>
      </c>
    </row>
    <row r="11734" spans="3:3" ht="13.5" customHeight="1">
      <c r="C11734" s="4" t="str">
        <f ca="1">IFERROR(__xludf.DUMMYFUNCTION("GOOGLETRANSLATE(D:D,""auto"",""en"")"),"#VALUE!")</f>
        <v>#VALUE!</v>
      </c>
    </row>
    <row r="11735" spans="3:3" ht="13.5" customHeight="1">
      <c r="C11735" s="4" t="str">
        <f ca="1">IFERROR(__xludf.DUMMYFUNCTION("GOOGLETRANSLATE(D:D,""auto"",""en"")"),"#VALUE!")</f>
        <v>#VALUE!</v>
      </c>
    </row>
    <row r="11736" spans="3:3" ht="13.5" customHeight="1">
      <c r="C11736" s="4" t="str">
        <f ca="1">IFERROR(__xludf.DUMMYFUNCTION("GOOGLETRANSLATE(D:D,""auto"",""en"")"),"#VALUE!")</f>
        <v>#VALUE!</v>
      </c>
    </row>
    <row r="11737" spans="3:3" ht="13.5" customHeight="1">
      <c r="C11737" s="4" t="str">
        <f ca="1">IFERROR(__xludf.DUMMYFUNCTION("GOOGLETRANSLATE(D:D,""auto"",""en"")"),"#VALUE!")</f>
        <v>#VALUE!</v>
      </c>
    </row>
    <row r="11738" spans="3:3" ht="13.5" customHeight="1">
      <c r="C11738" s="4" t="str">
        <f ca="1">IFERROR(__xludf.DUMMYFUNCTION("GOOGLETRANSLATE(D:D,""auto"",""en"")"),"#VALUE!")</f>
        <v>#VALUE!</v>
      </c>
    </row>
    <row r="11739" spans="3:3" ht="13.5" customHeight="1">
      <c r="C11739" s="4" t="str">
        <f ca="1">IFERROR(__xludf.DUMMYFUNCTION("GOOGLETRANSLATE(D:D,""auto"",""en"")"),"#VALUE!")</f>
        <v>#VALUE!</v>
      </c>
    </row>
    <row r="11740" spans="3:3" ht="13.5" customHeight="1">
      <c r="C11740" s="4" t="str">
        <f ca="1">IFERROR(__xludf.DUMMYFUNCTION("GOOGLETRANSLATE(D:D,""auto"",""en"")"),"#VALUE!")</f>
        <v>#VALUE!</v>
      </c>
    </row>
    <row r="11741" spans="3:3" ht="13.5" customHeight="1">
      <c r="C11741" s="4" t="str">
        <f ca="1">IFERROR(__xludf.DUMMYFUNCTION("GOOGLETRANSLATE(D:D,""auto"",""en"")"),"#VALUE!")</f>
        <v>#VALUE!</v>
      </c>
    </row>
    <row r="11742" spans="3:3" ht="13.5" customHeight="1">
      <c r="C11742" s="4" t="str">
        <f ca="1">IFERROR(__xludf.DUMMYFUNCTION("GOOGLETRANSLATE(D:D,""auto"",""en"")"),"#VALUE!")</f>
        <v>#VALUE!</v>
      </c>
    </row>
    <row r="11743" spans="3:3" ht="13.5" customHeight="1">
      <c r="C11743" s="4" t="str">
        <f ca="1">IFERROR(__xludf.DUMMYFUNCTION("GOOGLETRANSLATE(D:D,""auto"",""en"")"),"#VALUE!")</f>
        <v>#VALUE!</v>
      </c>
    </row>
    <row r="11744" spans="3:3" ht="13.5" customHeight="1">
      <c r="C11744" s="4" t="str">
        <f ca="1">IFERROR(__xludf.DUMMYFUNCTION("GOOGLETRANSLATE(D:D,""auto"",""en"")"),"#VALUE!")</f>
        <v>#VALUE!</v>
      </c>
    </row>
    <row r="11745" spans="3:3" ht="13.5" customHeight="1">
      <c r="C11745" s="4" t="str">
        <f ca="1">IFERROR(__xludf.DUMMYFUNCTION("GOOGLETRANSLATE(D:D,""auto"",""en"")"),"#VALUE!")</f>
        <v>#VALUE!</v>
      </c>
    </row>
    <row r="11746" spans="3:3" ht="13.5" customHeight="1">
      <c r="C11746" s="4" t="str">
        <f ca="1">IFERROR(__xludf.DUMMYFUNCTION("GOOGLETRANSLATE(D:D,""auto"",""en"")"),"#VALUE!")</f>
        <v>#VALUE!</v>
      </c>
    </row>
    <row r="11747" spans="3:3" ht="13.5" customHeight="1">
      <c r="C11747" s="4" t="str">
        <f ca="1">IFERROR(__xludf.DUMMYFUNCTION("GOOGLETRANSLATE(D:D,""auto"",""en"")"),"#VALUE!")</f>
        <v>#VALUE!</v>
      </c>
    </row>
    <row r="11748" spans="3:3" ht="13.5" customHeight="1">
      <c r="C11748" s="4" t="str">
        <f ca="1">IFERROR(__xludf.DUMMYFUNCTION("GOOGLETRANSLATE(D:D,""auto"",""en"")"),"#VALUE!")</f>
        <v>#VALUE!</v>
      </c>
    </row>
    <row r="11749" spans="3:3" ht="13.5" customHeight="1">
      <c r="C11749" s="4" t="str">
        <f ca="1">IFERROR(__xludf.DUMMYFUNCTION("GOOGLETRANSLATE(D:D,""auto"",""en"")"),"#VALUE!")</f>
        <v>#VALUE!</v>
      </c>
    </row>
    <row r="11750" spans="3:3" ht="13.5" customHeight="1">
      <c r="C11750" s="4" t="str">
        <f ca="1">IFERROR(__xludf.DUMMYFUNCTION("GOOGLETRANSLATE(D:D,""auto"",""en"")"),"#VALUE!")</f>
        <v>#VALUE!</v>
      </c>
    </row>
    <row r="11751" spans="3:3" ht="13.5" customHeight="1">
      <c r="C11751" s="4" t="str">
        <f ca="1">IFERROR(__xludf.DUMMYFUNCTION("GOOGLETRANSLATE(D:D,""auto"",""en"")"),"#VALUE!")</f>
        <v>#VALUE!</v>
      </c>
    </row>
    <row r="11752" spans="3:3" ht="13.5" customHeight="1">
      <c r="C11752" s="4" t="str">
        <f ca="1">IFERROR(__xludf.DUMMYFUNCTION("GOOGLETRANSLATE(D:D,""auto"",""en"")"),"#VALUE!")</f>
        <v>#VALUE!</v>
      </c>
    </row>
    <row r="11753" spans="3:3" ht="13.5" customHeight="1">
      <c r="C11753" s="4" t="str">
        <f ca="1">IFERROR(__xludf.DUMMYFUNCTION("GOOGLETRANSLATE(D:D,""auto"",""en"")"),"#VALUE!")</f>
        <v>#VALUE!</v>
      </c>
    </row>
    <row r="11754" spans="3:3" ht="13.5" customHeight="1">
      <c r="C11754" s="4" t="str">
        <f ca="1">IFERROR(__xludf.DUMMYFUNCTION("GOOGLETRANSLATE(D:D,""auto"",""en"")"),"#VALUE!")</f>
        <v>#VALUE!</v>
      </c>
    </row>
    <row r="11755" spans="3:3" ht="13.5" customHeight="1">
      <c r="C11755" s="4" t="str">
        <f ca="1">IFERROR(__xludf.DUMMYFUNCTION("GOOGLETRANSLATE(D:D,""auto"",""en"")"),"#VALUE!")</f>
        <v>#VALUE!</v>
      </c>
    </row>
    <row r="11756" spans="3:3" ht="13.5" customHeight="1">
      <c r="C11756" s="4" t="str">
        <f ca="1">IFERROR(__xludf.DUMMYFUNCTION("GOOGLETRANSLATE(D:D,""auto"",""en"")"),"#VALUE!")</f>
        <v>#VALUE!</v>
      </c>
    </row>
    <row r="11757" spans="3:3" ht="13.5" customHeight="1">
      <c r="C11757" s="4" t="str">
        <f ca="1">IFERROR(__xludf.DUMMYFUNCTION("GOOGLETRANSLATE(D:D,""auto"",""en"")"),"#VALUE!")</f>
        <v>#VALUE!</v>
      </c>
    </row>
    <row r="11758" spans="3:3" ht="13.5" customHeight="1">
      <c r="C11758" s="4" t="str">
        <f ca="1">IFERROR(__xludf.DUMMYFUNCTION("GOOGLETRANSLATE(D:D,""auto"",""en"")"),"#VALUE!")</f>
        <v>#VALUE!</v>
      </c>
    </row>
    <row r="11759" spans="3:3" ht="13.5" customHeight="1">
      <c r="C11759" s="4" t="str">
        <f ca="1">IFERROR(__xludf.DUMMYFUNCTION("GOOGLETRANSLATE(D:D,""auto"",""en"")"),"#VALUE!")</f>
        <v>#VALUE!</v>
      </c>
    </row>
    <row r="11760" spans="3:3" ht="13.5" customHeight="1">
      <c r="C11760" s="4" t="str">
        <f ca="1">IFERROR(__xludf.DUMMYFUNCTION("GOOGLETRANSLATE(D:D,""auto"",""en"")"),"#VALUE!")</f>
        <v>#VALUE!</v>
      </c>
    </row>
    <row r="11761" spans="3:3" ht="13.5" customHeight="1">
      <c r="C11761" s="4" t="str">
        <f ca="1">IFERROR(__xludf.DUMMYFUNCTION("GOOGLETRANSLATE(D:D,""auto"",""en"")"),"#VALUE!")</f>
        <v>#VALUE!</v>
      </c>
    </row>
    <row r="11762" spans="3:3" ht="13.5" customHeight="1">
      <c r="C11762" s="4" t="str">
        <f ca="1">IFERROR(__xludf.DUMMYFUNCTION("GOOGLETRANSLATE(D:D,""auto"",""en"")"),"#VALUE!")</f>
        <v>#VALUE!</v>
      </c>
    </row>
    <row r="11763" spans="3:3" ht="13.5" customHeight="1">
      <c r="C11763" s="4" t="str">
        <f ca="1">IFERROR(__xludf.DUMMYFUNCTION("GOOGLETRANSLATE(D:D,""auto"",""en"")"),"#VALUE!")</f>
        <v>#VALUE!</v>
      </c>
    </row>
    <row r="11764" spans="3:3" ht="13.5" customHeight="1">
      <c r="C11764" s="4" t="str">
        <f ca="1">IFERROR(__xludf.DUMMYFUNCTION("GOOGLETRANSLATE(D:D,""auto"",""en"")"),"#VALUE!")</f>
        <v>#VALUE!</v>
      </c>
    </row>
    <row r="11765" spans="3:3" ht="13.5" customHeight="1">
      <c r="C11765" s="4" t="str">
        <f ca="1">IFERROR(__xludf.DUMMYFUNCTION("GOOGLETRANSLATE(D:D,""auto"",""en"")"),"#VALUE!")</f>
        <v>#VALUE!</v>
      </c>
    </row>
    <row r="11766" spans="3:3" ht="13.5" customHeight="1">
      <c r="C11766" s="4" t="str">
        <f ca="1">IFERROR(__xludf.DUMMYFUNCTION("GOOGLETRANSLATE(D:D,""auto"",""en"")"),"#VALUE!")</f>
        <v>#VALUE!</v>
      </c>
    </row>
    <row r="11767" spans="3:3" ht="13.5" customHeight="1">
      <c r="C11767" s="4" t="str">
        <f ca="1">IFERROR(__xludf.DUMMYFUNCTION("GOOGLETRANSLATE(D:D,""auto"",""en"")"),"#VALUE!")</f>
        <v>#VALUE!</v>
      </c>
    </row>
    <row r="11768" spans="3:3" ht="13.5" customHeight="1">
      <c r="C11768" s="4" t="str">
        <f ca="1">IFERROR(__xludf.DUMMYFUNCTION("GOOGLETRANSLATE(D:D,""auto"",""en"")"),"#VALUE!")</f>
        <v>#VALUE!</v>
      </c>
    </row>
    <row r="11769" spans="3:3" ht="13.5" customHeight="1">
      <c r="C11769" s="4" t="str">
        <f ca="1">IFERROR(__xludf.DUMMYFUNCTION("GOOGLETRANSLATE(D:D,""auto"",""en"")"),"#VALUE!")</f>
        <v>#VALUE!</v>
      </c>
    </row>
    <row r="11770" spans="3:3" ht="13.5" customHeight="1">
      <c r="C11770" s="4" t="str">
        <f ca="1">IFERROR(__xludf.DUMMYFUNCTION("GOOGLETRANSLATE(D:D,""auto"",""en"")"),"#VALUE!")</f>
        <v>#VALUE!</v>
      </c>
    </row>
    <row r="11771" spans="3:3" ht="13.5" customHeight="1">
      <c r="C11771" s="4" t="str">
        <f ca="1">IFERROR(__xludf.DUMMYFUNCTION("GOOGLETRANSLATE(D:D,""auto"",""en"")"),"#VALUE!")</f>
        <v>#VALUE!</v>
      </c>
    </row>
    <row r="11772" spans="3:3" ht="13.5" customHeight="1">
      <c r="C11772" s="4" t="str">
        <f ca="1">IFERROR(__xludf.DUMMYFUNCTION("GOOGLETRANSLATE(D:D,""auto"",""en"")"),"#VALUE!")</f>
        <v>#VALUE!</v>
      </c>
    </row>
    <row r="11773" spans="3:3" ht="13.5" customHeight="1">
      <c r="C11773" s="4" t="str">
        <f ca="1">IFERROR(__xludf.DUMMYFUNCTION("GOOGLETRANSLATE(D:D,""auto"",""en"")"),"#VALUE!")</f>
        <v>#VALUE!</v>
      </c>
    </row>
    <row r="11774" spans="3:3" ht="13.5" customHeight="1">
      <c r="C11774" s="4" t="str">
        <f ca="1">IFERROR(__xludf.DUMMYFUNCTION("GOOGLETRANSLATE(D:D,""auto"",""en"")"),"#VALUE!")</f>
        <v>#VALUE!</v>
      </c>
    </row>
    <row r="11775" spans="3:3" ht="13.5" customHeight="1">
      <c r="C11775" s="4" t="str">
        <f ca="1">IFERROR(__xludf.DUMMYFUNCTION("GOOGLETRANSLATE(D:D,""auto"",""en"")"),"#VALUE!")</f>
        <v>#VALUE!</v>
      </c>
    </row>
    <row r="11776" spans="3:3" ht="13.5" customHeight="1">
      <c r="C11776" s="4" t="str">
        <f ca="1">IFERROR(__xludf.DUMMYFUNCTION("GOOGLETRANSLATE(D:D,""auto"",""en"")"),"#VALUE!")</f>
        <v>#VALUE!</v>
      </c>
    </row>
    <row r="11777" spans="3:3" ht="13.5" customHeight="1">
      <c r="C11777" s="4" t="str">
        <f ca="1">IFERROR(__xludf.DUMMYFUNCTION("GOOGLETRANSLATE(D:D,""auto"",""en"")"),"#VALUE!")</f>
        <v>#VALUE!</v>
      </c>
    </row>
    <row r="11778" spans="3:3" ht="13.5" customHeight="1">
      <c r="C11778" s="4" t="str">
        <f ca="1">IFERROR(__xludf.DUMMYFUNCTION("GOOGLETRANSLATE(D:D,""auto"",""en"")"),"#VALUE!")</f>
        <v>#VALUE!</v>
      </c>
    </row>
    <row r="11779" spans="3:3" ht="13.5" customHeight="1">
      <c r="C11779" s="4" t="str">
        <f ca="1">IFERROR(__xludf.DUMMYFUNCTION("GOOGLETRANSLATE(D:D,""auto"",""en"")"),"#VALUE!")</f>
        <v>#VALUE!</v>
      </c>
    </row>
    <row r="11780" spans="3:3" ht="13.5" customHeight="1">
      <c r="C11780" s="4" t="str">
        <f ca="1">IFERROR(__xludf.DUMMYFUNCTION("GOOGLETRANSLATE(D:D,""auto"",""en"")"),"#VALUE!")</f>
        <v>#VALUE!</v>
      </c>
    </row>
    <row r="11781" spans="3:3" ht="13.5" customHeight="1">
      <c r="C11781" s="4" t="str">
        <f ca="1">IFERROR(__xludf.DUMMYFUNCTION("GOOGLETRANSLATE(D:D,""auto"",""en"")"),"#VALUE!")</f>
        <v>#VALUE!</v>
      </c>
    </row>
    <row r="11782" spans="3:3" ht="13.5" customHeight="1">
      <c r="C11782" s="4" t="str">
        <f ca="1">IFERROR(__xludf.DUMMYFUNCTION("GOOGLETRANSLATE(D:D,""auto"",""en"")"),"#VALUE!")</f>
        <v>#VALUE!</v>
      </c>
    </row>
    <row r="11783" spans="3:3" ht="13.5" customHeight="1">
      <c r="C11783" s="4" t="str">
        <f ca="1">IFERROR(__xludf.DUMMYFUNCTION("GOOGLETRANSLATE(D:D,""auto"",""en"")"),"#VALUE!")</f>
        <v>#VALUE!</v>
      </c>
    </row>
    <row r="11784" spans="3:3" ht="13.5" customHeight="1">
      <c r="C11784" s="4" t="str">
        <f ca="1">IFERROR(__xludf.DUMMYFUNCTION("GOOGLETRANSLATE(D:D,""auto"",""en"")"),"#VALUE!")</f>
        <v>#VALUE!</v>
      </c>
    </row>
    <row r="11785" spans="3:3" ht="13.5" customHeight="1">
      <c r="C11785" s="4" t="str">
        <f ca="1">IFERROR(__xludf.DUMMYFUNCTION("GOOGLETRANSLATE(D:D,""auto"",""en"")"),"#VALUE!")</f>
        <v>#VALUE!</v>
      </c>
    </row>
    <row r="11786" spans="3:3" ht="13.5" customHeight="1">
      <c r="C11786" s="4" t="str">
        <f ca="1">IFERROR(__xludf.DUMMYFUNCTION("GOOGLETRANSLATE(D:D,""auto"",""en"")"),"#VALUE!")</f>
        <v>#VALUE!</v>
      </c>
    </row>
    <row r="11787" spans="3:3" ht="13.5" customHeight="1">
      <c r="C11787" s="4" t="str">
        <f ca="1">IFERROR(__xludf.DUMMYFUNCTION("GOOGLETRANSLATE(D:D,""auto"",""en"")"),"#VALUE!")</f>
        <v>#VALUE!</v>
      </c>
    </row>
    <row r="11788" spans="3:3" ht="13.5" customHeight="1">
      <c r="C11788" s="4" t="str">
        <f ca="1">IFERROR(__xludf.DUMMYFUNCTION("GOOGLETRANSLATE(D:D,""auto"",""en"")"),"#VALUE!")</f>
        <v>#VALUE!</v>
      </c>
    </row>
    <row r="11789" spans="3:3" ht="13.5" customHeight="1">
      <c r="C11789" s="4" t="str">
        <f ca="1">IFERROR(__xludf.DUMMYFUNCTION("GOOGLETRANSLATE(D:D,""auto"",""en"")"),"#VALUE!")</f>
        <v>#VALUE!</v>
      </c>
    </row>
    <row r="11790" spans="3:3" ht="13.5" customHeight="1">
      <c r="C11790" s="4" t="str">
        <f ca="1">IFERROR(__xludf.DUMMYFUNCTION("GOOGLETRANSLATE(D:D,""auto"",""en"")"),"#VALUE!")</f>
        <v>#VALUE!</v>
      </c>
    </row>
    <row r="11791" spans="3:3" ht="13.5" customHeight="1">
      <c r="C11791" s="4" t="str">
        <f ca="1">IFERROR(__xludf.DUMMYFUNCTION("GOOGLETRANSLATE(D:D,""auto"",""en"")"),"#VALUE!")</f>
        <v>#VALUE!</v>
      </c>
    </row>
    <row r="11792" spans="3:3" ht="13.5" customHeight="1">
      <c r="C11792" s="4" t="str">
        <f ca="1">IFERROR(__xludf.DUMMYFUNCTION("GOOGLETRANSLATE(D:D,""auto"",""en"")"),"#VALUE!")</f>
        <v>#VALUE!</v>
      </c>
    </row>
    <row r="11793" spans="3:3" ht="13.5" customHeight="1">
      <c r="C11793" s="4" t="str">
        <f ca="1">IFERROR(__xludf.DUMMYFUNCTION("GOOGLETRANSLATE(D:D,""auto"",""en"")"),"#VALUE!")</f>
        <v>#VALUE!</v>
      </c>
    </row>
    <row r="11794" spans="3:3" ht="13.5" customHeight="1">
      <c r="C11794" s="4" t="str">
        <f ca="1">IFERROR(__xludf.DUMMYFUNCTION("GOOGLETRANSLATE(D:D,""auto"",""en"")"),"#VALUE!")</f>
        <v>#VALUE!</v>
      </c>
    </row>
    <row r="11795" spans="3:3" ht="13.5" customHeight="1">
      <c r="C11795" s="4" t="str">
        <f ca="1">IFERROR(__xludf.DUMMYFUNCTION("GOOGLETRANSLATE(D:D,""auto"",""en"")"),"#VALUE!")</f>
        <v>#VALUE!</v>
      </c>
    </row>
    <row r="11796" spans="3:3" ht="13.5" customHeight="1">
      <c r="C11796" s="4" t="str">
        <f ca="1">IFERROR(__xludf.DUMMYFUNCTION("GOOGLETRANSLATE(D:D,""auto"",""en"")"),"#VALUE!")</f>
        <v>#VALUE!</v>
      </c>
    </row>
    <row r="11797" spans="3:3" ht="13.5" customHeight="1">
      <c r="C11797" s="4" t="str">
        <f ca="1">IFERROR(__xludf.DUMMYFUNCTION("GOOGLETRANSLATE(D:D,""auto"",""en"")"),"#VALUE!")</f>
        <v>#VALUE!</v>
      </c>
    </row>
    <row r="11798" spans="3:3" ht="13.5" customHeight="1">
      <c r="C11798" s="4" t="str">
        <f ca="1">IFERROR(__xludf.DUMMYFUNCTION("GOOGLETRANSLATE(D:D,""auto"",""en"")"),"#VALUE!")</f>
        <v>#VALUE!</v>
      </c>
    </row>
    <row r="11799" spans="3:3" ht="13.5" customHeight="1">
      <c r="C11799" s="4" t="str">
        <f ca="1">IFERROR(__xludf.DUMMYFUNCTION("GOOGLETRANSLATE(D:D,""auto"",""en"")"),"#VALUE!")</f>
        <v>#VALUE!</v>
      </c>
    </row>
    <row r="11800" spans="3:3" ht="13.5" customHeight="1">
      <c r="C11800" s="4" t="str">
        <f ca="1">IFERROR(__xludf.DUMMYFUNCTION("GOOGLETRANSLATE(D:D,""auto"",""en"")"),"#VALUE!")</f>
        <v>#VALUE!</v>
      </c>
    </row>
    <row r="11801" spans="3:3" ht="13.5" customHeight="1">
      <c r="C11801" s="4" t="str">
        <f ca="1">IFERROR(__xludf.DUMMYFUNCTION("GOOGLETRANSLATE(D:D,""auto"",""en"")"),"#VALUE!")</f>
        <v>#VALUE!</v>
      </c>
    </row>
    <row r="11802" spans="3:3" ht="13.5" customHeight="1">
      <c r="C11802" s="4" t="str">
        <f ca="1">IFERROR(__xludf.DUMMYFUNCTION("GOOGLETRANSLATE(D:D,""auto"",""en"")"),"#VALUE!")</f>
        <v>#VALUE!</v>
      </c>
    </row>
    <row r="11803" spans="3:3" ht="13.5" customHeight="1">
      <c r="C11803" s="4" t="str">
        <f ca="1">IFERROR(__xludf.DUMMYFUNCTION("GOOGLETRANSLATE(D:D,""auto"",""en"")"),"#VALUE!")</f>
        <v>#VALUE!</v>
      </c>
    </row>
    <row r="11804" spans="3:3" ht="13.5" customHeight="1">
      <c r="C11804" s="4" t="str">
        <f ca="1">IFERROR(__xludf.DUMMYFUNCTION("GOOGLETRANSLATE(D:D,""auto"",""en"")"),"#VALUE!")</f>
        <v>#VALUE!</v>
      </c>
    </row>
    <row r="11805" spans="3:3" ht="13.5" customHeight="1">
      <c r="C11805" s="4" t="str">
        <f ca="1">IFERROR(__xludf.DUMMYFUNCTION("GOOGLETRANSLATE(D:D,""auto"",""en"")"),"#VALUE!")</f>
        <v>#VALUE!</v>
      </c>
    </row>
    <row r="11806" spans="3:3" ht="13.5" customHeight="1">
      <c r="C11806" s="4" t="str">
        <f ca="1">IFERROR(__xludf.DUMMYFUNCTION("GOOGLETRANSLATE(D:D,""auto"",""en"")"),"#VALUE!")</f>
        <v>#VALUE!</v>
      </c>
    </row>
    <row r="11807" spans="3:3" ht="13.5" customHeight="1">
      <c r="C11807" s="4" t="str">
        <f ca="1">IFERROR(__xludf.DUMMYFUNCTION("GOOGLETRANSLATE(D:D,""auto"",""en"")"),"#VALUE!")</f>
        <v>#VALUE!</v>
      </c>
    </row>
    <row r="11808" spans="3:3" ht="13.5" customHeight="1">
      <c r="C11808" s="4" t="str">
        <f ca="1">IFERROR(__xludf.DUMMYFUNCTION("GOOGLETRANSLATE(D:D,""auto"",""en"")"),"#VALUE!")</f>
        <v>#VALUE!</v>
      </c>
    </row>
    <row r="11809" spans="3:3" ht="13.5" customHeight="1">
      <c r="C11809" s="4" t="str">
        <f ca="1">IFERROR(__xludf.DUMMYFUNCTION("GOOGLETRANSLATE(D:D,""auto"",""en"")"),"#VALUE!")</f>
        <v>#VALUE!</v>
      </c>
    </row>
    <row r="11810" spans="3:3" ht="13.5" customHeight="1">
      <c r="C11810" s="4" t="str">
        <f ca="1">IFERROR(__xludf.DUMMYFUNCTION("GOOGLETRANSLATE(D:D,""auto"",""en"")"),"#VALUE!")</f>
        <v>#VALUE!</v>
      </c>
    </row>
    <row r="11811" spans="3:3" ht="13.5" customHeight="1">
      <c r="C11811" s="4" t="str">
        <f ca="1">IFERROR(__xludf.DUMMYFUNCTION("GOOGLETRANSLATE(D:D,""auto"",""en"")"),"#VALUE!")</f>
        <v>#VALUE!</v>
      </c>
    </row>
    <row r="11812" spans="3:3" ht="13.5" customHeight="1">
      <c r="C11812" s="4" t="str">
        <f ca="1">IFERROR(__xludf.DUMMYFUNCTION("GOOGLETRANSLATE(D:D,""auto"",""en"")"),"#VALUE!")</f>
        <v>#VALUE!</v>
      </c>
    </row>
    <row r="11813" spans="3:3" ht="13.5" customHeight="1">
      <c r="C11813" s="4" t="str">
        <f ca="1">IFERROR(__xludf.DUMMYFUNCTION("GOOGLETRANSLATE(D:D,""auto"",""en"")"),"#VALUE!")</f>
        <v>#VALUE!</v>
      </c>
    </row>
    <row r="11814" spans="3:3" ht="13.5" customHeight="1">
      <c r="C11814" s="4" t="str">
        <f ca="1">IFERROR(__xludf.DUMMYFUNCTION("GOOGLETRANSLATE(D:D,""auto"",""en"")"),"#VALUE!")</f>
        <v>#VALUE!</v>
      </c>
    </row>
    <row r="11815" spans="3:3" ht="13.5" customHeight="1">
      <c r="C11815" s="4" t="str">
        <f ca="1">IFERROR(__xludf.DUMMYFUNCTION("GOOGLETRANSLATE(D:D,""auto"",""en"")"),"#VALUE!")</f>
        <v>#VALUE!</v>
      </c>
    </row>
    <row r="11816" spans="3:3" ht="13.5" customHeight="1">
      <c r="C11816" s="4" t="str">
        <f ca="1">IFERROR(__xludf.DUMMYFUNCTION("GOOGLETRANSLATE(D:D,""auto"",""en"")"),"#VALUE!")</f>
        <v>#VALUE!</v>
      </c>
    </row>
    <row r="11817" spans="3:3" ht="13.5" customHeight="1">
      <c r="C11817" s="4" t="str">
        <f ca="1">IFERROR(__xludf.DUMMYFUNCTION("GOOGLETRANSLATE(D:D,""auto"",""en"")"),"#VALUE!")</f>
        <v>#VALUE!</v>
      </c>
    </row>
    <row r="11818" spans="3:3" ht="13.5" customHeight="1">
      <c r="C11818" s="4" t="str">
        <f ca="1">IFERROR(__xludf.DUMMYFUNCTION("GOOGLETRANSLATE(D:D,""auto"",""en"")"),"#VALUE!")</f>
        <v>#VALUE!</v>
      </c>
    </row>
    <row r="11819" spans="3:3" ht="13.5" customHeight="1">
      <c r="C11819" s="4" t="str">
        <f ca="1">IFERROR(__xludf.DUMMYFUNCTION("GOOGLETRANSLATE(D:D,""auto"",""en"")"),"#VALUE!")</f>
        <v>#VALUE!</v>
      </c>
    </row>
    <row r="11820" spans="3:3" ht="13.5" customHeight="1">
      <c r="C11820" s="4" t="str">
        <f ca="1">IFERROR(__xludf.DUMMYFUNCTION("GOOGLETRANSLATE(D:D,""auto"",""en"")"),"#VALUE!")</f>
        <v>#VALUE!</v>
      </c>
    </row>
    <row r="11821" spans="3:3" ht="13.5" customHeight="1">
      <c r="C11821" s="4" t="str">
        <f ca="1">IFERROR(__xludf.DUMMYFUNCTION("GOOGLETRANSLATE(D:D,""auto"",""en"")"),"#VALUE!")</f>
        <v>#VALUE!</v>
      </c>
    </row>
    <row r="11822" spans="3:3" ht="13.5" customHeight="1">
      <c r="C11822" s="4" t="str">
        <f ca="1">IFERROR(__xludf.DUMMYFUNCTION("GOOGLETRANSLATE(D:D,""auto"",""en"")"),"#VALUE!")</f>
        <v>#VALUE!</v>
      </c>
    </row>
    <row r="11823" spans="3:3" ht="13.5" customHeight="1">
      <c r="C11823" s="4" t="str">
        <f ca="1">IFERROR(__xludf.DUMMYFUNCTION("GOOGLETRANSLATE(D:D,""auto"",""en"")"),"#VALUE!")</f>
        <v>#VALUE!</v>
      </c>
    </row>
    <row r="11824" spans="3:3" ht="13.5" customHeight="1">
      <c r="C11824" s="4" t="str">
        <f ca="1">IFERROR(__xludf.DUMMYFUNCTION("GOOGLETRANSLATE(D:D,""auto"",""en"")"),"#VALUE!")</f>
        <v>#VALUE!</v>
      </c>
    </row>
    <row r="11825" spans="3:3" ht="13.5" customHeight="1">
      <c r="C11825" s="4" t="str">
        <f ca="1">IFERROR(__xludf.DUMMYFUNCTION("GOOGLETRANSLATE(D:D,""auto"",""en"")"),"#VALUE!")</f>
        <v>#VALUE!</v>
      </c>
    </row>
    <row r="11826" spans="3:3" ht="13.5" customHeight="1">
      <c r="C11826" s="4" t="str">
        <f ca="1">IFERROR(__xludf.DUMMYFUNCTION("GOOGLETRANSLATE(D:D,""auto"",""en"")"),"#VALUE!")</f>
        <v>#VALUE!</v>
      </c>
    </row>
    <row r="11827" spans="3:3" ht="13.5" customHeight="1">
      <c r="C11827" s="4" t="str">
        <f ca="1">IFERROR(__xludf.DUMMYFUNCTION("GOOGLETRANSLATE(D:D,""auto"",""en"")"),"#VALUE!")</f>
        <v>#VALUE!</v>
      </c>
    </row>
    <row r="11828" spans="3:3" ht="13.5" customHeight="1">
      <c r="C11828" s="4" t="str">
        <f ca="1">IFERROR(__xludf.DUMMYFUNCTION("GOOGLETRANSLATE(D:D,""auto"",""en"")"),"#VALUE!")</f>
        <v>#VALUE!</v>
      </c>
    </row>
    <row r="11829" spans="3:3" ht="13.5" customHeight="1">
      <c r="C11829" s="4" t="str">
        <f ca="1">IFERROR(__xludf.DUMMYFUNCTION("GOOGLETRANSLATE(D:D,""auto"",""en"")"),"#VALUE!")</f>
        <v>#VALUE!</v>
      </c>
    </row>
    <row r="11830" spans="3:3" ht="13.5" customHeight="1">
      <c r="C11830" s="4" t="str">
        <f ca="1">IFERROR(__xludf.DUMMYFUNCTION("GOOGLETRANSLATE(D:D,""auto"",""en"")"),"#VALUE!")</f>
        <v>#VALUE!</v>
      </c>
    </row>
    <row r="11831" spans="3:3" ht="13.5" customHeight="1">
      <c r="C11831" s="4" t="str">
        <f ca="1">IFERROR(__xludf.DUMMYFUNCTION("GOOGLETRANSLATE(D:D,""auto"",""en"")"),"#VALUE!")</f>
        <v>#VALUE!</v>
      </c>
    </row>
    <row r="11832" spans="3:3" ht="13.5" customHeight="1">
      <c r="C11832" s="4" t="str">
        <f ca="1">IFERROR(__xludf.DUMMYFUNCTION("GOOGLETRANSLATE(D:D,""auto"",""en"")"),"#VALUE!")</f>
        <v>#VALUE!</v>
      </c>
    </row>
    <row r="11833" spans="3:3" ht="13.5" customHeight="1">
      <c r="C11833" s="4" t="str">
        <f ca="1">IFERROR(__xludf.DUMMYFUNCTION("GOOGLETRANSLATE(D:D,""auto"",""en"")"),"#VALUE!")</f>
        <v>#VALUE!</v>
      </c>
    </row>
    <row r="11834" spans="3:3" ht="13.5" customHeight="1">
      <c r="C11834" s="4" t="str">
        <f ca="1">IFERROR(__xludf.DUMMYFUNCTION("GOOGLETRANSLATE(D:D,""auto"",""en"")"),"#VALUE!")</f>
        <v>#VALUE!</v>
      </c>
    </row>
    <row r="11835" spans="3:3" ht="13.5" customHeight="1">
      <c r="C11835" s="4" t="str">
        <f ca="1">IFERROR(__xludf.DUMMYFUNCTION("GOOGLETRANSLATE(D:D,""auto"",""en"")"),"#VALUE!")</f>
        <v>#VALUE!</v>
      </c>
    </row>
    <row r="11836" spans="3:3" ht="13.5" customHeight="1">
      <c r="C11836" s="4" t="str">
        <f ca="1">IFERROR(__xludf.DUMMYFUNCTION("GOOGLETRANSLATE(D:D,""auto"",""en"")"),"#VALUE!")</f>
        <v>#VALUE!</v>
      </c>
    </row>
    <row r="11837" spans="3:3" ht="13.5" customHeight="1">
      <c r="C11837" s="4" t="str">
        <f ca="1">IFERROR(__xludf.DUMMYFUNCTION("GOOGLETRANSLATE(D:D,""auto"",""en"")"),"#VALUE!")</f>
        <v>#VALUE!</v>
      </c>
    </row>
    <row r="11838" spans="3:3" ht="13.5" customHeight="1">
      <c r="C11838" s="4" t="str">
        <f ca="1">IFERROR(__xludf.DUMMYFUNCTION("GOOGLETRANSLATE(D:D,""auto"",""en"")"),"#VALUE!")</f>
        <v>#VALUE!</v>
      </c>
    </row>
    <row r="11839" spans="3:3" ht="13.5" customHeight="1">
      <c r="C11839" s="4" t="str">
        <f ca="1">IFERROR(__xludf.DUMMYFUNCTION("GOOGLETRANSLATE(D:D,""auto"",""en"")"),"#VALUE!")</f>
        <v>#VALUE!</v>
      </c>
    </row>
    <row r="11840" spans="3:3" ht="13.5" customHeight="1">
      <c r="C11840" s="4" t="str">
        <f ca="1">IFERROR(__xludf.DUMMYFUNCTION("GOOGLETRANSLATE(D:D,""auto"",""en"")"),"#VALUE!")</f>
        <v>#VALUE!</v>
      </c>
    </row>
    <row r="11841" spans="3:3" ht="13.5" customHeight="1">
      <c r="C11841" s="4" t="str">
        <f ca="1">IFERROR(__xludf.DUMMYFUNCTION("GOOGLETRANSLATE(D:D,""auto"",""en"")"),"#VALUE!")</f>
        <v>#VALUE!</v>
      </c>
    </row>
    <row r="11842" spans="3:3" ht="13.5" customHeight="1">
      <c r="C11842" s="4" t="str">
        <f ca="1">IFERROR(__xludf.DUMMYFUNCTION("GOOGLETRANSLATE(D:D,""auto"",""en"")"),"#VALUE!")</f>
        <v>#VALUE!</v>
      </c>
    </row>
    <row r="11843" spans="3:3" ht="13.5" customHeight="1">
      <c r="C11843" s="4" t="str">
        <f ca="1">IFERROR(__xludf.DUMMYFUNCTION("GOOGLETRANSLATE(D:D,""auto"",""en"")"),"#VALUE!")</f>
        <v>#VALUE!</v>
      </c>
    </row>
    <row r="11844" spans="3:3" ht="13.5" customHeight="1">
      <c r="C11844" s="4" t="str">
        <f ca="1">IFERROR(__xludf.DUMMYFUNCTION("GOOGLETRANSLATE(D:D,""auto"",""en"")"),"#VALUE!")</f>
        <v>#VALUE!</v>
      </c>
    </row>
    <row r="11845" spans="3:3" ht="13.5" customHeight="1">
      <c r="C11845" s="4" t="str">
        <f ca="1">IFERROR(__xludf.DUMMYFUNCTION("GOOGLETRANSLATE(D:D,""auto"",""en"")"),"#VALUE!")</f>
        <v>#VALUE!</v>
      </c>
    </row>
    <row r="11846" spans="3:3" ht="13.5" customHeight="1">
      <c r="C11846" s="4" t="str">
        <f ca="1">IFERROR(__xludf.DUMMYFUNCTION("GOOGLETRANSLATE(D:D,""auto"",""en"")"),"#VALUE!")</f>
        <v>#VALUE!</v>
      </c>
    </row>
    <row r="11847" spans="3:3" ht="13.5" customHeight="1">
      <c r="C11847" s="4" t="str">
        <f ca="1">IFERROR(__xludf.DUMMYFUNCTION("GOOGLETRANSLATE(D:D,""auto"",""en"")"),"#VALUE!")</f>
        <v>#VALUE!</v>
      </c>
    </row>
    <row r="11848" spans="3:3" ht="13.5" customHeight="1">
      <c r="C11848" s="4" t="str">
        <f ca="1">IFERROR(__xludf.DUMMYFUNCTION("GOOGLETRANSLATE(D:D,""auto"",""en"")"),"#VALUE!")</f>
        <v>#VALUE!</v>
      </c>
    </row>
    <row r="11849" spans="3:3" ht="13.5" customHeight="1">
      <c r="C11849" s="4" t="str">
        <f ca="1">IFERROR(__xludf.DUMMYFUNCTION("GOOGLETRANSLATE(D:D,""auto"",""en"")"),"#VALUE!")</f>
        <v>#VALUE!</v>
      </c>
    </row>
    <row r="11850" spans="3:3" ht="13.5" customHeight="1">
      <c r="C11850" s="4" t="str">
        <f ca="1">IFERROR(__xludf.DUMMYFUNCTION("GOOGLETRANSLATE(D:D,""auto"",""en"")"),"#VALUE!")</f>
        <v>#VALUE!</v>
      </c>
    </row>
    <row r="11851" spans="3:3" ht="13.5" customHeight="1">
      <c r="C11851" s="4" t="str">
        <f ca="1">IFERROR(__xludf.DUMMYFUNCTION("GOOGLETRANSLATE(D:D,""auto"",""en"")"),"#VALUE!")</f>
        <v>#VALUE!</v>
      </c>
    </row>
    <row r="11852" spans="3:3" ht="13.5" customHeight="1">
      <c r="C11852" s="4" t="str">
        <f ca="1">IFERROR(__xludf.DUMMYFUNCTION("GOOGLETRANSLATE(D:D,""auto"",""en"")"),"#VALUE!")</f>
        <v>#VALUE!</v>
      </c>
    </row>
    <row r="11853" spans="3:3" ht="13.5" customHeight="1">
      <c r="C11853" s="4" t="str">
        <f ca="1">IFERROR(__xludf.DUMMYFUNCTION("GOOGLETRANSLATE(D:D,""auto"",""en"")"),"#VALUE!")</f>
        <v>#VALUE!</v>
      </c>
    </row>
    <row r="11854" spans="3:3" ht="13.5" customHeight="1">
      <c r="C11854" s="4" t="str">
        <f ca="1">IFERROR(__xludf.DUMMYFUNCTION("GOOGLETRANSLATE(D:D,""auto"",""en"")"),"#VALUE!")</f>
        <v>#VALUE!</v>
      </c>
    </row>
    <row r="11855" spans="3:3" ht="13.5" customHeight="1">
      <c r="C11855" s="4" t="str">
        <f ca="1">IFERROR(__xludf.DUMMYFUNCTION("GOOGLETRANSLATE(D:D,""auto"",""en"")"),"#VALUE!")</f>
        <v>#VALUE!</v>
      </c>
    </row>
    <row r="11856" spans="3:3" ht="13.5" customHeight="1">
      <c r="C11856" s="4" t="str">
        <f ca="1">IFERROR(__xludf.DUMMYFUNCTION("GOOGLETRANSLATE(D:D,""auto"",""en"")"),"#VALUE!")</f>
        <v>#VALUE!</v>
      </c>
    </row>
    <row r="11857" spans="3:3" ht="13.5" customHeight="1">
      <c r="C11857" s="4" t="str">
        <f ca="1">IFERROR(__xludf.DUMMYFUNCTION("GOOGLETRANSLATE(D:D,""auto"",""en"")"),"#VALUE!")</f>
        <v>#VALUE!</v>
      </c>
    </row>
    <row r="11858" spans="3:3" ht="13.5" customHeight="1">
      <c r="C11858" s="4" t="str">
        <f ca="1">IFERROR(__xludf.DUMMYFUNCTION("GOOGLETRANSLATE(D:D,""auto"",""en"")"),"#VALUE!")</f>
        <v>#VALUE!</v>
      </c>
    </row>
    <row r="11859" spans="3:3" ht="13.5" customHeight="1">
      <c r="C11859" s="4" t="str">
        <f ca="1">IFERROR(__xludf.DUMMYFUNCTION("GOOGLETRANSLATE(D:D,""auto"",""en"")"),"#VALUE!")</f>
        <v>#VALUE!</v>
      </c>
    </row>
    <row r="11860" spans="3:3" ht="13.5" customHeight="1">
      <c r="C11860" s="4" t="str">
        <f ca="1">IFERROR(__xludf.DUMMYFUNCTION("GOOGLETRANSLATE(D:D,""auto"",""en"")"),"#VALUE!")</f>
        <v>#VALUE!</v>
      </c>
    </row>
    <row r="11861" spans="3:3" ht="13.5" customHeight="1">
      <c r="C11861" s="4" t="str">
        <f ca="1">IFERROR(__xludf.DUMMYFUNCTION("GOOGLETRANSLATE(D:D,""auto"",""en"")"),"#VALUE!")</f>
        <v>#VALUE!</v>
      </c>
    </row>
    <row r="11862" spans="3:3" ht="13.5" customHeight="1">
      <c r="C11862" s="4" t="str">
        <f ca="1">IFERROR(__xludf.DUMMYFUNCTION("GOOGLETRANSLATE(D:D,""auto"",""en"")"),"#VALUE!")</f>
        <v>#VALUE!</v>
      </c>
    </row>
    <row r="11863" spans="3:3" ht="13.5" customHeight="1">
      <c r="C11863" s="4" t="str">
        <f ca="1">IFERROR(__xludf.DUMMYFUNCTION("GOOGLETRANSLATE(D:D,""auto"",""en"")"),"#VALUE!")</f>
        <v>#VALUE!</v>
      </c>
    </row>
    <row r="11864" spans="3:3" ht="13.5" customHeight="1">
      <c r="C11864" s="4" t="str">
        <f ca="1">IFERROR(__xludf.DUMMYFUNCTION("GOOGLETRANSLATE(D:D,""auto"",""en"")"),"#VALUE!")</f>
        <v>#VALUE!</v>
      </c>
    </row>
    <row r="11865" spans="3:3" ht="13.5" customHeight="1">
      <c r="C11865" s="4" t="str">
        <f ca="1">IFERROR(__xludf.DUMMYFUNCTION("GOOGLETRANSLATE(D:D,""auto"",""en"")"),"#VALUE!")</f>
        <v>#VALUE!</v>
      </c>
    </row>
    <row r="11866" spans="3:3" ht="13.5" customHeight="1">
      <c r="C11866" s="4" t="str">
        <f ca="1">IFERROR(__xludf.DUMMYFUNCTION("GOOGLETRANSLATE(D:D,""auto"",""en"")"),"#VALUE!")</f>
        <v>#VALUE!</v>
      </c>
    </row>
    <row r="11867" spans="3:3" ht="13.5" customHeight="1">
      <c r="C11867" s="4" t="str">
        <f ca="1">IFERROR(__xludf.DUMMYFUNCTION("GOOGLETRANSLATE(D:D,""auto"",""en"")"),"#VALUE!")</f>
        <v>#VALUE!</v>
      </c>
    </row>
    <row r="11868" spans="3:3" ht="13.5" customHeight="1">
      <c r="C11868" s="4" t="str">
        <f ca="1">IFERROR(__xludf.DUMMYFUNCTION("GOOGLETRANSLATE(D:D,""auto"",""en"")"),"#VALUE!")</f>
        <v>#VALUE!</v>
      </c>
    </row>
    <row r="11869" spans="3:3" ht="13.5" customHeight="1">
      <c r="C11869" s="4" t="str">
        <f ca="1">IFERROR(__xludf.DUMMYFUNCTION("GOOGLETRANSLATE(D:D,""auto"",""en"")"),"#VALUE!")</f>
        <v>#VALUE!</v>
      </c>
    </row>
    <row r="11870" spans="3:3" ht="13.5" customHeight="1">
      <c r="C11870" s="4" t="str">
        <f ca="1">IFERROR(__xludf.DUMMYFUNCTION("GOOGLETRANSLATE(D:D,""auto"",""en"")"),"#VALUE!")</f>
        <v>#VALUE!</v>
      </c>
    </row>
    <row r="11871" spans="3:3" ht="13.5" customHeight="1">
      <c r="C11871" s="4" t="str">
        <f ca="1">IFERROR(__xludf.DUMMYFUNCTION("GOOGLETRANSLATE(D:D,""auto"",""en"")"),"#VALUE!")</f>
        <v>#VALUE!</v>
      </c>
    </row>
    <row r="11872" spans="3:3" ht="13.5" customHeight="1">
      <c r="C11872" s="4" t="str">
        <f ca="1">IFERROR(__xludf.DUMMYFUNCTION("GOOGLETRANSLATE(D:D,""auto"",""en"")"),"#VALUE!")</f>
        <v>#VALUE!</v>
      </c>
    </row>
    <row r="11873" spans="3:3" ht="13.5" customHeight="1">
      <c r="C11873" s="4" t="str">
        <f ca="1">IFERROR(__xludf.DUMMYFUNCTION("GOOGLETRANSLATE(D:D,""auto"",""en"")"),"#VALUE!")</f>
        <v>#VALUE!</v>
      </c>
    </row>
    <row r="11874" spans="3:3" ht="13.5" customHeight="1">
      <c r="C11874" s="4" t="str">
        <f ca="1">IFERROR(__xludf.DUMMYFUNCTION("GOOGLETRANSLATE(D:D,""auto"",""en"")"),"#VALUE!")</f>
        <v>#VALUE!</v>
      </c>
    </row>
    <row r="11875" spans="3:3" ht="13.5" customHeight="1">
      <c r="C11875" s="4" t="str">
        <f ca="1">IFERROR(__xludf.DUMMYFUNCTION("GOOGLETRANSLATE(D:D,""auto"",""en"")"),"#VALUE!")</f>
        <v>#VALUE!</v>
      </c>
    </row>
    <row r="11876" spans="3:3" ht="13.5" customHeight="1">
      <c r="C11876" s="4" t="str">
        <f ca="1">IFERROR(__xludf.DUMMYFUNCTION("GOOGLETRANSLATE(D:D,""auto"",""en"")"),"#VALUE!")</f>
        <v>#VALUE!</v>
      </c>
    </row>
    <row r="11877" spans="3:3" ht="13.5" customHeight="1">
      <c r="C11877" s="4" t="str">
        <f ca="1">IFERROR(__xludf.DUMMYFUNCTION("GOOGLETRANSLATE(D:D,""auto"",""en"")"),"#VALUE!")</f>
        <v>#VALUE!</v>
      </c>
    </row>
    <row r="11878" spans="3:3" ht="13.5" customHeight="1">
      <c r="C11878" s="4" t="str">
        <f ca="1">IFERROR(__xludf.DUMMYFUNCTION("GOOGLETRANSLATE(D:D,""auto"",""en"")"),"#VALUE!")</f>
        <v>#VALUE!</v>
      </c>
    </row>
    <row r="11879" spans="3:3" ht="13.5" customHeight="1">
      <c r="C11879" s="4" t="str">
        <f ca="1">IFERROR(__xludf.DUMMYFUNCTION("GOOGLETRANSLATE(D:D,""auto"",""en"")"),"#VALUE!")</f>
        <v>#VALUE!</v>
      </c>
    </row>
    <row r="11880" spans="3:3" ht="13.5" customHeight="1">
      <c r="C11880" s="4" t="str">
        <f ca="1">IFERROR(__xludf.DUMMYFUNCTION("GOOGLETRANSLATE(D:D,""auto"",""en"")"),"#VALUE!")</f>
        <v>#VALUE!</v>
      </c>
    </row>
    <row r="11881" spans="3:3" ht="13.5" customHeight="1">
      <c r="C11881" s="4" t="str">
        <f ca="1">IFERROR(__xludf.DUMMYFUNCTION("GOOGLETRANSLATE(D:D,""auto"",""en"")"),"#VALUE!")</f>
        <v>#VALUE!</v>
      </c>
    </row>
    <row r="11882" spans="3:3" ht="13.5" customHeight="1">
      <c r="C11882" s="4" t="str">
        <f ca="1">IFERROR(__xludf.DUMMYFUNCTION("GOOGLETRANSLATE(D:D,""auto"",""en"")"),"#VALUE!")</f>
        <v>#VALUE!</v>
      </c>
    </row>
    <row r="11883" spans="3:3" ht="13.5" customHeight="1">
      <c r="C11883" s="4" t="str">
        <f ca="1">IFERROR(__xludf.DUMMYFUNCTION("GOOGLETRANSLATE(D:D,""auto"",""en"")"),"#VALUE!")</f>
        <v>#VALUE!</v>
      </c>
    </row>
    <row r="11884" spans="3:3" ht="13.5" customHeight="1">
      <c r="C11884" s="4" t="str">
        <f ca="1">IFERROR(__xludf.DUMMYFUNCTION("GOOGLETRANSLATE(D:D,""auto"",""en"")"),"#VALUE!")</f>
        <v>#VALUE!</v>
      </c>
    </row>
    <row r="11885" spans="3:3" ht="13.5" customHeight="1">
      <c r="C11885" s="4" t="str">
        <f ca="1">IFERROR(__xludf.DUMMYFUNCTION("GOOGLETRANSLATE(D:D,""auto"",""en"")"),"#VALUE!")</f>
        <v>#VALUE!</v>
      </c>
    </row>
    <row r="11886" spans="3:3" ht="13.5" customHeight="1">
      <c r="C11886" s="4" t="str">
        <f ca="1">IFERROR(__xludf.DUMMYFUNCTION("GOOGLETRANSLATE(D:D,""auto"",""en"")"),"#VALUE!")</f>
        <v>#VALUE!</v>
      </c>
    </row>
    <row r="11887" spans="3:3" ht="13.5" customHeight="1">
      <c r="C11887" s="4" t="str">
        <f ca="1">IFERROR(__xludf.DUMMYFUNCTION("GOOGLETRANSLATE(D:D,""auto"",""en"")"),"#VALUE!")</f>
        <v>#VALUE!</v>
      </c>
    </row>
    <row r="11888" spans="3:3" ht="13.5" customHeight="1">
      <c r="C11888" s="4" t="str">
        <f ca="1">IFERROR(__xludf.DUMMYFUNCTION("GOOGLETRANSLATE(D:D,""auto"",""en"")"),"#VALUE!")</f>
        <v>#VALUE!</v>
      </c>
    </row>
    <row r="11889" spans="3:3" ht="13.5" customHeight="1">
      <c r="C11889" s="4" t="str">
        <f ca="1">IFERROR(__xludf.DUMMYFUNCTION("GOOGLETRANSLATE(D:D,""auto"",""en"")"),"#VALUE!")</f>
        <v>#VALUE!</v>
      </c>
    </row>
    <row r="11890" spans="3:3" ht="13.5" customHeight="1">
      <c r="C11890" s="4" t="str">
        <f ca="1">IFERROR(__xludf.DUMMYFUNCTION("GOOGLETRANSLATE(D:D,""auto"",""en"")"),"#VALUE!")</f>
        <v>#VALUE!</v>
      </c>
    </row>
    <row r="11891" spans="3:3" ht="13.5" customHeight="1">
      <c r="C11891" s="4" t="str">
        <f ca="1">IFERROR(__xludf.DUMMYFUNCTION("GOOGLETRANSLATE(D:D,""auto"",""en"")"),"#VALUE!")</f>
        <v>#VALUE!</v>
      </c>
    </row>
    <row r="11892" spans="3:3" ht="13.5" customHeight="1">
      <c r="C11892" s="4" t="str">
        <f ca="1">IFERROR(__xludf.DUMMYFUNCTION("GOOGLETRANSLATE(D:D,""auto"",""en"")"),"#VALUE!")</f>
        <v>#VALUE!</v>
      </c>
    </row>
    <row r="11893" spans="3:3" ht="13.5" customHeight="1">
      <c r="C11893" s="4" t="str">
        <f ca="1">IFERROR(__xludf.DUMMYFUNCTION("GOOGLETRANSLATE(D:D,""auto"",""en"")"),"#VALUE!")</f>
        <v>#VALUE!</v>
      </c>
    </row>
    <row r="11894" spans="3:3" ht="13.5" customHeight="1">
      <c r="C11894" s="4" t="str">
        <f ca="1">IFERROR(__xludf.DUMMYFUNCTION("GOOGLETRANSLATE(D:D,""auto"",""en"")"),"#VALUE!")</f>
        <v>#VALUE!</v>
      </c>
    </row>
    <row r="11895" spans="3:3" ht="13.5" customHeight="1">
      <c r="C11895" s="4" t="str">
        <f ca="1">IFERROR(__xludf.DUMMYFUNCTION("GOOGLETRANSLATE(D:D,""auto"",""en"")"),"#VALUE!")</f>
        <v>#VALUE!</v>
      </c>
    </row>
    <row r="11896" spans="3:3" ht="13.5" customHeight="1">
      <c r="C11896" s="4" t="str">
        <f ca="1">IFERROR(__xludf.DUMMYFUNCTION("GOOGLETRANSLATE(D:D,""auto"",""en"")"),"#VALUE!")</f>
        <v>#VALUE!</v>
      </c>
    </row>
    <row r="11897" spans="3:3" ht="13.5" customHeight="1">
      <c r="C11897" s="4" t="str">
        <f ca="1">IFERROR(__xludf.DUMMYFUNCTION("GOOGLETRANSLATE(D:D,""auto"",""en"")"),"#VALUE!")</f>
        <v>#VALUE!</v>
      </c>
    </row>
    <row r="11898" spans="3:3" ht="13.5" customHeight="1">
      <c r="C11898" s="4" t="str">
        <f ca="1">IFERROR(__xludf.DUMMYFUNCTION("GOOGLETRANSLATE(D:D,""auto"",""en"")"),"#VALUE!")</f>
        <v>#VALUE!</v>
      </c>
    </row>
    <row r="11899" spans="3:3" ht="13.5" customHeight="1">
      <c r="C11899" s="4" t="str">
        <f ca="1">IFERROR(__xludf.DUMMYFUNCTION("GOOGLETRANSLATE(D:D,""auto"",""en"")"),"#VALUE!")</f>
        <v>#VALUE!</v>
      </c>
    </row>
    <row r="11900" spans="3:3" ht="13.5" customHeight="1">
      <c r="C11900" s="4" t="str">
        <f ca="1">IFERROR(__xludf.DUMMYFUNCTION("GOOGLETRANSLATE(D:D,""auto"",""en"")"),"#VALUE!")</f>
        <v>#VALUE!</v>
      </c>
    </row>
    <row r="11901" spans="3:3" ht="13.5" customHeight="1">
      <c r="C11901" s="4" t="str">
        <f ca="1">IFERROR(__xludf.DUMMYFUNCTION("GOOGLETRANSLATE(D:D,""auto"",""en"")"),"#VALUE!")</f>
        <v>#VALUE!</v>
      </c>
    </row>
    <row r="11902" spans="3:3" ht="13.5" customHeight="1">
      <c r="C11902" s="4" t="str">
        <f ca="1">IFERROR(__xludf.DUMMYFUNCTION("GOOGLETRANSLATE(D:D,""auto"",""en"")"),"#VALUE!")</f>
        <v>#VALUE!</v>
      </c>
    </row>
    <row r="11903" spans="3:3" ht="13.5" customHeight="1">
      <c r="C11903" s="4" t="str">
        <f ca="1">IFERROR(__xludf.DUMMYFUNCTION("GOOGLETRANSLATE(D:D,""auto"",""en"")"),"#VALUE!")</f>
        <v>#VALUE!</v>
      </c>
    </row>
    <row r="11904" spans="3:3" ht="13.5" customHeight="1">
      <c r="C11904" s="4" t="str">
        <f ca="1">IFERROR(__xludf.DUMMYFUNCTION("GOOGLETRANSLATE(D:D,""auto"",""en"")"),"#VALUE!")</f>
        <v>#VALUE!</v>
      </c>
    </row>
    <row r="11905" spans="3:3" ht="13.5" customHeight="1">
      <c r="C11905" s="4" t="str">
        <f ca="1">IFERROR(__xludf.DUMMYFUNCTION("GOOGLETRANSLATE(D:D,""auto"",""en"")"),"#VALUE!")</f>
        <v>#VALUE!</v>
      </c>
    </row>
    <row r="11906" spans="3:3" ht="13.5" customHeight="1">
      <c r="C11906" s="4" t="str">
        <f ca="1">IFERROR(__xludf.DUMMYFUNCTION("GOOGLETRANSLATE(D:D,""auto"",""en"")"),"#VALUE!")</f>
        <v>#VALUE!</v>
      </c>
    </row>
    <row r="11907" spans="3:3" ht="13.5" customHeight="1">
      <c r="C11907" s="4" t="str">
        <f ca="1">IFERROR(__xludf.DUMMYFUNCTION("GOOGLETRANSLATE(D:D,""auto"",""en"")"),"#VALUE!")</f>
        <v>#VALUE!</v>
      </c>
    </row>
    <row r="11908" spans="3:3" ht="13.5" customHeight="1">
      <c r="C11908" s="4" t="str">
        <f ca="1">IFERROR(__xludf.DUMMYFUNCTION("GOOGLETRANSLATE(D:D,""auto"",""en"")"),"#VALUE!")</f>
        <v>#VALUE!</v>
      </c>
    </row>
    <row r="11909" spans="3:3" ht="13.5" customHeight="1">
      <c r="C11909" s="4" t="str">
        <f ca="1">IFERROR(__xludf.DUMMYFUNCTION("GOOGLETRANSLATE(D:D,""auto"",""en"")"),"#VALUE!")</f>
        <v>#VALUE!</v>
      </c>
    </row>
    <row r="11910" spans="3:3" ht="13.5" customHeight="1">
      <c r="C11910" s="4" t="str">
        <f ca="1">IFERROR(__xludf.DUMMYFUNCTION("GOOGLETRANSLATE(D:D,""auto"",""en"")"),"#VALUE!")</f>
        <v>#VALUE!</v>
      </c>
    </row>
    <row r="11911" spans="3:3" ht="13.5" customHeight="1">
      <c r="C11911" s="4" t="str">
        <f ca="1">IFERROR(__xludf.DUMMYFUNCTION("GOOGLETRANSLATE(D:D,""auto"",""en"")"),"#VALUE!")</f>
        <v>#VALUE!</v>
      </c>
    </row>
    <row r="11912" spans="3:3" ht="13.5" customHeight="1">
      <c r="C11912" s="4" t="str">
        <f ca="1">IFERROR(__xludf.DUMMYFUNCTION("GOOGLETRANSLATE(D:D,""auto"",""en"")"),"#VALUE!")</f>
        <v>#VALUE!</v>
      </c>
    </row>
    <row r="11913" spans="3:3" ht="13.5" customHeight="1">
      <c r="C11913" s="4" t="str">
        <f ca="1">IFERROR(__xludf.DUMMYFUNCTION("GOOGLETRANSLATE(D:D,""auto"",""en"")"),"#VALUE!")</f>
        <v>#VALUE!</v>
      </c>
    </row>
    <row r="11914" spans="3:3" ht="13.5" customHeight="1">
      <c r="C11914" s="4" t="str">
        <f ca="1">IFERROR(__xludf.DUMMYFUNCTION("GOOGLETRANSLATE(D:D,""auto"",""en"")"),"#VALUE!")</f>
        <v>#VALUE!</v>
      </c>
    </row>
    <row r="11915" spans="3:3" ht="13.5" customHeight="1">
      <c r="C11915" s="4" t="str">
        <f ca="1">IFERROR(__xludf.DUMMYFUNCTION("GOOGLETRANSLATE(D:D,""auto"",""en"")"),"#VALUE!")</f>
        <v>#VALUE!</v>
      </c>
    </row>
    <row r="11916" spans="3:3" ht="13.5" customHeight="1">
      <c r="C11916" s="4" t="str">
        <f ca="1">IFERROR(__xludf.DUMMYFUNCTION("GOOGLETRANSLATE(D:D,""auto"",""en"")"),"#VALUE!")</f>
        <v>#VALUE!</v>
      </c>
    </row>
    <row r="11917" spans="3:3" ht="13.5" customHeight="1">
      <c r="C11917" s="4" t="str">
        <f ca="1">IFERROR(__xludf.DUMMYFUNCTION("GOOGLETRANSLATE(D:D,""auto"",""en"")"),"#VALUE!")</f>
        <v>#VALUE!</v>
      </c>
    </row>
    <row r="11918" spans="3:3" ht="13.5" customHeight="1">
      <c r="C11918" s="4" t="str">
        <f ca="1">IFERROR(__xludf.DUMMYFUNCTION("GOOGLETRANSLATE(D:D,""auto"",""en"")"),"#VALUE!")</f>
        <v>#VALUE!</v>
      </c>
    </row>
    <row r="11919" spans="3:3" ht="13.5" customHeight="1">
      <c r="C11919" s="4" t="str">
        <f ca="1">IFERROR(__xludf.DUMMYFUNCTION("GOOGLETRANSLATE(D:D,""auto"",""en"")"),"#VALUE!")</f>
        <v>#VALUE!</v>
      </c>
    </row>
    <row r="11920" spans="3:3" ht="13.5" customHeight="1">
      <c r="C11920" s="4" t="str">
        <f ca="1">IFERROR(__xludf.DUMMYFUNCTION("GOOGLETRANSLATE(D:D,""auto"",""en"")"),"#VALUE!")</f>
        <v>#VALUE!</v>
      </c>
    </row>
    <row r="11921" spans="3:3" ht="13.5" customHeight="1">
      <c r="C11921" s="4" t="str">
        <f ca="1">IFERROR(__xludf.DUMMYFUNCTION("GOOGLETRANSLATE(D:D,""auto"",""en"")"),"#VALUE!")</f>
        <v>#VALUE!</v>
      </c>
    </row>
    <row r="11922" spans="3:3" ht="13.5" customHeight="1">
      <c r="C11922" s="4" t="str">
        <f ca="1">IFERROR(__xludf.DUMMYFUNCTION("GOOGLETRANSLATE(D:D,""auto"",""en"")"),"#VALUE!")</f>
        <v>#VALUE!</v>
      </c>
    </row>
    <row r="11923" spans="3:3" ht="13.5" customHeight="1">
      <c r="C11923" s="4" t="str">
        <f ca="1">IFERROR(__xludf.DUMMYFUNCTION("GOOGLETRANSLATE(D:D,""auto"",""en"")"),"#VALUE!")</f>
        <v>#VALUE!</v>
      </c>
    </row>
    <row r="11924" spans="3:3" ht="13.5" customHeight="1">
      <c r="C11924" s="4" t="str">
        <f ca="1">IFERROR(__xludf.DUMMYFUNCTION("GOOGLETRANSLATE(D:D,""auto"",""en"")"),"#VALUE!")</f>
        <v>#VALUE!</v>
      </c>
    </row>
    <row r="11925" spans="3:3" ht="13.5" customHeight="1">
      <c r="C11925" s="4" t="str">
        <f ca="1">IFERROR(__xludf.DUMMYFUNCTION("GOOGLETRANSLATE(D:D,""auto"",""en"")"),"#VALUE!")</f>
        <v>#VALUE!</v>
      </c>
    </row>
    <row r="11926" spans="3:3" ht="13.5" customHeight="1">
      <c r="C11926" s="4" t="str">
        <f ca="1">IFERROR(__xludf.DUMMYFUNCTION("GOOGLETRANSLATE(D:D,""auto"",""en"")"),"#VALUE!")</f>
        <v>#VALUE!</v>
      </c>
    </row>
    <row r="11927" spans="3:3" ht="13.5" customHeight="1">
      <c r="C11927" s="4" t="str">
        <f ca="1">IFERROR(__xludf.DUMMYFUNCTION("GOOGLETRANSLATE(D:D,""auto"",""en"")"),"#VALUE!")</f>
        <v>#VALUE!</v>
      </c>
    </row>
    <row r="11928" spans="3:3" ht="13.5" customHeight="1">
      <c r="C11928" s="4" t="str">
        <f ca="1">IFERROR(__xludf.DUMMYFUNCTION("GOOGLETRANSLATE(D:D,""auto"",""en"")"),"#VALUE!")</f>
        <v>#VALUE!</v>
      </c>
    </row>
    <row r="11929" spans="3:3" ht="13.5" customHeight="1">
      <c r="C11929" s="4" t="str">
        <f ca="1">IFERROR(__xludf.DUMMYFUNCTION("GOOGLETRANSLATE(D:D,""auto"",""en"")"),"#VALUE!")</f>
        <v>#VALUE!</v>
      </c>
    </row>
    <row r="11930" spans="3:3" ht="13.5" customHeight="1">
      <c r="C11930" s="4" t="str">
        <f ca="1">IFERROR(__xludf.DUMMYFUNCTION("GOOGLETRANSLATE(D:D,""auto"",""en"")"),"#VALUE!")</f>
        <v>#VALUE!</v>
      </c>
    </row>
    <row r="11931" spans="3:3" ht="13.5" customHeight="1">
      <c r="C11931" s="4" t="str">
        <f ca="1">IFERROR(__xludf.DUMMYFUNCTION("GOOGLETRANSLATE(D:D,""auto"",""en"")"),"#VALUE!")</f>
        <v>#VALUE!</v>
      </c>
    </row>
    <row r="11932" spans="3:3" ht="13.5" customHeight="1">
      <c r="C11932" s="4" t="str">
        <f ca="1">IFERROR(__xludf.DUMMYFUNCTION("GOOGLETRANSLATE(D:D,""auto"",""en"")"),"#VALUE!")</f>
        <v>#VALUE!</v>
      </c>
    </row>
    <row r="11933" spans="3:3" ht="13.5" customHeight="1">
      <c r="C11933" s="4" t="str">
        <f ca="1">IFERROR(__xludf.DUMMYFUNCTION("GOOGLETRANSLATE(D:D,""auto"",""en"")"),"#VALUE!")</f>
        <v>#VALUE!</v>
      </c>
    </row>
    <row r="11934" spans="3:3" ht="13.5" customHeight="1">
      <c r="C11934" s="4" t="str">
        <f ca="1">IFERROR(__xludf.DUMMYFUNCTION("GOOGLETRANSLATE(D:D,""auto"",""en"")"),"#VALUE!")</f>
        <v>#VALUE!</v>
      </c>
    </row>
    <row r="11935" spans="3:3" ht="13.5" customHeight="1">
      <c r="C11935" s="4" t="str">
        <f ca="1">IFERROR(__xludf.DUMMYFUNCTION("GOOGLETRANSLATE(D:D,""auto"",""en"")"),"#VALUE!")</f>
        <v>#VALUE!</v>
      </c>
    </row>
    <row r="11936" spans="3:3" ht="13.5" customHeight="1">
      <c r="C11936" s="4" t="str">
        <f ca="1">IFERROR(__xludf.DUMMYFUNCTION("GOOGLETRANSLATE(D:D,""auto"",""en"")"),"#VALUE!")</f>
        <v>#VALUE!</v>
      </c>
    </row>
    <row r="11937" spans="3:3" ht="13.5" customHeight="1">
      <c r="C11937" s="4" t="str">
        <f ca="1">IFERROR(__xludf.DUMMYFUNCTION("GOOGLETRANSLATE(D:D,""auto"",""en"")"),"#VALUE!")</f>
        <v>#VALUE!</v>
      </c>
    </row>
    <row r="11938" spans="3:3" ht="13.5" customHeight="1">
      <c r="C11938" s="4" t="str">
        <f ca="1">IFERROR(__xludf.DUMMYFUNCTION("GOOGLETRANSLATE(D:D,""auto"",""en"")"),"#VALUE!")</f>
        <v>#VALUE!</v>
      </c>
    </row>
    <row r="11939" spans="3:3" ht="13.5" customHeight="1">
      <c r="C11939" s="4" t="str">
        <f ca="1">IFERROR(__xludf.DUMMYFUNCTION("GOOGLETRANSLATE(D:D,""auto"",""en"")"),"#VALUE!")</f>
        <v>#VALUE!</v>
      </c>
    </row>
    <row r="11940" spans="3:3" ht="13.5" customHeight="1">
      <c r="C11940" s="4" t="str">
        <f ca="1">IFERROR(__xludf.DUMMYFUNCTION("GOOGLETRANSLATE(D:D,""auto"",""en"")"),"#VALUE!")</f>
        <v>#VALUE!</v>
      </c>
    </row>
    <row r="11941" spans="3:3" ht="13.5" customHeight="1">
      <c r="C11941" s="4" t="str">
        <f ca="1">IFERROR(__xludf.DUMMYFUNCTION("GOOGLETRANSLATE(D:D,""auto"",""en"")"),"#VALUE!")</f>
        <v>#VALUE!</v>
      </c>
    </row>
    <row r="11942" spans="3:3" ht="13.5" customHeight="1">
      <c r="C11942" s="4" t="str">
        <f ca="1">IFERROR(__xludf.DUMMYFUNCTION("GOOGLETRANSLATE(D:D,""auto"",""en"")"),"#VALUE!")</f>
        <v>#VALUE!</v>
      </c>
    </row>
    <row r="11943" spans="3:3" ht="13.5" customHeight="1">
      <c r="C11943" s="4" t="str">
        <f ca="1">IFERROR(__xludf.DUMMYFUNCTION("GOOGLETRANSLATE(D:D,""auto"",""en"")"),"#VALUE!")</f>
        <v>#VALUE!</v>
      </c>
    </row>
    <row r="11944" spans="3:3" ht="13.5" customHeight="1">
      <c r="C11944" s="4" t="str">
        <f ca="1">IFERROR(__xludf.DUMMYFUNCTION("GOOGLETRANSLATE(D:D,""auto"",""en"")"),"#VALUE!")</f>
        <v>#VALUE!</v>
      </c>
    </row>
    <row r="11945" spans="3:3" ht="13.5" customHeight="1">
      <c r="C11945" s="4" t="str">
        <f ca="1">IFERROR(__xludf.DUMMYFUNCTION("GOOGLETRANSLATE(D:D,""auto"",""en"")"),"#VALUE!")</f>
        <v>#VALUE!</v>
      </c>
    </row>
    <row r="11946" spans="3:3" ht="13.5" customHeight="1">
      <c r="C11946" s="4" t="str">
        <f ca="1">IFERROR(__xludf.DUMMYFUNCTION("GOOGLETRANSLATE(D:D,""auto"",""en"")"),"#VALUE!")</f>
        <v>#VALUE!</v>
      </c>
    </row>
    <row r="11947" spans="3:3" ht="13.5" customHeight="1">
      <c r="C11947" s="4" t="str">
        <f ca="1">IFERROR(__xludf.DUMMYFUNCTION("GOOGLETRANSLATE(D:D,""auto"",""en"")"),"#VALUE!")</f>
        <v>#VALUE!</v>
      </c>
    </row>
    <row r="11948" spans="3:3" ht="13.5" customHeight="1">
      <c r="C11948" s="4" t="str">
        <f ca="1">IFERROR(__xludf.DUMMYFUNCTION("GOOGLETRANSLATE(D:D,""auto"",""en"")"),"#VALUE!")</f>
        <v>#VALUE!</v>
      </c>
    </row>
    <row r="11949" spans="3:3" ht="13.5" customHeight="1">
      <c r="C11949" s="4" t="str">
        <f ca="1">IFERROR(__xludf.DUMMYFUNCTION("GOOGLETRANSLATE(D:D,""auto"",""en"")"),"#VALUE!")</f>
        <v>#VALUE!</v>
      </c>
    </row>
    <row r="11950" spans="3:3" ht="13.5" customHeight="1">
      <c r="C11950" s="4" t="str">
        <f ca="1">IFERROR(__xludf.DUMMYFUNCTION("GOOGLETRANSLATE(D:D,""auto"",""en"")"),"#VALUE!")</f>
        <v>#VALUE!</v>
      </c>
    </row>
    <row r="11951" spans="3:3" ht="13.5" customHeight="1">
      <c r="C11951" s="4" t="str">
        <f ca="1">IFERROR(__xludf.DUMMYFUNCTION("GOOGLETRANSLATE(D:D,""auto"",""en"")"),"#VALUE!")</f>
        <v>#VALUE!</v>
      </c>
    </row>
    <row r="11952" spans="3:3" ht="13.5" customHeight="1">
      <c r="C11952" s="4" t="str">
        <f ca="1">IFERROR(__xludf.DUMMYFUNCTION("GOOGLETRANSLATE(D:D,""auto"",""en"")"),"#VALUE!")</f>
        <v>#VALUE!</v>
      </c>
    </row>
    <row r="11953" spans="3:3" ht="13.5" customHeight="1">
      <c r="C11953" s="4" t="str">
        <f ca="1">IFERROR(__xludf.DUMMYFUNCTION("GOOGLETRANSLATE(D:D,""auto"",""en"")"),"#VALUE!")</f>
        <v>#VALUE!</v>
      </c>
    </row>
    <row r="11954" spans="3:3" ht="13.5" customHeight="1">
      <c r="C11954" s="4" t="str">
        <f ca="1">IFERROR(__xludf.DUMMYFUNCTION("GOOGLETRANSLATE(D:D,""auto"",""en"")"),"#VALUE!")</f>
        <v>#VALUE!</v>
      </c>
    </row>
    <row r="11955" spans="3:3" ht="13.5" customHeight="1">
      <c r="C11955" s="4" t="str">
        <f ca="1">IFERROR(__xludf.DUMMYFUNCTION("GOOGLETRANSLATE(D:D,""auto"",""en"")"),"#VALUE!")</f>
        <v>#VALUE!</v>
      </c>
    </row>
    <row r="11956" spans="3:3" ht="13.5" customHeight="1">
      <c r="C11956" s="4" t="str">
        <f ca="1">IFERROR(__xludf.DUMMYFUNCTION("GOOGLETRANSLATE(D:D,""auto"",""en"")"),"#VALUE!")</f>
        <v>#VALUE!</v>
      </c>
    </row>
    <row r="11957" spans="3:3" ht="13.5" customHeight="1">
      <c r="C11957" s="4" t="str">
        <f ca="1">IFERROR(__xludf.DUMMYFUNCTION("GOOGLETRANSLATE(D:D,""auto"",""en"")"),"#VALUE!")</f>
        <v>#VALUE!</v>
      </c>
    </row>
    <row r="11958" spans="3:3" ht="13.5" customHeight="1">
      <c r="C11958" s="4" t="str">
        <f ca="1">IFERROR(__xludf.DUMMYFUNCTION("GOOGLETRANSLATE(D:D,""auto"",""en"")"),"#VALUE!")</f>
        <v>#VALUE!</v>
      </c>
    </row>
    <row r="11959" spans="3:3" ht="13.5" customHeight="1">
      <c r="C11959" s="4" t="str">
        <f ca="1">IFERROR(__xludf.DUMMYFUNCTION("GOOGLETRANSLATE(D:D,""auto"",""en"")"),"#VALUE!")</f>
        <v>#VALUE!</v>
      </c>
    </row>
    <row r="11960" spans="3:3" ht="13.5" customHeight="1">
      <c r="C11960" s="4" t="str">
        <f ca="1">IFERROR(__xludf.DUMMYFUNCTION("GOOGLETRANSLATE(D:D,""auto"",""en"")"),"#VALUE!")</f>
        <v>#VALUE!</v>
      </c>
    </row>
    <row r="11961" spans="3:3" ht="13.5" customHeight="1">
      <c r="C11961" s="4" t="str">
        <f ca="1">IFERROR(__xludf.DUMMYFUNCTION("GOOGLETRANSLATE(D:D,""auto"",""en"")"),"#VALUE!")</f>
        <v>#VALUE!</v>
      </c>
    </row>
    <row r="11962" spans="3:3" ht="13.5" customHeight="1">
      <c r="C11962" s="4" t="str">
        <f ca="1">IFERROR(__xludf.DUMMYFUNCTION("GOOGLETRANSLATE(D:D,""auto"",""en"")"),"#VALUE!")</f>
        <v>#VALUE!</v>
      </c>
    </row>
    <row r="11963" spans="3:3" ht="13.5" customHeight="1">
      <c r="C11963" s="4" t="str">
        <f ca="1">IFERROR(__xludf.DUMMYFUNCTION("GOOGLETRANSLATE(D:D,""auto"",""en"")"),"#VALUE!")</f>
        <v>#VALUE!</v>
      </c>
    </row>
    <row r="11964" spans="3:3" ht="13.5" customHeight="1">
      <c r="C11964" s="4" t="str">
        <f ca="1">IFERROR(__xludf.DUMMYFUNCTION("GOOGLETRANSLATE(D:D,""auto"",""en"")"),"#VALUE!")</f>
        <v>#VALUE!</v>
      </c>
    </row>
    <row r="11965" spans="3:3" ht="13.5" customHeight="1">
      <c r="C11965" s="4" t="str">
        <f ca="1">IFERROR(__xludf.DUMMYFUNCTION("GOOGLETRANSLATE(D:D,""auto"",""en"")"),"#VALUE!")</f>
        <v>#VALUE!</v>
      </c>
    </row>
    <row r="11966" spans="3:3" ht="13.5" customHeight="1">
      <c r="C11966" s="4" t="str">
        <f ca="1">IFERROR(__xludf.DUMMYFUNCTION("GOOGLETRANSLATE(D:D,""auto"",""en"")"),"#VALUE!")</f>
        <v>#VALUE!</v>
      </c>
    </row>
    <row r="11967" spans="3:3" ht="13.5" customHeight="1">
      <c r="C11967" s="4" t="str">
        <f ca="1">IFERROR(__xludf.DUMMYFUNCTION("GOOGLETRANSLATE(D:D,""auto"",""en"")"),"#VALUE!")</f>
        <v>#VALUE!</v>
      </c>
    </row>
    <row r="11968" spans="3:3" ht="13.5" customHeight="1">
      <c r="C11968" s="4" t="str">
        <f ca="1">IFERROR(__xludf.DUMMYFUNCTION("GOOGLETRANSLATE(D:D,""auto"",""en"")"),"#VALUE!")</f>
        <v>#VALUE!</v>
      </c>
    </row>
    <row r="11969" spans="3:3" ht="13.5" customHeight="1">
      <c r="C11969" s="4" t="str">
        <f ca="1">IFERROR(__xludf.DUMMYFUNCTION("GOOGLETRANSLATE(D:D,""auto"",""en"")"),"#VALUE!")</f>
        <v>#VALUE!</v>
      </c>
    </row>
    <row r="11970" spans="3:3" ht="13.5" customHeight="1">
      <c r="C11970" s="4" t="str">
        <f ca="1">IFERROR(__xludf.DUMMYFUNCTION("GOOGLETRANSLATE(D:D,""auto"",""en"")"),"#VALUE!")</f>
        <v>#VALUE!</v>
      </c>
    </row>
    <row r="11971" spans="3:3" ht="13.5" customHeight="1">
      <c r="C11971" s="4" t="str">
        <f ca="1">IFERROR(__xludf.DUMMYFUNCTION("GOOGLETRANSLATE(D:D,""auto"",""en"")"),"#VALUE!")</f>
        <v>#VALUE!</v>
      </c>
    </row>
    <row r="11972" spans="3:3" ht="13.5" customHeight="1">
      <c r="C11972" s="4" t="str">
        <f ca="1">IFERROR(__xludf.DUMMYFUNCTION("GOOGLETRANSLATE(D:D,""auto"",""en"")"),"#VALUE!")</f>
        <v>#VALUE!</v>
      </c>
    </row>
    <row r="11973" spans="3:3" ht="13.5" customHeight="1">
      <c r="C11973" s="4" t="str">
        <f ca="1">IFERROR(__xludf.DUMMYFUNCTION("GOOGLETRANSLATE(D:D,""auto"",""en"")"),"#VALUE!")</f>
        <v>#VALUE!</v>
      </c>
    </row>
    <row r="11974" spans="3:3" ht="13.5" customHeight="1">
      <c r="C11974" s="4" t="str">
        <f ca="1">IFERROR(__xludf.DUMMYFUNCTION("GOOGLETRANSLATE(D:D,""auto"",""en"")"),"#VALUE!")</f>
        <v>#VALUE!</v>
      </c>
    </row>
    <row r="11975" spans="3:3" ht="13.5" customHeight="1">
      <c r="C11975" s="4" t="str">
        <f ca="1">IFERROR(__xludf.DUMMYFUNCTION("GOOGLETRANSLATE(D:D,""auto"",""en"")"),"#VALUE!")</f>
        <v>#VALUE!</v>
      </c>
    </row>
    <row r="11976" spans="3:3" ht="13.5" customHeight="1">
      <c r="C11976" s="4" t="str">
        <f ca="1">IFERROR(__xludf.DUMMYFUNCTION("GOOGLETRANSLATE(D:D,""auto"",""en"")"),"#VALUE!")</f>
        <v>#VALUE!</v>
      </c>
    </row>
    <row r="11977" spans="3:3" ht="13.5" customHeight="1">
      <c r="C11977" s="4" t="str">
        <f ca="1">IFERROR(__xludf.DUMMYFUNCTION("GOOGLETRANSLATE(D:D,""auto"",""en"")"),"#VALUE!")</f>
        <v>#VALUE!</v>
      </c>
    </row>
    <row r="11978" spans="3:3" ht="13.5" customHeight="1">
      <c r="C11978" s="4" t="str">
        <f ca="1">IFERROR(__xludf.DUMMYFUNCTION("GOOGLETRANSLATE(D:D,""auto"",""en"")"),"#VALUE!")</f>
        <v>#VALUE!</v>
      </c>
    </row>
    <row r="11979" spans="3:3" ht="13.5" customHeight="1">
      <c r="C11979" s="4" t="str">
        <f ca="1">IFERROR(__xludf.DUMMYFUNCTION("GOOGLETRANSLATE(D:D,""auto"",""en"")"),"#VALUE!")</f>
        <v>#VALUE!</v>
      </c>
    </row>
    <row r="11980" spans="3:3" ht="13.5" customHeight="1">
      <c r="C11980" s="4" t="str">
        <f ca="1">IFERROR(__xludf.DUMMYFUNCTION("GOOGLETRANSLATE(D:D,""auto"",""en"")"),"#VALUE!")</f>
        <v>#VALUE!</v>
      </c>
    </row>
    <row r="11981" spans="3:3" ht="13.5" customHeight="1">
      <c r="C11981" s="4" t="str">
        <f ca="1">IFERROR(__xludf.DUMMYFUNCTION("GOOGLETRANSLATE(D:D,""auto"",""en"")"),"#VALUE!")</f>
        <v>#VALUE!</v>
      </c>
    </row>
    <row r="11982" spans="3:3" ht="13.5" customHeight="1">
      <c r="C11982" s="4" t="str">
        <f ca="1">IFERROR(__xludf.DUMMYFUNCTION("GOOGLETRANSLATE(D:D,""auto"",""en"")"),"#VALUE!")</f>
        <v>#VALUE!</v>
      </c>
    </row>
    <row r="11983" spans="3:3" ht="13.5" customHeight="1">
      <c r="C11983" s="4" t="str">
        <f ca="1">IFERROR(__xludf.DUMMYFUNCTION("GOOGLETRANSLATE(D:D,""auto"",""en"")"),"#VALUE!")</f>
        <v>#VALUE!</v>
      </c>
    </row>
    <row r="11984" spans="3:3" ht="13.5" customHeight="1">
      <c r="C11984" s="4" t="str">
        <f ca="1">IFERROR(__xludf.DUMMYFUNCTION("GOOGLETRANSLATE(D:D,""auto"",""en"")"),"#VALUE!")</f>
        <v>#VALUE!</v>
      </c>
    </row>
    <row r="11985" spans="3:3" ht="13.5" customHeight="1">
      <c r="C11985" s="4" t="str">
        <f ca="1">IFERROR(__xludf.DUMMYFUNCTION("GOOGLETRANSLATE(D:D,""auto"",""en"")"),"#VALUE!")</f>
        <v>#VALUE!</v>
      </c>
    </row>
    <row r="11986" spans="3:3" ht="13.5" customHeight="1">
      <c r="C11986" s="4" t="str">
        <f ca="1">IFERROR(__xludf.DUMMYFUNCTION("GOOGLETRANSLATE(D:D,""auto"",""en"")"),"#VALUE!")</f>
        <v>#VALUE!</v>
      </c>
    </row>
    <row r="11987" spans="3:3" ht="13.5" customHeight="1">
      <c r="C11987" s="4" t="str">
        <f ca="1">IFERROR(__xludf.DUMMYFUNCTION("GOOGLETRANSLATE(D:D,""auto"",""en"")"),"#VALUE!")</f>
        <v>#VALUE!</v>
      </c>
    </row>
    <row r="11988" spans="3:3" ht="13.5" customHeight="1">
      <c r="C11988" s="4" t="str">
        <f ca="1">IFERROR(__xludf.DUMMYFUNCTION("GOOGLETRANSLATE(D:D,""auto"",""en"")"),"#VALUE!")</f>
        <v>#VALUE!</v>
      </c>
    </row>
    <row r="11989" spans="3:3" ht="13.5" customHeight="1">
      <c r="C11989" s="4" t="str">
        <f ca="1">IFERROR(__xludf.DUMMYFUNCTION("GOOGLETRANSLATE(D:D,""auto"",""en"")"),"#VALUE!")</f>
        <v>#VALUE!</v>
      </c>
    </row>
    <row r="11990" spans="3:3" ht="13.5" customHeight="1">
      <c r="C11990" s="4" t="str">
        <f ca="1">IFERROR(__xludf.DUMMYFUNCTION("GOOGLETRANSLATE(D:D,""auto"",""en"")"),"#VALUE!")</f>
        <v>#VALUE!</v>
      </c>
    </row>
    <row r="11991" spans="3:3" ht="13.5" customHeight="1">
      <c r="C11991" s="4" t="str">
        <f ca="1">IFERROR(__xludf.DUMMYFUNCTION("GOOGLETRANSLATE(D:D,""auto"",""en"")"),"#VALUE!")</f>
        <v>#VALUE!</v>
      </c>
    </row>
    <row r="11992" spans="3:3" ht="13.5" customHeight="1">
      <c r="C11992" s="4" t="str">
        <f ca="1">IFERROR(__xludf.DUMMYFUNCTION("GOOGLETRANSLATE(D:D,""auto"",""en"")"),"#VALUE!")</f>
        <v>#VALUE!</v>
      </c>
    </row>
    <row r="11993" spans="3:3" ht="13.5" customHeight="1">
      <c r="C11993" s="4" t="str">
        <f ca="1">IFERROR(__xludf.DUMMYFUNCTION("GOOGLETRANSLATE(D:D,""auto"",""en"")"),"#VALUE!")</f>
        <v>#VALUE!</v>
      </c>
    </row>
    <row r="11994" spans="3:3" ht="13.5" customHeight="1">
      <c r="C11994" s="4" t="str">
        <f ca="1">IFERROR(__xludf.DUMMYFUNCTION("GOOGLETRANSLATE(D:D,""auto"",""en"")"),"#VALUE!")</f>
        <v>#VALUE!</v>
      </c>
    </row>
    <row r="11995" spans="3:3" ht="13.5" customHeight="1">
      <c r="C11995" s="4" t="str">
        <f ca="1">IFERROR(__xludf.DUMMYFUNCTION("GOOGLETRANSLATE(D:D,""auto"",""en"")"),"#VALUE!")</f>
        <v>#VALUE!</v>
      </c>
    </row>
    <row r="11996" spans="3:3" ht="13.5" customHeight="1">
      <c r="C11996" s="4" t="str">
        <f ca="1">IFERROR(__xludf.DUMMYFUNCTION("GOOGLETRANSLATE(D:D,""auto"",""en"")"),"#VALUE!")</f>
        <v>#VALUE!</v>
      </c>
    </row>
    <row r="11997" spans="3:3" ht="13.5" customHeight="1">
      <c r="C11997" s="4" t="str">
        <f ca="1">IFERROR(__xludf.DUMMYFUNCTION("GOOGLETRANSLATE(D:D,""auto"",""en"")"),"#VALUE!")</f>
        <v>#VALUE!</v>
      </c>
    </row>
    <row r="11998" spans="3:3" ht="13.5" customHeight="1">
      <c r="C11998" s="4" t="str">
        <f ca="1">IFERROR(__xludf.DUMMYFUNCTION("GOOGLETRANSLATE(D:D,""auto"",""en"")"),"#VALUE!")</f>
        <v>#VALUE!</v>
      </c>
    </row>
    <row r="11999" spans="3:3" ht="13.5" customHeight="1">
      <c r="C11999" s="4" t="str">
        <f ca="1">IFERROR(__xludf.DUMMYFUNCTION("GOOGLETRANSLATE(D:D,""auto"",""en"")"),"#VALUE!")</f>
        <v>#VALUE!</v>
      </c>
    </row>
    <row r="12000" spans="3:3" ht="13.5" customHeight="1">
      <c r="C12000" s="4" t="str">
        <f ca="1">IFERROR(__xludf.DUMMYFUNCTION("GOOGLETRANSLATE(D:D,""auto"",""en"")"),"#VALUE!")</f>
        <v>#VALUE!</v>
      </c>
    </row>
    <row r="12001" spans="3:3" ht="13.5" customHeight="1">
      <c r="C12001" s="4" t="str">
        <f ca="1">IFERROR(__xludf.DUMMYFUNCTION("GOOGLETRANSLATE(D:D,""auto"",""en"")"),"#VALUE!")</f>
        <v>#VALUE!</v>
      </c>
    </row>
    <row r="12002" spans="3:3" ht="13.5" customHeight="1">
      <c r="C12002" s="4" t="str">
        <f ca="1">IFERROR(__xludf.DUMMYFUNCTION("GOOGLETRANSLATE(D:D,""auto"",""en"")"),"#VALUE!")</f>
        <v>#VALUE!</v>
      </c>
    </row>
    <row r="12003" spans="3:3" ht="13.5" customHeight="1">
      <c r="C12003" s="4" t="str">
        <f ca="1">IFERROR(__xludf.DUMMYFUNCTION("GOOGLETRANSLATE(D:D,""auto"",""en"")"),"#VALUE!")</f>
        <v>#VALUE!</v>
      </c>
    </row>
    <row r="12004" spans="3:3" ht="13.5" customHeight="1">
      <c r="C12004" s="4" t="str">
        <f ca="1">IFERROR(__xludf.DUMMYFUNCTION("GOOGLETRANSLATE(D:D,""auto"",""en"")"),"#VALUE!")</f>
        <v>#VALUE!</v>
      </c>
    </row>
    <row r="12005" spans="3:3" ht="13.5" customHeight="1">
      <c r="C12005" s="4" t="str">
        <f ca="1">IFERROR(__xludf.DUMMYFUNCTION("GOOGLETRANSLATE(D:D,""auto"",""en"")"),"#VALUE!")</f>
        <v>#VALUE!</v>
      </c>
    </row>
    <row r="12006" spans="3:3" ht="13.5" customHeight="1">
      <c r="C12006" s="4" t="str">
        <f ca="1">IFERROR(__xludf.DUMMYFUNCTION("GOOGLETRANSLATE(D:D,""auto"",""en"")"),"#VALUE!")</f>
        <v>#VALUE!</v>
      </c>
    </row>
    <row r="12007" spans="3:3" ht="13.5" customHeight="1">
      <c r="C12007" s="4" t="str">
        <f ca="1">IFERROR(__xludf.DUMMYFUNCTION("GOOGLETRANSLATE(D:D,""auto"",""en"")"),"#VALUE!")</f>
        <v>#VALUE!</v>
      </c>
    </row>
    <row r="12008" spans="3:3" ht="13.5" customHeight="1">
      <c r="C12008" s="4" t="str">
        <f ca="1">IFERROR(__xludf.DUMMYFUNCTION("GOOGLETRANSLATE(D:D,""auto"",""en"")"),"#VALUE!")</f>
        <v>#VALUE!</v>
      </c>
    </row>
    <row r="12009" spans="3:3" ht="13.5" customHeight="1">
      <c r="C12009" s="4" t="str">
        <f ca="1">IFERROR(__xludf.DUMMYFUNCTION("GOOGLETRANSLATE(D:D,""auto"",""en"")"),"#VALUE!")</f>
        <v>#VALUE!</v>
      </c>
    </row>
    <row r="12010" spans="3:3" ht="13.5" customHeight="1">
      <c r="C12010" s="4" t="str">
        <f ca="1">IFERROR(__xludf.DUMMYFUNCTION("GOOGLETRANSLATE(D:D,""auto"",""en"")"),"#VALUE!")</f>
        <v>#VALUE!</v>
      </c>
    </row>
    <row r="12011" spans="3:3" ht="13.5" customHeight="1">
      <c r="C12011" s="4" t="str">
        <f ca="1">IFERROR(__xludf.DUMMYFUNCTION("GOOGLETRANSLATE(D:D,""auto"",""en"")"),"#VALUE!")</f>
        <v>#VALUE!</v>
      </c>
    </row>
    <row r="12012" spans="3:3" ht="13.5" customHeight="1">
      <c r="C12012" s="4" t="str">
        <f ca="1">IFERROR(__xludf.DUMMYFUNCTION("GOOGLETRANSLATE(D:D,""auto"",""en"")"),"#VALUE!")</f>
        <v>#VALUE!</v>
      </c>
    </row>
    <row r="12013" spans="3:3" ht="13.5" customHeight="1">
      <c r="C12013" s="4" t="str">
        <f ca="1">IFERROR(__xludf.DUMMYFUNCTION("GOOGLETRANSLATE(D:D,""auto"",""en"")"),"#VALUE!")</f>
        <v>#VALUE!</v>
      </c>
    </row>
    <row r="12014" spans="3:3" ht="13.5" customHeight="1">
      <c r="C12014" s="4" t="str">
        <f ca="1">IFERROR(__xludf.DUMMYFUNCTION("GOOGLETRANSLATE(D:D,""auto"",""en"")"),"#VALUE!")</f>
        <v>#VALUE!</v>
      </c>
    </row>
    <row r="12015" spans="3:3" ht="13.5" customHeight="1">
      <c r="C12015" s="4" t="str">
        <f ca="1">IFERROR(__xludf.DUMMYFUNCTION("GOOGLETRANSLATE(D:D,""auto"",""en"")"),"#VALUE!")</f>
        <v>#VALUE!</v>
      </c>
    </row>
    <row r="12016" spans="3:3" ht="13.5" customHeight="1">
      <c r="C12016" s="4" t="str">
        <f ca="1">IFERROR(__xludf.DUMMYFUNCTION("GOOGLETRANSLATE(D:D,""auto"",""en"")"),"#VALUE!")</f>
        <v>#VALUE!</v>
      </c>
    </row>
    <row r="12017" spans="3:3" ht="13.5" customHeight="1">
      <c r="C12017" s="4" t="str">
        <f ca="1">IFERROR(__xludf.DUMMYFUNCTION("GOOGLETRANSLATE(D:D,""auto"",""en"")"),"#VALUE!")</f>
        <v>#VALUE!</v>
      </c>
    </row>
    <row r="12018" spans="3:3" ht="13.5" customHeight="1">
      <c r="C12018" s="4" t="str">
        <f ca="1">IFERROR(__xludf.DUMMYFUNCTION("GOOGLETRANSLATE(D:D,""auto"",""en"")"),"#VALUE!")</f>
        <v>#VALUE!</v>
      </c>
    </row>
    <row r="12019" spans="3:3" ht="13.5" customHeight="1">
      <c r="C12019" s="4" t="str">
        <f ca="1">IFERROR(__xludf.DUMMYFUNCTION("GOOGLETRANSLATE(D:D,""auto"",""en"")"),"#VALUE!")</f>
        <v>#VALUE!</v>
      </c>
    </row>
    <row r="12020" spans="3:3" ht="13.5" customHeight="1">
      <c r="C12020" s="4" t="str">
        <f ca="1">IFERROR(__xludf.DUMMYFUNCTION("GOOGLETRANSLATE(D:D,""auto"",""en"")"),"#VALUE!")</f>
        <v>#VALUE!</v>
      </c>
    </row>
    <row r="12021" spans="3:3" ht="13.5" customHeight="1">
      <c r="C12021" s="4" t="str">
        <f ca="1">IFERROR(__xludf.DUMMYFUNCTION("GOOGLETRANSLATE(D:D,""auto"",""en"")"),"#VALUE!")</f>
        <v>#VALUE!</v>
      </c>
    </row>
    <row r="12022" spans="3:3" ht="13.5" customHeight="1">
      <c r="C12022" s="4" t="str">
        <f ca="1">IFERROR(__xludf.DUMMYFUNCTION("GOOGLETRANSLATE(D:D,""auto"",""en"")"),"#VALUE!")</f>
        <v>#VALUE!</v>
      </c>
    </row>
    <row r="12023" spans="3:3" ht="13.5" customHeight="1">
      <c r="C12023" s="4" t="str">
        <f ca="1">IFERROR(__xludf.DUMMYFUNCTION("GOOGLETRANSLATE(D:D,""auto"",""en"")"),"#VALUE!")</f>
        <v>#VALUE!</v>
      </c>
    </row>
    <row r="12024" spans="3:3" ht="13.5" customHeight="1">
      <c r="C12024" s="4" t="str">
        <f ca="1">IFERROR(__xludf.DUMMYFUNCTION("GOOGLETRANSLATE(D:D,""auto"",""en"")"),"#VALUE!")</f>
        <v>#VALUE!</v>
      </c>
    </row>
    <row r="12025" spans="3:3" ht="13.5" customHeight="1">
      <c r="C12025" s="4" t="str">
        <f ca="1">IFERROR(__xludf.DUMMYFUNCTION("GOOGLETRANSLATE(D:D,""auto"",""en"")"),"#VALUE!")</f>
        <v>#VALUE!</v>
      </c>
    </row>
    <row r="12026" spans="3:3" ht="13.5" customHeight="1">
      <c r="C12026" s="4" t="str">
        <f ca="1">IFERROR(__xludf.DUMMYFUNCTION("GOOGLETRANSLATE(D:D,""auto"",""en"")"),"#VALUE!")</f>
        <v>#VALUE!</v>
      </c>
    </row>
    <row r="12027" spans="3:3" ht="13.5" customHeight="1">
      <c r="C12027" s="4" t="str">
        <f ca="1">IFERROR(__xludf.DUMMYFUNCTION("GOOGLETRANSLATE(D:D,""auto"",""en"")"),"#VALUE!")</f>
        <v>#VALUE!</v>
      </c>
    </row>
    <row r="12028" spans="3:3" ht="13.5" customHeight="1">
      <c r="C12028" s="4" t="str">
        <f ca="1">IFERROR(__xludf.DUMMYFUNCTION("GOOGLETRANSLATE(D:D,""auto"",""en"")"),"#VALUE!")</f>
        <v>#VALUE!</v>
      </c>
    </row>
    <row r="12029" spans="3:3" ht="13.5" customHeight="1">
      <c r="C12029" s="4" t="str">
        <f ca="1">IFERROR(__xludf.DUMMYFUNCTION("GOOGLETRANSLATE(D:D,""auto"",""en"")"),"#VALUE!")</f>
        <v>#VALUE!</v>
      </c>
    </row>
    <row r="12030" spans="3:3" ht="13.5" customHeight="1">
      <c r="C12030" s="4" t="str">
        <f ca="1">IFERROR(__xludf.DUMMYFUNCTION("GOOGLETRANSLATE(D:D,""auto"",""en"")"),"#VALUE!")</f>
        <v>#VALUE!</v>
      </c>
    </row>
    <row r="12031" spans="3:3" ht="13.5" customHeight="1">
      <c r="C12031" s="4" t="str">
        <f ca="1">IFERROR(__xludf.DUMMYFUNCTION("GOOGLETRANSLATE(D:D,""auto"",""en"")"),"#VALUE!")</f>
        <v>#VALUE!</v>
      </c>
    </row>
    <row r="12032" spans="3:3" ht="13.5" customHeight="1">
      <c r="C12032" s="4" t="str">
        <f ca="1">IFERROR(__xludf.DUMMYFUNCTION("GOOGLETRANSLATE(D:D,""auto"",""en"")"),"#VALUE!")</f>
        <v>#VALUE!</v>
      </c>
    </row>
    <row r="12033" spans="3:3" ht="13.5" customHeight="1">
      <c r="C12033" s="4" t="str">
        <f ca="1">IFERROR(__xludf.DUMMYFUNCTION("GOOGLETRANSLATE(D:D,""auto"",""en"")"),"#VALUE!")</f>
        <v>#VALUE!</v>
      </c>
    </row>
    <row r="12034" spans="3:3" ht="13.5" customHeight="1">
      <c r="C12034" s="4" t="str">
        <f ca="1">IFERROR(__xludf.DUMMYFUNCTION("GOOGLETRANSLATE(D:D,""auto"",""en"")"),"#VALUE!")</f>
        <v>#VALUE!</v>
      </c>
    </row>
    <row r="12035" spans="3:3" ht="13.5" customHeight="1">
      <c r="C12035" s="4" t="str">
        <f ca="1">IFERROR(__xludf.DUMMYFUNCTION("GOOGLETRANSLATE(D:D,""auto"",""en"")"),"#VALUE!")</f>
        <v>#VALUE!</v>
      </c>
    </row>
    <row r="12036" spans="3:3" ht="13.5" customHeight="1">
      <c r="C12036" s="4" t="str">
        <f ca="1">IFERROR(__xludf.DUMMYFUNCTION("GOOGLETRANSLATE(D:D,""auto"",""en"")"),"#VALUE!")</f>
        <v>#VALUE!</v>
      </c>
    </row>
    <row r="12037" spans="3:3" ht="13.5" customHeight="1">
      <c r="C12037" s="4" t="str">
        <f ca="1">IFERROR(__xludf.DUMMYFUNCTION("GOOGLETRANSLATE(D:D,""auto"",""en"")"),"#VALUE!")</f>
        <v>#VALUE!</v>
      </c>
    </row>
    <row r="12038" spans="3:3" ht="13.5" customHeight="1">
      <c r="C12038" s="4" t="str">
        <f ca="1">IFERROR(__xludf.DUMMYFUNCTION("GOOGLETRANSLATE(D:D,""auto"",""en"")"),"#VALUE!")</f>
        <v>#VALUE!</v>
      </c>
    </row>
    <row r="12039" spans="3:3" ht="13.5" customHeight="1">
      <c r="C12039" s="4" t="str">
        <f ca="1">IFERROR(__xludf.DUMMYFUNCTION("GOOGLETRANSLATE(D:D,""auto"",""en"")"),"#VALUE!")</f>
        <v>#VALUE!</v>
      </c>
    </row>
    <row r="12040" spans="3:3" ht="13.5" customHeight="1">
      <c r="C12040" s="4" t="str">
        <f ca="1">IFERROR(__xludf.DUMMYFUNCTION("GOOGLETRANSLATE(D:D,""auto"",""en"")"),"#VALUE!")</f>
        <v>#VALUE!</v>
      </c>
    </row>
    <row r="12041" spans="3:3" ht="13.5" customHeight="1">
      <c r="C12041" s="4" t="str">
        <f ca="1">IFERROR(__xludf.DUMMYFUNCTION("GOOGLETRANSLATE(D:D,""auto"",""en"")"),"#VALUE!")</f>
        <v>#VALUE!</v>
      </c>
    </row>
    <row r="12042" spans="3:3" ht="13.5" customHeight="1">
      <c r="C12042" s="4" t="str">
        <f ca="1">IFERROR(__xludf.DUMMYFUNCTION("GOOGLETRANSLATE(D:D,""auto"",""en"")"),"#VALUE!")</f>
        <v>#VALUE!</v>
      </c>
    </row>
    <row r="12043" spans="3:3" ht="13.5" customHeight="1">
      <c r="C12043" s="4" t="str">
        <f ca="1">IFERROR(__xludf.DUMMYFUNCTION("GOOGLETRANSLATE(D:D,""auto"",""en"")"),"#VALUE!")</f>
        <v>#VALUE!</v>
      </c>
    </row>
    <row r="12044" spans="3:3" ht="13.5" customHeight="1">
      <c r="C12044" s="4" t="str">
        <f ca="1">IFERROR(__xludf.DUMMYFUNCTION("GOOGLETRANSLATE(D:D,""auto"",""en"")"),"#VALUE!")</f>
        <v>#VALUE!</v>
      </c>
    </row>
    <row r="12045" spans="3:3" ht="13.5" customHeight="1">
      <c r="C12045" s="4" t="str">
        <f ca="1">IFERROR(__xludf.DUMMYFUNCTION("GOOGLETRANSLATE(D:D,""auto"",""en"")"),"#VALUE!")</f>
        <v>#VALUE!</v>
      </c>
    </row>
    <row r="12046" spans="3:3" ht="13.5" customHeight="1">
      <c r="C12046" s="4" t="str">
        <f ca="1">IFERROR(__xludf.DUMMYFUNCTION("GOOGLETRANSLATE(D:D,""auto"",""en"")"),"#VALUE!")</f>
        <v>#VALUE!</v>
      </c>
    </row>
    <row r="12047" spans="3:3" ht="13.5" customHeight="1">
      <c r="C12047" s="4" t="str">
        <f ca="1">IFERROR(__xludf.DUMMYFUNCTION("GOOGLETRANSLATE(D:D,""auto"",""en"")"),"#VALUE!")</f>
        <v>#VALUE!</v>
      </c>
    </row>
    <row r="12048" spans="3:3" ht="13.5" customHeight="1">
      <c r="C12048" s="4" t="str">
        <f ca="1">IFERROR(__xludf.DUMMYFUNCTION("GOOGLETRANSLATE(D:D,""auto"",""en"")"),"#VALUE!")</f>
        <v>#VALUE!</v>
      </c>
    </row>
    <row r="12049" spans="3:3" ht="13.5" customHeight="1">
      <c r="C12049" s="4" t="str">
        <f ca="1">IFERROR(__xludf.DUMMYFUNCTION("GOOGLETRANSLATE(D:D,""auto"",""en"")"),"#VALUE!")</f>
        <v>#VALUE!</v>
      </c>
    </row>
    <row r="12050" spans="3:3" ht="13.5" customHeight="1">
      <c r="C12050" s="4" t="str">
        <f ca="1">IFERROR(__xludf.DUMMYFUNCTION("GOOGLETRANSLATE(D:D,""auto"",""en"")"),"#VALUE!")</f>
        <v>#VALUE!</v>
      </c>
    </row>
    <row r="12051" spans="3:3" ht="13.5" customHeight="1">
      <c r="C12051" s="4" t="str">
        <f ca="1">IFERROR(__xludf.DUMMYFUNCTION("GOOGLETRANSLATE(D:D,""auto"",""en"")"),"#VALUE!")</f>
        <v>#VALUE!</v>
      </c>
    </row>
    <row r="12052" spans="3:3" ht="13.5" customHeight="1">
      <c r="C12052" s="4" t="str">
        <f ca="1">IFERROR(__xludf.DUMMYFUNCTION("GOOGLETRANSLATE(D:D,""auto"",""en"")"),"#VALUE!")</f>
        <v>#VALUE!</v>
      </c>
    </row>
    <row r="12053" spans="3:3" ht="13.5" customHeight="1">
      <c r="C12053" s="4" t="str">
        <f ca="1">IFERROR(__xludf.DUMMYFUNCTION("GOOGLETRANSLATE(D:D,""auto"",""en"")"),"#VALUE!")</f>
        <v>#VALUE!</v>
      </c>
    </row>
    <row r="12054" spans="3:3" ht="13.5" customHeight="1">
      <c r="C12054" s="4" t="str">
        <f ca="1">IFERROR(__xludf.DUMMYFUNCTION("GOOGLETRANSLATE(D:D,""auto"",""en"")"),"#VALUE!")</f>
        <v>#VALUE!</v>
      </c>
    </row>
    <row r="12055" spans="3:3" ht="13.5" customHeight="1">
      <c r="C12055" s="4" t="str">
        <f ca="1">IFERROR(__xludf.DUMMYFUNCTION("GOOGLETRANSLATE(D:D,""auto"",""en"")"),"#VALUE!")</f>
        <v>#VALUE!</v>
      </c>
    </row>
    <row r="12056" spans="3:3" ht="13.5" customHeight="1">
      <c r="C12056" s="4" t="str">
        <f ca="1">IFERROR(__xludf.DUMMYFUNCTION("GOOGLETRANSLATE(D:D,""auto"",""en"")"),"#VALUE!")</f>
        <v>#VALUE!</v>
      </c>
    </row>
    <row r="12057" spans="3:3" ht="13.5" customHeight="1">
      <c r="C12057" s="4" t="str">
        <f ca="1">IFERROR(__xludf.DUMMYFUNCTION("GOOGLETRANSLATE(D:D,""auto"",""en"")"),"#VALUE!")</f>
        <v>#VALUE!</v>
      </c>
    </row>
    <row r="12058" spans="3:3" ht="13.5" customHeight="1">
      <c r="C12058" s="4" t="str">
        <f ca="1">IFERROR(__xludf.DUMMYFUNCTION("GOOGLETRANSLATE(D:D,""auto"",""en"")"),"#VALUE!")</f>
        <v>#VALUE!</v>
      </c>
    </row>
    <row r="12059" spans="3:3" ht="13.5" customHeight="1">
      <c r="C12059" s="4" t="str">
        <f ca="1">IFERROR(__xludf.DUMMYFUNCTION("GOOGLETRANSLATE(D:D,""auto"",""en"")"),"#VALUE!")</f>
        <v>#VALUE!</v>
      </c>
    </row>
    <row r="12060" spans="3:3" ht="13.5" customHeight="1">
      <c r="C12060" s="4" t="str">
        <f ca="1">IFERROR(__xludf.DUMMYFUNCTION("GOOGLETRANSLATE(D:D,""auto"",""en"")"),"#VALUE!")</f>
        <v>#VALUE!</v>
      </c>
    </row>
    <row r="12061" spans="3:3" ht="13.5" customHeight="1">
      <c r="C12061" s="4" t="str">
        <f ca="1">IFERROR(__xludf.DUMMYFUNCTION("GOOGLETRANSLATE(D:D,""auto"",""en"")"),"#VALUE!")</f>
        <v>#VALUE!</v>
      </c>
    </row>
    <row r="12062" spans="3:3" ht="13.5" customHeight="1">
      <c r="C12062" s="4" t="str">
        <f ca="1">IFERROR(__xludf.DUMMYFUNCTION("GOOGLETRANSLATE(D:D,""auto"",""en"")"),"#VALUE!")</f>
        <v>#VALUE!</v>
      </c>
    </row>
    <row r="12063" spans="3:3" ht="13.5" customHeight="1">
      <c r="C12063" s="4" t="str">
        <f ca="1">IFERROR(__xludf.DUMMYFUNCTION("GOOGLETRANSLATE(D:D,""auto"",""en"")"),"#VALUE!")</f>
        <v>#VALUE!</v>
      </c>
    </row>
    <row r="12064" spans="3:3" ht="13.5" customHeight="1">
      <c r="C12064" s="4" t="str">
        <f ca="1">IFERROR(__xludf.DUMMYFUNCTION("GOOGLETRANSLATE(D:D,""auto"",""en"")"),"#VALUE!")</f>
        <v>#VALUE!</v>
      </c>
    </row>
    <row r="12065" spans="3:3" ht="13.5" customHeight="1">
      <c r="C12065" s="4" t="str">
        <f ca="1">IFERROR(__xludf.DUMMYFUNCTION("GOOGLETRANSLATE(D:D,""auto"",""en"")"),"#VALUE!")</f>
        <v>#VALUE!</v>
      </c>
    </row>
    <row r="12066" spans="3:3" ht="13.5" customHeight="1">
      <c r="C12066" s="4" t="str">
        <f ca="1">IFERROR(__xludf.DUMMYFUNCTION("GOOGLETRANSLATE(D:D,""auto"",""en"")"),"#VALUE!")</f>
        <v>#VALUE!</v>
      </c>
    </row>
    <row r="12067" spans="3:3" ht="13.5" customHeight="1">
      <c r="C12067" s="4" t="str">
        <f ca="1">IFERROR(__xludf.DUMMYFUNCTION("GOOGLETRANSLATE(D:D,""auto"",""en"")"),"#VALUE!")</f>
        <v>#VALUE!</v>
      </c>
    </row>
    <row r="12068" spans="3:3" ht="13.5" customHeight="1">
      <c r="C12068" s="4" t="str">
        <f ca="1">IFERROR(__xludf.DUMMYFUNCTION("GOOGLETRANSLATE(D:D,""auto"",""en"")"),"#VALUE!")</f>
        <v>#VALUE!</v>
      </c>
    </row>
    <row r="12069" spans="3:3" ht="13.5" customHeight="1">
      <c r="C12069" s="4" t="str">
        <f ca="1">IFERROR(__xludf.DUMMYFUNCTION("GOOGLETRANSLATE(D:D,""auto"",""en"")"),"#VALUE!")</f>
        <v>#VALUE!</v>
      </c>
    </row>
    <row r="12070" spans="3:3" ht="13.5" customHeight="1">
      <c r="C12070" s="4" t="str">
        <f ca="1">IFERROR(__xludf.DUMMYFUNCTION("GOOGLETRANSLATE(D:D,""auto"",""en"")"),"#VALUE!")</f>
        <v>#VALUE!</v>
      </c>
    </row>
    <row r="12071" spans="3:3" ht="13.5" customHeight="1">
      <c r="C12071" s="4" t="str">
        <f ca="1">IFERROR(__xludf.DUMMYFUNCTION("GOOGLETRANSLATE(D:D,""auto"",""en"")"),"#VALUE!")</f>
        <v>#VALUE!</v>
      </c>
    </row>
    <row r="12072" spans="3:3" ht="13.5" customHeight="1">
      <c r="C12072" s="4" t="str">
        <f ca="1">IFERROR(__xludf.DUMMYFUNCTION("GOOGLETRANSLATE(D:D,""auto"",""en"")"),"#VALUE!")</f>
        <v>#VALUE!</v>
      </c>
    </row>
    <row r="12073" spans="3:3" ht="13.5" customHeight="1">
      <c r="C12073" s="4" t="str">
        <f ca="1">IFERROR(__xludf.DUMMYFUNCTION("GOOGLETRANSLATE(D:D,""auto"",""en"")"),"#VALUE!")</f>
        <v>#VALUE!</v>
      </c>
    </row>
    <row r="12074" spans="3:3" ht="13.5" customHeight="1">
      <c r="C12074" s="4" t="str">
        <f ca="1">IFERROR(__xludf.DUMMYFUNCTION("GOOGLETRANSLATE(D:D,""auto"",""en"")"),"#VALUE!")</f>
        <v>#VALUE!</v>
      </c>
    </row>
    <row r="12075" spans="3:3" ht="13.5" customHeight="1">
      <c r="C12075" s="4" t="str">
        <f ca="1">IFERROR(__xludf.DUMMYFUNCTION("GOOGLETRANSLATE(D:D,""auto"",""en"")"),"#VALUE!")</f>
        <v>#VALUE!</v>
      </c>
    </row>
    <row r="12076" spans="3:3" ht="13.5" customHeight="1">
      <c r="C12076" s="4" t="str">
        <f ca="1">IFERROR(__xludf.DUMMYFUNCTION("GOOGLETRANSLATE(D:D,""auto"",""en"")"),"#VALUE!")</f>
        <v>#VALUE!</v>
      </c>
    </row>
    <row r="12077" spans="3:3" ht="13.5" customHeight="1">
      <c r="C12077" s="4" t="str">
        <f ca="1">IFERROR(__xludf.DUMMYFUNCTION("GOOGLETRANSLATE(D:D,""auto"",""en"")"),"#VALUE!")</f>
        <v>#VALUE!</v>
      </c>
    </row>
    <row r="12078" spans="3:3" ht="13.5" customHeight="1">
      <c r="C12078" s="4" t="str">
        <f ca="1">IFERROR(__xludf.DUMMYFUNCTION("GOOGLETRANSLATE(D:D,""auto"",""en"")"),"#VALUE!")</f>
        <v>#VALUE!</v>
      </c>
    </row>
    <row r="12079" spans="3:3" ht="13.5" customHeight="1">
      <c r="C12079" s="4" t="str">
        <f ca="1">IFERROR(__xludf.DUMMYFUNCTION("GOOGLETRANSLATE(D:D,""auto"",""en"")"),"#VALUE!")</f>
        <v>#VALUE!</v>
      </c>
    </row>
    <row r="12080" spans="3:3" ht="13.5" customHeight="1">
      <c r="C12080" s="4" t="str">
        <f ca="1">IFERROR(__xludf.DUMMYFUNCTION("GOOGLETRANSLATE(D:D,""auto"",""en"")"),"#VALUE!")</f>
        <v>#VALUE!</v>
      </c>
    </row>
    <row r="12081" spans="3:3" ht="13.5" customHeight="1">
      <c r="C12081" s="4" t="str">
        <f ca="1">IFERROR(__xludf.DUMMYFUNCTION("GOOGLETRANSLATE(D:D,""auto"",""en"")"),"#VALUE!")</f>
        <v>#VALUE!</v>
      </c>
    </row>
    <row r="12082" spans="3:3" ht="13.5" customHeight="1">
      <c r="C12082" s="4" t="str">
        <f ca="1">IFERROR(__xludf.DUMMYFUNCTION("GOOGLETRANSLATE(D:D,""auto"",""en"")"),"#VALUE!")</f>
        <v>#VALUE!</v>
      </c>
    </row>
    <row r="12083" spans="3:3" ht="13.5" customHeight="1">
      <c r="C12083" s="4" t="str">
        <f ca="1">IFERROR(__xludf.DUMMYFUNCTION("GOOGLETRANSLATE(D:D,""auto"",""en"")"),"#VALUE!")</f>
        <v>#VALUE!</v>
      </c>
    </row>
    <row r="12084" spans="3:3" ht="13.5" customHeight="1">
      <c r="C12084" s="4" t="str">
        <f ca="1">IFERROR(__xludf.DUMMYFUNCTION("GOOGLETRANSLATE(D:D,""auto"",""en"")"),"#VALUE!")</f>
        <v>#VALUE!</v>
      </c>
    </row>
    <row r="12085" spans="3:3" ht="13.5" customHeight="1">
      <c r="C12085" s="4" t="str">
        <f ca="1">IFERROR(__xludf.DUMMYFUNCTION("GOOGLETRANSLATE(D:D,""auto"",""en"")"),"#VALUE!")</f>
        <v>#VALUE!</v>
      </c>
    </row>
    <row r="12086" spans="3:3" ht="13.5" customHeight="1">
      <c r="C12086" s="4" t="str">
        <f ca="1">IFERROR(__xludf.DUMMYFUNCTION("GOOGLETRANSLATE(D:D,""auto"",""en"")"),"#VALUE!")</f>
        <v>#VALUE!</v>
      </c>
    </row>
    <row r="12087" spans="3:3" ht="13.5" customHeight="1">
      <c r="C12087" s="4" t="str">
        <f ca="1">IFERROR(__xludf.DUMMYFUNCTION("GOOGLETRANSLATE(D:D,""auto"",""en"")"),"#VALUE!")</f>
        <v>#VALUE!</v>
      </c>
    </row>
    <row r="12088" spans="3:3" ht="13.5" customHeight="1">
      <c r="C12088" s="4" t="str">
        <f ca="1">IFERROR(__xludf.DUMMYFUNCTION("GOOGLETRANSLATE(D:D,""auto"",""en"")"),"#VALUE!")</f>
        <v>#VALUE!</v>
      </c>
    </row>
    <row r="12089" spans="3:3" ht="13.5" customHeight="1">
      <c r="C12089" s="4" t="str">
        <f ca="1">IFERROR(__xludf.DUMMYFUNCTION("GOOGLETRANSLATE(D:D,""auto"",""en"")"),"#VALUE!")</f>
        <v>#VALUE!</v>
      </c>
    </row>
    <row r="12090" spans="3:3" ht="13.5" customHeight="1">
      <c r="C12090" s="4" t="str">
        <f ca="1">IFERROR(__xludf.DUMMYFUNCTION("GOOGLETRANSLATE(D:D,""auto"",""en"")"),"#VALUE!")</f>
        <v>#VALUE!</v>
      </c>
    </row>
    <row r="12091" spans="3:3" ht="13.5" customHeight="1">
      <c r="C12091" s="4" t="str">
        <f ca="1">IFERROR(__xludf.DUMMYFUNCTION("GOOGLETRANSLATE(D:D,""auto"",""en"")"),"#VALUE!")</f>
        <v>#VALUE!</v>
      </c>
    </row>
    <row r="12092" spans="3:3" ht="13.5" customHeight="1">
      <c r="C12092" s="4" t="str">
        <f ca="1">IFERROR(__xludf.DUMMYFUNCTION("GOOGLETRANSLATE(D:D,""auto"",""en"")"),"#VALUE!")</f>
        <v>#VALUE!</v>
      </c>
    </row>
    <row r="12093" spans="3:3" ht="13.5" customHeight="1">
      <c r="C12093" s="4" t="str">
        <f ca="1">IFERROR(__xludf.DUMMYFUNCTION("GOOGLETRANSLATE(D:D,""auto"",""en"")"),"#VALUE!")</f>
        <v>#VALUE!</v>
      </c>
    </row>
    <row r="12094" spans="3:3" ht="13.5" customHeight="1">
      <c r="C12094" s="4" t="str">
        <f ca="1">IFERROR(__xludf.DUMMYFUNCTION("GOOGLETRANSLATE(D:D,""auto"",""en"")"),"#VALUE!")</f>
        <v>#VALUE!</v>
      </c>
    </row>
    <row r="12095" spans="3:3" ht="13.5" customHeight="1">
      <c r="C12095" s="4" t="str">
        <f ca="1">IFERROR(__xludf.DUMMYFUNCTION("GOOGLETRANSLATE(D:D,""auto"",""en"")"),"#VALUE!")</f>
        <v>#VALUE!</v>
      </c>
    </row>
    <row r="12096" spans="3:3" ht="13.5" customHeight="1">
      <c r="C12096" s="4" t="str">
        <f ca="1">IFERROR(__xludf.DUMMYFUNCTION("GOOGLETRANSLATE(D:D,""auto"",""en"")"),"#VALUE!")</f>
        <v>#VALUE!</v>
      </c>
    </row>
    <row r="12097" spans="3:3" ht="13.5" customHeight="1">
      <c r="C12097" s="4" t="str">
        <f ca="1">IFERROR(__xludf.DUMMYFUNCTION("GOOGLETRANSLATE(D:D,""auto"",""en"")"),"#VALUE!")</f>
        <v>#VALUE!</v>
      </c>
    </row>
    <row r="12098" spans="3:3" ht="13.5" customHeight="1">
      <c r="C12098" s="4" t="str">
        <f ca="1">IFERROR(__xludf.DUMMYFUNCTION("GOOGLETRANSLATE(D:D,""auto"",""en"")"),"#VALUE!")</f>
        <v>#VALUE!</v>
      </c>
    </row>
    <row r="12099" spans="3:3" ht="13.5" customHeight="1">
      <c r="C12099" s="4" t="str">
        <f ca="1">IFERROR(__xludf.DUMMYFUNCTION("GOOGLETRANSLATE(D:D,""auto"",""en"")"),"#VALUE!")</f>
        <v>#VALUE!</v>
      </c>
    </row>
    <row r="12100" spans="3:3" ht="13.5" customHeight="1">
      <c r="C12100" s="4" t="str">
        <f ca="1">IFERROR(__xludf.DUMMYFUNCTION("GOOGLETRANSLATE(D:D,""auto"",""en"")"),"#VALUE!")</f>
        <v>#VALUE!</v>
      </c>
    </row>
    <row r="12101" spans="3:3" ht="13.5" customHeight="1">
      <c r="C12101" s="4" t="str">
        <f ca="1">IFERROR(__xludf.DUMMYFUNCTION("GOOGLETRANSLATE(D:D,""auto"",""en"")"),"#VALUE!")</f>
        <v>#VALUE!</v>
      </c>
    </row>
    <row r="12102" spans="3:3" ht="13.5" customHeight="1">
      <c r="C12102" s="4" t="str">
        <f ca="1">IFERROR(__xludf.DUMMYFUNCTION("GOOGLETRANSLATE(D:D,""auto"",""en"")"),"#VALUE!")</f>
        <v>#VALUE!</v>
      </c>
    </row>
    <row r="12103" spans="3:3" ht="13.5" customHeight="1">
      <c r="C12103" s="4" t="str">
        <f ca="1">IFERROR(__xludf.DUMMYFUNCTION("GOOGLETRANSLATE(D:D,""auto"",""en"")"),"#VALUE!")</f>
        <v>#VALUE!</v>
      </c>
    </row>
    <row r="12104" spans="3:3" ht="13.5" customHeight="1">
      <c r="C12104" s="4" t="str">
        <f ca="1">IFERROR(__xludf.DUMMYFUNCTION("GOOGLETRANSLATE(D:D,""auto"",""en"")"),"#VALUE!")</f>
        <v>#VALUE!</v>
      </c>
    </row>
    <row r="12105" spans="3:3" ht="13.5" customHeight="1">
      <c r="C12105" s="4" t="str">
        <f ca="1">IFERROR(__xludf.DUMMYFUNCTION("GOOGLETRANSLATE(D:D,""auto"",""en"")"),"#VALUE!")</f>
        <v>#VALUE!</v>
      </c>
    </row>
    <row r="12106" spans="3:3" ht="13.5" customHeight="1">
      <c r="C12106" s="4" t="str">
        <f ca="1">IFERROR(__xludf.DUMMYFUNCTION("GOOGLETRANSLATE(D:D,""auto"",""en"")"),"#VALUE!")</f>
        <v>#VALUE!</v>
      </c>
    </row>
    <row r="12107" spans="3:3" ht="13.5" customHeight="1">
      <c r="C12107" s="4" t="str">
        <f ca="1">IFERROR(__xludf.DUMMYFUNCTION("GOOGLETRANSLATE(D:D,""auto"",""en"")"),"#VALUE!")</f>
        <v>#VALUE!</v>
      </c>
    </row>
    <row r="12108" spans="3:3" ht="13.5" customHeight="1">
      <c r="C12108" s="4" t="str">
        <f ca="1">IFERROR(__xludf.DUMMYFUNCTION("GOOGLETRANSLATE(D:D,""auto"",""en"")"),"#VALUE!")</f>
        <v>#VALUE!</v>
      </c>
    </row>
    <row r="12109" spans="3:3" ht="13.5" customHeight="1">
      <c r="C12109" s="4" t="str">
        <f ca="1">IFERROR(__xludf.DUMMYFUNCTION("GOOGLETRANSLATE(D:D,""auto"",""en"")"),"#VALUE!")</f>
        <v>#VALUE!</v>
      </c>
    </row>
    <row r="12110" spans="3:3" ht="13.5" customHeight="1">
      <c r="C12110" s="4" t="str">
        <f ca="1">IFERROR(__xludf.DUMMYFUNCTION("GOOGLETRANSLATE(D:D,""auto"",""en"")"),"#VALUE!")</f>
        <v>#VALUE!</v>
      </c>
    </row>
    <row r="12111" spans="3:3" ht="13.5" customHeight="1">
      <c r="C12111" s="4" t="str">
        <f ca="1">IFERROR(__xludf.DUMMYFUNCTION("GOOGLETRANSLATE(D:D,""auto"",""en"")"),"#VALUE!")</f>
        <v>#VALUE!</v>
      </c>
    </row>
    <row r="12112" spans="3:3" ht="13.5" customHeight="1">
      <c r="C12112" s="4" t="str">
        <f ca="1">IFERROR(__xludf.DUMMYFUNCTION("GOOGLETRANSLATE(D:D,""auto"",""en"")"),"#VALUE!")</f>
        <v>#VALUE!</v>
      </c>
    </row>
    <row r="12113" spans="3:3" ht="13.5" customHeight="1">
      <c r="C12113" s="4" t="str">
        <f ca="1">IFERROR(__xludf.DUMMYFUNCTION("GOOGLETRANSLATE(D:D,""auto"",""en"")"),"#VALUE!")</f>
        <v>#VALUE!</v>
      </c>
    </row>
    <row r="12114" spans="3:3" ht="13.5" customHeight="1">
      <c r="C12114" s="4" t="str">
        <f ca="1">IFERROR(__xludf.DUMMYFUNCTION("GOOGLETRANSLATE(D:D,""auto"",""en"")"),"#VALUE!")</f>
        <v>#VALUE!</v>
      </c>
    </row>
    <row r="12115" spans="3:3" ht="13.5" customHeight="1">
      <c r="C12115" s="4" t="str">
        <f ca="1">IFERROR(__xludf.DUMMYFUNCTION("GOOGLETRANSLATE(D:D,""auto"",""en"")"),"#VALUE!")</f>
        <v>#VALUE!</v>
      </c>
    </row>
    <row r="12116" spans="3:3" ht="13.5" customHeight="1">
      <c r="C12116" s="4" t="str">
        <f ca="1">IFERROR(__xludf.DUMMYFUNCTION("GOOGLETRANSLATE(D:D,""auto"",""en"")"),"#VALUE!")</f>
        <v>#VALUE!</v>
      </c>
    </row>
    <row r="12117" spans="3:3" ht="13.5" customHeight="1">
      <c r="C12117" s="4" t="str">
        <f ca="1">IFERROR(__xludf.DUMMYFUNCTION("GOOGLETRANSLATE(D:D,""auto"",""en"")"),"#VALUE!")</f>
        <v>#VALUE!</v>
      </c>
    </row>
    <row r="12118" spans="3:3" ht="13.5" customHeight="1">
      <c r="C12118" s="4" t="str">
        <f ca="1">IFERROR(__xludf.DUMMYFUNCTION("GOOGLETRANSLATE(D:D,""auto"",""en"")"),"#VALUE!")</f>
        <v>#VALUE!</v>
      </c>
    </row>
    <row r="12119" spans="3:3" ht="13.5" customHeight="1">
      <c r="C12119" s="4" t="str">
        <f ca="1">IFERROR(__xludf.DUMMYFUNCTION("GOOGLETRANSLATE(D:D,""auto"",""en"")"),"#VALUE!")</f>
        <v>#VALUE!</v>
      </c>
    </row>
    <row r="12120" spans="3:3" ht="13.5" customHeight="1">
      <c r="C12120" s="4" t="str">
        <f ca="1">IFERROR(__xludf.DUMMYFUNCTION("GOOGLETRANSLATE(D:D,""auto"",""en"")"),"#VALUE!")</f>
        <v>#VALUE!</v>
      </c>
    </row>
    <row r="12121" spans="3:3" ht="13.5" customHeight="1">
      <c r="C12121" s="4" t="str">
        <f ca="1">IFERROR(__xludf.DUMMYFUNCTION("GOOGLETRANSLATE(D:D,""auto"",""en"")"),"#VALUE!")</f>
        <v>#VALUE!</v>
      </c>
    </row>
    <row r="12122" spans="3:3" ht="13.5" customHeight="1">
      <c r="C12122" s="4" t="str">
        <f ca="1">IFERROR(__xludf.DUMMYFUNCTION("GOOGLETRANSLATE(D:D,""auto"",""en"")"),"#VALUE!")</f>
        <v>#VALUE!</v>
      </c>
    </row>
    <row r="12123" spans="3:3" ht="13.5" customHeight="1">
      <c r="C12123" s="4" t="str">
        <f ca="1">IFERROR(__xludf.DUMMYFUNCTION("GOOGLETRANSLATE(D:D,""auto"",""en"")"),"#VALUE!")</f>
        <v>#VALUE!</v>
      </c>
    </row>
    <row r="12124" spans="3:3" ht="13.5" customHeight="1">
      <c r="C12124" s="4" t="str">
        <f ca="1">IFERROR(__xludf.DUMMYFUNCTION("GOOGLETRANSLATE(D:D,""auto"",""en"")"),"#VALUE!")</f>
        <v>#VALUE!</v>
      </c>
    </row>
    <row r="12125" spans="3:3" ht="13.5" customHeight="1">
      <c r="C12125" s="4" t="str">
        <f ca="1">IFERROR(__xludf.DUMMYFUNCTION("GOOGLETRANSLATE(D:D,""auto"",""en"")"),"#VALUE!")</f>
        <v>#VALUE!</v>
      </c>
    </row>
    <row r="12126" spans="3:3" ht="13.5" customHeight="1">
      <c r="C12126" s="4" t="str">
        <f ca="1">IFERROR(__xludf.DUMMYFUNCTION("GOOGLETRANSLATE(D:D,""auto"",""en"")"),"#VALUE!")</f>
        <v>#VALUE!</v>
      </c>
    </row>
    <row r="12127" spans="3:3" ht="13.5" customHeight="1">
      <c r="C12127" s="4" t="str">
        <f ca="1">IFERROR(__xludf.DUMMYFUNCTION("GOOGLETRANSLATE(D:D,""auto"",""en"")"),"#VALUE!")</f>
        <v>#VALUE!</v>
      </c>
    </row>
    <row r="12128" spans="3:3" ht="13.5" customHeight="1">
      <c r="C12128" s="4" t="str">
        <f ca="1">IFERROR(__xludf.DUMMYFUNCTION("GOOGLETRANSLATE(D:D,""auto"",""en"")"),"#VALUE!")</f>
        <v>#VALUE!</v>
      </c>
    </row>
    <row r="12129" spans="3:3" ht="13.5" customHeight="1">
      <c r="C12129" s="4" t="str">
        <f ca="1">IFERROR(__xludf.DUMMYFUNCTION("GOOGLETRANSLATE(D:D,""auto"",""en"")"),"#VALUE!")</f>
        <v>#VALUE!</v>
      </c>
    </row>
    <row r="12130" spans="3:3" ht="13.5" customHeight="1">
      <c r="C12130" s="4" t="str">
        <f ca="1">IFERROR(__xludf.DUMMYFUNCTION("GOOGLETRANSLATE(D:D,""auto"",""en"")"),"#VALUE!")</f>
        <v>#VALUE!</v>
      </c>
    </row>
    <row r="12131" spans="3:3" ht="13.5" customHeight="1">
      <c r="C12131" s="4" t="str">
        <f ca="1">IFERROR(__xludf.DUMMYFUNCTION("GOOGLETRANSLATE(D:D,""auto"",""en"")"),"#VALUE!")</f>
        <v>#VALUE!</v>
      </c>
    </row>
    <row r="12132" spans="3:3" ht="13.5" customHeight="1">
      <c r="C12132" s="4" t="str">
        <f ca="1">IFERROR(__xludf.DUMMYFUNCTION("GOOGLETRANSLATE(D:D,""auto"",""en"")"),"#VALUE!")</f>
        <v>#VALUE!</v>
      </c>
    </row>
    <row r="12133" spans="3:3" ht="13.5" customHeight="1">
      <c r="C12133" s="4" t="str">
        <f ca="1">IFERROR(__xludf.DUMMYFUNCTION("GOOGLETRANSLATE(D:D,""auto"",""en"")"),"#VALUE!")</f>
        <v>#VALUE!</v>
      </c>
    </row>
    <row r="12134" spans="3:3" ht="13.5" customHeight="1">
      <c r="C12134" s="4" t="str">
        <f ca="1">IFERROR(__xludf.DUMMYFUNCTION("GOOGLETRANSLATE(D:D,""auto"",""en"")"),"#VALUE!")</f>
        <v>#VALUE!</v>
      </c>
    </row>
    <row r="12135" spans="3:3" ht="13.5" customHeight="1">
      <c r="C12135" s="4" t="str">
        <f ca="1">IFERROR(__xludf.DUMMYFUNCTION("GOOGLETRANSLATE(D:D,""auto"",""en"")"),"#VALUE!")</f>
        <v>#VALUE!</v>
      </c>
    </row>
    <row r="12136" spans="3:3" ht="13.5" customHeight="1">
      <c r="C12136" s="4" t="str">
        <f ca="1">IFERROR(__xludf.DUMMYFUNCTION("GOOGLETRANSLATE(D:D,""auto"",""en"")"),"#VALUE!")</f>
        <v>#VALUE!</v>
      </c>
    </row>
    <row r="12137" spans="3:3" ht="13.5" customHeight="1">
      <c r="C12137" s="4" t="str">
        <f ca="1">IFERROR(__xludf.DUMMYFUNCTION("GOOGLETRANSLATE(D:D,""auto"",""en"")"),"#VALUE!")</f>
        <v>#VALUE!</v>
      </c>
    </row>
    <row r="12138" spans="3:3" ht="13.5" customHeight="1">
      <c r="C12138" s="4" t="str">
        <f ca="1">IFERROR(__xludf.DUMMYFUNCTION("GOOGLETRANSLATE(D:D,""auto"",""en"")"),"#VALUE!")</f>
        <v>#VALUE!</v>
      </c>
    </row>
    <row r="12139" spans="3:3" ht="13.5" customHeight="1">
      <c r="C12139" s="4" t="str">
        <f ca="1">IFERROR(__xludf.DUMMYFUNCTION("GOOGLETRANSLATE(D:D,""auto"",""en"")"),"#VALUE!")</f>
        <v>#VALUE!</v>
      </c>
    </row>
    <row r="12140" spans="3:3" ht="13.5" customHeight="1">
      <c r="C12140" s="4" t="str">
        <f ca="1">IFERROR(__xludf.DUMMYFUNCTION("GOOGLETRANSLATE(D:D,""auto"",""en"")"),"#VALUE!")</f>
        <v>#VALUE!</v>
      </c>
    </row>
    <row r="12141" spans="3:3" ht="13.5" customHeight="1">
      <c r="C12141" s="4" t="str">
        <f ca="1">IFERROR(__xludf.DUMMYFUNCTION("GOOGLETRANSLATE(D:D,""auto"",""en"")"),"#VALUE!")</f>
        <v>#VALUE!</v>
      </c>
    </row>
    <row r="12142" spans="3:3" ht="13.5" customHeight="1">
      <c r="C12142" s="4" t="str">
        <f ca="1">IFERROR(__xludf.DUMMYFUNCTION("GOOGLETRANSLATE(D:D,""auto"",""en"")"),"#VALUE!")</f>
        <v>#VALUE!</v>
      </c>
    </row>
    <row r="12143" spans="3:3" ht="13.5" customHeight="1">
      <c r="C12143" s="4" t="str">
        <f ca="1">IFERROR(__xludf.DUMMYFUNCTION("GOOGLETRANSLATE(D:D,""auto"",""en"")"),"#VALUE!")</f>
        <v>#VALUE!</v>
      </c>
    </row>
    <row r="12144" spans="3:3" ht="13.5" customHeight="1">
      <c r="C12144" s="4" t="str">
        <f ca="1">IFERROR(__xludf.DUMMYFUNCTION("GOOGLETRANSLATE(D:D,""auto"",""en"")"),"#VALUE!")</f>
        <v>#VALUE!</v>
      </c>
    </row>
    <row r="12145" spans="3:3" ht="13.5" customHeight="1">
      <c r="C12145" s="4" t="str">
        <f ca="1">IFERROR(__xludf.DUMMYFUNCTION("GOOGLETRANSLATE(D:D,""auto"",""en"")"),"#VALUE!")</f>
        <v>#VALUE!</v>
      </c>
    </row>
    <row r="12146" spans="3:3" ht="13.5" customHeight="1">
      <c r="C12146" s="4" t="str">
        <f ca="1">IFERROR(__xludf.DUMMYFUNCTION("GOOGLETRANSLATE(D:D,""auto"",""en"")"),"#VALUE!")</f>
        <v>#VALUE!</v>
      </c>
    </row>
    <row r="12147" spans="3:3" ht="13.5" customHeight="1">
      <c r="C12147" s="4" t="str">
        <f ca="1">IFERROR(__xludf.DUMMYFUNCTION("GOOGLETRANSLATE(D:D,""auto"",""en"")"),"#VALUE!")</f>
        <v>#VALUE!</v>
      </c>
    </row>
    <row r="12148" spans="3:3" ht="13.5" customHeight="1">
      <c r="C12148" s="4" t="str">
        <f ca="1">IFERROR(__xludf.DUMMYFUNCTION("GOOGLETRANSLATE(D:D,""auto"",""en"")"),"#VALUE!")</f>
        <v>#VALUE!</v>
      </c>
    </row>
    <row r="12149" spans="3:3" ht="13.5" customHeight="1">
      <c r="C12149" s="4" t="str">
        <f ca="1">IFERROR(__xludf.DUMMYFUNCTION("GOOGLETRANSLATE(D:D,""auto"",""en"")"),"#VALUE!")</f>
        <v>#VALUE!</v>
      </c>
    </row>
    <row r="12150" spans="3:3" ht="13.5" customHeight="1">
      <c r="C12150" s="4" t="str">
        <f ca="1">IFERROR(__xludf.DUMMYFUNCTION("GOOGLETRANSLATE(D:D,""auto"",""en"")"),"#VALUE!")</f>
        <v>#VALUE!</v>
      </c>
    </row>
    <row r="12151" spans="3:3" ht="13.5" customHeight="1">
      <c r="C12151" s="4" t="str">
        <f ca="1">IFERROR(__xludf.DUMMYFUNCTION("GOOGLETRANSLATE(D:D,""auto"",""en"")"),"#VALUE!")</f>
        <v>#VALUE!</v>
      </c>
    </row>
    <row r="12152" spans="3:3" ht="13.5" customHeight="1">
      <c r="C12152" s="4" t="str">
        <f ca="1">IFERROR(__xludf.DUMMYFUNCTION("GOOGLETRANSLATE(D:D,""auto"",""en"")"),"#VALUE!")</f>
        <v>#VALUE!</v>
      </c>
    </row>
    <row r="12153" spans="3:3" ht="13.5" customHeight="1">
      <c r="C12153" s="4" t="str">
        <f ca="1">IFERROR(__xludf.DUMMYFUNCTION("GOOGLETRANSLATE(D:D,""auto"",""en"")"),"#VALUE!")</f>
        <v>#VALUE!</v>
      </c>
    </row>
    <row r="12154" spans="3:3" ht="13.5" customHeight="1">
      <c r="C12154" s="4" t="str">
        <f ca="1">IFERROR(__xludf.DUMMYFUNCTION("GOOGLETRANSLATE(D:D,""auto"",""en"")"),"#VALUE!")</f>
        <v>#VALUE!</v>
      </c>
    </row>
    <row r="12155" spans="3:3" ht="13.5" customHeight="1">
      <c r="C12155" s="4" t="str">
        <f ca="1">IFERROR(__xludf.DUMMYFUNCTION("GOOGLETRANSLATE(D:D,""auto"",""en"")"),"#VALUE!")</f>
        <v>#VALUE!</v>
      </c>
    </row>
    <row r="12156" spans="3:3" ht="13.5" customHeight="1">
      <c r="C12156" s="4" t="str">
        <f ca="1">IFERROR(__xludf.DUMMYFUNCTION("GOOGLETRANSLATE(D:D,""auto"",""en"")"),"#VALUE!")</f>
        <v>#VALUE!</v>
      </c>
    </row>
    <row r="12157" spans="3:3" ht="13.5" customHeight="1">
      <c r="C12157" s="4" t="str">
        <f ca="1">IFERROR(__xludf.DUMMYFUNCTION("GOOGLETRANSLATE(D:D,""auto"",""en"")"),"#VALUE!")</f>
        <v>#VALUE!</v>
      </c>
    </row>
    <row r="12158" spans="3:3" ht="13.5" customHeight="1">
      <c r="C12158" s="4" t="str">
        <f ca="1">IFERROR(__xludf.DUMMYFUNCTION("GOOGLETRANSLATE(D:D,""auto"",""en"")"),"#VALUE!")</f>
        <v>#VALUE!</v>
      </c>
    </row>
    <row r="12159" spans="3:3" ht="13.5" customHeight="1">
      <c r="C12159" s="4" t="str">
        <f ca="1">IFERROR(__xludf.DUMMYFUNCTION("GOOGLETRANSLATE(D:D,""auto"",""en"")"),"#VALUE!")</f>
        <v>#VALUE!</v>
      </c>
    </row>
    <row r="12160" spans="3:3" ht="13.5" customHeight="1">
      <c r="C12160" s="4" t="str">
        <f ca="1">IFERROR(__xludf.DUMMYFUNCTION("GOOGLETRANSLATE(D:D,""auto"",""en"")"),"#VALUE!")</f>
        <v>#VALUE!</v>
      </c>
    </row>
    <row r="12161" spans="3:3" ht="13.5" customHeight="1">
      <c r="C12161" s="4" t="str">
        <f ca="1">IFERROR(__xludf.DUMMYFUNCTION("GOOGLETRANSLATE(D:D,""auto"",""en"")"),"#VALUE!")</f>
        <v>#VALUE!</v>
      </c>
    </row>
    <row r="12162" spans="3:3" ht="13.5" customHeight="1">
      <c r="C12162" s="4" t="str">
        <f ca="1">IFERROR(__xludf.DUMMYFUNCTION("GOOGLETRANSLATE(D:D,""auto"",""en"")"),"#VALUE!")</f>
        <v>#VALUE!</v>
      </c>
    </row>
    <row r="12163" spans="3:3" ht="13.5" customHeight="1">
      <c r="C12163" s="4" t="str">
        <f ca="1">IFERROR(__xludf.DUMMYFUNCTION("GOOGLETRANSLATE(D:D,""auto"",""en"")"),"#VALUE!")</f>
        <v>#VALUE!</v>
      </c>
    </row>
    <row r="12164" spans="3:3" ht="13.5" customHeight="1">
      <c r="C12164" s="4" t="str">
        <f ca="1">IFERROR(__xludf.DUMMYFUNCTION("GOOGLETRANSLATE(D:D,""auto"",""en"")"),"#VALUE!")</f>
        <v>#VALUE!</v>
      </c>
    </row>
    <row r="12165" spans="3:3" ht="13.5" customHeight="1">
      <c r="C12165" s="4" t="str">
        <f ca="1">IFERROR(__xludf.DUMMYFUNCTION("GOOGLETRANSLATE(D:D,""auto"",""en"")"),"#VALUE!")</f>
        <v>#VALUE!</v>
      </c>
    </row>
    <row r="12166" spans="3:3" ht="13.5" customHeight="1">
      <c r="C12166" s="4" t="str">
        <f ca="1">IFERROR(__xludf.DUMMYFUNCTION("GOOGLETRANSLATE(D:D,""auto"",""en"")"),"#VALUE!")</f>
        <v>#VALUE!</v>
      </c>
    </row>
    <row r="12167" spans="3:3" ht="13.5" customHeight="1">
      <c r="C12167" s="4" t="str">
        <f ca="1">IFERROR(__xludf.DUMMYFUNCTION("GOOGLETRANSLATE(D:D,""auto"",""en"")"),"#VALUE!")</f>
        <v>#VALUE!</v>
      </c>
    </row>
    <row r="12168" spans="3:3" ht="13.5" customHeight="1">
      <c r="C12168" s="4" t="str">
        <f ca="1">IFERROR(__xludf.DUMMYFUNCTION("GOOGLETRANSLATE(D:D,""auto"",""en"")"),"#VALUE!")</f>
        <v>#VALUE!</v>
      </c>
    </row>
    <row r="12169" spans="3:3" ht="13.5" customHeight="1">
      <c r="C12169" s="4" t="str">
        <f ca="1">IFERROR(__xludf.DUMMYFUNCTION("GOOGLETRANSLATE(D:D,""auto"",""en"")"),"#VALUE!")</f>
        <v>#VALUE!</v>
      </c>
    </row>
    <row r="12170" spans="3:3" ht="13.5" customHeight="1">
      <c r="C12170" s="4" t="str">
        <f ca="1">IFERROR(__xludf.DUMMYFUNCTION("GOOGLETRANSLATE(D:D,""auto"",""en"")"),"#VALUE!")</f>
        <v>#VALUE!</v>
      </c>
    </row>
    <row r="12171" spans="3:3" ht="13.5" customHeight="1">
      <c r="C12171" s="4" t="str">
        <f ca="1">IFERROR(__xludf.DUMMYFUNCTION("GOOGLETRANSLATE(D:D,""auto"",""en"")"),"#VALUE!")</f>
        <v>#VALUE!</v>
      </c>
    </row>
    <row r="12172" spans="3:3" ht="13.5" customHeight="1">
      <c r="C12172" s="4" t="str">
        <f ca="1">IFERROR(__xludf.DUMMYFUNCTION("GOOGLETRANSLATE(D:D,""auto"",""en"")"),"#VALUE!")</f>
        <v>#VALUE!</v>
      </c>
    </row>
    <row r="12173" spans="3:3" ht="13.5" customHeight="1">
      <c r="C12173" s="4" t="str">
        <f ca="1">IFERROR(__xludf.DUMMYFUNCTION("GOOGLETRANSLATE(D:D,""auto"",""en"")"),"#VALUE!")</f>
        <v>#VALUE!</v>
      </c>
    </row>
    <row r="12174" spans="3:3" ht="13.5" customHeight="1">
      <c r="C12174" s="4" t="str">
        <f ca="1">IFERROR(__xludf.DUMMYFUNCTION("GOOGLETRANSLATE(D:D,""auto"",""en"")"),"#VALUE!")</f>
        <v>#VALUE!</v>
      </c>
    </row>
    <row r="12175" spans="3:3" ht="13.5" customHeight="1">
      <c r="C12175" s="4" t="str">
        <f ca="1">IFERROR(__xludf.DUMMYFUNCTION("GOOGLETRANSLATE(D:D,""auto"",""en"")"),"#VALUE!")</f>
        <v>#VALUE!</v>
      </c>
    </row>
    <row r="12176" spans="3:3" ht="13.5" customHeight="1">
      <c r="C12176" s="4" t="str">
        <f ca="1">IFERROR(__xludf.DUMMYFUNCTION("GOOGLETRANSLATE(D:D,""auto"",""en"")"),"#VALUE!")</f>
        <v>#VALUE!</v>
      </c>
    </row>
    <row r="12177" spans="3:3" ht="13.5" customHeight="1">
      <c r="C12177" s="4" t="str">
        <f ca="1">IFERROR(__xludf.DUMMYFUNCTION("GOOGLETRANSLATE(D:D,""auto"",""en"")"),"#VALUE!")</f>
        <v>#VALUE!</v>
      </c>
    </row>
    <row r="12178" spans="3:3" ht="13.5" customHeight="1">
      <c r="C12178" s="4" t="str">
        <f ca="1">IFERROR(__xludf.DUMMYFUNCTION("GOOGLETRANSLATE(D:D,""auto"",""en"")"),"#VALUE!")</f>
        <v>#VALUE!</v>
      </c>
    </row>
    <row r="12179" spans="3:3" ht="13.5" customHeight="1">
      <c r="C12179" s="4" t="str">
        <f ca="1">IFERROR(__xludf.DUMMYFUNCTION("GOOGLETRANSLATE(D:D,""auto"",""en"")"),"#VALUE!")</f>
        <v>#VALUE!</v>
      </c>
    </row>
    <row r="12180" spans="3:3" ht="13.5" customHeight="1">
      <c r="C12180" s="4" t="str">
        <f ca="1">IFERROR(__xludf.DUMMYFUNCTION("GOOGLETRANSLATE(D:D,""auto"",""en"")"),"#VALUE!")</f>
        <v>#VALUE!</v>
      </c>
    </row>
    <row r="12181" spans="3:3" ht="13.5" customHeight="1">
      <c r="C12181" s="4" t="str">
        <f ca="1">IFERROR(__xludf.DUMMYFUNCTION("GOOGLETRANSLATE(D:D,""auto"",""en"")"),"#VALUE!")</f>
        <v>#VALUE!</v>
      </c>
    </row>
    <row r="12182" spans="3:3" ht="13.5" customHeight="1">
      <c r="C12182" s="4" t="str">
        <f ca="1">IFERROR(__xludf.DUMMYFUNCTION("GOOGLETRANSLATE(D:D,""auto"",""en"")"),"#VALUE!")</f>
        <v>#VALUE!</v>
      </c>
    </row>
    <row r="12183" spans="3:3" ht="13.5" customHeight="1">
      <c r="C12183" s="4" t="str">
        <f ca="1">IFERROR(__xludf.DUMMYFUNCTION("GOOGLETRANSLATE(D:D,""auto"",""en"")"),"#VALUE!")</f>
        <v>#VALUE!</v>
      </c>
    </row>
    <row r="12184" spans="3:3" ht="13.5" customHeight="1">
      <c r="C12184" s="4" t="str">
        <f ca="1">IFERROR(__xludf.DUMMYFUNCTION("GOOGLETRANSLATE(D:D,""auto"",""en"")"),"#VALUE!")</f>
        <v>#VALUE!</v>
      </c>
    </row>
    <row r="12185" spans="3:3" ht="13.5" customHeight="1">
      <c r="C12185" s="4" t="str">
        <f ca="1">IFERROR(__xludf.DUMMYFUNCTION("GOOGLETRANSLATE(D:D,""auto"",""en"")"),"#VALUE!")</f>
        <v>#VALUE!</v>
      </c>
    </row>
    <row r="12186" spans="3:3" ht="13.5" customHeight="1">
      <c r="C12186" s="4" t="str">
        <f ca="1">IFERROR(__xludf.DUMMYFUNCTION("GOOGLETRANSLATE(D:D,""auto"",""en"")"),"#VALUE!")</f>
        <v>#VALUE!</v>
      </c>
    </row>
    <row r="12187" spans="3:3" ht="13.5" customHeight="1">
      <c r="C12187" s="4" t="str">
        <f ca="1">IFERROR(__xludf.DUMMYFUNCTION("GOOGLETRANSLATE(D:D,""auto"",""en"")"),"#VALUE!")</f>
        <v>#VALUE!</v>
      </c>
    </row>
    <row r="12188" spans="3:3" ht="13.5" customHeight="1">
      <c r="C12188" s="4" t="str">
        <f ca="1">IFERROR(__xludf.DUMMYFUNCTION("GOOGLETRANSLATE(D:D,""auto"",""en"")"),"#VALUE!")</f>
        <v>#VALUE!</v>
      </c>
    </row>
    <row r="12189" spans="3:3" ht="13.5" customHeight="1">
      <c r="C12189" s="4" t="str">
        <f ca="1">IFERROR(__xludf.DUMMYFUNCTION("GOOGLETRANSLATE(D:D,""auto"",""en"")"),"#VALUE!")</f>
        <v>#VALUE!</v>
      </c>
    </row>
    <row r="12190" spans="3:3" ht="13.5" customHeight="1">
      <c r="C12190" s="4" t="str">
        <f ca="1">IFERROR(__xludf.DUMMYFUNCTION("GOOGLETRANSLATE(D:D,""auto"",""en"")"),"#VALUE!")</f>
        <v>#VALUE!</v>
      </c>
    </row>
    <row r="12191" spans="3:3" ht="13.5" customHeight="1">
      <c r="C12191" s="4" t="str">
        <f ca="1">IFERROR(__xludf.DUMMYFUNCTION("GOOGLETRANSLATE(D:D,""auto"",""en"")"),"#VALUE!")</f>
        <v>#VALUE!</v>
      </c>
    </row>
    <row r="12192" spans="3:3" ht="13.5" customHeight="1">
      <c r="C12192" s="4" t="str">
        <f ca="1">IFERROR(__xludf.DUMMYFUNCTION("GOOGLETRANSLATE(D:D,""auto"",""en"")"),"#VALUE!")</f>
        <v>#VALUE!</v>
      </c>
    </row>
    <row r="12193" spans="3:3" ht="13.5" customHeight="1">
      <c r="C12193" s="4" t="str">
        <f ca="1">IFERROR(__xludf.DUMMYFUNCTION("GOOGLETRANSLATE(D:D,""auto"",""en"")"),"#VALUE!")</f>
        <v>#VALUE!</v>
      </c>
    </row>
    <row r="12194" spans="3:3" ht="13.5" customHeight="1">
      <c r="C12194" s="4" t="str">
        <f ca="1">IFERROR(__xludf.DUMMYFUNCTION("GOOGLETRANSLATE(D:D,""auto"",""en"")"),"#VALUE!")</f>
        <v>#VALUE!</v>
      </c>
    </row>
    <row r="12195" spans="3:3" ht="13.5" customHeight="1">
      <c r="C12195" s="4" t="str">
        <f ca="1">IFERROR(__xludf.DUMMYFUNCTION("GOOGLETRANSLATE(D:D,""auto"",""en"")"),"#VALUE!")</f>
        <v>#VALUE!</v>
      </c>
    </row>
    <row r="12196" spans="3:3" ht="13.5" customHeight="1">
      <c r="C12196" s="4" t="str">
        <f ca="1">IFERROR(__xludf.DUMMYFUNCTION("GOOGLETRANSLATE(D:D,""auto"",""en"")"),"#VALUE!")</f>
        <v>#VALUE!</v>
      </c>
    </row>
    <row r="12197" spans="3:3" ht="13.5" customHeight="1">
      <c r="C12197" s="4" t="str">
        <f ca="1">IFERROR(__xludf.DUMMYFUNCTION("GOOGLETRANSLATE(D:D,""auto"",""en"")"),"#VALUE!")</f>
        <v>#VALUE!</v>
      </c>
    </row>
    <row r="12198" spans="3:3" ht="13.5" customHeight="1">
      <c r="C12198" s="4" t="str">
        <f ca="1">IFERROR(__xludf.DUMMYFUNCTION("GOOGLETRANSLATE(D:D,""auto"",""en"")"),"#VALUE!")</f>
        <v>#VALUE!</v>
      </c>
    </row>
    <row r="12199" spans="3:3" ht="13.5" customHeight="1">
      <c r="C12199" s="4" t="str">
        <f ca="1">IFERROR(__xludf.DUMMYFUNCTION("GOOGLETRANSLATE(D:D,""auto"",""en"")"),"#VALUE!")</f>
        <v>#VALUE!</v>
      </c>
    </row>
    <row r="12200" spans="3:3" ht="13.5" customHeight="1">
      <c r="C12200" s="4" t="str">
        <f ca="1">IFERROR(__xludf.DUMMYFUNCTION("GOOGLETRANSLATE(D:D,""auto"",""en"")"),"#VALUE!")</f>
        <v>#VALUE!</v>
      </c>
    </row>
    <row r="12201" spans="3:3" ht="13.5" customHeight="1">
      <c r="C12201" s="4" t="str">
        <f ca="1">IFERROR(__xludf.DUMMYFUNCTION("GOOGLETRANSLATE(D:D,""auto"",""en"")"),"#VALUE!")</f>
        <v>#VALUE!</v>
      </c>
    </row>
    <row r="12202" spans="3:3" ht="13.5" customHeight="1">
      <c r="C12202" s="4" t="str">
        <f ca="1">IFERROR(__xludf.DUMMYFUNCTION("GOOGLETRANSLATE(D:D,""auto"",""en"")"),"#VALUE!")</f>
        <v>#VALUE!</v>
      </c>
    </row>
    <row r="12203" spans="3:3" ht="13.5" customHeight="1">
      <c r="C12203" s="4" t="str">
        <f ca="1">IFERROR(__xludf.DUMMYFUNCTION("GOOGLETRANSLATE(D:D,""auto"",""en"")"),"#VALUE!")</f>
        <v>#VALUE!</v>
      </c>
    </row>
    <row r="12204" spans="3:3" ht="13.5" customHeight="1">
      <c r="C12204" s="4" t="str">
        <f ca="1">IFERROR(__xludf.DUMMYFUNCTION("GOOGLETRANSLATE(D:D,""auto"",""en"")"),"#VALUE!")</f>
        <v>#VALUE!</v>
      </c>
    </row>
    <row r="12205" spans="3:3" ht="13.5" customHeight="1">
      <c r="C12205" s="4" t="str">
        <f ca="1">IFERROR(__xludf.DUMMYFUNCTION("GOOGLETRANSLATE(D:D,""auto"",""en"")"),"#VALUE!")</f>
        <v>#VALUE!</v>
      </c>
    </row>
    <row r="12206" spans="3:3" ht="13.5" customHeight="1">
      <c r="C12206" s="4" t="str">
        <f ca="1">IFERROR(__xludf.DUMMYFUNCTION("GOOGLETRANSLATE(D:D,""auto"",""en"")"),"#VALUE!")</f>
        <v>#VALUE!</v>
      </c>
    </row>
    <row r="12207" spans="3:3" ht="13.5" customHeight="1">
      <c r="C12207" s="4" t="str">
        <f ca="1">IFERROR(__xludf.DUMMYFUNCTION("GOOGLETRANSLATE(D:D,""auto"",""en"")"),"#VALUE!")</f>
        <v>#VALUE!</v>
      </c>
    </row>
    <row r="12208" spans="3:3" ht="13.5" customHeight="1">
      <c r="C12208" s="4" t="str">
        <f ca="1">IFERROR(__xludf.DUMMYFUNCTION("GOOGLETRANSLATE(D:D,""auto"",""en"")"),"#VALUE!")</f>
        <v>#VALUE!</v>
      </c>
    </row>
    <row r="12209" spans="3:3" ht="13.5" customHeight="1">
      <c r="C12209" s="4" t="str">
        <f ca="1">IFERROR(__xludf.DUMMYFUNCTION("GOOGLETRANSLATE(D:D,""auto"",""en"")"),"#VALUE!")</f>
        <v>#VALUE!</v>
      </c>
    </row>
    <row r="12210" spans="3:3" ht="13.5" customHeight="1">
      <c r="C12210" s="4" t="str">
        <f ca="1">IFERROR(__xludf.DUMMYFUNCTION("GOOGLETRANSLATE(D:D,""auto"",""en"")"),"#VALUE!")</f>
        <v>#VALUE!</v>
      </c>
    </row>
    <row r="12211" spans="3:3" ht="13.5" customHeight="1">
      <c r="C12211" s="4" t="str">
        <f ca="1">IFERROR(__xludf.DUMMYFUNCTION("GOOGLETRANSLATE(D:D,""auto"",""en"")"),"#VALUE!")</f>
        <v>#VALUE!</v>
      </c>
    </row>
    <row r="12212" spans="3:3" ht="13.5" customHeight="1">
      <c r="C12212" s="4" t="str">
        <f ca="1">IFERROR(__xludf.DUMMYFUNCTION("GOOGLETRANSLATE(D:D,""auto"",""en"")"),"#VALUE!")</f>
        <v>#VALUE!</v>
      </c>
    </row>
    <row r="12213" spans="3:3" ht="13.5" customHeight="1">
      <c r="C12213" s="4" t="str">
        <f ca="1">IFERROR(__xludf.DUMMYFUNCTION("GOOGLETRANSLATE(D:D,""auto"",""en"")"),"#VALUE!")</f>
        <v>#VALUE!</v>
      </c>
    </row>
    <row r="12214" spans="3:3" ht="13.5" customHeight="1">
      <c r="C12214" s="4" t="str">
        <f ca="1">IFERROR(__xludf.DUMMYFUNCTION("GOOGLETRANSLATE(D:D,""auto"",""en"")"),"#VALUE!")</f>
        <v>#VALUE!</v>
      </c>
    </row>
    <row r="12215" spans="3:3" ht="13.5" customHeight="1">
      <c r="C12215" s="4" t="str">
        <f ca="1">IFERROR(__xludf.DUMMYFUNCTION("GOOGLETRANSLATE(D:D,""auto"",""en"")"),"#VALUE!")</f>
        <v>#VALUE!</v>
      </c>
    </row>
    <row r="12216" spans="3:3" ht="13.5" customHeight="1">
      <c r="C12216" s="4" t="str">
        <f ca="1">IFERROR(__xludf.DUMMYFUNCTION("GOOGLETRANSLATE(D:D,""auto"",""en"")"),"#VALUE!")</f>
        <v>#VALUE!</v>
      </c>
    </row>
    <row r="12217" spans="3:3" ht="13.5" customHeight="1">
      <c r="C12217" s="4" t="str">
        <f ca="1">IFERROR(__xludf.DUMMYFUNCTION("GOOGLETRANSLATE(D:D,""auto"",""en"")"),"#VALUE!")</f>
        <v>#VALUE!</v>
      </c>
    </row>
    <row r="12218" spans="3:3" ht="13.5" customHeight="1">
      <c r="C12218" s="4" t="str">
        <f ca="1">IFERROR(__xludf.DUMMYFUNCTION("GOOGLETRANSLATE(D:D,""auto"",""en"")"),"#VALUE!")</f>
        <v>#VALUE!</v>
      </c>
    </row>
    <row r="12219" spans="3:3" ht="13.5" customHeight="1">
      <c r="C12219" s="4" t="str">
        <f ca="1">IFERROR(__xludf.DUMMYFUNCTION("GOOGLETRANSLATE(D:D,""auto"",""en"")"),"#VALUE!")</f>
        <v>#VALUE!</v>
      </c>
    </row>
    <row r="12220" spans="3:3" ht="13.5" customHeight="1">
      <c r="C12220" s="4" t="str">
        <f ca="1">IFERROR(__xludf.DUMMYFUNCTION("GOOGLETRANSLATE(D:D,""auto"",""en"")"),"#VALUE!")</f>
        <v>#VALUE!</v>
      </c>
    </row>
    <row r="12221" spans="3:3" ht="13.5" customHeight="1">
      <c r="C12221" s="4" t="str">
        <f ca="1">IFERROR(__xludf.DUMMYFUNCTION("GOOGLETRANSLATE(D:D,""auto"",""en"")"),"#VALUE!")</f>
        <v>#VALUE!</v>
      </c>
    </row>
    <row r="12222" spans="3:3" ht="13.5" customHeight="1">
      <c r="C12222" s="4" t="str">
        <f ca="1">IFERROR(__xludf.DUMMYFUNCTION("GOOGLETRANSLATE(D:D,""auto"",""en"")"),"#VALUE!")</f>
        <v>#VALUE!</v>
      </c>
    </row>
    <row r="12223" spans="3:3" ht="13.5" customHeight="1">
      <c r="C12223" s="4" t="str">
        <f ca="1">IFERROR(__xludf.DUMMYFUNCTION("GOOGLETRANSLATE(D:D,""auto"",""en"")"),"#VALUE!")</f>
        <v>#VALUE!</v>
      </c>
    </row>
    <row r="12224" spans="3:3" ht="13.5" customHeight="1">
      <c r="C12224" s="4" t="str">
        <f ca="1">IFERROR(__xludf.DUMMYFUNCTION("GOOGLETRANSLATE(D:D,""auto"",""en"")"),"#VALUE!")</f>
        <v>#VALUE!</v>
      </c>
    </row>
    <row r="12225" spans="3:3" ht="13.5" customHeight="1">
      <c r="C12225" s="4" t="str">
        <f ca="1">IFERROR(__xludf.DUMMYFUNCTION("GOOGLETRANSLATE(D:D,""auto"",""en"")"),"#VALUE!")</f>
        <v>#VALUE!</v>
      </c>
    </row>
    <row r="12226" spans="3:3" ht="13.5" customHeight="1">
      <c r="C12226" s="4" t="str">
        <f ca="1">IFERROR(__xludf.DUMMYFUNCTION("GOOGLETRANSLATE(D:D,""auto"",""en"")"),"#VALUE!")</f>
        <v>#VALUE!</v>
      </c>
    </row>
    <row r="12227" spans="3:3" ht="13.5" customHeight="1">
      <c r="C12227" s="4" t="str">
        <f ca="1">IFERROR(__xludf.DUMMYFUNCTION("GOOGLETRANSLATE(D:D,""auto"",""en"")"),"#VALUE!")</f>
        <v>#VALUE!</v>
      </c>
    </row>
    <row r="12228" spans="3:3" ht="13.5" customHeight="1">
      <c r="C12228" s="4" t="str">
        <f ca="1">IFERROR(__xludf.DUMMYFUNCTION("GOOGLETRANSLATE(D:D,""auto"",""en"")"),"#VALUE!")</f>
        <v>#VALUE!</v>
      </c>
    </row>
    <row r="12229" spans="3:3" ht="13.5" customHeight="1">
      <c r="C12229" s="4" t="str">
        <f ca="1">IFERROR(__xludf.DUMMYFUNCTION("GOOGLETRANSLATE(D:D,""auto"",""en"")"),"#VALUE!")</f>
        <v>#VALUE!</v>
      </c>
    </row>
    <row r="12230" spans="3:3" ht="13.5" customHeight="1">
      <c r="C12230" s="4" t="str">
        <f ca="1">IFERROR(__xludf.DUMMYFUNCTION("GOOGLETRANSLATE(D:D,""auto"",""en"")"),"#VALUE!")</f>
        <v>#VALUE!</v>
      </c>
    </row>
    <row r="12231" spans="3:3" ht="13.5" customHeight="1">
      <c r="C12231" s="4" t="str">
        <f ca="1">IFERROR(__xludf.DUMMYFUNCTION("GOOGLETRANSLATE(D:D,""auto"",""en"")"),"#VALUE!")</f>
        <v>#VALUE!</v>
      </c>
    </row>
    <row r="12232" spans="3:3" ht="13.5" customHeight="1">
      <c r="C12232" s="4" t="str">
        <f ca="1">IFERROR(__xludf.DUMMYFUNCTION("GOOGLETRANSLATE(D:D,""auto"",""en"")"),"#VALUE!")</f>
        <v>#VALUE!</v>
      </c>
    </row>
    <row r="12233" spans="3:3" ht="13.5" customHeight="1">
      <c r="C12233" s="4" t="str">
        <f ca="1">IFERROR(__xludf.DUMMYFUNCTION("GOOGLETRANSLATE(D:D,""auto"",""en"")"),"#VALUE!")</f>
        <v>#VALUE!</v>
      </c>
    </row>
    <row r="12234" spans="3:3" ht="13.5" customHeight="1">
      <c r="C12234" s="4" t="str">
        <f ca="1">IFERROR(__xludf.DUMMYFUNCTION("GOOGLETRANSLATE(D:D,""auto"",""en"")"),"#VALUE!")</f>
        <v>#VALUE!</v>
      </c>
    </row>
    <row r="12235" spans="3:3" ht="13.5" customHeight="1">
      <c r="C12235" s="4" t="str">
        <f ca="1">IFERROR(__xludf.DUMMYFUNCTION("GOOGLETRANSLATE(D:D,""auto"",""en"")"),"#VALUE!")</f>
        <v>#VALUE!</v>
      </c>
    </row>
    <row r="12236" spans="3:3" ht="13.5" customHeight="1">
      <c r="C12236" s="4" t="str">
        <f ca="1">IFERROR(__xludf.DUMMYFUNCTION("GOOGLETRANSLATE(D:D,""auto"",""en"")"),"#VALUE!")</f>
        <v>#VALUE!</v>
      </c>
    </row>
    <row r="12237" spans="3:3" ht="13.5" customHeight="1">
      <c r="C12237" s="4" t="str">
        <f ca="1">IFERROR(__xludf.DUMMYFUNCTION("GOOGLETRANSLATE(D:D,""auto"",""en"")"),"#VALUE!")</f>
        <v>#VALUE!</v>
      </c>
    </row>
    <row r="12238" spans="3:3" ht="13.5" customHeight="1">
      <c r="C12238" s="4" t="str">
        <f ca="1">IFERROR(__xludf.DUMMYFUNCTION("GOOGLETRANSLATE(D:D,""auto"",""en"")"),"#VALUE!")</f>
        <v>#VALUE!</v>
      </c>
    </row>
    <row r="12239" spans="3:3" ht="13.5" customHeight="1">
      <c r="C12239" s="4" t="str">
        <f ca="1">IFERROR(__xludf.DUMMYFUNCTION("GOOGLETRANSLATE(D:D,""auto"",""en"")"),"#VALUE!")</f>
        <v>#VALUE!</v>
      </c>
    </row>
    <row r="12240" spans="3:3" ht="13.5" customHeight="1">
      <c r="C12240" s="4" t="str">
        <f ca="1">IFERROR(__xludf.DUMMYFUNCTION("GOOGLETRANSLATE(D:D,""auto"",""en"")"),"#VALUE!")</f>
        <v>#VALUE!</v>
      </c>
    </row>
    <row r="12241" spans="3:3" ht="13.5" customHeight="1">
      <c r="C12241" s="4" t="str">
        <f ca="1">IFERROR(__xludf.DUMMYFUNCTION("GOOGLETRANSLATE(D:D,""auto"",""en"")"),"#VALUE!")</f>
        <v>#VALUE!</v>
      </c>
    </row>
    <row r="12242" spans="3:3" ht="13.5" customHeight="1">
      <c r="C12242" s="4" t="str">
        <f ca="1">IFERROR(__xludf.DUMMYFUNCTION("GOOGLETRANSLATE(D:D,""auto"",""en"")"),"#VALUE!")</f>
        <v>#VALUE!</v>
      </c>
    </row>
    <row r="12243" spans="3:3" ht="13.5" customHeight="1">
      <c r="C12243" s="4" t="str">
        <f ca="1">IFERROR(__xludf.DUMMYFUNCTION("GOOGLETRANSLATE(D:D,""auto"",""en"")"),"#VALUE!")</f>
        <v>#VALUE!</v>
      </c>
    </row>
    <row r="12244" spans="3:3" ht="13.5" customHeight="1">
      <c r="C12244" s="4" t="str">
        <f ca="1">IFERROR(__xludf.DUMMYFUNCTION("GOOGLETRANSLATE(D:D,""auto"",""en"")"),"#VALUE!")</f>
        <v>#VALUE!</v>
      </c>
    </row>
    <row r="12245" spans="3:3" ht="13.5" customHeight="1">
      <c r="C12245" s="4" t="str">
        <f ca="1">IFERROR(__xludf.DUMMYFUNCTION("GOOGLETRANSLATE(D:D,""auto"",""en"")"),"#VALUE!")</f>
        <v>#VALUE!</v>
      </c>
    </row>
    <row r="12246" spans="3:3" ht="13.5" customHeight="1">
      <c r="C12246" s="4" t="str">
        <f ca="1">IFERROR(__xludf.DUMMYFUNCTION("GOOGLETRANSLATE(D:D,""auto"",""en"")"),"#VALUE!")</f>
        <v>#VALUE!</v>
      </c>
    </row>
    <row r="12247" spans="3:3" ht="13.5" customHeight="1">
      <c r="C12247" s="4" t="str">
        <f ca="1">IFERROR(__xludf.DUMMYFUNCTION("GOOGLETRANSLATE(D:D,""auto"",""en"")"),"#VALUE!")</f>
        <v>#VALUE!</v>
      </c>
    </row>
    <row r="12248" spans="3:3" ht="13.5" customHeight="1">
      <c r="C12248" s="4" t="str">
        <f ca="1">IFERROR(__xludf.DUMMYFUNCTION("GOOGLETRANSLATE(D:D,""auto"",""en"")"),"#VALUE!")</f>
        <v>#VALUE!</v>
      </c>
    </row>
    <row r="12249" spans="3:3" ht="13.5" customHeight="1">
      <c r="C12249" s="4" t="str">
        <f ca="1">IFERROR(__xludf.DUMMYFUNCTION("GOOGLETRANSLATE(D:D,""auto"",""en"")"),"#VALUE!")</f>
        <v>#VALUE!</v>
      </c>
    </row>
    <row r="12250" spans="3:3" ht="13.5" customHeight="1">
      <c r="C12250" s="4" t="str">
        <f ca="1">IFERROR(__xludf.DUMMYFUNCTION("GOOGLETRANSLATE(D:D,""auto"",""en"")"),"#VALUE!")</f>
        <v>#VALUE!</v>
      </c>
    </row>
    <row r="12251" spans="3:3" ht="13.5" customHeight="1">
      <c r="C12251" s="4" t="str">
        <f ca="1">IFERROR(__xludf.DUMMYFUNCTION("GOOGLETRANSLATE(D:D,""auto"",""en"")"),"#VALUE!")</f>
        <v>#VALUE!</v>
      </c>
    </row>
    <row r="12252" spans="3:3" ht="13.5" customHeight="1">
      <c r="C12252" s="4" t="str">
        <f ca="1">IFERROR(__xludf.DUMMYFUNCTION("GOOGLETRANSLATE(D:D,""auto"",""en"")"),"#VALUE!")</f>
        <v>#VALUE!</v>
      </c>
    </row>
    <row r="12253" spans="3:3" ht="13.5" customHeight="1">
      <c r="C12253" s="4" t="str">
        <f ca="1">IFERROR(__xludf.DUMMYFUNCTION("GOOGLETRANSLATE(D:D,""auto"",""en"")"),"#VALUE!")</f>
        <v>#VALUE!</v>
      </c>
    </row>
    <row r="12254" spans="3:3" ht="13.5" customHeight="1">
      <c r="C12254" s="4" t="str">
        <f ca="1">IFERROR(__xludf.DUMMYFUNCTION("GOOGLETRANSLATE(D:D,""auto"",""en"")"),"#VALUE!")</f>
        <v>#VALUE!</v>
      </c>
    </row>
    <row r="12255" spans="3:3" ht="13.5" customHeight="1">
      <c r="C12255" s="4" t="str">
        <f ca="1">IFERROR(__xludf.DUMMYFUNCTION("GOOGLETRANSLATE(D:D,""auto"",""en"")"),"#VALUE!")</f>
        <v>#VALUE!</v>
      </c>
    </row>
    <row r="12256" spans="3:3" ht="13.5" customHeight="1">
      <c r="C12256" s="4" t="str">
        <f ca="1">IFERROR(__xludf.DUMMYFUNCTION("GOOGLETRANSLATE(D:D,""auto"",""en"")"),"#VALUE!")</f>
        <v>#VALUE!</v>
      </c>
    </row>
    <row r="12257" spans="3:3" ht="13.5" customHeight="1">
      <c r="C12257" s="4" t="str">
        <f ca="1">IFERROR(__xludf.DUMMYFUNCTION("GOOGLETRANSLATE(D:D,""auto"",""en"")"),"#VALUE!")</f>
        <v>#VALUE!</v>
      </c>
    </row>
    <row r="12258" spans="3:3" ht="13.5" customHeight="1">
      <c r="C12258" s="4" t="str">
        <f ca="1">IFERROR(__xludf.DUMMYFUNCTION("GOOGLETRANSLATE(D:D,""auto"",""en"")"),"#VALUE!")</f>
        <v>#VALUE!</v>
      </c>
    </row>
    <row r="12259" spans="3:3" ht="13.5" customHeight="1">
      <c r="C12259" s="4" t="str">
        <f ca="1">IFERROR(__xludf.DUMMYFUNCTION("GOOGLETRANSLATE(D:D,""auto"",""en"")"),"#VALUE!")</f>
        <v>#VALUE!</v>
      </c>
    </row>
    <row r="12260" spans="3:3" ht="13.5" customHeight="1">
      <c r="C12260" s="4" t="str">
        <f ca="1">IFERROR(__xludf.DUMMYFUNCTION("GOOGLETRANSLATE(D:D,""auto"",""en"")"),"#VALUE!")</f>
        <v>#VALUE!</v>
      </c>
    </row>
    <row r="12261" spans="3:3" ht="13.5" customHeight="1">
      <c r="C12261" s="4" t="str">
        <f ca="1">IFERROR(__xludf.DUMMYFUNCTION("GOOGLETRANSLATE(D:D,""auto"",""en"")"),"#VALUE!")</f>
        <v>#VALUE!</v>
      </c>
    </row>
    <row r="12262" spans="3:3" ht="13.5" customHeight="1">
      <c r="C12262" s="4" t="str">
        <f ca="1">IFERROR(__xludf.DUMMYFUNCTION("GOOGLETRANSLATE(D:D,""auto"",""en"")"),"#VALUE!")</f>
        <v>#VALUE!</v>
      </c>
    </row>
    <row r="12263" spans="3:3" ht="13.5" customHeight="1">
      <c r="C12263" s="4" t="str">
        <f ca="1">IFERROR(__xludf.DUMMYFUNCTION("GOOGLETRANSLATE(D:D,""auto"",""en"")"),"#VALUE!")</f>
        <v>#VALUE!</v>
      </c>
    </row>
    <row r="12264" spans="3:3" ht="13.5" customHeight="1">
      <c r="C12264" s="4" t="str">
        <f ca="1">IFERROR(__xludf.DUMMYFUNCTION("GOOGLETRANSLATE(D:D,""auto"",""en"")"),"#VALUE!")</f>
        <v>#VALUE!</v>
      </c>
    </row>
    <row r="12265" spans="3:3" ht="13.5" customHeight="1">
      <c r="C12265" s="4" t="str">
        <f ca="1">IFERROR(__xludf.DUMMYFUNCTION("GOOGLETRANSLATE(D:D,""auto"",""en"")"),"#VALUE!")</f>
        <v>#VALUE!</v>
      </c>
    </row>
    <row r="12266" spans="3:3" ht="13.5" customHeight="1">
      <c r="C12266" s="4" t="str">
        <f ca="1">IFERROR(__xludf.DUMMYFUNCTION("GOOGLETRANSLATE(D:D,""auto"",""en"")"),"#VALUE!")</f>
        <v>#VALUE!</v>
      </c>
    </row>
    <row r="12267" spans="3:3" ht="13.5" customHeight="1">
      <c r="C12267" s="4" t="str">
        <f ca="1">IFERROR(__xludf.DUMMYFUNCTION("GOOGLETRANSLATE(D:D,""auto"",""en"")"),"#VALUE!")</f>
        <v>#VALUE!</v>
      </c>
    </row>
    <row r="12268" spans="3:3" ht="13.5" customHeight="1">
      <c r="C12268" s="4" t="str">
        <f ca="1">IFERROR(__xludf.DUMMYFUNCTION("GOOGLETRANSLATE(D:D,""auto"",""en"")"),"#VALUE!")</f>
        <v>#VALUE!</v>
      </c>
    </row>
    <row r="12269" spans="3:3" ht="13.5" customHeight="1">
      <c r="C12269" s="4" t="str">
        <f ca="1">IFERROR(__xludf.DUMMYFUNCTION("GOOGLETRANSLATE(D:D,""auto"",""en"")"),"#VALUE!")</f>
        <v>#VALUE!</v>
      </c>
    </row>
    <row r="12270" spans="3:3" ht="13.5" customHeight="1">
      <c r="C12270" s="4" t="str">
        <f ca="1">IFERROR(__xludf.DUMMYFUNCTION("GOOGLETRANSLATE(D:D,""auto"",""en"")"),"#VALUE!")</f>
        <v>#VALUE!</v>
      </c>
    </row>
    <row r="12271" spans="3:3" ht="13.5" customHeight="1">
      <c r="C12271" s="4" t="str">
        <f ca="1">IFERROR(__xludf.DUMMYFUNCTION("GOOGLETRANSLATE(D:D,""auto"",""en"")"),"#VALUE!")</f>
        <v>#VALUE!</v>
      </c>
    </row>
    <row r="12272" spans="3:3" ht="13.5" customHeight="1">
      <c r="C12272" s="4" t="str">
        <f ca="1">IFERROR(__xludf.DUMMYFUNCTION("GOOGLETRANSLATE(D:D,""auto"",""en"")"),"#VALUE!")</f>
        <v>#VALUE!</v>
      </c>
    </row>
    <row r="12273" spans="3:3" ht="13.5" customHeight="1">
      <c r="C12273" s="4" t="str">
        <f ca="1">IFERROR(__xludf.DUMMYFUNCTION("GOOGLETRANSLATE(D:D,""auto"",""en"")"),"#VALUE!")</f>
        <v>#VALUE!</v>
      </c>
    </row>
    <row r="12274" spans="3:3" ht="13.5" customHeight="1">
      <c r="C12274" s="4" t="str">
        <f ca="1">IFERROR(__xludf.DUMMYFUNCTION("GOOGLETRANSLATE(D:D,""auto"",""en"")"),"#VALUE!")</f>
        <v>#VALUE!</v>
      </c>
    </row>
    <row r="12275" spans="3:3" ht="13.5" customHeight="1">
      <c r="C12275" s="4" t="str">
        <f ca="1">IFERROR(__xludf.DUMMYFUNCTION("GOOGLETRANSLATE(D:D,""auto"",""en"")"),"#VALUE!")</f>
        <v>#VALUE!</v>
      </c>
    </row>
    <row r="12276" spans="3:3" ht="13.5" customHeight="1">
      <c r="C12276" s="4" t="str">
        <f ca="1">IFERROR(__xludf.DUMMYFUNCTION("GOOGLETRANSLATE(D:D,""auto"",""en"")"),"#VALUE!")</f>
        <v>#VALUE!</v>
      </c>
    </row>
    <row r="12277" spans="3:3" ht="13.5" customHeight="1">
      <c r="C12277" s="4" t="str">
        <f ca="1">IFERROR(__xludf.DUMMYFUNCTION("GOOGLETRANSLATE(D:D,""auto"",""en"")"),"#VALUE!")</f>
        <v>#VALUE!</v>
      </c>
    </row>
    <row r="12278" spans="3:3" ht="13.5" customHeight="1">
      <c r="C12278" s="4" t="str">
        <f ca="1">IFERROR(__xludf.DUMMYFUNCTION("GOOGLETRANSLATE(D:D,""auto"",""en"")"),"#VALUE!")</f>
        <v>#VALUE!</v>
      </c>
    </row>
    <row r="12279" spans="3:3" ht="13.5" customHeight="1">
      <c r="C12279" s="4" t="str">
        <f ca="1">IFERROR(__xludf.DUMMYFUNCTION("GOOGLETRANSLATE(D:D,""auto"",""en"")"),"#VALUE!")</f>
        <v>#VALUE!</v>
      </c>
    </row>
    <row r="12280" spans="3:3" ht="13.5" customHeight="1">
      <c r="C12280" s="4" t="str">
        <f ca="1">IFERROR(__xludf.DUMMYFUNCTION("GOOGLETRANSLATE(D:D,""auto"",""en"")"),"#VALUE!")</f>
        <v>#VALUE!</v>
      </c>
    </row>
    <row r="12281" spans="3:3" ht="13.5" customHeight="1">
      <c r="C12281" s="4" t="str">
        <f ca="1">IFERROR(__xludf.DUMMYFUNCTION("GOOGLETRANSLATE(D:D,""auto"",""en"")"),"#VALUE!")</f>
        <v>#VALUE!</v>
      </c>
    </row>
    <row r="12282" spans="3:3" ht="13.5" customHeight="1">
      <c r="C12282" s="4" t="str">
        <f ca="1">IFERROR(__xludf.DUMMYFUNCTION("GOOGLETRANSLATE(D:D,""auto"",""en"")"),"#VALUE!")</f>
        <v>#VALUE!</v>
      </c>
    </row>
    <row r="12283" spans="3:3" ht="13.5" customHeight="1">
      <c r="C12283" s="4" t="str">
        <f ca="1">IFERROR(__xludf.DUMMYFUNCTION("GOOGLETRANSLATE(D:D,""auto"",""en"")"),"#VALUE!")</f>
        <v>#VALUE!</v>
      </c>
    </row>
    <row r="12284" spans="3:3" ht="13.5" customHeight="1">
      <c r="C12284" s="4" t="str">
        <f ca="1">IFERROR(__xludf.DUMMYFUNCTION("GOOGLETRANSLATE(D:D,""auto"",""en"")"),"#VALUE!")</f>
        <v>#VALUE!</v>
      </c>
    </row>
    <row r="12285" spans="3:3" ht="13.5" customHeight="1">
      <c r="C12285" s="4" t="str">
        <f ca="1">IFERROR(__xludf.DUMMYFUNCTION("GOOGLETRANSLATE(D:D,""auto"",""en"")"),"#VALUE!")</f>
        <v>#VALUE!</v>
      </c>
    </row>
    <row r="12286" spans="3:3" ht="13.5" customHeight="1">
      <c r="C12286" s="4" t="str">
        <f ca="1">IFERROR(__xludf.DUMMYFUNCTION("GOOGLETRANSLATE(D:D,""auto"",""en"")"),"#VALUE!")</f>
        <v>#VALUE!</v>
      </c>
    </row>
    <row r="12287" spans="3:3" ht="13.5" customHeight="1">
      <c r="C12287" s="4" t="str">
        <f ca="1">IFERROR(__xludf.DUMMYFUNCTION("GOOGLETRANSLATE(D:D,""auto"",""en"")"),"#VALUE!")</f>
        <v>#VALUE!</v>
      </c>
    </row>
    <row r="12288" spans="3:3" ht="13.5" customHeight="1">
      <c r="C12288" s="4" t="str">
        <f ca="1">IFERROR(__xludf.DUMMYFUNCTION("GOOGLETRANSLATE(D:D,""auto"",""en"")"),"#VALUE!")</f>
        <v>#VALUE!</v>
      </c>
    </row>
    <row r="12289" spans="3:3" ht="13.5" customHeight="1">
      <c r="C12289" s="4" t="str">
        <f ca="1">IFERROR(__xludf.DUMMYFUNCTION("GOOGLETRANSLATE(D:D,""auto"",""en"")"),"#VALUE!")</f>
        <v>#VALUE!</v>
      </c>
    </row>
    <row r="12290" spans="3:3" ht="13.5" customHeight="1">
      <c r="C12290" s="4" t="str">
        <f ca="1">IFERROR(__xludf.DUMMYFUNCTION("GOOGLETRANSLATE(D:D,""auto"",""en"")"),"#VALUE!")</f>
        <v>#VALUE!</v>
      </c>
    </row>
    <row r="12291" spans="3:3" ht="13.5" customHeight="1">
      <c r="C12291" s="4" t="str">
        <f ca="1">IFERROR(__xludf.DUMMYFUNCTION("GOOGLETRANSLATE(D:D,""auto"",""en"")"),"#VALUE!")</f>
        <v>#VALUE!</v>
      </c>
    </row>
    <row r="12292" spans="3:3" ht="13.5" customHeight="1">
      <c r="C12292" s="4" t="str">
        <f ca="1">IFERROR(__xludf.DUMMYFUNCTION("GOOGLETRANSLATE(D:D,""auto"",""en"")"),"#VALUE!")</f>
        <v>#VALUE!</v>
      </c>
    </row>
    <row r="12293" spans="3:3" ht="13.5" customHeight="1">
      <c r="C12293" s="4" t="str">
        <f ca="1">IFERROR(__xludf.DUMMYFUNCTION("GOOGLETRANSLATE(D:D,""auto"",""en"")"),"#VALUE!")</f>
        <v>#VALUE!</v>
      </c>
    </row>
    <row r="12294" spans="3:3" ht="13.5" customHeight="1">
      <c r="C12294" s="4" t="str">
        <f ca="1">IFERROR(__xludf.DUMMYFUNCTION("GOOGLETRANSLATE(D:D,""auto"",""en"")"),"#VALUE!")</f>
        <v>#VALUE!</v>
      </c>
    </row>
    <row r="12295" spans="3:3" ht="13.5" customHeight="1">
      <c r="C12295" s="4" t="str">
        <f ca="1">IFERROR(__xludf.DUMMYFUNCTION("GOOGLETRANSLATE(D:D,""auto"",""en"")"),"#VALUE!")</f>
        <v>#VALUE!</v>
      </c>
    </row>
    <row r="12296" spans="3:3" ht="13.5" customHeight="1">
      <c r="C12296" s="4" t="str">
        <f ca="1">IFERROR(__xludf.DUMMYFUNCTION("GOOGLETRANSLATE(D:D,""auto"",""en"")"),"#VALUE!")</f>
        <v>#VALUE!</v>
      </c>
    </row>
    <row r="12297" spans="3:3" ht="13.5" customHeight="1">
      <c r="C12297" s="4" t="str">
        <f ca="1">IFERROR(__xludf.DUMMYFUNCTION("GOOGLETRANSLATE(D:D,""auto"",""en"")"),"#VALUE!")</f>
        <v>#VALUE!</v>
      </c>
    </row>
    <row r="12298" spans="3:3" ht="13.5" customHeight="1">
      <c r="C12298" s="4" t="str">
        <f ca="1">IFERROR(__xludf.DUMMYFUNCTION("GOOGLETRANSLATE(D:D,""auto"",""en"")"),"#VALUE!")</f>
        <v>#VALUE!</v>
      </c>
    </row>
    <row r="12299" spans="3:3" ht="13.5" customHeight="1">
      <c r="C12299" s="4" t="str">
        <f ca="1">IFERROR(__xludf.DUMMYFUNCTION("GOOGLETRANSLATE(D:D,""auto"",""en"")"),"#VALUE!")</f>
        <v>#VALUE!</v>
      </c>
    </row>
    <row r="12300" spans="3:3" ht="13.5" customHeight="1">
      <c r="C12300" s="4" t="str">
        <f ca="1">IFERROR(__xludf.DUMMYFUNCTION("GOOGLETRANSLATE(D:D,""auto"",""en"")"),"#VALUE!")</f>
        <v>#VALUE!</v>
      </c>
    </row>
    <row r="12301" spans="3:3" ht="13.5" customHeight="1">
      <c r="C12301" s="4" t="str">
        <f ca="1">IFERROR(__xludf.DUMMYFUNCTION("GOOGLETRANSLATE(D:D,""auto"",""en"")"),"#VALUE!")</f>
        <v>#VALUE!</v>
      </c>
    </row>
    <row r="12302" spans="3:3" ht="13.5" customHeight="1">
      <c r="C12302" s="4" t="str">
        <f ca="1">IFERROR(__xludf.DUMMYFUNCTION("GOOGLETRANSLATE(D:D,""auto"",""en"")"),"#VALUE!")</f>
        <v>#VALUE!</v>
      </c>
    </row>
    <row r="12303" spans="3:3" ht="13.5" customHeight="1">
      <c r="C12303" s="4" t="str">
        <f ca="1">IFERROR(__xludf.DUMMYFUNCTION("GOOGLETRANSLATE(D:D,""auto"",""en"")"),"#VALUE!")</f>
        <v>#VALUE!</v>
      </c>
    </row>
    <row r="12304" spans="3:3" ht="13.5" customHeight="1">
      <c r="C12304" s="4" t="str">
        <f ca="1">IFERROR(__xludf.DUMMYFUNCTION("GOOGLETRANSLATE(D:D,""auto"",""en"")"),"#VALUE!")</f>
        <v>#VALUE!</v>
      </c>
    </row>
    <row r="12305" spans="3:3" ht="13.5" customHeight="1">
      <c r="C12305" s="4" t="str">
        <f ca="1">IFERROR(__xludf.DUMMYFUNCTION("GOOGLETRANSLATE(D:D,""auto"",""en"")"),"#VALUE!")</f>
        <v>#VALUE!</v>
      </c>
    </row>
    <row r="12306" spans="3:3" ht="13.5" customHeight="1">
      <c r="C12306" s="4" t="str">
        <f ca="1">IFERROR(__xludf.DUMMYFUNCTION("GOOGLETRANSLATE(D:D,""auto"",""en"")"),"#VALUE!")</f>
        <v>#VALUE!</v>
      </c>
    </row>
    <row r="12307" spans="3:3" ht="13.5" customHeight="1">
      <c r="C12307" s="4" t="str">
        <f ca="1">IFERROR(__xludf.DUMMYFUNCTION("GOOGLETRANSLATE(D:D,""auto"",""en"")"),"#VALUE!")</f>
        <v>#VALUE!</v>
      </c>
    </row>
    <row r="12308" spans="3:3" ht="13.5" customHeight="1">
      <c r="C12308" s="4" t="str">
        <f ca="1">IFERROR(__xludf.DUMMYFUNCTION("GOOGLETRANSLATE(D:D,""auto"",""en"")"),"#VALUE!")</f>
        <v>#VALUE!</v>
      </c>
    </row>
    <row r="12309" spans="3:3" ht="13.5" customHeight="1">
      <c r="C12309" s="4" t="str">
        <f ca="1">IFERROR(__xludf.DUMMYFUNCTION("GOOGLETRANSLATE(D:D,""auto"",""en"")"),"#VALUE!")</f>
        <v>#VALUE!</v>
      </c>
    </row>
    <row r="12310" spans="3:3" ht="13.5" customHeight="1">
      <c r="C12310" s="4" t="str">
        <f ca="1">IFERROR(__xludf.DUMMYFUNCTION("GOOGLETRANSLATE(D:D,""auto"",""en"")"),"#VALUE!")</f>
        <v>#VALUE!</v>
      </c>
    </row>
    <row r="12311" spans="3:3" ht="13.5" customHeight="1">
      <c r="C12311" s="4" t="str">
        <f ca="1">IFERROR(__xludf.DUMMYFUNCTION("GOOGLETRANSLATE(D:D,""auto"",""en"")"),"#VALUE!")</f>
        <v>#VALUE!</v>
      </c>
    </row>
    <row r="12312" spans="3:3" ht="13.5" customHeight="1">
      <c r="C12312" s="4" t="str">
        <f ca="1">IFERROR(__xludf.DUMMYFUNCTION("GOOGLETRANSLATE(D:D,""auto"",""en"")"),"#VALUE!")</f>
        <v>#VALUE!</v>
      </c>
    </row>
    <row r="12313" spans="3:3" ht="13.5" customHeight="1">
      <c r="C12313" s="4" t="str">
        <f ca="1">IFERROR(__xludf.DUMMYFUNCTION("GOOGLETRANSLATE(D:D,""auto"",""en"")"),"#VALUE!")</f>
        <v>#VALUE!</v>
      </c>
    </row>
    <row r="12314" spans="3:3" ht="13.5" customHeight="1">
      <c r="C12314" s="4" t="str">
        <f ca="1">IFERROR(__xludf.DUMMYFUNCTION("GOOGLETRANSLATE(D:D,""auto"",""en"")"),"#VALUE!")</f>
        <v>#VALUE!</v>
      </c>
    </row>
    <row r="12315" spans="3:3" ht="13.5" customHeight="1">
      <c r="C12315" s="4" t="str">
        <f ca="1">IFERROR(__xludf.DUMMYFUNCTION("GOOGLETRANSLATE(D:D,""auto"",""en"")"),"#VALUE!")</f>
        <v>#VALUE!</v>
      </c>
    </row>
    <row r="12316" spans="3:3" ht="13.5" customHeight="1">
      <c r="C12316" s="4" t="str">
        <f ca="1">IFERROR(__xludf.DUMMYFUNCTION("GOOGLETRANSLATE(D:D,""auto"",""en"")"),"#VALUE!")</f>
        <v>#VALUE!</v>
      </c>
    </row>
    <row r="12317" spans="3:3" ht="13.5" customHeight="1">
      <c r="C12317" s="4" t="str">
        <f ca="1">IFERROR(__xludf.DUMMYFUNCTION("GOOGLETRANSLATE(D:D,""auto"",""en"")"),"#VALUE!")</f>
        <v>#VALUE!</v>
      </c>
    </row>
    <row r="12318" spans="3:3" ht="13.5" customHeight="1">
      <c r="C12318" s="4" t="str">
        <f ca="1">IFERROR(__xludf.DUMMYFUNCTION("GOOGLETRANSLATE(D:D,""auto"",""en"")"),"#VALUE!")</f>
        <v>#VALUE!</v>
      </c>
    </row>
    <row r="12319" spans="3:3" ht="13.5" customHeight="1">
      <c r="C12319" s="4" t="str">
        <f ca="1">IFERROR(__xludf.DUMMYFUNCTION("GOOGLETRANSLATE(D:D,""auto"",""en"")"),"#VALUE!")</f>
        <v>#VALUE!</v>
      </c>
    </row>
    <row r="12320" spans="3:3" ht="13.5" customHeight="1">
      <c r="C12320" s="4" t="str">
        <f ca="1">IFERROR(__xludf.DUMMYFUNCTION("GOOGLETRANSLATE(D:D,""auto"",""en"")"),"#VALUE!")</f>
        <v>#VALUE!</v>
      </c>
    </row>
    <row r="12321" spans="3:3" ht="13.5" customHeight="1">
      <c r="C12321" s="4" t="str">
        <f ca="1">IFERROR(__xludf.DUMMYFUNCTION("GOOGLETRANSLATE(D:D,""auto"",""en"")"),"#VALUE!")</f>
        <v>#VALUE!</v>
      </c>
    </row>
    <row r="12322" spans="3:3" ht="13.5" customHeight="1">
      <c r="C12322" s="4" t="str">
        <f ca="1">IFERROR(__xludf.DUMMYFUNCTION("GOOGLETRANSLATE(D:D,""auto"",""en"")"),"#VALUE!")</f>
        <v>#VALUE!</v>
      </c>
    </row>
    <row r="12323" spans="3:3" ht="13.5" customHeight="1">
      <c r="C12323" s="4" t="str">
        <f ca="1">IFERROR(__xludf.DUMMYFUNCTION("GOOGLETRANSLATE(D:D,""auto"",""en"")"),"#VALUE!")</f>
        <v>#VALUE!</v>
      </c>
    </row>
    <row r="12324" spans="3:3" ht="13.5" customHeight="1">
      <c r="C12324" s="4" t="str">
        <f ca="1">IFERROR(__xludf.DUMMYFUNCTION("GOOGLETRANSLATE(D:D,""auto"",""en"")"),"#VALUE!")</f>
        <v>#VALUE!</v>
      </c>
    </row>
    <row r="12325" spans="3:3" ht="13.5" customHeight="1">
      <c r="C12325" s="4" t="str">
        <f ca="1">IFERROR(__xludf.DUMMYFUNCTION("GOOGLETRANSLATE(D:D,""auto"",""en"")"),"#VALUE!")</f>
        <v>#VALUE!</v>
      </c>
    </row>
    <row r="12326" spans="3:3" ht="13.5" customHeight="1">
      <c r="C12326" s="4" t="str">
        <f ca="1">IFERROR(__xludf.DUMMYFUNCTION("GOOGLETRANSLATE(D:D,""auto"",""en"")"),"#VALUE!")</f>
        <v>#VALUE!</v>
      </c>
    </row>
    <row r="12327" spans="3:3" ht="13.5" customHeight="1">
      <c r="C12327" s="4" t="str">
        <f ca="1">IFERROR(__xludf.DUMMYFUNCTION("GOOGLETRANSLATE(D:D,""auto"",""en"")"),"#VALUE!")</f>
        <v>#VALUE!</v>
      </c>
    </row>
    <row r="12328" spans="3:3" ht="13.5" customHeight="1">
      <c r="C12328" s="4" t="str">
        <f ca="1">IFERROR(__xludf.DUMMYFUNCTION("GOOGLETRANSLATE(D:D,""auto"",""en"")"),"#VALUE!")</f>
        <v>#VALUE!</v>
      </c>
    </row>
    <row r="12329" spans="3:3" ht="13.5" customHeight="1">
      <c r="C12329" s="4" t="str">
        <f ca="1">IFERROR(__xludf.DUMMYFUNCTION("GOOGLETRANSLATE(D:D,""auto"",""en"")"),"#VALUE!")</f>
        <v>#VALUE!</v>
      </c>
    </row>
    <row r="12330" spans="3:3" ht="13.5" customHeight="1">
      <c r="C12330" s="4" t="str">
        <f ca="1">IFERROR(__xludf.DUMMYFUNCTION("GOOGLETRANSLATE(D:D,""auto"",""en"")"),"#VALUE!")</f>
        <v>#VALUE!</v>
      </c>
    </row>
    <row r="12331" spans="3:3" ht="13.5" customHeight="1">
      <c r="C12331" s="4" t="str">
        <f ca="1">IFERROR(__xludf.DUMMYFUNCTION("GOOGLETRANSLATE(D:D,""auto"",""en"")"),"#VALUE!")</f>
        <v>#VALUE!</v>
      </c>
    </row>
    <row r="12332" spans="3:3" ht="13.5" customHeight="1">
      <c r="C12332" s="4" t="str">
        <f ca="1">IFERROR(__xludf.DUMMYFUNCTION("GOOGLETRANSLATE(D:D,""auto"",""en"")"),"#VALUE!")</f>
        <v>#VALUE!</v>
      </c>
    </row>
    <row r="12333" spans="3:3" ht="13.5" customHeight="1">
      <c r="C12333" s="4" t="str">
        <f ca="1">IFERROR(__xludf.DUMMYFUNCTION("GOOGLETRANSLATE(D:D,""auto"",""en"")"),"#VALUE!")</f>
        <v>#VALUE!</v>
      </c>
    </row>
    <row r="12334" spans="3:3" ht="13.5" customHeight="1">
      <c r="C12334" s="4" t="str">
        <f ca="1">IFERROR(__xludf.DUMMYFUNCTION("GOOGLETRANSLATE(D:D,""auto"",""en"")"),"#VALUE!")</f>
        <v>#VALUE!</v>
      </c>
    </row>
    <row r="12335" spans="3:3" ht="13.5" customHeight="1">
      <c r="C12335" s="4" t="str">
        <f ca="1">IFERROR(__xludf.DUMMYFUNCTION("GOOGLETRANSLATE(D:D,""auto"",""en"")"),"#VALUE!")</f>
        <v>#VALUE!</v>
      </c>
    </row>
    <row r="12336" spans="3:3" ht="13.5" customHeight="1">
      <c r="C12336" s="4" t="str">
        <f ca="1">IFERROR(__xludf.DUMMYFUNCTION("GOOGLETRANSLATE(D:D,""auto"",""en"")"),"#VALUE!")</f>
        <v>#VALUE!</v>
      </c>
    </row>
    <row r="12337" spans="3:3" ht="13.5" customHeight="1">
      <c r="C12337" s="4" t="str">
        <f ca="1">IFERROR(__xludf.DUMMYFUNCTION("GOOGLETRANSLATE(D:D,""auto"",""en"")"),"#VALUE!")</f>
        <v>#VALUE!</v>
      </c>
    </row>
    <row r="12338" spans="3:3" ht="13.5" customHeight="1">
      <c r="C12338" s="4" t="str">
        <f ca="1">IFERROR(__xludf.DUMMYFUNCTION("GOOGLETRANSLATE(D:D,""auto"",""en"")"),"#VALUE!")</f>
        <v>#VALUE!</v>
      </c>
    </row>
    <row r="12339" spans="3:3" ht="13.5" customHeight="1">
      <c r="C12339" s="4" t="str">
        <f ca="1">IFERROR(__xludf.DUMMYFUNCTION("GOOGLETRANSLATE(D:D,""auto"",""en"")"),"#VALUE!")</f>
        <v>#VALUE!</v>
      </c>
    </row>
    <row r="12340" spans="3:3" ht="13.5" customHeight="1">
      <c r="C12340" s="4" t="str">
        <f ca="1">IFERROR(__xludf.DUMMYFUNCTION("GOOGLETRANSLATE(D:D,""auto"",""en"")"),"#VALUE!")</f>
        <v>#VALUE!</v>
      </c>
    </row>
    <row r="12341" spans="3:3" ht="13.5" customHeight="1">
      <c r="C12341" s="4" t="str">
        <f ca="1">IFERROR(__xludf.DUMMYFUNCTION("GOOGLETRANSLATE(D:D,""auto"",""en"")"),"#VALUE!")</f>
        <v>#VALUE!</v>
      </c>
    </row>
    <row r="12342" spans="3:3" ht="13.5" customHeight="1">
      <c r="C12342" s="4" t="str">
        <f ca="1">IFERROR(__xludf.DUMMYFUNCTION("GOOGLETRANSLATE(D:D,""auto"",""en"")"),"#VALUE!")</f>
        <v>#VALUE!</v>
      </c>
    </row>
    <row r="12343" spans="3:3" ht="13.5" customHeight="1">
      <c r="C12343" s="4" t="str">
        <f ca="1">IFERROR(__xludf.DUMMYFUNCTION("GOOGLETRANSLATE(D:D,""auto"",""en"")"),"#VALUE!")</f>
        <v>#VALUE!</v>
      </c>
    </row>
    <row r="12344" spans="3:3" ht="13.5" customHeight="1">
      <c r="C12344" s="4" t="str">
        <f ca="1">IFERROR(__xludf.DUMMYFUNCTION("GOOGLETRANSLATE(D:D,""auto"",""en"")"),"#VALUE!")</f>
        <v>#VALUE!</v>
      </c>
    </row>
    <row r="12345" spans="3:3" ht="13.5" customHeight="1">
      <c r="C12345" s="4" t="str">
        <f ca="1">IFERROR(__xludf.DUMMYFUNCTION("GOOGLETRANSLATE(D:D,""auto"",""en"")"),"#VALUE!")</f>
        <v>#VALUE!</v>
      </c>
    </row>
    <row r="12346" spans="3:3" ht="13.5" customHeight="1">
      <c r="C12346" s="4" t="str">
        <f ca="1">IFERROR(__xludf.DUMMYFUNCTION("GOOGLETRANSLATE(D:D,""auto"",""en"")"),"#VALUE!")</f>
        <v>#VALUE!</v>
      </c>
    </row>
    <row r="12347" spans="3:3" ht="13.5" customHeight="1">
      <c r="C12347" s="4" t="str">
        <f ca="1">IFERROR(__xludf.DUMMYFUNCTION("GOOGLETRANSLATE(D:D,""auto"",""en"")"),"#VALUE!")</f>
        <v>#VALUE!</v>
      </c>
    </row>
    <row r="12348" spans="3:3" ht="13.5" customHeight="1">
      <c r="C12348" s="4" t="str">
        <f ca="1">IFERROR(__xludf.DUMMYFUNCTION("GOOGLETRANSLATE(D:D,""auto"",""en"")"),"#VALUE!")</f>
        <v>#VALUE!</v>
      </c>
    </row>
    <row r="12349" spans="3:3" ht="13.5" customHeight="1">
      <c r="C12349" s="4" t="str">
        <f ca="1">IFERROR(__xludf.DUMMYFUNCTION("GOOGLETRANSLATE(D:D,""auto"",""en"")"),"#VALUE!")</f>
        <v>#VALUE!</v>
      </c>
    </row>
    <row r="12350" spans="3:3" ht="13.5" customHeight="1">
      <c r="C12350" s="4" t="str">
        <f ca="1">IFERROR(__xludf.DUMMYFUNCTION("GOOGLETRANSLATE(D:D,""auto"",""en"")"),"#VALUE!")</f>
        <v>#VALUE!</v>
      </c>
    </row>
    <row r="12351" spans="3:3" ht="13.5" customHeight="1">
      <c r="C12351" s="4" t="str">
        <f ca="1">IFERROR(__xludf.DUMMYFUNCTION("GOOGLETRANSLATE(D:D,""auto"",""en"")"),"#VALUE!")</f>
        <v>#VALUE!</v>
      </c>
    </row>
    <row r="12352" spans="3:3" ht="13.5" customHeight="1">
      <c r="C12352" s="4" t="str">
        <f ca="1">IFERROR(__xludf.DUMMYFUNCTION("GOOGLETRANSLATE(D:D,""auto"",""en"")"),"#VALUE!")</f>
        <v>#VALUE!</v>
      </c>
    </row>
    <row r="12353" spans="3:3" ht="13.5" customHeight="1">
      <c r="C12353" s="4" t="str">
        <f ca="1">IFERROR(__xludf.DUMMYFUNCTION("GOOGLETRANSLATE(D:D,""auto"",""en"")"),"#VALUE!")</f>
        <v>#VALUE!</v>
      </c>
    </row>
    <row r="12354" spans="3:3" ht="13.5" customHeight="1">
      <c r="C12354" s="4" t="str">
        <f ca="1">IFERROR(__xludf.DUMMYFUNCTION("GOOGLETRANSLATE(D:D,""auto"",""en"")"),"#VALUE!")</f>
        <v>#VALUE!</v>
      </c>
    </row>
    <row r="12355" spans="3:3" ht="13.5" customHeight="1">
      <c r="C12355" s="4" t="str">
        <f ca="1">IFERROR(__xludf.DUMMYFUNCTION("GOOGLETRANSLATE(D:D,""auto"",""en"")"),"#VALUE!")</f>
        <v>#VALUE!</v>
      </c>
    </row>
    <row r="12356" spans="3:3" ht="13.5" customHeight="1">
      <c r="C12356" s="4" t="str">
        <f ca="1">IFERROR(__xludf.DUMMYFUNCTION("GOOGLETRANSLATE(D:D,""auto"",""en"")"),"#VALUE!")</f>
        <v>#VALUE!</v>
      </c>
    </row>
    <row r="12357" spans="3:3" ht="13.5" customHeight="1">
      <c r="C12357" s="4" t="str">
        <f ca="1">IFERROR(__xludf.DUMMYFUNCTION("GOOGLETRANSLATE(D:D,""auto"",""en"")"),"#VALUE!")</f>
        <v>#VALUE!</v>
      </c>
    </row>
    <row r="12358" spans="3:3" ht="13.5" customHeight="1">
      <c r="C12358" s="4" t="str">
        <f ca="1">IFERROR(__xludf.DUMMYFUNCTION("GOOGLETRANSLATE(D:D,""auto"",""en"")"),"#VALUE!")</f>
        <v>#VALUE!</v>
      </c>
    </row>
    <row r="12359" spans="3:3" ht="13.5" customHeight="1">
      <c r="C12359" s="4" t="str">
        <f ca="1">IFERROR(__xludf.DUMMYFUNCTION("GOOGLETRANSLATE(D:D,""auto"",""en"")"),"#VALUE!")</f>
        <v>#VALUE!</v>
      </c>
    </row>
    <row r="12360" spans="3:3" ht="13.5" customHeight="1">
      <c r="C12360" s="4" t="str">
        <f ca="1">IFERROR(__xludf.DUMMYFUNCTION("GOOGLETRANSLATE(D:D,""auto"",""en"")"),"#VALUE!")</f>
        <v>#VALUE!</v>
      </c>
    </row>
    <row r="12361" spans="3:3" ht="13.5" customHeight="1">
      <c r="C12361" s="4" t="str">
        <f ca="1">IFERROR(__xludf.DUMMYFUNCTION("GOOGLETRANSLATE(D:D,""auto"",""en"")"),"#VALUE!")</f>
        <v>#VALUE!</v>
      </c>
    </row>
    <row r="12362" spans="3:3" ht="13.5" customHeight="1">
      <c r="C12362" s="4" t="str">
        <f ca="1">IFERROR(__xludf.DUMMYFUNCTION("GOOGLETRANSLATE(D:D,""auto"",""en"")"),"#VALUE!")</f>
        <v>#VALUE!</v>
      </c>
    </row>
    <row r="12363" spans="3:3" ht="13.5" customHeight="1">
      <c r="C12363" s="4" t="str">
        <f ca="1">IFERROR(__xludf.DUMMYFUNCTION("GOOGLETRANSLATE(D:D,""auto"",""en"")"),"#VALUE!")</f>
        <v>#VALUE!</v>
      </c>
    </row>
    <row r="12364" spans="3:3" ht="13.5" customHeight="1">
      <c r="C12364" s="4" t="str">
        <f ca="1">IFERROR(__xludf.DUMMYFUNCTION("GOOGLETRANSLATE(D:D,""auto"",""en"")"),"#VALUE!")</f>
        <v>#VALUE!</v>
      </c>
    </row>
    <row r="12365" spans="3:3" ht="13.5" customHeight="1">
      <c r="C12365" s="4" t="str">
        <f ca="1">IFERROR(__xludf.DUMMYFUNCTION("GOOGLETRANSLATE(D:D,""auto"",""en"")"),"#VALUE!")</f>
        <v>#VALUE!</v>
      </c>
    </row>
    <row r="12366" spans="3:3" ht="13.5" customHeight="1">
      <c r="C12366" s="4" t="str">
        <f ca="1">IFERROR(__xludf.DUMMYFUNCTION("GOOGLETRANSLATE(D:D,""auto"",""en"")"),"#VALUE!")</f>
        <v>#VALUE!</v>
      </c>
    </row>
    <row r="12367" spans="3:3" ht="13.5" customHeight="1">
      <c r="C12367" s="4" t="str">
        <f ca="1">IFERROR(__xludf.DUMMYFUNCTION("GOOGLETRANSLATE(D:D,""auto"",""en"")"),"#VALUE!")</f>
        <v>#VALUE!</v>
      </c>
    </row>
    <row r="12368" spans="3:3" ht="13.5" customHeight="1">
      <c r="C12368" s="4" t="str">
        <f ca="1">IFERROR(__xludf.DUMMYFUNCTION("GOOGLETRANSLATE(D:D,""auto"",""en"")"),"#VALUE!")</f>
        <v>#VALUE!</v>
      </c>
    </row>
    <row r="12369" spans="3:3" ht="13.5" customHeight="1">
      <c r="C12369" s="4" t="str">
        <f ca="1">IFERROR(__xludf.DUMMYFUNCTION("GOOGLETRANSLATE(D:D,""auto"",""en"")"),"#VALUE!")</f>
        <v>#VALUE!</v>
      </c>
    </row>
    <row r="12370" spans="3:3" ht="13.5" customHeight="1">
      <c r="C12370" s="4" t="str">
        <f ca="1">IFERROR(__xludf.DUMMYFUNCTION("GOOGLETRANSLATE(D:D,""auto"",""en"")"),"#VALUE!")</f>
        <v>#VALUE!</v>
      </c>
    </row>
    <row r="12371" spans="3:3" ht="13.5" customHeight="1">
      <c r="C12371" s="4" t="str">
        <f ca="1">IFERROR(__xludf.DUMMYFUNCTION("GOOGLETRANSLATE(D:D,""auto"",""en"")"),"#VALUE!")</f>
        <v>#VALUE!</v>
      </c>
    </row>
    <row r="12372" spans="3:3" ht="13.5" customHeight="1">
      <c r="C12372" s="4" t="str">
        <f ca="1">IFERROR(__xludf.DUMMYFUNCTION("GOOGLETRANSLATE(D:D,""auto"",""en"")"),"#VALUE!")</f>
        <v>#VALUE!</v>
      </c>
    </row>
    <row r="12373" spans="3:3" ht="13.5" customHeight="1">
      <c r="C12373" s="4" t="str">
        <f ca="1">IFERROR(__xludf.DUMMYFUNCTION("GOOGLETRANSLATE(D:D,""auto"",""en"")"),"#VALUE!")</f>
        <v>#VALUE!</v>
      </c>
    </row>
    <row r="12374" spans="3:3" ht="13.5" customHeight="1">
      <c r="C12374" s="4" t="str">
        <f ca="1">IFERROR(__xludf.DUMMYFUNCTION("GOOGLETRANSLATE(D:D,""auto"",""en"")"),"#VALUE!")</f>
        <v>#VALUE!</v>
      </c>
    </row>
    <row r="12375" spans="3:3" ht="13.5" customHeight="1">
      <c r="C12375" s="4" t="str">
        <f ca="1">IFERROR(__xludf.DUMMYFUNCTION("GOOGLETRANSLATE(D:D,""auto"",""en"")"),"#VALUE!")</f>
        <v>#VALUE!</v>
      </c>
    </row>
    <row r="12376" spans="3:3" ht="13.5" customHeight="1">
      <c r="C12376" s="4" t="str">
        <f ca="1">IFERROR(__xludf.DUMMYFUNCTION("GOOGLETRANSLATE(D:D,""auto"",""en"")"),"#VALUE!")</f>
        <v>#VALUE!</v>
      </c>
    </row>
    <row r="12377" spans="3:3" ht="13.5" customHeight="1">
      <c r="C12377" s="4" t="str">
        <f ca="1">IFERROR(__xludf.DUMMYFUNCTION("GOOGLETRANSLATE(D:D,""auto"",""en"")"),"#VALUE!")</f>
        <v>#VALUE!</v>
      </c>
    </row>
    <row r="12378" spans="3:3" ht="13.5" customHeight="1">
      <c r="C12378" s="4" t="str">
        <f ca="1">IFERROR(__xludf.DUMMYFUNCTION("GOOGLETRANSLATE(D:D,""auto"",""en"")"),"#VALUE!")</f>
        <v>#VALUE!</v>
      </c>
    </row>
    <row r="12379" spans="3:3" ht="13.5" customHeight="1">
      <c r="C12379" s="4" t="str">
        <f ca="1">IFERROR(__xludf.DUMMYFUNCTION("GOOGLETRANSLATE(D:D,""auto"",""en"")"),"#VALUE!")</f>
        <v>#VALUE!</v>
      </c>
    </row>
    <row r="12380" spans="3:3" ht="13.5" customHeight="1">
      <c r="C12380" s="4" t="str">
        <f ca="1">IFERROR(__xludf.DUMMYFUNCTION("GOOGLETRANSLATE(D:D,""auto"",""en"")"),"#VALUE!")</f>
        <v>#VALUE!</v>
      </c>
    </row>
    <row r="12381" spans="3:3" ht="13.5" customHeight="1">
      <c r="C12381" s="4" t="str">
        <f ca="1">IFERROR(__xludf.DUMMYFUNCTION("GOOGLETRANSLATE(D:D,""auto"",""en"")"),"#VALUE!")</f>
        <v>#VALUE!</v>
      </c>
    </row>
    <row r="12382" spans="3:3" ht="13.5" customHeight="1">
      <c r="C12382" s="4" t="str">
        <f ca="1">IFERROR(__xludf.DUMMYFUNCTION("GOOGLETRANSLATE(D:D,""auto"",""en"")"),"#VALUE!")</f>
        <v>#VALUE!</v>
      </c>
    </row>
    <row r="12383" spans="3:3" ht="13.5" customHeight="1">
      <c r="C12383" s="4" t="str">
        <f ca="1">IFERROR(__xludf.DUMMYFUNCTION("GOOGLETRANSLATE(D:D,""auto"",""en"")"),"#VALUE!")</f>
        <v>#VALUE!</v>
      </c>
    </row>
    <row r="12384" spans="3:3" ht="13.5" customHeight="1">
      <c r="C12384" s="4" t="str">
        <f ca="1">IFERROR(__xludf.DUMMYFUNCTION("GOOGLETRANSLATE(D:D,""auto"",""en"")"),"#VALUE!")</f>
        <v>#VALUE!</v>
      </c>
    </row>
    <row r="12385" spans="3:3" ht="13.5" customHeight="1">
      <c r="C12385" s="4" t="str">
        <f ca="1">IFERROR(__xludf.DUMMYFUNCTION("GOOGLETRANSLATE(D:D,""auto"",""en"")"),"#VALUE!")</f>
        <v>#VALUE!</v>
      </c>
    </row>
    <row r="12386" spans="3:3" ht="13.5" customHeight="1">
      <c r="C12386" s="4" t="str">
        <f ca="1">IFERROR(__xludf.DUMMYFUNCTION("GOOGLETRANSLATE(D:D,""auto"",""en"")"),"#VALUE!")</f>
        <v>#VALUE!</v>
      </c>
    </row>
    <row r="12387" spans="3:3" ht="13.5" customHeight="1">
      <c r="C12387" s="4" t="str">
        <f ca="1">IFERROR(__xludf.DUMMYFUNCTION("GOOGLETRANSLATE(D:D,""auto"",""en"")"),"#VALUE!")</f>
        <v>#VALUE!</v>
      </c>
    </row>
    <row r="12388" spans="3:3" ht="13.5" customHeight="1">
      <c r="C12388" s="4" t="str">
        <f ca="1">IFERROR(__xludf.DUMMYFUNCTION("GOOGLETRANSLATE(D:D,""auto"",""en"")"),"#VALUE!")</f>
        <v>#VALUE!</v>
      </c>
    </row>
    <row r="12389" spans="3:3" ht="13.5" customHeight="1">
      <c r="C12389" s="4" t="str">
        <f ca="1">IFERROR(__xludf.DUMMYFUNCTION("GOOGLETRANSLATE(D:D,""auto"",""en"")"),"#VALUE!")</f>
        <v>#VALUE!</v>
      </c>
    </row>
    <row r="12390" spans="3:3" ht="13.5" customHeight="1">
      <c r="C12390" s="4" t="str">
        <f ca="1">IFERROR(__xludf.DUMMYFUNCTION("GOOGLETRANSLATE(D:D,""auto"",""en"")"),"#VALUE!")</f>
        <v>#VALUE!</v>
      </c>
    </row>
    <row r="12391" spans="3:3" ht="13.5" customHeight="1">
      <c r="C12391" s="4" t="str">
        <f ca="1">IFERROR(__xludf.DUMMYFUNCTION("GOOGLETRANSLATE(D:D,""auto"",""en"")"),"#VALUE!")</f>
        <v>#VALUE!</v>
      </c>
    </row>
    <row r="12392" spans="3:3" ht="13.5" customHeight="1">
      <c r="C12392" s="4" t="str">
        <f ca="1">IFERROR(__xludf.DUMMYFUNCTION("GOOGLETRANSLATE(D:D,""auto"",""en"")"),"#VALUE!")</f>
        <v>#VALUE!</v>
      </c>
    </row>
    <row r="12393" spans="3:3" ht="13.5" customHeight="1">
      <c r="C12393" s="4" t="str">
        <f ca="1">IFERROR(__xludf.DUMMYFUNCTION("GOOGLETRANSLATE(D:D,""auto"",""en"")"),"#VALUE!")</f>
        <v>#VALUE!</v>
      </c>
    </row>
    <row r="12394" spans="3:3" ht="13.5" customHeight="1">
      <c r="C12394" s="4" t="str">
        <f ca="1">IFERROR(__xludf.DUMMYFUNCTION("GOOGLETRANSLATE(D:D,""auto"",""en"")"),"#VALUE!")</f>
        <v>#VALUE!</v>
      </c>
    </row>
    <row r="12395" spans="3:3" ht="13.5" customHeight="1">
      <c r="C12395" s="4" t="str">
        <f ca="1">IFERROR(__xludf.DUMMYFUNCTION("GOOGLETRANSLATE(D:D,""auto"",""en"")"),"#VALUE!")</f>
        <v>#VALUE!</v>
      </c>
    </row>
    <row r="12396" spans="3:3" ht="13.5" customHeight="1">
      <c r="C12396" s="4" t="str">
        <f ca="1">IFERROR(__xludf.DUMMYFUNCTION("GOOGLETRANSLATE(D:D,""auto"",""en"")"),"#VALUE!")</f>
        <v>#VALUE!</v>
      </c>
    </row>
    <row r="12397" spans="3:3" ht="13.5" customHeight="1">
      <c r="C12397" s="4" t="str">
        <f ca="1">IFERROR(__xludf.DUMMYFUNCTION("GOOGLETRANSLATE(D:D,""auto"",""en"")"),"#VALUE!")</f>
        <v>#VALUE!</v>
      </c>
    </row>
    <row r="12398" spans="3:3" ht="13.5" customHeight="1">
      <c r="C12398" s="4" t="str">
        <f ca="1">IFERROR(__xludf.DUMMYFUNCTION("GOOGLETRANSLATE(D:D,""auto"",""en"")"),"#VALUE!")</f>
        <v>#VALUE!</v>
      </c>
    </row>
    <row r="12399" spans="3:3" ht="13.5" customHeight="1">
      <c r="C12399" s="4" t="str">
        <f ca="1">IFERROR(__xludf.DUMMYFUNCTION("GOOGLETRANSLATE(D:D,""auto"",""en"")"),"#VALUE!")</f>
        <v>#VALUE!</v>
      </c>
    </row>
    <row r="12400" spans="3:3" ht="13.5" customHeight="1">
      <c r="C12400" s="4" t="str">
        <f ca="1">IFERROR(__xludf.DUMMYFUNCTION("GOOGLETRANSLATE(D:D,""auto"",""en"")"),"#VALUE!")</f>
        <v>#VALUE!</v>
      </c>
    </row>
    <row r="12401" spans="3:3" ht="13.5" customHeight="1">
      <c r="C12401" s="4" t="str">
        <f ca="1">IFERROR(__xludf.DUMMYFUNCTION("GOOGLETRANSLATE(D:D,""auto"",""en"")"),"#VALUE!")</f>
        <v>#VALUE!</v>
      </c>
    </row>
    <row r="12402" spans="3:3" ht="13.5" customHeight="1">
      <c r="C12402" s="4" t="str">
        <f ca="1">IFERROR(__xludf.DUMMYFUNCTION("GOOGLETRANSLATE(D:D,""auto"",""en"")"),"#VALUE!")</f>
        <v>#VALUE!</v>
      </c>
    </row>
    <row r="12403" spans="3:3" ht="13.5" customHeight="1">
      <c r="C12403" s="4" t="str">
        <f ca="1">IFERROR(__xludf.DUMMYFUNCTION("GOOGLETRANSLATE(D:D,""auto"",""en"")"),"#VALUE!")</f>
        <v>#VALUE!</v>
      </c>
    </row>
    <row r="12404" spans="3:3" ht="13.5" customHeight="1">
      <c r="C12404" s="4" t="str">
        <f ca="1">IFERROR(__xludf.DUMMYFUNCTION("GOOGLETRANSLATE(D:D,""auto"",""en"")"),"#VALUE!")</f>
        <v>#VALUE!</v>
      </c>
    </row>
    <row r="12405" spans="3:3" ht="13.5" customHeight="1">
      <c r="C12405" s="4" t="str">
        <f ca="1">IFERROR(__xludf.DUMMYFUNCTION("GOOGLETRANSLATE(D:D,""auto"",""en"")"),"#VALUE!")</f>
        <v>#VALUE!</v>
      </c>
    </row>
    <row r="12406" spans="3:3" ht="13.5" customHeight="1">
      <c r="C12406" s="4" t="str">
        <f ca="1">IFERROR(__xludf.DUMMYFUNCTION("GOOGLETRANSLATE(D:D,""auto"",""en"")"),"#VALUE!")</f>
        <v>#VALUE!</v>
      </c>
    </row>
    <row r="12407" spans="3:3" ht="13.5" customHeight="1">
      <c r="C12407" s="4" t="str">
        <f ca="1">IFERROR(__xludf.DUMMYFUNCTION("GOOGLETRANSLATE(D:D,""auto"",""en"")"),"#VALUE!")</f>
        <v>#VALUE!</v>
      </c>
    </row>
    <row r="12408" spans="3:3" ht="13.5" customHeight="1">
      <c r="C12408" s="4" t="str">
        <f ca="1">IFERROR(__xludf.DUMMYFUNCTION("GOOGLETRANSLATE(D:D,""auto"",""en"")"),"#VALUE!")</f>
        <v>#VALUE!</v>
      </c>
    </row>
    <row r="12409" spans="3:3" ht="13.5" customHeight="1">
      <c r="C12409" s="4" t="str">
        <f ca="1">IFERROR(__xludf.DUMMYFUNCTION("GOOGLETRANSLATE(D:D,""auto"",""en"")"),"#VALUE!")</f>
        <v>#VALUE!</v>
      </c>
    </row>
    <row r="12410" spans="3:3" ht="13.5" customHeight="1">
      <c r="C12410" s="4" t="str">
        <f ca="1">IFERROR(__xludf.DUMMYFUNCTION("GOOGLETRANSLATE(D:D,""auto"",""en"")"),"#VALUE!")</f>
        <v>#VALUE!</v>
      </c>
    </row>
    <row r="12411" spans="3:3" ht="13.5" customHeight="1">
      <c r="C12411" s="4" t="str">
        <f ca="1">IFERROR(__xludf.DUMMYFUNCTION("GOOGLETRANSLATE(D:D,""auto"",""en"")"),"#VALUE!")</f>
        <v>#VALUE!</v>
      </c>
    </row>
    <row r="12412" spans="3:3" ht="13.5" customHeight="1">
      <c r="C12412" s="4" t="str">
        <f ca="1">IFERROR(__xludf.DUMMYFUNCTION("GOOGLETRANSLATE(D:D,""auto"",""en"")"),"#VALUE!")</f>
        <v>#VALUE!</v>
      </c>
    </row>
    <row r="12413" spans="3:3" ht="13.5" customHeight="1">
      <c r="C12413" s="4" t="str">
        <f ca="1">IFERROR(__xludf.DUMMYFUNCTION("GOOGLETRANSLATE(D:D,""auto"",""en"")"),"#VALUE!")</f>
        <v>#VALUE!</v>
      </c>
    </row>
    <row r="12414" spans="3:3" ht="13.5" customHeight="1">
      <c r="C12414" s="4" t="str">
        <f ca="1">IFERROR(__xludf.DUMMYFUNCTION("GOOGLETRANSLATE(D:D,""auto"",""en"")"),"#VALUE!")</f>
        <v>#VALUE!</v>
      </c>
    </row>
    <row r="12415" spans="3:3" ht="13.5" customHeight="1">
      <c r="C12415" s="4" t="str">
        <f ca="1">IFERROR(__xludf.DUMMYFUNCTION("GOOGLETRANSLATE(D:D,""auto"",""en"")"),"#VALUE!")</f>
        <v>#VALUE!</v>
      </c>
    </row>
    <row r="12416" spans="3:3" ht="13.5" customHeight="1">
      <c r="C12416" s="4" t="str">
        <f ca="1">IFERROR(__xludf.DUMMYFUNCTION("GOOGLETRANSLATE(D:D,""auto"",""en"")"),"#VALUE!")</f>
        <v>#VALUE!</v>
      </c>
    </row>
    <row r="12417" spans="3:3" ht="13.5" customHeight="1">
      <c r="C12417" s="4" t="str">
        <f ca="1">IFERROR(__xludf.DUMMYFUNCTION("GOOGLETRANSLATE(D:D,""auto"",""en"")"),"#VALUE!")</f>
        <v>#VALUE!</v>
      </c>
    </row>
    <row r="12418" spans="3:3" ht="13.5" customHeight="1">
      <c r="C12418" s="4" t="str">
        <f ca="1">IFERROR(__xludf.DUMMYFUNCTION("GOOGLETRANSLATE(D:D,""auto"",""en"")"),"#VALUE!")</f>
        <v>#VALUE!</v>
      </c>
    </row>
    <row r="12419" spans="3:3" ht="13.5" customHeight="1">
      <c r="C12419" s="4" t="str">
        <f ca="1">IFERROR(__xludf.DUMMYFUNCTION("GOOGLETRANSLATE(D:D,""auto"",""en"")"),"#VALUE!")</f>
        <v>#VALUE!</v>
      </c>
    </row>
    <row r="12420" spans="3:3" ht="13.5" customHeight="1">
      <c r="C12420" s="4" t="str">
        <f ca="1">IFERROR(__xludf.DUMMYFUNCTION("GOOGLETRANSLATE(D:D,""auto"",""en"")"),"#VALUE!")</f>
        <v>#VALUE!</v>
      </c>
    </row>
    <row r="12421" spans="3:3" ht="13.5" customHeight="1">
      <c r="C12421" s="4" t="str">
        <f ca="1">IFERROR(__xludf.DUMMYFUNCTION("GOOGLETRANSLATE(D:D,""auto"",""en"")"),"#VALUE!")</f>
        <v>#VALUE!</v>
      </c>
    </row>
    <row r="12422" spans="3:3" ht="13.5" customHeight="1">
      <c r="C12422" s="4" t="str">
        <f ca="1">IFERROR(__xludf.DUMMYFUNCTION("GOOGLETRANSLATE(D:D,""auto"",""en"")"),"#VALUE!")</f>
        <v>#VALUE!</v>
      </c>
    </row>
    <row r="12423" spans="3:3" ht="13.5" customHeight="1">
      <c r="C12423" s="4" t="str">
        <f ca="1">IFERROR(__xludf.DUMMYFUNCTION("GOOGLETRANSLATE(D:D,""auto"",""en"")"),"#VALUE!")</f>
        <v>#VALUE!</v>
      </c>
    </row>
    <row r="12424" spans="3:3" ht="13.5" customHeight="1">
      <c r="C12424" s="4" t="str">
        <f ca="1">IFERROR(__xludf.DUMMYFUNCTION("GOOGLETRANSLATE(D:D,""auto"",""en"")"),"#VALUE!")</f>
        <v>#VALUE!</v>
      </c>
    </row>
    <row r="12425" spans="3:3" ht="13.5" customHeight="1">
      <c r="C12425" s="4" t="str">
        <f ca="1">IFERROR(__xludf.DUMMYFUNCTION("GOOGLETRANSLATE(D:D,""auto"",""en"")"),"#VALUE!")</f>
        <v>#VALUE!</v>
      </c>
    </row>
    <row r="12426" spans="3:3" ht="13.5" customHeight="1">
      <c r="C12426" s="4" t="str">
        <f ca="1">IFERROR(__xludf.DUMMYFUNCTION("GOOGLETRANSLATE(D:D,""auto"",""en"")"),"#VALUE!")</f>
        <v>#VALUE!</v>
      </c>
    </row>
    <row r="12427" spans="3:3" ht="13.5" customHeight="1">
      <c r="C12427" s="4" t="str">
        <f ca="1">IFERROR(__xludf.DUMMYFUNCTION("GOOGLETRANSLATE(D:D,""auto"",""en"")"),"#VALUE!")</f>
        <v>#VALUE!</v>
      </c>
    </row>
    <row r="12428" spans="3:3" ht="13.5" customHeight="1">
      <c r="C12428" s="4" t="str">
        <f ca="1">IFERROR(__xludf.DUMMYFUNCTION("GOOGLETRANSLATE(D:D,""auto"",""en"")"),"#VALUE!")</f>
        <v>#VALUE!</v>
      </c>
    </row>
    <row r="12429" spans="3:3" ht="13.5" customHeight="1">
      <c r="C12429" s="4" t="str">
        <f ca="1">IFERROR(__xludf.DUMMYFUNCTION("GOOGLETRANSLATE(D:D,""auto"",""en"")"),"#VALUE!")</f>
        <v>#VALUE!</v>
      </c>
    </row>
    <row r="12430" spans="3:3" ht="13.5" customHeight="1">
      <c r="C12430" s="4" t="str">
        <f ca="1">IFERROR(__xludf.DUMMYFUNCTION("GOOGLETRANSLATE(D:D,""auto"",""en"")"),"#VALUE!")</f>
        <v>#VALUE!</v>
      </c>
    </row>
    <row r="12431" spans="3:3" ht="13.5" customHeight="1">
      <c r="C12431" s="4" t="str">
        <f ca="1">IFERROR(__xludf.DUMMYFUNCTION("GOOGLETRANSLATE(D:D,""auto"",""en"")"),"#VALUE!")</f>
        <v>#VALUE!</v>
      </c>
    </row>
    <row r="12432" spans="3:3" ht="13.5" customHeight="1">
      <c r="C12432" s="4" t="str">
        <f ca="1">IFERROR(__xludf.DUMMYFUNCTION("GOOGLETRANSLATE(D:D,""auto"",""en"")"),"#VALUE!")</f>
        <v>#VALUE!</v>
      </c>
    </row>
    <row r="12433" spans="3:3" ht="13.5" customHeight="1">
      <c r="C12433" s="4" t="str">
        <f ca="1">IFERROR(__xludf.DUMMYFUNCTION("GOOGLETRANSLATE(D:D,""auto"",""en"")"),"#VALUE!")</f>
        <v>#VALUE!</v>
      </c>
    </row>
    <row r="12434" spans="3:3" ht="13.5" customHeight="1">
      <c r="C12434" s="4" t="str">
        <f ca="1">IFERROR(__xludf.DUMMYFUNCTION("GOOGLETRANSLATE(D:D,""auto"",""en"")"),"#VALUE!")</f>
        <v>#VALUE!</v>
      </c>
    </row>
    <row r="12435" spans="3:3" ht="13.5" customHeight="1">
      <c r="C12435" s="4" t="str">
        <f ca="1">IFERROR(__xludf.DUMMYFUNCTION("GOOGLETRANSLATE(D:D,""auto"",""en"")"),"#VALUE!")</f>
        <v>#VALUE!</v>
      </c>
    </row>
    <row r="12436" spans="3:3" ht="13.5" customHeight="1">
      <c r="C12436" s="4" t="str">
        <f ca="1">IFERROR(__xludf.DUMMYFUNCTION("GOOGLETRANSLATE(D:D,""auto"",""en"")"),"#VALUE!")</f>
        <v>#VALUE!</v>
      </c>
    </row>
    <row r="12437" spans="3:3" ht="13.5" customHeight="1">
      <c r="C12437" s="4" t="str">
        <f ca="1">IFERROR(__xludf.DUMMYFUNCTION("GOOGLETRANSLATE(D:D,""auto"",""en"")"),"#VALUE!")</f>
        <v>#VALUE!</v>
      </c>
    </row>
    <row r="12438" spans="3:3" ht="13.5" customHeight="1">
      <c r="C12438" s="4" t="str">
        <f ca="1">IFERROR(__xludf.DUMMYFUNCTION("GOOGLETRANSLATE(D:D,""auto"",""en"")"),"#VALUE!")</f>
        <v>#VALUE!</v>
      </c>
    </row>
    <row r="12439" spans="3:3" ht="13.5" customHeight="1">
      <c r="C12439" s="4" t="str">
        <f ca="1">IFERROR(__xludf.DUMMYFUNCTION("GOOGLETRANSLATE(D:D,""auto"",""en"")"),"#VALUE!")</f>
        <v>#VALUE!</v>
      </c>
    </row>
    <row r="12440" spans="3:3" ht="13.5" customHeight="1">
      <c r="C12440" s="4" t="str">
        <f ca="1">IFERROR(__xludf.DUMMYFUNCTION("GOOGLETRANSLATE(D:D,""auto"",""en"")"),"#VALUE!")</f>
        <v>#VALUE!</v>
      </c>
    </row>
    <row r="12441" spans="3:3" ht="13.5" customHeight="1">
      <c r="C12441" s="4" t="str">
        <f ca="1">IFERROR(__xludf.DUMMYFUNCTION("GOOGLETRANSLATE(D:D,""auto"",""en"")"),"#VALUE!")</f>
        <v>#VALUE!</v>
      </c>
    </row>
    <row r="12442" spans="3:3" ht="13.5" customHeight="1">
      <c r="C12442" s="4" t="str">
        <f ca="1">IFERROR(__xludf.DUMMYFUNCTION("GOOGLETRANSLATE(D:D,""auto"",""en"")"),"#VALUE!")</f>
        <v>#VALUE!</v>
      </c>
    </row>
    <row r="12443" spans="3:3" ht="13.5" customHeight="1">
      <c r="C12443" s="4" t="str">
        <f ca="1">IFERROR(__xludf.DUMMYFUNCTION("GOOGLETRANSLATE(D:D,""auto"",""en"")"),"#VALUE!")</f>
        <v>#VALUE!</v>
      </c>
    </row>
    <row r="12444" spans="3:3" ht="13.5" customHeight="1">
      <c r="C12444" s="4" t="str">
        <f ca="1">IFERROR(__xludf.DUMMYFUNCTION("GOOGLETRANSLATE(D:D,""auto"",""en"")"),"#VALUE!")</f>
        <v>#VALUE!</v>
      </c>
    </row>
    <row r="12445" spans="3:3" ht="13.5" customHeight="1">
      <c r="C12445" s="4" t="str">
        <f ca="1">IFERROR(__xludf.DUMMYFUNCTION("GOOGLETRANSLATE(D:D,""auto"",""en"")"),"#VALUE!")</f>
        <v>#VALUE!</v>
      </c>
    </row>
    <row r="12446" spans="3:3" ht="13.5" customHeight="1">
      <c r="C12446" s="4" t="str">
        <f ca="1">IFERROR(__xludf.DUMMYFUNCTION("GOOGLETRANSLATE(D:D,""auto"",""en"")"),"#VALUE!")</f>
        <v>#VALUE!</v>
      </c>
    </row>
    <row r="12447" spans="3:3" ht="13.5" customHeight="1">
      <c r="C12447" s="4" t="str">
        <f ca="1">IFERROR(__xludf.DUMMYFUNCTION("GOOGLETRANSLATE(D:D,""auto"",""en"")"),"#VALUE!")</f>
        <v>#VALUE!</v>
      </c>
    </row>
    <row r="12448" spans="3:3" ht="13.5" customHeight="1">
      <c r="C12448" s="4" t="str">
        <f ca="1">IFERROR(__xludf.DUMMYFUNCTION("GOOGLETRANSLATE(D:D,""auto"",""en"")"),"#VALUE!")</f>
        <v>#VALUE!</v>
      </c>
    </row>
    <row r="12449" spans="3:3" ht="13.5" customHeight="1">
      <c r="C12449" s="4" t="str">
        <f ca="1">IFERROR(__xludf.DUMMYFUNCTION("GOOGLETRANSLATE(D:D,""auto"",""en"")"),"#VALUE!")</f>
        <v>#VALUE!</v>
      </c>
    </row>
    <row r="12450" spans="3:3" ht="13.5" customHeight="1">
      <c r="C12450" s="4" t="str">
        <f ca="1">IFERROR(__xludf.DUMMYFUNCTION("GOOGLETRANSLATE(D:D,""auto"",""en"")"),"#VALUE!")</f>
        <v>#VALUE!</v>
      </c>
    </row>
    <row r="12451" spans="3:3" ht="13.5" customHeight="1">
      <c r="C12451" s="4" t="str">
        <f ca="1">IFERROR(__xludf.DUMMYFUNCTION("GOOGLETRANSLATE(D:D,""auto"",""en"")"),"#VALUE!")</f>
        <v>#VALUE!</v>
      </c>
    </row>
    <row r="12452" spans="3:3" ht="13.5" customHeight="1">
      <c r="C12452" s="4" t="str">
        <f ca="1">IFERROR(__xludf.DUMMYFUNCTION("GOOGLETRANSLATE(D:D,""auto"",""en"")"),"#VALUE!")</f>
        <v>#VALUE!</v>
      </c>
    </row>
    <row r="12453" spans="3:3" ht="13.5" customHeight="1">
      <c r="C12453" s="4" t="str">
        <f ca="1">IFERROR(__xludf.DUMMYFUNCTION("GOOGLETRANSLATE(D:D,""auto"",""en"")"),"#VALUE!")</f>
        <v>#VALUE!</v>
      </c>
    </row>
    <row r="12454" spans="3:3" ht="13.5" customHeight="1">
      <c r="C12454" s="4" t="str">
        <f ca="1">IFERROR(__xludf.DUMMYFUNCTION("GOOGLETRANSLATE(D:D,""auto"",""en"")"),"#VALUE!")</f>
        <v>#VALUE!</v>
      </c>
    </row>
    <row r="12455" spans="3:3" ht="13.5" customHeight="1">
      <c r="C12455" s="4" t="str">
        <f ca="1">IFERROR(__xludf.DUMMYFUNCTION("GOOGLETRANSLATE(D:D,""auto"",""en"")"),"#VALUE!")</f>
        <v>#VALUE!</v>
      </c>
    </row>
    <row r="12456" spans="3:3" ht="13.5" customHeight="1">
      <c r="C12456" s="4" t="str">
        <f ca="1">IFERROR(__xludf.DUMMYFUNCTION("GOOGLETRANSLATE(D:D,""auto"",""en"")"),"#VALUE!")</f>
        <v>#VALUE!</v>
      </c>
    </row>
    <row r="12457" spans="3:3" ht="13.5" customHeight="1">
      <c r="C12457" s="4" t="str">
        <f ca="1">IFERROR(__xludf.DUMMYFUNCTION("GOOGLETRANSLATE(D:D,""auto"",""en"")"),"#VALUE!")</f>
        <v>#VALUE!</v>
      </c>
    </row>
    <row r="12458" spans="3:3" ht="13.5" customHeight="1">
      <c r="C12458" s="4" t="str">
        <f ca="1">IFERROR(__xludf.DUMMYFUNCTION("GOOGLETRANSLATE(D:D,""auto"",""en"")"),"#VALUE!")</f>
        <v>#VALUE!</v>
      </c>
    </row>
    <row r="12459" spans="3:3" ht="13.5" customHeight="1">
      <c r="C12459" s="4" t="str">
        <f ca="1">IFERROR(__xludf.DUMMYFUNCTION("GOOGLETRANSLATE(D:D,""auto"",""en"")"),"#VALUE!")</f>
        <v>#VALUE!</v>
      </c>
    </row>
    <row r="12460" spans="3:3" ht="13.5" customHeight="1">
      <c r="C12460" s="4" t="str">
        <f ca="1">IFERROR(__xludf.DUMMYFUNCTION("GOOGLETRANSLATE(D:D,""auto"",""en"")"),"#VALUE!")</f>
        <v>#VALUE!</v>
      </c>
    </row>
    <row r="12461" spans="3:3" ht="13.5" customHeight="1">
      <c r="C12461" s="4" t="str">
        <f ca="1">IFERROR(__xludf.DUMMYFUNCTION("GOOGLETRANSLATE(D:D,""auto"",""en"")"),"#VALUE!")</f>
        <v>#VALUE!</v>
      </c>
    </row>
    <row r="12462" spans="3:3" ht="13.5" customHeight="1">
      <c r="C12462" s="4" t="str">
        <f ca="1">IFERROR(__xludf.DUMMYFUNCTION("GOOGLETRANSLATE(D:D,""auto"",""en"")"),"#VALUE!")</f>
        <v>#VALUE!</v>
      </c>
    </row>
    <row r="12463" spans="3:3" ht="13.5" customHeight="1">
      <c r="C12463" s="4" t="str">
        <f ca="1">IFERROR(__xludf.DUMMYFUNCTION("GOOGLETRANSLATE(D:D,""auto"",""en"")"),"#VALUE!")</f>
        <v>#VALUE!</v>
      </c>
    </row>
    <row r="12464" spans="3:3" ht="13.5" customHeight="1">
      <c r="C12464" s="4" t="str">
        <f ca="1">IFERROR(__xludf.DUMMYFUNCTION("GOOGLETRANSLATE(D:D,""auto"",""en"")"),"#VALUE!")</f>
        <v>#VALUE!</v>
      </c>
    </row>
    <row r="12465" spans="3:3" ht="13.5" customHeight="1">
      <c r="C12465" s="4" t="str">
        <f ca="1">IFERROR(__xludf.DUMMYFUNCTION("GOOGLETRANSLATE(D:D,""auto"",""en"")"),"#VALUE!")</f>
        <v>#VALUE!</v>
      </c>
    </row>
    <row r="12466" spans="3:3" ht="13.5" customHeight="1">
      <c r="C12466" s="4" t="str">
        <f ca="1">IFERROR(__xludf.DUMMYFUNCTION("GOOGLETRANSLATE(D:D,""auto"",""en"")"),"#VALUE!")</f>
        <v>#VALUE!</v>
      </c>
    </row>
    <row r="12467" spans="3:3" ht="13.5" customHeight="1">
      <c r="C12467" s="4" t="str">
        <f ca="1">IFERROR(__xludf.DUMMYFUNCTION("GOOGLETRANSLATE(D:D,""auto"",""en"")"),"#VALUE!")</f>
        <v>#VALUE!</v>
      </c>
    </row>
    <row r="12468" spans="3:3" ht="13.5" customHeight="1">
      <c r="C12468" s="4" t="str">
        <f ca="1">IFERROR(__xludf.DUMMYFUNCTION("GOOGLETRANSLATE(D:D,""auto"",""en"")"),"#VALUE!")</f>
        <v>#VALUE!</v>
      </c>
    </row>
    <row r="12469" spans="3:3" ht="13.5" customHeight="1">
      <c r="C12469" s="4" t="str">
        <f ca="1">IFERROR(__xludf.DUMMYFUNCTION("GOOGLETRANSLATE(D:D,""auto"",""en"")"),"#VALUE!")</f>
        <v>#VALUE!</v>
      </c>
    </row>
    <row r="12470" spans="3:3" ht="13.5" customHeight="1">
      <c r="C12470" s="4" t="str">
        <f ca="1">IFERROR(__xludf.DUMMYFUNCTION("GOOGLETRANSLATE(D:D,""auto"",""en"")"),"#VALUE!")</f>
        <v>#VALUE!</v>
      </c>
    </row>
    <row r="12471" spans="3:3" ht="13.5" customHeight="1">
      <c r="C12471" s="4" t="str">
        <f ca="1">IFERROR(__xludf.DUMMYFUNCTION("GOOGLETRANSLATE(D:D,""auto"",""en"")"),"#VALUE!")</f>
        <v>#VALUE!</v>
      </c>
    </row>
    <row r="12472" spans="3:3" ht="13.5" customHeight="1">
      <c r="C12472" s="4" t="str">
        <f ca="1">IFERROR(__xludf.DUMMYFUNCTION("GOOGLETRANSLATE(D:D,""auto"",""en"")"),"#VALUE!")</f>
        <v>#VALUE!</v>
      </c>
    </row>
    <row r="12473" spans="3:3" ht="13.5" customHeight="1">
      <c r="C12473" s="4" t="str">
        <f ca="1">IFERROR(__xludf.DUMMYFUNCTION("GOOGLETRANSLATE(D:D,""auto"",""en"")"),"#VALUE!")</f>
        <v>#VALUE!</v>
      </c>
    </row>
    <row r="12474" spans="3:3" ht="13.5" customHeight="1">
      <c r="C12474" s="4" t="str">
        <f ca="1">IFERROR(__xludf.DUMMYFUNCTION("GOOGLETRANSLATE(D:D,""auto"",""en"")"),"#VALUE!")</f>
        <v>#VALUE!</v>
      </c>
    </row>
    <row r="12475" spans="3:3" ht="13.5" customHeight="1">
      <c r="C12475" s="4" t="str">
        <f ca="1">IFERROR(__xludf.DUMMYFUNCTION("GOOGLETRANSLATE(D:D,""auto"",""en"")"),"#VALUE!")</f>
        <v>#VALUE!</v>
      </c>
    </row>
    <row r="12476" spans="3:3" ht="13.5" customHeight="1">
      <c r="C12476" s="4" t="str">
        <f ca="1">IFERROR(__xludf.DUMMYFUNCTION("GOOGLETRANSLATE(D:D,""auto"",""en"")"),"#VALUE!")</f>
        <v>#VALUE!</v>
      </c>
    </row>
    <row r="12477" spans="3:3" ht="13.5" customHeight="1">
      <c r="C12477" s="4" t="str">
        <f ca="1">IFERROR(__xludf.DUMMYFUNCTION("GOOGLETRANSLATE(D:D,""auto"",""en"")"),"#VALUE!")</f>
        <v>#VALUE!</v>
      </c>
    </row>
    <row r="12478" spans="3:3" ht="13.5" customHeight="1">
      <c r="C12478" s="4" t="str">
        <f ca="1">IFERROR(__xludf.DUMMYFUNCTION("GOOGLETRANSLATE(D:D,""auto"",""en"")"),"#VALUE!")</f>
        <v>#VALUE!</v>
      </c>
    </row>
    <row r="12479" spans="3:3" ht="13.5" customHeight="1">
      <c r="C12479" s="4" t="str">
        <f ca="1">IFERROR(__xludf.DUMMYFUNCTION("GOOGLETRANSLATE(D:D,""auto"",""en"")"),"#VALUE!")</f>
        <v>#VALUE!</v>
      </c>
    </row>
    <row r="12480" spans="3:3" ht="13.5" customHeight="1">
      <c r="C12480" s="4" t="str">
        <f ca="1">IFERROR(__xludf.DUMMYFUNCTION("GOOGLETRANSLATE(D:D,""auto"",""en"")"),"#VALUE!")</f>
        <v>#VALUE!</v>
      </c>
    </row>
    <row r="12481" spans="3:3" ht="13.5" customHeight="1">
      <c r="C12481" s="4" t="str">
        <f ca="1">IFERROR(__xludf.DUMMYFUNCTION("GOOGLETRANSLATE(D:D,""auto"",""en"")"),"#VALUE!")</f>
        <v>#VALUE!</v>
      </c>
    </row>
    <row r="12482" spans="3:3" ht="13.5" customHeight="1">
      <c r="C12482" s="4" t="str">
        <f ca="1">IFERROR(__xludf.DUMMYFUNCTION("GOOGLETRANSLATE(D:D,""auto"",""en"")"),"#VALUE!")</f>
        <v>#VALUE!</v>
      </c>
    </row>
    <row r="12483" spans="3:3" ht="13.5" customHeight="1">
      <c r="C12483" s="4" t="str">
        <f ca="1">IFERROR(__xludf.DUMMYFUNCTION("GOOGLETRANSLATE(D:D,""auto"",""en"")"),"#VALUE!")</f>
        <v>#VALUE!</v>
      </c>
    </row>
    <row r="12484" spans="3:3" ht="13.5" customHeight="1">
      <c r="C12484" s="4" t="str">
        <f ca="1">IFERROR(__xludf.DUMMYFUNCTION("GOOGLETRANSLATE(D:D,""auto"",""en"")"),"#VALUE!")</f>
        <v>#VALUE!</v>
      </c>
    </row>
    <row r="12485" spans="3:3" ht="13.5" customHeight="1">
      <c r="C12485" s="4" t="str">
        <f ca="1">IFERROR(__xludf.DUMMYFUNCTION("GOOGLETRANSLATE(D:D,""auto"",""en"")"),"#VALUE!")</f>
        <v>#VALUE!</v>
      </c>
    </row>
    <row r="12486" spans="3:3" ht="13.5" customHeight="1">
      <c r="C12486" s="4" t="str">
        <f ca="1">IFERROR(__xludf.DUMMYFUNCTION("GOOGLETRANSLATE(D:D,""auto"",""en"")"),"#VALUE!")</f>
        <v>#VALUE!</v>
      </c>
    </row>
    <row r="12487" spans="3:3" ht="13.5" customHeight="1">
      <c r="C12487" s="4" t="str">
        <f ca="1">IFERROR(__xludf.DUMMYFUNCTION("GOOGLETRANSLATE(D:D,""auto"",""en"")"),"#VALUE!")</f>
        <v>#VALUE!</v>
      </c>
    </row>
    <row r="12488" spans="3:3" ht="13.5" customHeight="1">
      <c r="C12488" s="4" t="str">
        <f ca="1">IFERROR(__xludf.DUMMYFUNCTION("GOOGLETRANSLATE(D:D,""auto"",""en"")"),"#VALUE!")</f>
        <v>#VALUE!</v>
      </c>
    </row>
    <row r="12489" spans="3:3" ht="13.5" customHeight="1">
      <c r="C12489" s="4" t="str">
        <f ca="1">IFERROR(__xludf.DUMMYFUNCTION("GOOGLETRANSLATE(D:D,""auto"",""en"")"),"#VALUE!")</f>
        <v>#VALUE!</v>
      </c>
    </row>
    <row r="12490" spans="3:3" ht="13.5" customHeight="1">
      <c r="C12490" s="4" t="str">
        <f ca="1">IFERROR(__xludf.DUMMYFUNCTION("GOOGLETRANSLATE(D:D,""auto"",""en"")"),"#VALUE!")</f>
        <v>#VALUE!</v>
      </c>
    </row>
    <row r="12491" spans="3:3" ht="13.5" customHeight="1">
      <c r="C12491" s="4" t="str">
        <f ca="1">IFERROR(__xludf.DUMMYFUNCTION("GOOGLETRANSLATE(D:D,""auto"",""en"")"),"#VALUE!")</f>
        <v>#VALUE!</v>
      </c>
    </row>
    <row r="12492" spans="3:3" ht="13.5" customHeight="1">
      <c r="C12492" s="4" t="str">
        <f ca="1">IFERROR(__xludf.DUMMYFUNCTION("GOOGLETRANSLATE(D:D,""auto"",""en"")"),"#VALUE!")</f>
        <v>#VALUE!</v>
      </c>
    </row>
    <row r="12493" spans="3:3" ht="13.5" customHeight="1">
      <c r="C12493" s="4" t="str">
        <f ca="1">IFERROR(__xludf.DUMMYFUNCTION("GOOGLETRANSLATE(D:D,""auto"",""en"")"),"#VALUE!")</f>
        <v>#VALUE!</v>
      </c>
    </row>
    <row r="12494" spans="3:3" ht="13.5" customHeight="1">
      <c r="C12494" s="4" t="str">
        <f ca="1">IFERROR(__xludf.DUMMYFUNCTION("GOOGLETRANSLATE(D:D,""auto"",""en"")"),"#VALUE!")</f>
        <v>#VALUE!</v>
      </c>
    </row>
    <row r="12495" spans="3:3" ht="13.5" customHeight="1">
      <c r="C12495" s="4" t="str">
        <f ca="1">IFERROR(__xludf.DUMMYFUNCTION("GOOGLETRANSLATE(D:D,""auto"",""en"")"),"#VALUE!")</f>
        <v>#VALUE!</v>
      </c>
    </row>
    <row r="12496" spans="3:3" ht="13.5" customHeight="1">
      <c r="C12496" s="4" t="str">
        <f ca="1">IFERROR(__xludf.DUMMYFUNCTION("GOOGLETRANSLATE(D:D,""auto"",""en"")"),"#VALUE!")</f>
        <v>#VALUE!</v>
      </c>
    </row>
    <row r="12497" spans="3:3" ht="13.5" customHeight="1">
      <c r="C12497" s="4" t="str">
        <f ca="1">IFERROR(__xludf.DUMMYFUNCTION("GOOGLETRANSLATE(D:D,""auto"",""en"")"),"#VALUE!")</f>
        <v>#VALUE!</v>
      </c>
    </row>
    <row r="12498" spans="3:3" ht="13.5" customHeight="1">
      <c r="C12498" s="4" t="str">
        <f ca="1">IFERROR(__xludf.DUMMYFUNCTION("GOOGLETRANSLATE(D:D,""auto"",""en"")"),"#VALUE!")</f>
        <v>#VALUE!</v>
      </c>
    </row>
    <row r="12499" spans="3:3" ht="13.5" customHeight="1">
      <c r="C12499" s="4" t="str">
        <f ca="1">IFERROR(__xludf.DUMMYFUNCTION("GOOGLETRANSLATE(D:D,""auto"",""en"")"),"#VALUE!")</f>
        <v>#VALUE!</v>
      </c>
    </row>
    <row r="12500" spans="3:3" ht="13.5" customHeight="1">
      <c r="C12500" s="4" t="str">
        <f ca="1">IFERROR(__xludf.DUMMYFUNCTION("GOOGLETRANSLATE(D:D,""auto"",""en"")"),"#VALUE!")</f>
        <v>#VALUE!</v>
      </c>
    </row>
    <row r="12501" spans="3:3" ht="13.5" customHeight="1">
      <c r="C12501" s="4" t="str">
        <f ca="1">IFERROR(__xludf.DUMMYFUNCTION("GOOGLETRANSLATE(D:D,""auto"",""en"")"),"#VALUE!")</f>
        <v>#VALUE!</v>
      </c>
    </row>
    <row r="12502" spans="3:3" ht="13.5" customHeight="1">
      <c r="C12502" s="4" t="str">
        <f ca="1">IFERROR(__xludf.DUMMYFUNCTION("GOOGLETRANSLATE(D:D,""auto"",""en"")"),"#VALUE!")</f>
        <v>#VALUE!</v>
      </c>
    </row>
    <row r="12503" spans="3:3" ht="13.5" customHeight="1">
      <c r="C12503" s="4" t="str">
        <f ca="1">IFERROR(__xludf.DUMMYFUNCTION("GOOGLETRANSLATE(D:D,""auto"",""en"")"),"#VALUE!")</f>
        <v>#VALUE!</v>
      </c>
    </row>
    <row r="12504" spans="3:3" ht="13.5" customHeight="1">
      <c r="C12504" s="4" t="str">
        <f ca="1">IFERROR(__xludf.DUMMYFUNCTION("GOOGLETRANSLATE(D:D,""auto"",""en"")"),"#VALUE!")</f>
        <v>#VALUE!</v>
      </c>
    </row>
    <row r="12505" spans="3:3" ht="13.5" customHeight="1">
      <c r="C12505" s="4" t="str">
        <f ca="1">IFERROR(__xludf.DUMMYFUNCTION("GOOGLETRANSLATE(D:D,""auto"",""en"")"),"#VALUE!")</f>
        <v>#VALUE!</v>
      </c>
    </row>
    <row r="12506" spans="3:3" ht="13.5" customHeight="1">
      <c r="C12506" s="4" t="str">
        <f ca="1">IFERROR(__xludf.DUMMYFUNCTION("GOOGLETRANSLATE(D:D,""auto"",""en"")"),"#VALUE!")</f>
        <v>#VALUE!</v>
      </c>
    </row>
    <row r="12507" spans="3:3" ht="13.5" customHeight="1">
      <c r="C12507" s="4" t="str">
        <f ca="1">IFERROR(__xludf.DUMMYFUNCTION("GOOGLETRANSLATE(D:D,""auto"",""en"")"),"#VALUE!")</f>
        <v>#VALUE!</v>
      </c>
    </row>
    <row r="12508" spans="3:3" ht="13.5" customHeight="1">
      <c r="C12508" s="4" t="str">
        <f ca="1">IFERROR(__xludf.DUMMYFUNCTION("GOOGLETRANSLATE(D:D,""auto"",""en"")"),"#VALUE!")</f>
        <v>#VALUE!</v>
      </c>
    </row>
    <row r="12509" spans="3:3" ht="13.5" customHeight="1">
      <c r="C12509" s="4" t="str">
        <f ca="1">IFERROR(__xludf.DUMMYFUNCTION("GOOGLETRANSLATE(D:D,""auto"",""en"")"),"#VALUE!")</f>
        <v>#VALUE!</v>
      </c>
    </row>
    <row r="12510" spans="3:3" ht="13.5" customHeight="1">
      <c r="C12510" s="4" t="str">
        <f ca="1">IFERROR(__xludf.DUMMYFUNCTION("GOOGLETRANSLATE(D:D,""auto"",""en"")"),"#VALUE!")</f>
        <v>#VALUE!</v>
      </c>
    </row>
    <row r="12511" spans="3:3" ht="13.5" customHeight="1">
      <c r="C12511" s="4" t="str">
        <f ca="1">IFERROR(__xludf.DUMMYFUNCTION("GOOGLETRANSLATE(D:D,""auto"",""en"")"),"#VALUE!")</f>
        <v>#VALUE!</v>
      </c>
    </row>
    <row r="12512" spans="3:3" ht="13.5" customHeight="1">
      <c r="C12512" s="4" t="str">
        <f ca="1">IFERROR(__xludf.DUMMYFUNCTION("GOOGLETRANSLATE(D:D,""auto"",""en"")"),"#VALUE!")</f>
        <v>#VALUE!</v>
      </c>
    </row>
    <row r="12513" spans="3:3" ht="13.5" customHeight="1">
      <c r="C12513" s="4" t="str">
        <f ca="1">IFERROR(__xludf.DUMMYFUNCTION("GOOGLETRANSLATE(D:D,""auto"",""en"")"),"#VALUE!")</f>
        <v>#VALUE!</v>
      </c>
    </row>
    <row r="12514" spans="3:3" ht="13.5" customHeight="1">
      <c r="C12514" s="4" t="str">
        <f ca="1">IFERROR(__xludf.DUMMYFUNCTION("GOOGLETRANSLATE(D:D,""auto"",""en"")"),"#VALUE!")</f>
        <v>#VALUE!</v>
      </c>
    </row>
    <row r="12515" spans="3:3" ht="13.5" customHeight="1">
      <c r="C12515" s="4" t="str">
        <f ca="1">IFERROR(__xludf.DUMMYFUNCTION("GOOGLETRANSLATE(D:D,""auto"",""en"")"),"#VALUE!")</f>
        <v>#VALUE!</v>
      </c>
    </row>
    <row r="12516" spans="3:3" ht="13.5" customHeight="1">
      <c r="C12516" s="4" t="str">
        <f ca="1">IFERROR(__xludf.DUMMYFUNCTION("GOOGLETRANSLATE(D:D,""auto"",""en"")"),"#VALUE!")</f>
        <v>#VALUE!</v>
      </c>
    </row>
    <row r="12517" spans="3:3" ht="13.5" customHeight="1">
      <c r="C12517" s="4" t="str">
        <f ca="1">IFERROR(__xludf.DUMMYFUNCTION("GOOGLETRANSLATE(D:D,""auto"",""en"")"),"#VALUE!")</f>
        <v>#VALUE!</v>
      </c>
    </row>
    <row r="12518" spans="3:3" ht="13.5" customHeight="1">
      <c r="C12518" s="4" t="str">
        <f ca="1">IFERROR(__xludf.DUMMYFUNCTION("GOOGLETRANSLATE(D:D,""auto"",""en"")"),"#VALUE!")</f>
        <v>#VALUE!</v>
      </c>
    </row>
    <row r="12519" spans="3:3" ht="13.5" customHeight="1">
      <c r="C12519" s="4" t="str">
        <f ca="1">IFERROR(__xludf.DUMMYFUNCTION("GOOGLETRANSLATE(D:D,""auto"",""en"")"),"#VALUE!")</f>
        <v>#VALUE!</v>
      </c>
    </row>
    <row r="12520" spans="3:3" ht="13.5" customHeight="1">
      <c r="C12520" s="4" t="str">
        <f ca="1">IFERROR(__xludf.DUMMYFUNCTION("GOOGLETRANSLATE(D:D,""auto"",""en"")"),"#VALUE!")</f>
        <v>#VALUE!</v>
      </c>
    </row>
    <row r="12521" spans="3:3" ht="13.5" customHeight="1">
      <c r="C12521" s="4" t="str">
        <f ca="1">IFERROR(__xludf.DUMMYFUNCTION("GOOGLETRANSLATE(D:D,""auto"",""en"")"),"#VALUE!")</f>
        <v>#VALUE!</v>
      </c>
    </row>
    <row r="12522" spans="3:3" ht="13.5" customHeight="1">
      <c r="C12522" s="4" t="str">
        <f ca="1">IFERROR(__xludf.DUMMYFUNCTION("GOOGLETRANSLATE(D:D,""auto"",""en"")"),"#VALUE!")</f>
        <v>#VALUE!</v>
      </c>
    </row>
    <row r="12523" spans="3:3" ht="13.5" customHeight="1">
      <c r="C12523" s="4" t="str">
        <f ca="1">IFERROR(__xludf.DUMMYFUNCTION("GOOGLETRANSLATE(D:D,""auto"",""en"")"),"#VALUE!")</f>
        <v>#VALUE!</v>
      </c>
    </row>
    <row r="12524" spans="3:3" ht="13.5" customHeight="1">
      <c r="C12524" s="4" t="str">
        <f ca="1">IFERROR(__xludf.DUMMYFUNCTION("GOOGLETRANSLATE(D:D,""auto"",""en"")"),"#VALUE!")</f>
        <v>#VALUE!</v>
      </c>
    </row>
    <row r="12525" spans="3:3" ht="13.5" customHeight="1">
      <c r="C12525" s="4" t="str">
        <f ca="1">IFERROR(__xludf.DUMMYFUNCTION("GOOGLETRANSLATE(D:D,""auto"",""en"")"),"#VALUE!")</f>
        <v>#VALUE!</v>
      </c>
    </row>
    <row r="12526" spans="3:3" ht="13.5" customHeight="1">
      <c r="C12526" s="4" t="str">
        <f ca="1">IFERROR(__xludf.DUMMYFUNCTION("GOOGLETRANSLATE(D:D,""auto"",""en"")"),"#VALUE!")</f>
        <v>#VALUE!</v>
      </c>
    </row>
    <row r="12527" spans="3:3" ht="13.5" customHeight="1">
      <c r="C12527" s="4" t="str">
        <f ca="1">IFERROR(__xludf.DUMMYFUNCTION("GOOGLETRANSLATE(D:D,""auto"",""en"")"),"#VALUE!")</f>
        <v>#VALUE!</v>
      </c>
    </row>
    <row r="12528" spans="3:3" ht="13.5" customHeight="1">
      <c r="C12528" s="4" t="str">
        <f ca="1">IFERROR(__xludf.DUMMYFUNCTION("GOOGLETRANSLATE(D:D,""auto"",""en"")"),"#VALUE!")</f>
        <v>#VALUE!</v>
      </c>
    </row>
    <row r="12529" spans="3:3" ht="13.5" customHeight="1">
      <c r="C12529" s="4" t="str">
        <f ca="1">IFERROR(__xludf.DUMMYFUNCTION("GOOGLETRANSLATE(D:D,""auto"",""en"")"),"#VALUE!")</f>
        <v>#VALUE!</v>
      </c>
    </row>
    <row r="12530" spans="3:3" ht="13.5" customHeight="1">
      <c r="C12530" s="4" t="str">
        <f ca="1">IFERROR(__xludf.DUMMYFUNCTION("GOOGLETRANSLATE(D:D,""auto"",""en"")"),"#VALUE!")</f>
        <v>#VALUE!</v>
      </c>
    </row>
    <row r="12531" spans="3:3" ht="13.5" customHeight="1">
      <c r="C12531" s="4" t="str">
        <f ca="1">IFERROR(__xludf.DUMMYFUNCTION("GOOGLETRANSLATE(D:D,""auto"",""en"")"),"#VALUE!")</f>
        <v>#VALUE!</v>
      </c>
    </row>
    <row r="12532" spans="3:3" ht="13.5" customHeight="1">
      <c r="C12532" s="4" t="str">
        <f ca="1">IFERROR(__xludf.DUMMYFUNCTION("GOOGLETRANSLATE(D:D,""auto"",""en"")"),"#VALUE!")</f>
        <v>#VALUE!</v>
      </c>
    </row>
    <row r="12533" spans="3:3" ht="13.5" customHeight="1">
      <c r="C12533" s="4" t="str">
        <f ca="1">IFERROR(__xludf.DUMMYFUNCTION("GOOGLETRANSLATE(D:D,""auto"",""en"")"),"#VALUE!")</f>
        <v>#VALUE!</v>
      </c>
    </row>
    <row r="12534" spans="3:3" ht="13.5" customHeight="1">
      <c r="C12534" s="4" t="str">
        <f ca="1">IFERROR(__xludf.DUMMYFUNCTION("GOOGLETRANSLATE(D:D,""auto"",""en"")"),"#VALUE!")</f>
        <v>#VALUE!</v>
      </c>
    </row>
    <row r="12535" spans="3:3" ht="13.5" customHeight="1">
      <c r="C12535" s="4" t="str">
        <f ca="1">IFERROR(__xludf.DUMMYFUNCTION("GOOGLETRANSLATE(D:D,""auto"",""en"")"),"#VALUE!")</f>
        <v>#VALUE!</v>
      </c>
    </row>
    <row r="12536" spans="3:3" ht="13.5" customHeight="1">
      <c r="C12536" s="4" t="str">
        <f ca="1">IFERROR(__xludf.DUMMYFUNCTION("GOOGLETRANSLATE(D:D,""auto"",""en"")"),"#VALUE!")</f>
        <v>#VALUE!</v>
      </c>
    </row>
    <row r="12537" spans="3:3" ht="13.5" customHeight="1">
      <c r="C12537" s="4" t="str">
        <f ca="1">IFERROR(__xludf.DUMMYFUNCTION("GOOGLETRANSLATE(D:D,""auto"",""en"")"),"#VALUE!")</f>
        <v>#VALUE!</v>
      </c>
    </row>
    <row r="12538" spans="3:3" ht="13.5" customHeight="1">
      <c r="C12538" s="4" t="str">
        <f ca="1">IFERROR(__xludf.DUMMYFUNCTION("GOOGLETRANSLATE(D:D,""auto"",""en"")"),"#VALUE!")</f>
        <v>#VALUE!</v>
      </c>
    </row>
    <row r="12539" spans="3:3" ht="13.5" customHeight="1">
      <c r="C12539" s="4" t="str">
        <f ca="1">IFERROR(__xludf.DUMMYFUNCTION("GOOGLETRANSLATE(D:D,""auto"",""en"")"),"#VALUE!")</f>
        <v>#VALUE!</v>
      </c>
    </row>
    <row r="12540" spans="3:3" ht="13.5" customHeight="1">
      <c r="C12540" s="4" t="str">
        <f ca="1">IFERROR(__xludf.DUMMYFUNCTION("GOOGLETRANSLATE(D:D,""auto"",""en"")"),"#VALUE!")</f>
        <v>#VALUE!</v>
      </c>
    </row>
    <row r="12541" spans="3:3" ht="13.5" customHeight="1">
      <c r="C12541" s="4" t="str">
        <f ca="1">IFERROR(__xludf.DUMMYFUNCTION("GOOGLETRANSLATE(D:D,""auto"",""en"")"),"#VALUE!")</f>
        <v>#VALUE!</v>
      </c>
    </row>
    <row r="12542" spans="3:3" ht="13.5" customHeight="1">
      <c r="C12542" s="4" t="str">
        <f ca="1">IFERROR(__xludf.DUMMYFUNCTION("GOOGLETRANSLATE(D:D,""auto"",""en"")"),"#VALUE!")</f>
        <v>#VALUE!</v>
      </c>
    </row>
    <row r="12543" spans="3:3" ht="13.5" customHeight="1">
      <c r="C12543" s="4" t="str">
        <f ca="1">IFERROR(__xludf.DUMMYFUNCTION("GOOGLETRANSLATE(D:D,""auto"",""en"")"),"#VALUE!")</f>
        <v>#VALUE!</v>
      </c>
    </row>
    <row r="12544" spans="3:3" ht="13.5" customHeight="1">
      <c r="C12544" s="4" t="str">
        <f ca="1">IFERROR(__xludf.DUMMYFUNCTION("GOOGLETRANSLATE(D:D,""auto"",""en"")"),"#VALUE!")</f>
        <v>#VALUE!</v>
      </c>
    </row>
    <row r="12545" spans="3:3" ht="13.5" customHeight="1">
      <c r="C12545" s="4" t="str">
        <f ca="1">IFERROR(__xludf.DUMMYFUNCTION("GOOGLETRANSLATE(D:D,""auto"",""en"")"),"#VALUE!")</f>
        <v>#VALUE!</v>
      </c>
    </row>
    <row r="12546" spans="3:3" ht="13.5" customHeight="1">
      <c r="C12546" s="4" t="str">
        <f ca="1">IFERROR(__xludf.DUMMYFUNCTION("GOOGLETRANSLATE(D:D,""auto"",""en"")"),"#VALUE!")</f>
        <v>#VALUE!</v>
      </c>
    </row>
    <row r="12547" spans="3:3" ht="13.5" customHeight="1">
      <c r="C12547" s="4" t="str">
        <f ca="1">IFERROR(__xludf.DUMMYFUNCTION("GOOGLETRANSLATE(D:D,""auto"",""en"")"),"#VALUE!")</f>
        <v>#VALUE!</v>
      </c>
    </row>
    <row r="12548" spans="3:3" ht="13.5" customHeight="1">
      <c r="C12548" s="4" t="str">
        <f ca="1">IFERROR(__xludf.DUMMYFUNCTION("GOOGLETRANSLATE(D:D,""auto"",""en"")"),"#VALUE!")</f>
        <v>#VALUE!</v>
      </c>
    </row>
    <row r="12549" spans="3:3" ht="13.5" customHeight="1">
      <c r="C12549" s="4" t="str">
        <f ca="1">IFERROR(__xludf.DUMMYFUNCTION("GOOGLETRANSLATE(D:D,""auto"",""en"")"),"#VALUE!")</f>
        <v>#VALUE!</v>
      </c>
    </row>
    <row r="12550" spans="3:3" ht="13.5" customHeight="1">
      <c r="C12550" s="4" t="str">
        <f ca="1">IFERROR(__xludf.DUMMYFUNCTION("GOOGLETRANSLATE(D:D,""auto"",""en"")"),"#VALUE!")</f>
        <v>#VALUE!</v>
      </c>
    </row>
    <row r="12551" spans="3:3" ht="13.5" customHeight="1">
      <c r="C12551" s="4" t="str">
        <f ca="1">IFERROR(__xludf.DUMMYFUNCTION("GOOGLETRANSLATE(D:D,""auto"",""en"")"),"#VALUE!")</f>
        <v>#VALUE!</v>
      </c>
    </row>
    <row r="12552" spans="3:3" ht="13.5" customHeight="1">
      <c r="C12552" s="4" t="str">
        <f ca="1">IFERROR(__xludf.DUMMYFUNCTION("GOOGLETRANSLATE(D:D,""auto"",""en"")"),"#VALUE!")</f>
        <v>#VALUE!</v>
      </c>
    </row>
    <row r="12553" spans="3:3" ht="13.5" customHeight="1">
      <c r="C12553" s="4" t="str">
        <f ca="1">IFERROR(__xludf.DUMMYFUNCTION("GOOGLETRANSLATE(D:D,""auto"",""en"")"),"#VALUE!")</f>
        <v>#VALUE!</v>
      </c>
    </row>
    <row r="12554" spans="3:3" ht="13.5" customHeight="1">
      <c r="C12554" s="4" t="str">
        <f ca="1">IFERROR(__xludf.DUMMYFUNCTION("GOOGLETRANSLATE(D:D,""auto"",""en"")"),"#VALUE!")</f>
        <v>#VALUE!</v>
      </c>
    </row>
    <row r="12555" spans="3:3" ht="13.5" customHeight="1">
      <c r="C12555" s="4" t="str">
        <f ca="1">IFERROR(__xludf.DUMMYFUNCTION("GOOGLETRANSLATE(D:D,""auto"",""en"")"),"#VALUE!")</f>
        <v>#VALUE!</v>
      </c>
    </row>
    <row r="12556" spans="3:3" ht="13.5" customHeight="1">
      <c r="C12556" s="4" t="str">
        <f ca="1">IFERROR(__xludf.DUMMYFUNCTION("GOOGLETRANSLATE(D:D,""auto"",""en"")"),"#VALUE!")</f>
        <v>#VALUE!</v>
      </c>
    </row>
    <row r="12557" spans="3:3" ht="13.5" customHeight="1">
      <c r="C12557" s="4" t="str">
        <f ca="1">IFERROR(__xludf.DUMMYFUNCTION("GOOGLETRANSLATE(D:D,""auto"",""en"")"),"#VALUE!")</f>
        <v>#VALUE!</v>
      </c>
    </row>
    <row r="12558" spans="3:3" ht="13.5" customHeight="1">
      <c r="C12558" s="4" t="str">
        <f ca="1">IFERROR(__xludf.DUMMYFUNCTION("GOOGLETRANSLATE(D:D,""auto"",""en"")"),"#VALUE!")</f>
        <v>#VALUE!</v>
      </c>
    </row>
    <row r="12559" spans="3:3" ht="13.5" customHeight="1">
      <c r="C12559" s="4" t="str">
        <f ca="1">IFERROR(__xludf.DUMMYFUNCTION("GOOGLETRANSLATE(D:D,""auto"",""en"")"),"#VALUE!")</f>
        <v>#VALUE!</v>
      </c>
    </row>
    <row r="12560" spans="3:3" ht="13.5" customHeight="1">
      <c r="C12560" s="4" t="str">
        <f ca="1">IFERROR(__xludf.DUMMYFUNCTION("GOOGLETRANSLATE(D:D,""auto"",""en"")"),"#VALUE!")</f>
        <v>#VALUE!</v>
      </c>
    </row>
    <row r="12561" spans="3:3" ht="13.5" customHeight="1">
      <c r="C12561" s="4" t="str">
        <f ca="1">IFERROR(__xludf.DUMMYFUNCTION("GOOGLETRANSLATE(D:D,""auto"",""en"")"),"#VALUE!")</f>
        <v>#VALUE!</v>
      </c>
    </row>
    <row r="12562" spans="3:3" ht="13.5" customHeight="1">
      <c r="C12562" s="4" t="str">
        <f ca="1">IFERROR(__xludf.DUMMYFUNCTION("GOOGLETRANSLATE(D:D,""auto"",""en"")"),"#VALUE!")</f>
        <v>#VALUE!</v>
      </c>
    </row>
    <row r="12563" spans="3:3" ht="13.5" customHeight="1">
      <c r="C12563" s="4" t="str">
        <f ca="1">IFERROR(__xludf.DUMMYFUNCTION("GOOGLETRANSLATE(D:D,""auto"",""en"")"),"#VALUE!")</f>
        <v>#VALUE!</v>
      </c>
    </row>
    <row r="12564" spans="3:3" ht="13.5" customHeight="1">
      <c r="C12564" s="4" t="str">
        <f ca="1">IFERROR(__xludf.DUMMYFUNCTION("GOOGLETRANSLATE(D:D,""auto"",""en"")"),"#VALUE!")</f>
        <v>#VALUE!</v>
      </c>
    </row>
    <row r="12565" spans="3:3" ht="13.5" customHeight="1">
      <c r="C12565" s="4" t="str">
        <f ca="1">IFERROR(__xludf.DUMMYFUNCTION("GOOGLETRANSLATE(D:D,""auto"",""en"")"),"#VALUE!")</f>
        <v>#VALUE!</v>
      </c>
    </row>
    <row r="12566" spans="3:3" ht="13.5" customHeight="1">
      <c r="C12566" s="4" t="str">
        <f ca="1">IFERROR(__xludf.DUMMYFUNCTION("GOOGLETRANSLATE(D:D,""auto"",""en"")"),"#VALUE!")</f>
        <v>#VALUE!</v>
      </c>
    </row>
    <row r="12567" spans="3:3" ht="13.5" customHeight="1">
      <c r="C12567" s="4" t="str">
        <f ca="1">IFERROR(__xludf.DUMMYFUNCTION("GOOGLETRANSLATE(D:D,""auto"",""en"")"),"#VALUE!")</f>
        <v>#VALUE!</v>
      </c>
    </row>
    <row r="12568" spans="3:3" ht="13.5" customHeight="1">
      <c r="C12568" s="4" t="str">
        <f ca="1">IFERROR(__xludf.DUMMYFUNCTION("GOOGLETRANSLATE(D:D,""auto"",""en"")"),"#VALUE!")</f>
        <v>#VALUE!</v>
      </c>
    </row>
    <row r="12569" spans="3:3" ht="13.5" customHeight="1">
      <c r="C12569" s="4" t="str">
        <f ca="1">IFERROR(__xludf.DUMMYFUNCTION("GOOGLETRANSLATE(D:D,""auto"",""en"")"),"#VALUE!")</f>
        <v>#VALUE!</v>
      </c>
    </row>
    <row r="12570" spans="3:3" ht="13.5" customHeight="1">
      <c r="C12570" s="4" t="str">
        <f ca="1">IFERROR(__xludf.DUMMYFUNCTION("GOOGLETRANSLATE(D:D,""auto"",""en"")"),"#VALUE!")</f>
        <v>#VALUE!</v>
      </c>
    </row>
    <row r="12571" spans="3:3" ht="13.5" customHeight="1">
      <c r="C12571" s="4" t="str">
        <f ca="1">IFERROR(__xludf.DUMMYFUNCTION("GOOGLETRANSLATE(D:D,""auto"",""en"")"),"#VALUE!")</f>
        <v>#VALUE!</v>
      </c>
    </row>
    <row r="12572" spans="3:3" ht="13.5" customHeight="1">
      <c r="C12572" s="4" t="str">
        <f ca="1">IFERROR(__xludf.DUMMYFUNCTION("GOOGLETRANSLATE(D:D,""auto"",""en"")"),"#VALUE!")</f>
        <v>#VALUE!</v>
      </c>
    </row>
    <row r="12573" spans="3:3" ht="13.5" customHeight="1">
      <c r="C12573" s="4" t="str">
        <f ca="1">IFERROR(__xludf.DUMMYFUNCTION("GOOGLETRANSLATE(D:D,""auto"",""en"")"),"#VALUE!")</f>
        <v>#VALUE!</v>
      </c>
    </row>
    <row r="12574" spans="3:3" ht="13.5" customHeight="1">
      <c r="C12574" s="4" t="str">
        <f ca="1">IFERROR(__xludf.DUMMYFUNCTION("GOOGLETRANSLATE(D:D,""auto"",""en"")"),"#VALUE!")</f>
        <v>#VALUE!</v>
      </c>
    </row>
    <row r="12575" spans="3:3" ht="13.5" customHeight="1">
      <c r="C12575" s="4" t="str">
        <f ca="1">IFERROR(__xludf.DUMMYFUNCTION("GOOGLETRANSLATE(D:D,""auto"",""en"")"),"#VALUE!")</f>
        <v>#VALUE!</v>
      </c>
    </row>
    <row r="12576" spans="3:3" ht="13.5" customHeight="1">
      <c r="C12576" s="4" t="str">
        <f ca="1">IFERROR(__xludf.DUMMYFUNCTION("GOOGLETRANSLATE(D:D,""auto"",""en"")"),"#VALUE!")</f>
        <v>#VALUE!</v>
      </c>
    </row>
    <row r="12577" spans="3:3" ht="13.5" customHeight="1">
      <c r="C12577" s="4" t="str">
        <f ca="1">IFERROR(__xludf.DUMMYFUNCTION("GOOGLETRANSLATE(D:D,""auto"",""en"")"),"#VALUE!")</f>
        <v>#VALUE!</v>
      </c>
    </row>
    <row r="12578" spans="3:3" ht="13.5" customHeight="1">
      <c r="C12578" s="4" t="str">
        <f ca="1">IFERROR(__xludf.DUMMYFUNCTION("GOOGLETRANSLATE(D:D,""auto"",""en"")"),"#VALUE!")</f>
        <v>#VALUE!</v>
      </c>
    </row>
    <row r="12579" spans="3:3" ht="13.5" customHeight="1">
      <c r="C12579" s="4" t="str">
        <f ca="1">IFERROR(__xludf.DUMMYFUNCTION("GOOGLETRANSLATE(D:D,""auto"",""en"")"),"#VALUE!")</f>
        <v>#VALUE!</v>
      </c>
    </row>
    <row r="12580" spans="3:3" ht="13.5" customHeight="1">
      <c r="C12580" s="4" t="str">
        <f ca="1">IFERROR(__xludf.DUMMYFUNCTION("GOOGLETRANSLATE(D:D,""auto"",""en"")"),"#VALUE!")</f>
        <v>#VALUE!</v>
      </c>
    </row>
    <row r="12581" spans="3:3" ht="13.5" customHeight="1">
      <c r="C12581" s="4" t="str">
        <f ca="1">IFERROR(__xludf.DUMMYFUNCTION("GOOGLETRANSLATE(D:D,""auto"",""en"")"),"#VALUE!")</f>
        <v>#VALUE!</v>
      </c>
    </row>
    <row r="12582" spans="3:3" ht="13.5" customHeight="1">
      <c r="C12582" s="4" t="str">
        <f ca="1">IFERROR(__xludf.DUMMYFUNCTION("GOOGLETRANSLATE(D:D,""auto"",""en"")"),"#VALUE!")</f>
        <v>#VALUE!</v>
      </c>
    </row>
    <row r="12583" spans="3:3" ht="13.5" customHeight="1">
      <c r="C12583" s="4" t="str">
        <f ca="1">IFERROR(__xludf.DUMMYFUNCTION("GOOGLETRANSLATE(D:D,""auto"",""en"")"),"#VALUE!")</f>
        <v>#VALUE!</v>
      </c>
    </row>
    <row r="12584" spans="3:3" ht="13.5" customHeight="1">
      <c r="C12584" s="4" t="str">
        <f ca="1">IFERROR(__xludf.DUMMYFUNCTION("GOOGLETRANSLATE(D:D,""auto"",""en"")"),"#VALUE!")</f>
        <v>#VALUE!</v>
      </c>
    </row>
    <row r="12585" spans="3:3" ht="13.5" customHeight="1">
      <c r="C12585" s="4" t="str">
        <f ca="1">IFERROR(__xludf.DUMMYFUNCTION("GOOGLETRANSLATE(D:D,""auto"",""en"")"),"#VALUE!")</f>
        <v>#VALUE!</v>
      </c>
    </row>
    <row r="12586" spans="3:3" ht="13.5" customHeight="1">
      <c r="C12586" s="4" t="str">
        <f ca="1">IFERROR(__xludf.DUMMYFUNCTION("GOOGLETRANSLATE(D:D,""auto"",""en"")"),"#VALUE!")</f>
        <v>#VALUE!</v>
      </c>
    </row>
    <row r="12587" spans="3:3" ht="13.5" customHeight="1">
      <c r="C12587" s="4" t="str">
        <f ca="1">IFERROR(__xludf.DUMMYFUNCTION("GOOGLETRANSLATE(D:D,""auto"",""en"")"),"#VALUE!")</f>
        <v>#VALUE!</v>
      </c>
    </row>
    <row r="12588" spans="3:3" ht="13.5" customHeight="1">
      <c r="C12588" s="4" t="str">
        <f ca="1">IFERROR(__xludf.DUMMYFUNCTION("GOOGLETRANSLATE(D:D,""auto"",""en"")"),"#VALUE!")</f>
        <v>#VALUE!</v>
      </c>
    </row>
    <row r="12589" spans="3:3" ht="13.5" customHeight="1">
      <c r="C12589" s="4" t="str">
        <f ca="1">IFERROR(__xludf.DUMMYFUNCTION("GOOGLETRANSLATE(D:D,""auto"",""en"")"),"#VALUE!")</f>
        <v>#VALUE!</v>
      </c>
    </row>
    <row r="12590" spans="3:3" ht="13.5" customHeight="1">
      <c r="C12590" s="4" t="str">
        <f ca="1">IFERROR(__xludf.DUMMYFUNCTION("GOOGLETRANSLATE(D:D,""auto"",""en"")"),"#VALUE!")</f>
        <v>#VALUE!</v>
      </c>
    </row>
    <row r="12591" spans="3:3" ht="13.5" customHeight="1">
      <c r="C12591" s="4" t="str">
        <f ca="1">IFERROR(__xludf.DUMMYFUNCTION("GOOGLETRANSLATE(D:D,""auto"",""en"")"),"#VALUE!")</f>
        <v>#VALUE!</v>
      </c>
    </row>
    <row r="12592" spans="3:3" ht="13.5" customHeight="1">
      <c r="C12592" s="4" t="str">
        <f ca="1">IFERROR(__xludf.DUMMYFUNCTION("GOOGLETRANSLATE(D:D,""auto"",""en"")"),"#VALUE!")</f>
        <v>#VALUE!</v>
      </c>
    </row>
    <row r="12593" spans="3:3" ht="13.5" customHeight="1">
      <c r="C12593" s="4" t="str">
        <f ca="1">IFERROR(__xludf.DUMMYFUNCTION("GOOGLETRANSLATE(D:D,""auto"",""en"")"),"#VALUE!")</f>
        <v>#VALUE!</v>
      </c>
    </row>
    <row r="12594" spans="3:3" ht="13.5" customHeight="1">
      <c r="C12594" s="4" t="str">
        <f ca="1">IFERROR(__xludf.DUMMYFUNCTION("GOOGLETRANSLATE(D:D,""auto"",""en"")"),"#VALUE!")</f>
        <v>#VALUE!</v>
      </c>
    </row>
    <row r="12595" spans="3:3" ht="13.5" customHeight="1">
      <c r="C12595" s="4" t="str">
        <f ca="1">IFERROR(__xludf.DUMMYFUNCTION("GOOGLETRANSLATE(D:D,""auto"",""en"")"),"#VALUE!")</f>
        <v>#VALUE!</v>
      </c>
    </row>
    <row r="12596" spans="3:3" ht="13.5" customHeight="1">
      <c r="C12596" s="4" t="str">
        <f ca="1">IFERROR(__xludf.DUMMYFUNCTION("GOOGLETRANSLATE(D:D,""auto"",""en"")"),"#VALUE!")</f>
        <v>#VALUE!</v>
      </c>
    </row>
    <row r="12597" spans="3:3" ht="13.5" customHeight="1">
      <c r="C12597" s="4" t="str">
        <f ca="1">IFERROR(__xludf.DUMMYFUNCTION("GOOGLETRANSLATE(D:D,""auto"",""en"")"),"#VALUE!")</f>
        <v>#VALUE!</v>
      </c>
    </row>
    <row r="12598" spans="3:3" ht="13.5" customHeight="1">
      <c r="C12598" s="4" t="str">
        <f ca="1">IFERROR(__xludf.DUMMYFUNCTION("GOOGLETRANSLATE(D:D,""auto"",""en"")"),"#VALUE!")</f>
        <v>#VALUE!</v>
      </c>
    </row>
    <row r="12599" spans="3:3" ht="13.5" customHeight="1">
      <c r="C12599" s="4" t="str">
        <f ca="1">IFERROR(__xludf.DUMMYFUNCTION("GOOGLETRANSLATE(D:D,""auto"",""en"")"),"#VALUE!")</f>
        <v>#VALUE!</v>
      </c>
    </row>
    <row r="12600" spans="3:3" ht="13.5" customHeight="1">
      <c r="C12600" s="4" t="str">
        <f ca="1">IFERROR(__xludf.DUMMYFUNCTION("GOOGLETRANSLATE(D:D,""auto"",""en"")"),"#VALUE!")</f>
        <v>#VALUE!</v>
      </c>
    </row>
    <row r="12601" spans="3:3" ht="13.5" customHeight="1">
      <c r="C12601" s="4" t="str">
        <f ca="1">IFERROR(__xludf.DUMMYFUNCTION("GOOGLETRANSLATE(D:D,""auto"",""en"")"),"#VALUE!")</f>
        <v>#VALUE!</v>
      </c>
    </row>
    <row r="12602" spans="3:3" ht="13.5" customHeight="1">
      <c r="C12602" s="4" t="str">
        <f ca="1">IFERROR(__xludf.DUMMYFUNCTION("GOOGLETRANSLATE(D:D,""auto"",""en"")"),"#VALUE!")</f>
        <v>#VALUE!</v>
      </c>
    </row>
    <row r="12603" spans="3:3" ht="13.5" customHeight="1">
      <c r="C12603" s="4" t="str">
        <f ca="1">IFERROR(__xludf.DUMMYFUNCTION("GOOGLETRANSLATE(D:D,""auto"",""en"")"),"#VALUE!")</f>
        <v>#VALUE!</v>
      </c>
    </row>
    <row r="12604" spans="3:3" ht="13.5" customHeight="1">
      <c r="C12604" s="4" t="str">
        <f ca="1">IFERROR(__xludf.DUMMYFUNCTION("GOOGLETRANSLATE(D:D,""auto"",""en"")"),"#VALUE!")</f>
        <v>#VALUE!</v>
      </c>
    </row>
    <row r="12605" spans="3:3" ht="13.5" customHeight="1">
      <c r="C12605" s="4" t="str">
        <f ca="1">IFERROR(__xludf.DUMMYFUNCTION("GOOGLETRANSLATE(D:D,""auto"",""en"")"),"#VALUE!")</f>
        <v>#VALUE!</v>
      </c>
    </row>
    <row r="12606" spans="3:3" ht="13.5" customHeight="1">
      <c r="C12606" s="4" t="str">
        <f ca="1">IFERROR(__xludf.DUMMYFUNCTION("GOOGLETRANSLATE(D:D,""auto"",""en"")"),"#VALUE!")</f>
        <v>#VALUE!</v>
      </c>
    </row>
    <row r="12607" spans="3:3" ht="13.5" customHeight="1">
      <c r="C12607" s="4" t="str">
        <f ca="1">IFERROR(__xludf.DUMMYFUNCTION("GOOGLETRANSLATE(D:D,""auto"",""en"")"),"#VALUE!")</f>
        <v>#VALUE!</v>
      </c>
    </row>
    <row r="12608" spans="3:3" ht="13.5" customHeight="1">
      <c r="C12608" s="4" t="str">
        <f ca="1">IFERROR(__xludf.DUMMYFUNCTION("GOOGLETRANSLATE(D:D,""auto"",""en"")"),"#VALUE!")</f>
        <v>#VALUE!</v>
      </c>
    </row>
    <row r="12609" spans="3:3" ht="13.5" customHeight="1">
      <c r="C12609" s="4" t="str">
        <f ca="1">IFERROR(__xludf.DUMMYFUNCTION("GOOGLETRANSLATE(D:D,""auto"",""en"")"),"#VALUE!")</f>
        <v>#VALUE!</v>
      </c>
    </row>
    <row r="12610" spans="3:3" ht="13.5" customHeight="1">
      <c r="C12610" s="4" t="str">
        <f ca="1">IFERROR(__xludf.DUMMYFUNCTION("GOOGLETRANSLATE(D:D,""auto"",""en"")"),"#VALUE!")</f>
        <v>#VALUE!</v>
      </c>
    </row>
    <row r="12611" spans="3:3" ht="13.5" customHeight="1">
      <c r="C12611" s="4" t="str">
        <f ca="1">IFERROR(__xludf.DUMMYFUNCTION("GOOGLETRANSLATE(D:D,""auto"",""en"")"),"#VALUE!")</f>
        <v>#VALUE!</v>
      </c>
    </row>
    <row r="12612" spans="3:3" ht="13.5" customHeight="1">
      <c r="C12612" s="4" t="str">
        <f ca="1">IFERROR(__xludf.DUMMYFUNCTION("GOOGLETRANSLATE(D:D,""auto"",""en"")"),"#VALUE!")</f>
        <v>#VALUE!</v>
      </c>
    </row>
    <row r="12613" spans="3:3" ht="13.5" customHeight="1">
      <c r="C12613" s="4" t="str">
        <f ca="1">IFERROR(__xludf.DUMMYFUNCTION("GOOGLETRANSLATE(D:D,""auto"",""en"")"),"#VALUE!")</f>
        <v>#VALUE!</v>
      </c>
    </row>
    <row r="12614" spans="3:3" ht="13.5" customHeight="1">
      <c r="C12614" s="4" t="str">
        <f ca="1">IFERROR(__xludf.DUMMYFUNCTION("GOOGLETRANSLATE(D:D,""auto"",""en"")"),"#VALUE!")</f>
        <v>#VALUE!</v>
      </c>
    </row>
    <row r="12615" spans="3:3" ht="13.5" customHeight="1">
      <c r="C12615" s="4" t="str">
        <f ca="1">IFERROR(__xludf.DUMMYFUNCTION("GOOGLETRANSLATE(D:D,""auto"",""en"")"),"#VALUE!")</f>
        <v>#VALUE!</v>
      </c>
    </row>
    <row r="12616" spans="3:3" ht="13.5" customHeight="1">
      <c r="C12616" s="4" t="str">
        <f ca="1">IFERROR(__xludf.DUMMYFUNCTION("GOOGLETRANSLATE(D:D,""auto"",""en"")"),"#VALUE!")</f>
        <v>#VALUE!</v>
      </c>
    </row>
    <row r="12617" spans="3:3" ht="13.5" customHeight="1">
      <c r="C12617" s="4" t="str">
        <f ca="1">IFERROR(__xludf.DUMMYFUNCTION("GOOGLETRANSLATE(D:D,""auto"",""en"")"),"#VALUE!")</f>
        <v>#VALUE!</v>
      </c>
    </row>
    <row r="12618" spans="3:3" ht="13.5" customHeight="1">
      <c r="C12618" s="4" t="str">
        <f ca="1">IFERROR(__xludf.DUMMYFUNCTION("GOOGLETRANSLATE(D:D,""auto"",""en"")"),"#VALUE!")</f>
        <v>#VALUE!</v>
      </c>
    </row>
    <row r="12619" spans="3:3" ht="13.5" customHeight="1">
      <c r="C12619" s="4" t="str">
        <f ca="1">IFERROR(__xludf.DUMMYFUNCTION("GOOGLETRANSLATE(D:D,""auto"",""en"")"),"#VALUE!")</f>
        <v>#VALUE!</v>
      </c>
    </row>
    <row r="12620" spans="3:3" ht="13.5" customHeight="1">
      <c r="C12620" s="4" t="str">
        <f ca="1">IFERROR(__xludf.DUMMYFUNCTION("GOOGLETRANSLATE(D:D,""auto"",""en"")"),"#VALUE!")</f>
        <v>#VALUE!</v>
      </c>
    </row>
    <row r="12621" spans="3:3" ht="13.5" customHeight="1">
      <c r="C12621" s="4" t="str">
        <f ca="1">IFERROR(__xludf.DUMMYFUNCTION("GOOGLETRANSLATE(D:D,""auto"",""en"")"),"#VALUE!")</f>
        <v>#VALUE!</v>
      </c>
    </row>
    <row r="12622" spans="3:3" ht="13.5" customHeight="1">
      <c r="C12622" s="4" t="str">
        <f ca="1">IFERROR(__xludf.DUMMYFUNCTION("GOOGLETRANSLATE(D:D,""auto"",""en"")"),"#VALUE!")</f>
        <v>#VALUE!</v>
      </c>
    </row>
    <row r="12623" spans="3:3" ht="13.5" customHeight="1">
      <c r="C12623" s="4" t="str">
        <f ca="1">IFERROR(__xludf.DUMMYFUNCTION("GOOGLETRANSLATE(D:D,""auto"",""en"")"),"#VALUE!")</f>
        <v>#VALUE!</v>
      </c>
    </row>
    <row r="12624" spans="3:3" ht="13.5" customHeight="1">
      <c r="C12624" s="4" t="str">
        <f ca="1">IFERROR(__xludf.DUMMYFUNCTION("GOOGLETRANSLATE(D:D,""auto"",""en"")"),"#VALUE!")</f>
        <v>#VALUE!</v>
      </c>
    </row>
    <row r="12625" spans="3:3" ht="13.5" customHeight="1">
      <c r="C12625" s="4" t="str">
        <f ca="1">IFERROR(__xludf.DUMMYFUNCTION("GOOGLETRANSLATE(D:D,""auto"",""en"")"),"#VALUE!")</f>
        <v>#VALUE!</v>
      </c>
    </row>
    <row r="12626" spans="3:3" ht="13.5" customHeight="1">
      <c r="C12626" s="4" t="str">
        <f ca="1">IFERROR(__xludf.DUMMYFUNCTION("GOOGLETRANSLATE(D:D,""auto"",""en"")"),"#VALUE!")</f>
        <v>#VALUE!</v>
      </c>
    </row>
    <row r="12627" spans="3:3" ht="13.5" customHeight="1">
      <c r="C12627" s="4" t="str">
        <f ca="1">IFERROR(__xludf.DUMMYFUNCTION("GOOGLETRANSLATE(D:D,""auto"",""en"")"),"#VALUE!")</f>
        <v>#VALUE!</v>
      </c>
    </row>
    <row r="12628" spans="3:3" ht="13.5" customHeight="1">
      <c r="C12628" s="4" t="str">
        <f ca="1">IFERROR(__xludf.DUMMYFUNCTION("GOOGLETRANSLATE(D:D,""auto"",""en"")"),"#VALUE!")</f>
        <v>#VALUE!</v>
      </c>
    </row>
    <row r="12629" spans="3:3" ht="13.5" customHeight="1">
      <c r="C12629" s="4" t="str">
        <f ca="1">IFERROR(__xludf.DUMMYFUNCTION("GOOGLETRANSLATE(D:D,""auto"",""en"")"),"#VALUE!")</f>
        <v>#VALUE!</v>
      </c>
    </row>
    <row r="12630" spans="3:3" ht="13.5" customHeight="1">
      <c r="C12630" s="4" t="str">
        <f ca="1">IFERROR(__xludf.DUMMYFUNCTION("GOOGLETRANSLATE(D:D,""auto"",""en"")"),"#VALUE!")</f>
        <v>#VALUE!</v>
      </c>
    </row>
    <row r="12631" spans="3:3" ht="13.5" customHeight="1">
      <c r="C12631" s="4" t="str">
        <f ca="1">IFERROR(__xludf.DUMMYFUNCTION("GOOGLETRANSLATE(D:D,""auto"",""en"")"),"#VALUE!")</f>
        <v>#VALUE!</v>
      </c>
    </row>
    <row r="12632" spans="3:3" ht="13.5" customHeight="1">
      <c r="C12632" s="4" t="str">
        <f ca="1">IFERROR(__xludf.DUMMYFUNCTION("GOOGLETRANSLATE(D:D,""auto"",""en"")"),"#VALUE!")</f>
        <v>#VALUE!</v>
      </c>
    </row>
    <row r="12633" spans="3:3" ht="13.5" customHeight="1">
      <c r="C12633" s="4" t="str">
        <f ca="1">IFERROR(__xludf.DUMMYFUNCTION("GOOGLETRANSLATE(D:D,""auto"",""en"")"),"#VALUE!")</f>
        <v>#VALUE!</v>
      </c>
    </row>
    <row r="12634" spans="3:3" ht="13.5" customHeight="1">
      <c r="C12634" s="4" t="str">
        <f ca="1">IFERROR(__xludf.DUMMYFUNCTION("GOOGLETRANSLATE(D:D,""auto"",""en"")"),"#VALUE!")</f>
        <v>#VALUE!</v>
      </c>
    </row>
    <row r="12635" spans="3:3" ht="13.5" customHeight="1">
      <c r="C12635" s="4" t="str">
        <f ca="1">IFERROR(__xludf.DUMMYFUNCTION("GOOGLETRANSLATE(D:D,""auto"",""en"")"),"#VALUE!")</f>
        <v>#VALUE!</v>
      </c>
    </row>
    <row r="12636" spans="3:3" ht="13.5" customHeight="1">
      <c r="C12636" s="4" t="str">
        <f ca="1">IFERROR(__xludf.DUMMYFUNCTION("GOOGLETRANSLATE(D:D,""auto"",""en"")"),"#VALUE!")</f>
        <v>#VALUE!</v>
      </c>
    </row>
    <row r="12637" spans="3:3" ht="13.5" customHeight="1">
      <c r="C12637" s="4" t="str">
        <f ca="1">IFERROR(__xludf.DUMMYFUNCTION("GOOGLETRANSLATE(D:D,""auto"",""en"")"),"#VALUE!")</f>
        <v>#VALUE!</v>
      </c>
    </row>
    <row r="12638" spans="3:3" ht="13.5" customHeight="1">
      <c r="C12638" s="4" t="str">
        <f ca="1">IFERROR(__xludf.DUMMYFUNCTION("GOOGLETRANSLATE(D:D,""auto"",""en"")"),"#VALUE!")</f>
        <v>#VALUE!</v>
      </c>
    </row>
    <row r="12639" spans="3:3" ht="13.5" customHeight="1">
      <c r="C12639" s="4" t="str">
        <f ca="1">IFERROR(__xludf.DUMMYFUNCTION("GOOGLETRANSLATE(D:D,""auto"",""en"")"),"#VALUE!")</f>
        <v>#VALUE!</v>
      </c>
    </row>
    <row r="12640" spans="3:3" ht="13.5" customHeight="1">
      <c r="C12640" s="4" t="str">
        <f ca="1">IFERROR(__xludf.DUMMYFUNCTION("GOOGLETRANSLATE(D:D,""auto"",""en"")"),"#VALUE!")</f>
        <v>#VALUE!</v>
      </c>
    </row>
    <row r="12641" spans="3:3" ht="13.5" customHeight="1">
      <c r="C12641" s="4" t="str">
        <f ca="1">IFERROR(__xludf.DUMMYFUNCTION("GOOGLETRANSLATE(D:D,""auto"",""en"")"),"#VALUE!")</f>
        <v>#VALUE!</v>
      </c>
    </row>
    <row r="12642" spans="3:3" ht="13.5" customHeight="1">
      <c r="C12642" s="4" t="str">
        <f ca="1">IFERROR(__xludf.DUMMYFUNCTION("GOOGLETRANSLATE(D:D,""auto"",""en"")"),"#VALUE!")</f>
        <v>#VALUE!</v>
      </c>
    </row>
    <row r="12643" spans="3:3" ht="13.5" customHeight="1">
      <c r="C12643" s="4" t="str">
        <f ca="1">IFERROR(__xludf.DUMMYFUNCTION("GOOGLETRANSLATE(D:D,""auto"",""en"")"),"#VALUE!")</f>
        <v>#VALUE!</v>
      </c>
    </row>
    <row r="12644" spans="3:3" ht="13.5" customHeight="1">
      <c r="C12644" s="4" t="str">
        <f ca="1">IFERROR(__xludf.DUMMYFUNCTION("GOOGLETRANSLATE(D:D,""auto"",""en"")"),"#VALUE!")</f>
        <v>#VALUE!</v>
      </c>
    </row>
    <row r="12645" spans="3:3" ht="13.5" customHeight="1">
      <c r="C12645" s="4" t="str">
        <f ca="1">IFERROR(__xludf.DUMMYFUNCTION("GOOGLETRANSLATE(D:D,""auto"",""en"")"),"#VALUE!")</f>
        <v>#VALUE!</v>
      </c>
    </row>
    <row r="12646" spans="3:3" ht="13.5" customHeight="1">
      <c r="C12646" s="4" t="str">
        <f ca="1">IFERROR(__xludf.DUMMYFUNCTION("GOOGLETRANSLATE(D:D,""auto"",""en"")"),"#VALUE!")</f>
        <v>#VALUE!</v>
      </c>
    </row>
    <row r="12647" spans="3:3" ht="13.5" customHeight="1">
      <c r="C12647" s="4" t="str">
        <f ca="1">IFERROR(__xludf.DUMMYFUNCTION("GOOGLETRANSLATE(D:D,""auto"",""en"")"),"#VALUE!")</f>
        <v>#VALUE!</v>
      </c>
    </row>
    <row r="12648" spans="3:3" ht="13.5" customHeight="1">
      <c r="C12648" s="4" t="str">
        <f ca="1">IFERROR(__xludf.DUMMYFUNCTION("GOOGLETRANSLATE(D:D,""auto"",""en"")"),"#VALUE!")</f>
        <v>#VALUE!</v>
      </c>
    </row>
    <row r="12649" spans="3:3" ht="13.5" customHeight="1">
      <c r="C12649" s="4" t="str">
        <f ca="1">IFERROR(__xludf.DUMMYFUNCTION("GOOGLETRANSLATE(D:D,""auto"",""en"")"),"#VALUE!")</f>
        <v>#VALUE!</v>
      </c>
    </row>
    <row r="12650" spans="3:3" ht="13.5" customHeight="1">
      <c r="C12650" s="4" t="str">
        <f ca="1">IFERROR(__xludf.DUMMYFUNCTION("GOOGLETRANSLATE(D:D,""auto"",""en"")"),"#VALUE!")</f>
        <v>#VALUE!</v>
      </c>
    </row>
    <row r="12651" spans="3:3" ht="13.5" customHeight="1">
      <c r="C12651" s="4" t="str">
        <f ca="1">IFERROR(__xludf.DUMMYFUNCTION("GOOGLETRANSLATE(D:D,""auto"",""en"")"),"#VALUE!")</f>
        <v>#VALUE!</v>
      </c>
    </row>
    <row r="12652" spans="3:3" ht="13.5" customHeight="1">
      <c r="C12652" s="4" t="str">
        <f ca="1">IFERROR(__xludf.DUMMYFUNCTION("GOOGLETRANSLATE(D:D,""auto"",""en"")"),"#VALUE!")</f>
        <v>#VALUE!</v>
      </c>
    </row>
    <row r="12653" spans="3:3" ht="13.5" customHeight="1">
      <c r="C12653" s="4" t="str">
        <f ca="1">IFERROR(__xludf.DUMMYFUNCTION("GOOGLETRANSLATE(D:D,""auto"",""en"")"),"#VALUE!")</f>
        <v>#VALUE!</v>
      </c>
    </row>
    <row r="12654" spans="3:3" ht="13.5" customHeight="1">
      <c r="C12654" s="4" t="str">
        <f ca="1">IFERROR(__xludf.DUMMYFUNCTION("GOOGLETRANSLATE(D:D,""auto"",""en"")"),"#VALUE!")</f>
        <v>#VALUE!</v>
      </c>
    </row>
    <row r="12655" spans="3:3" ht="13.5" customHeight="1">
      <c r="C12655" s="4" t="str">
        <f ca="1">IFERROR(__xludf.DUMMYFUNCTION("GOOGLETRANSLATE(D:D,""auto"",""en"")"),"#VALUE!")</f>
        <v>#VALUE!</v>
      </c>
    </row>
    <row r="12656" spans="3:3" ht="13.5" customHeight="1">
      <c r="C12656" s="4" t="str">
        <f ca="1">IFERROR(__xludf.DUMMYFUNCTION("GOOGLETRANSLATE(D:D,""auto"",""en"")"),"#VALUE!")</f>
        <v>#VALUE!</v>
      </c>
    </row>
    <row r="12657" spans="3:3" ht="13.5" customHeight="1">
      <c r="C12657" s="4" t="str">
        <f ca="1">IFERROR(__xludf.DUMMYFUNCTION("GOOGLETRANSLATE(D:D,""auto"",""en"")"),"#VALUE!")</f>
        <v>#VALUE!</v>
      </c>
    </row>
    <row r="12658" spans="3:3" ht="13.5" customHeight="1">
      <c r="C12658" s="4" t="str">
        <f ca="1">IFERROR(__xludf.DUMMYFUNCTION("GOOGLETRANSLATE(D:D,""auto"",""en"")"),"#VALUE!")</f>
        <v>#VALUE!</v>
      </c>
    </row>
    <row r="12659" spans="3:3" ht="13.5" customHeight="1">
      <c r="C12659" s="4" t="str">
        <f ca="1">IFERROR(__xludf.DUMMYFUNCTION("GOOGLETRANSLATE(D:D,""auto"",""en"")"),"#VALUE!")</f>
        <v>#VALUE!</v>
      </c>
    </row>
    <row r="12660" spans="3:3" ht="13.5" customHeight="1">
      <c r="C12660" s="4" t="str">
        <f ca="1">IFERROR(__xludf.DUMMYFUNCTION("GOOGLETRANSLATE(D:D,""auto"",""en"")"),"#VALUE!")</f>
        <v>#VALUE!</v>
      </c>
    </row>
    <row r="12661" spans="3:3" ht="13.5" customHeight="1">
      <c r="C12661" s="4" t="str">
        <f ca="1">IFERROR(__xludf.DUMMYFUNCTION("GOOGLETRANSLATE(D:D,""auto"",""en"")"),"#VALUE!")</f>
        <v>#VALUE!</v>
      </c>
    </row>
    <row r="12662" spans="3:3" ht="13.5" customHeight="1">
      <c r="C12662" s="4" t="str">
        <f ca="1">IFERROR(__xludf.DUMMYFUNCTION("GOOGLETRANSLATE(D:D,""auto"",""en"")"),"#VALUE!")</f>
        <v>#VALUE!</v>
      </c>
    </row>
    <row r="12663" spans="3:3" ht="13.5" customHeight="1">
      <c r="C12663" s="4" t="str">
        <f ca="1">IFERROR(__xludf.DUMMYFUNCTION("GOOGLETRANSLATE(D:D,""auto"",""en"")"),"#VALUE!")</f>
        <v>#VALUE!</v>
      </c>
    </row>
    <row r="12664" spans="3:3" ht="13.5" customHeight="1">
      <c r="C12664" s="4" t="str">
        <f ca="1">IFERROR(__xludf.DUMMYFUNCTION("GOOGLETRANSLATE(D:D,""auto"",""en"")"),"#VALUE!")</f>
        <v>#VALUE!</v>
      </c>
    </row>
    <row r="12665" spans="3:3" ht="13.5" customHeight="1">
      <c r="C12665" s="4" t="str">
        <f ca="1">IFERROR(__xludf.DUMMYFUNCTION("GOOGLETRANSLATE(D:D,""auto"",""en"")"),"#VALUE!")</f>
        <v>#VALUE!</v>
      </c>
    </row>
    <row r="12666" spans="3:3" ht="13.5" customHeight="1">
      <c r="C12666" s="4" t="str">
        <f ca="1">IFERROR(__xludf.DUMMYFUNCTION("GOOGLETRANSLATE(D:D,""auto"",""en"")"),"#VALUE!")</f>
        <v>#VALUE!</v>
      </c>
    </row>
    <row r="12667" spans="3:3" ht="13.5" customHeight="1">
      <c r="C12667" s="4" t="str">
        <f ca="1">IFERROR(__xludf.DUMMYFUNCTION("GOOGLETRANSLATE(D:D,""auto"",""en"")"),"#VALUE!")</f>
        <v>#VALUE!</v>
      </c>
    </row>
    <row r="12668" spans="3:3" ht="13.5" customHeight="1">
      <c r="C12668" s="4" t="str">
        <f ca="1">IFERROR(__xludf.DUMMYFUNCTION("GOOGLETRANSLATE(D:D,""auto"",""en"")"),"#VALUE!")</f>
        <v>#VALUE!</v>
      </c>
    </row>
    <row r="12669" spans="3:3" ht="13.5" customHeight="1">
      <c r="C12669" s="4" t="str">
        <f ca="1">IFERROR(__xludf.DUMMYFUNCTION("GOOGLETRANSLATE(D:D,""auto"",""en"")"),"#VALUE!")</f>
        <v>#VALUE!</v>
      </c>
    </row>
    <row r="12670" spans="3:3" ht="13.5" customHeight="1">
      <c r="C12670" s="4" t="str">
        <f ca="1">IFERROR(__xludf.DUMMYFUNCTION("GOOGLETRANSLATE(D:D,""auto"",""en"")"),"#VALUE!")</f>
        <v>#VALUE!</v>
      </c>
    </row>
    <row r="12671" spans="3:3" ht="13.5" customHeight="1">
      <c r="C12671" s="4" t="str">
        <f ca="1">IFERROR(__xludf.DUMMYFUNCTION("GOOGLETRANSLATE(D:D,""auto"",""en"")"),"#VALUE!")</f>
        <v>#VALUE!</v>
      </c>
    </row>
    <row r="12672" spans="3:3" ht="13.5" customHeight="1">
      <c r="C12672" s="4" t="str">
        <f ca="1">IFERROR(__xludf.DUMMYFUNCTION("GOOGLETRANSLATE(D:D,""auto"",""en"")"),"#VALUE!")</f>
        <v>#VALUE!</v>
      </c>
    </row>
    <row r="12673" spans="3:3" ht="13.5" customHeight="1">
      <c r="C12673" s="4" t="str">
        <f ca="1">IFERROR(__xludf.DUMMYFUNCTION("GOOGLETRANSLATE(D:D,""auto"",""en"")"),"#VALUE!")</f>
        <v>#VALUE!</v>
      </c>
    </row>
    <row r="12674" spans="3:3" ht="13.5" customHeight="1">
      <c r="C12674" s="4" t="str">
        <f ca="1">IFERROR(__xludf.DUMMYFUNCTION("GOOGLETRANSLATE(D:D,""auto"",""en"")"),"#VALUE!")</f>
        <v>#VALUE!</v>
      </c>
    </row>
    <row r="12675" spans="3:3" ht="13.5" customHeight="1">
      <c r="C12675" s="4" t="str">
        <f ca="1">IFERROR(__xludf.DUMMYFUNCTION("GOOGLETRANSLATE(D:D,""auto"",""en"")"),"#VALUE!")</f>
        <v>#VALUE!</v>
      </c>
    </row>
    <row r="12676" spans="3:3" ht="13.5" customHeight="1">
      <c r="C12676" s="4" t="str">
        <f ca="1">IFERROR(__xludf.DUMMYFUNCTION("GOOGLETRANSLATE(D:D,""auto"",""en"")"),"#VALUE!")</f>
        <v>#VALUE!</v>
      </c>
    </row>
    <row r="12677" spans="3:3" ht="13.5" customHeight="1">
      <c r="C12677" s="4" t="str">
        <f ca="1">IFERROR(__xludf.DUMMYFUNCTION("GOOGLETRANSLATE(D:D,""auto"",""en"")"),"#VALUE!")</f>
        <v>#VALUE!</v>
      </c>
    </row>
    <row r="12678" spans="3:3" ht="13.5" customHeight="1">
      <c r="C12678" s="4" t="str">
        <f ca="1">IFERROR(__xludf.DUMMYFUNCTION("GOOGLETRANSLATE(D:D,""auto"",""en"")"),"#VALUE!")</f>
        <v>#VALUE!</v>
      </c>
    </row>
    <row r="12679" spans="3:3" ht="13.5" customHeight="1">
      <c r="C12679" s="4" t="str">
        <f ca="1">IFERROR(__xludf.DUMMYFUNCTION("GOOGLETRANSLATE(D:D,""auto"",""en"")"),"#VALUE!")</f>
        <v>#VALUE!</v>
      </c>
    </row>
    <row r="12680" spans="3:3" ht="13.5" customHeight="1">
      <c r="C12680" s="4" t="str">
        <f ca="1">IFERROR(__xludf.DUMMYFUNCTION("GOOGLETRANSLATE(D:D,""auto"",""en"")"),"#VALUE!")</f>
        <v>#VALUE!</v>
      </c>
    </row>
    <row r="12681" spans="3:3" ht="13.5" customHeight="1">
      <c r="C12681" s="4" t="str">
        <f ca="1">IFERROR(__xludf.DUMMYFUNCTION("GOOGLETRANSLATE(D:D,""auto"",""en"")"),"#VALUE!")</f>
        <v>#VALUE!</v>
      </c>
    </row>
    <row r="12682" spans="3:3" ht="13.5" customHeight="1">
      <c r="C12682" s="4" t="str">
        <f ca="1">IFERROR(__xludf.DUMMYFUNCTION("GOOGLETRANSLATE(D:D,""auto"",""en"")"),"#VALUE!")</f>
        <v>#VALUE!</v>
      </c>
    </row>
    <row r="12683" spans="3:3" ht="13.5" customHeight="1">
      <c r="C12683" s="4" t="str">
        <f ca="1">IFERROR(__xludf.DUMMYFUNCTION("GOOGLETRANSLATE(D:D,""auto"",""en"")"),"#VALUE!")</f>
        <v>#VALUE!</v>
      </c>
    </row>
    <row r="12684" spans="3:3" ht="13.5" customHeight="1">
      <c r="C12684" s="4" t="str">
        <f ca="1">IFERROR(__xludf.DUMMYFUNCTION("GOOGLETRANSLATE(D:D,""auto"",""en"")"),"#VALUE!")</f>
        <v>#VALUE!</v>
      </c>
    </row>
    <row r="12685" spans="3:3" ht="13.5" customHeight="1">
      <c r="C12685" s="4" t="str">
        <f ca="1">IFERROR(__xludf.DUMMYFUNCTION("GOOGLETRANSLATE(D:D,""auto"",""en"")"),"#VALUE!")</f>
        <v>#VALUE!</v>
      </c>
    </row>
    <row r="12686" spans="3:3" ht="13.5" customHeight="1">
      <c r="C12686" s="4" t="str">
        <f ca="1">IFERROR(__xludf.DUMMYFUNCTION("GOOGLETRANSLATE(D:D,""auto"",""en"")"),"#VALUE!")</f>
        <v>#VALUE!</v>
      </c>
    </row>
    <row r="12687" spans="3:3" ht="13.5" customHeight="1">
      <c r="C12687" s="4" t="str">
        <f ca="1">IFERROR(__xludf.DUMMYFUNCTION("GOOGLETRANSLATE(D:D,""auto"",""en"")"),"#VALUE!")</f>
        <v>#VALUE!</v>
      </c>
    </row>
    <row r="12688" spans="3:3" ht="13.5" customHeight="1">
      <c r="C12688" s="4" t="str">
        <f ca="1">IFERROR(__xludf.DUMMYFUNCTION("GOOGLETRANSLATE(D:D,""auto"",""en"")"),"#VALUE!")</f>
        <v>#VALUE!</v>
      </c>
    </row>
    <row r="12689" spans="3:3" ht="13.5" customHeight="1">
      <c r="C12689" s="4" t="str">
        <f ca="1">IFERROR(__xludf.DUMMYFUNCTION("GOOGLETRANSLATE(D:D,""auto"",""en"")"),"#VALUE!")</f>
        <v>#VALUE!</v>
      </c>
    </row>
    <row r="12690" spans="3:3" ht="13.5" customHeight="1">
      <c r="C12690" s="4" t="str">
        <f ca="1">IFERROR(__xludf.DUMMYFUNCTION("GOOGLETRANSLATE(D:D,""auto"",""en"")"),"#VALUE!")</f>
        <v>#VALUE!</v>
      </c>
    </row>
    <row r="12691" spans="3:3" ht="13.5" customHeight="1">
      <c r="C12691" s="4" t="str">
        <f ca="1">IFERROR(__xludf.DUMMYFUNCTION("GOOGLETRANSLATE(D:D,""auto"",""en"")"),"#VALUE!")</f>
        <v>#VALUE!</v>
      </c>
    </row>
    <row r="12692" spans="3:3" ht="13.5" customHeight="1">
      <c r="C12692" s="4" t="str">
        <f ca="1">IFERROR(__xludf.DUMMYFUNCTION("GOOGLETRANSLATE(D:D,""auto"",""en"")"),"#VALUE!")</f>
        <v>#VALUE!</v>
      </c>
    </row>
    <row r="12693" spans="3:3" ht="13.5" customHeight="1">
      <c r="C12693" s="4" t="str">
        <f ca="1">IFERROR(__xludf.DUMMYFUNCTION("GOOGLETRANSLATE(D:D,""auto"",""en"")"),"#VALUE!")</f>
        <v>#VALUE!</v>
      </c>
    </row>
    <row r="12694" spans="3:3" ht="13.5" customHeight="1">
      <c r="C12694" s="4" t="str">
        <f ca="1">IFERROR(__xludf.DUMMYFUNCTION("GOOGLETRANSLATE(D:D,""auto"",""en"")"),"#VALUE!")</f>
        <v>#VALUE!</v>
      </c>
    </row>
    <row r="12695" spans="3:3" ht="13.5" customHeight="1">
      <c r="C12695" s="4" t="str">
        <f ca="1">IFERROR(__xludf.DUMMYFUNCTION("GOOGLETRANSLATE(D:D,""auto"",""en"")"),"#VALUE!")</f>
        <v>#VALUE!</v>
      </c>
    </row>
    <row r="12696" spans="3:3" ht="13.5" customHeight="1">
      <c r="C12696" s="4" t="str">
        <f ca="1">IFERROR(__xludf.DUMMYFUNCTION("GOOGLETRANSLATE(D:D,""auto"",""en"")"),"#VALUE!")</f>
        <v>#VALUE!</v>
      </c>
    </row>
    <row r="12697" spans="3:3" ht="13.5" customHeight="1">
      <c r="C12697" s="4" t="str">
        <f ca="1">IFERROR(__xludf.DUMMYFUNCTION("GOOGLETRANSLATE(D:D,""auto"",""en"")"),"#VALUE!")</f>
        <v>#VALUE!</v>
      </c>
    </row>
    <row r="12698" spans="3:3" ht="13.5" customHeight="1">
      <c r="C12698" s="4" t="str">
        <f ca="1">IFERROR(__xludf.DUMMYFUNCTION("GOOGLETRANSLATE(D:D,""auto"",""en"")"),"#VALUE!")</f>
        <v>#VALUE!</v>
      </c>
    </row>
    <row r="12699" spans="3:3" ht="13.5" customHeight="1">
      <c r="C12699" s="4" t="str">
        <f ca="1">IFERROR(__xludf.DUMMYFUNCTION("GOOGLETRANSLATE(D:D,""auto"",""en"")"),"#VALUE!")</f>
        <v>#VALUE!</v>
      </c>
    </row>
    <row r="12700" spans="3:3" ht="13.5" customHeight="1">
      <c r="C12700" s="4" t="str">
        <f ca="1">IFERROR(__xludf.DUMMYFUNCTION("GOOGLETRANSLATE(D:D,""auto"",""en"")"),"#VALUE!")</f>
        <v>#VALUE!</v>
      </c>
    </row>
    <row r="12701" spans="3:3" ht="13.5" customHeight="1">
      <c r="C12701" s="4" t="str">
        <f ca="1">IFERROR(__xludf.DUMMYFUNCTION("GOOGLETRANSLATE(D:D,""auto"",""en"")"),"#VALUE!")</f>
        <v>#VALUE!</v>
      </c>
    </row>
    <row r="12702" spans="3:3" ht="13.5" customHeight="1">
      <c r="C12702" s="4" t="str">
        <f ca="1">IFERROR(__xludf.DUMMYFUNCTION("GOOGLETRANSLATE(D:D,""auto"",""en"")"),"#VALUE!")</f>
        <v>#VALUE!</v>
      </c>
    </row>
    <row r="12703" spans="3:3" ht="13.5" customHeight="1">
      <c r="C12703" s="4" t="str">
        <f ca="1">IFERROR(__xludf.DUMMYFUNCTION("GOOGLETRANSLATE(D:D,""auto"",""en"")"),"#VALUE!")</f>
        <v>#VALUE!</v>
      </c>
    </row>
    <row r="12704" spans="3:3" ht="13.5" customHeight="1">
      <c r="C12704" s="4" t="str">
        <f ca="1">IFERROR(__xludf.DUMMYFUNCTION("GOOGLETRANSLATE(D:D,""auto"",""en"")"),"#VALUE!")</f>
        <v>#VALUE!</v>
      </c>
    </row>
    <row r="12705" spans="3:3" ht="13.5" customHeight="1">
      <c r="C12705" s="4" t="str">
        <f ca="1">IFERROR(__xludf.DUMMYFUNCTION("GOOGLETRANSLATE(D:D,""auto"",""en"")"),"#VALUE!")</f>
        <v>#VALUE!</v>
      </c>
    </row>
    <row r="12706" spans="3:3" ht="13.5" customHeight="1">
      <c r="C12706" s="4" t="str">
        <f ca="1">IFERROR(__xludf.DUMMYFUNCTION("GOOGLETRANSLATE(D:D,""auto"",""en"")"),"#VALUE!")</f>
        <v>#VALUE!</v>
      </c>
    </row>
    <row r="12707" spans="3:3" ht="13.5" customHeight="1">
      <c r="C12707" s="4" t="str">
        <f ca="1">IFERROR(__xludf.DUMMYFUNCTION("GOOGLETRANSLATE(D:D,""auto"",""en"")"),"#VALUE!")</f>
        <v>#VALUE!</v>
      </c>
    </row>
    <row r="12708" spans="3:3" ht="13.5" customHeight="1">
      <c r="C12708" s="4" t="str">
        <f ca="1">IFERROR(__xludf.DUMMYFUNCTION("GOOGLETRANSLATE(D:D,""auto"",""en"")"),"#VALUE!")</f>
        <v>#VALUE!</v>
      </c>
    </row>
    <row r="12709" spans="3:3" ht="13.5" customHeight="1">
      <c r="C12709" s="4" t="str">
        <f ca="1">IFERROR(__xludf.DUMMYFUNCTION("GOOGLETRANSLATE(D:D,""auto"",""en"")"),"#VALUE!")</f>
        <v>#VALUE!</v>
      </c>
    </row>
    <row r="12710" spans="3:3" ht="13.5" customHeight="1">
      <c r="C12710" s="4" t="str">
        <f ca="1">IFERROR(__xludf.DUMMYFUNCTION("GOOGLETRANSLATE(D:D,""auto"",""en"")"),"#VALUE!")</f>
        <v>#VALUE!</v>
      </c>
    </row>
    <row r="12711" spans="3:3" ht="13.5" customHeight="1">
      <c r="C12711" s="4" t="str">
        <f ca="1">IFERROR(__xludf.DUMMYFUNCTION("GOOGLETRANSLATE(D:D,""auto"",""en"")"),"#VALUE!")</f>
        <v>#VALUE!</v>
      </c>
    </row>
    <row r="12712" spans="3:3" ht="13.5" customHeight="1">
      <c r="C12712" s="4" t="str">
        <f ca="1">IFERROR(__xludf.DUMMYFUNCTION("GOOGLETRANSLATE(D:D,""auto"",""en"")"),"#VALUE!")</f>
        <v>#VALUE!</v>
      </c>
    </row>
    <row r="12713" spans="3:3" ht="13.5" customHeight="1">
      <c r="C12713" s="4" t="str">
        <f ca="1">IFERROR(__xludf.DUMMYFUNCTION("GOOGLETRANSLATE(D:D,""auto"",""en"")"),"#VALUE!")</f>
        <v>#VALUE!</v>
      </c>
    </row>
    <row r="12714" spans="3:3" ht="13.5" customHeight="1">
      <c r="C12714" s="4" t="str">
        <f ca="1">IFERROR(__xludf.DUMMYFUNCTION("GOOGLETRANSLATE(D:D,""auto"",""en"")"),"#VALUE!")</f>
        <v>#VALUE!</v>
      </c>
    </row>
    <row r="12715" spans="3:3" ht="13.5" customHeight="1">
      <c r="C12715" s="4" t="str">
        <f ca="1">IFERROR(__xludf.DUMMYFUNCTION("GOOGLETRANSLATE(D:D,""auto"",""en"")"),"#VALUE!")</f>
        <v>#VALUE!</v>
      </c>
    </row>
    <row r="12716" spans="3:3" ht="13.5" customHeight="1">
      <c r="C12716" s="4" t="str">
        <f ca="1">IFERROR(__xludf.DUMMYFUNCTION("GOOGLETRANSLATE(D:D,""auto"",""en"")"),"#VALUE!")</f>
        <v>#VALUE!</v>
      </c>
    </row>
    <row r="12717" spans="3:3" ht="13.5" customHeight="1">
      <c r="C12717" s="4" t="str">
        <f ca="1">IFERROR(__xludf.DUMMYFUNCTION("GOOGLETRANSLATE(D:D,""auto"",""en"")"),"#VALUE!")</f>
        <v>#VALUE!</v>
      </c>
    </row>
    <row r="12718" spans="3:3" ht="13.5" customHeight="1">
      <c r="C12718" s="4" t="str">
        <f ca="1">IFERROR(__xludf.DUMMYFUNCTION("GOOGLETRANSLATE(D:D,""auto"",""en"")"),"#VALUE!")</f>
        <v>#VALUE!</v>
      </c>
    </row>
    <row r="12719" spans="3:3" ht="13.5" customHeight="1">
      <c r="C12719" s="4" t="str">
        <f ca="1">IFERROR(__xludf.DUMMYFUNCTION("GOOGLETRANSLATE(D:D,""auto"",""en"")"),"#VALUE!")</f>
        <v>#VALUE!</v>
      </c>
    </row>
    <row r="12720" spans="3:3" ht="13.5" customHeight="1">
      <c r="C12720" s="4" t="str">
        <f ca="1">IFERROR(__xludf.DUMMYFUNCTION("GOOGLETRANSLATE(D:D,""auto"",""en"")"),"#VALUE!")</f>
        <v>#VALUE!</v>
      </c>
    </row>
    <row r="12721" spans="3:3" ht="13.5" customHeight="1">
      <c r="C12721" s="4" t="str">
        <f ca="1">IFERROR(__xludf.DUMMYFUNCTION("GOOGLETRANSLATE(D:D,""auto"",""en"")"),"#VALUE!")</f>
        <v>#VALUE!</v>
      </c>
    </row>
    <row r="12722" spans="3:3" ht="13.5" customHeight="1">
      <c r="C12722" s="4" t="str">
        <f ca="1">IFERROR(__xludf.DUMMYFUNCTION("GOOGLETRANSLATE(D:D,""auto"",""en"")"),"#VALUE!")</f>
        <v>#VALUE!</v>
      </c>
    </row>
    <row r="12723" spans="3:3" ht="13.5" customHeight="1">
      <c r="C12723" s="4" t="str">
        <f ca="1">IFERROR(__xludf.DUMMYFUNCTION("GOOGLETRANSLATE(D:D,""auto"",""en"")"),"#VALUE!")</f>
        <v>#VALUE!</v>
      </c>
    </row>
    <row r="12724" spans="3:3" ht="13.5" customHeight="1">
      <c r="C12724" s="4" t="str">
        <f ca="1">IFERROR(__xludf.DUMMYFUNCTION("GOOGLETRANSLATE(D:D,""auto"",""en"")"),"#VALUE!")</f>
        <v>#VALUE!</v>
      </c>
    </row>
    <row r="12725" spans="3:3" ht="13.5" customHeight="1">
      <c r="C12725" s="4" t="str">
        <f ca="1">IFERROR(__xludf.DUMMYFUNCTION("GOOGLETRANSLATE(D:D,""auto"",""en"")"),"#VALUE!")</f>
        <v>#VALUE!</v>
      </c>
    </row>
    <row r="12726" spans="3:3" ht="13.5" customHeight="1">
      <c r="C12726" s="4" t="str">
        <f ca="1">IFERROR(__xludf.DUMMYFUNCTION("GOOGLETRANSLATE(D:D,""auto"",""en"")"),"#VALUE!")</f>
        <v>#VALUE!</v>
      </c>
    </row>
    <row r="12727" spans="3:3" ht="13.5" customHeight="1">
      <c r="C12727" s="4" t="str">
        <f ca="1">IFERROR(__xludf.DUMMYFUNCTION("GOOGLETRANSLATE(D:D,""auto"",""en"")"),"#VALUE!")</f>
        <v>#VALUE!</v>
      </c>
    </row>
    <row r="12728" spans="3:3" ht="13.5" customHeight="1">
      <c r="C12728" s="4" t="str">
        <f ca="1">IFERROR(__xludf.DUMMYFUNCTION("GOOGLETRANSLATE(D:D,""auto"",""en"")"),"#VALUE!")</f>
        <v>#VALUE!</v>
      </c>
    </row>
    <row r="12729" spans="3:3" ht="13.5" customHeight="1">
      <c r="C12729" s="4" t="str">
        <f ca="1">IFERROR(__xludf.DUMMYFUNCTION("GOOGLETRANSLATE(D:D,""auto"",""en"")"),"#VALUE!")</f>
        <v>#VALUE!</v>
      </c>
    </row>
    <row r="12730" spans="3:3" ht="13.5" customHeight="1">
      <c r="C12730" s="4" t="str">
        <f ca="1">IFERROR(__xludf.DUMMYFUNCTION("GOOGLETRANSLATE(D:D,""auto"",""en"")"),"#VALUE!")</f>
        <v>#VALUE!</v>
      </c>
    </row>
    <row r="12731" spans="3:3" ht="13.5" customHeight="1">
      <c r="C12731" s="4" t="str">
        <f ca="1">IFERROR(__xludf.DUMMYFUNCTION("GOOGLETRANSLATE(D:D,""auto"",""en"")"),"#VALUE!")</f>
        <v>#VALUE!</v>
      </c>
    </row>
    <row r="12732" spans="3:3" ht="13.5" customHeight="1">
      <c r="C12732" s="4" t="str">
        <f ca="1">IFERROR(__xludf.DUMMYFUNCTION("GOOGLETRANSLATE(D:D,""auto"",""en"")"),"#VALUE!")</f>
        <v>#VALUE!</v>
      </c>
    </row>
    <row r="12733" spans="3:3" ht="13.5" customHeight="1">
      <c r="C12733" s="4" t="str">
        <f ca="1">IFERROR(__xludf.DUMMYFUNCTION("GOOGLETRANSLATE(D:D,""auto"",""en"")"),"#VALUE!")</f>
        <v>#VALUE!</v>
      </c>
    </row>
    <row r="12734" spans="3:3" ht="13.5" customHeight="1">
      <c r="C12734" s="4" t="str">
        <f ca="1">IFERROR(__xludf.DUMMYFUNCTION("GOOGLETRANSLATE(D:D,""auto"",""en"")"),"#VALUE!")</f>
        <v>#VALUE!</v>
      </c>
    </row>
    <row r="12735" spans="3:3" ht="13.5" customHeight="1">
      <c r="C12735" s="4" t="str">
        <f ca="1">IFERROR(__xludf.DUMMYFUNCTION("GOOGLETRANSLATE(D:D,""auto"",""en"")"),"#VALUE!")</f>
        <v>#VALUE!</v>
      </c>
    </row>
    <row r="12736" spans="3:3" ht="13.5" customHeight="1">
      <c r="C12736" s="4" t="str">
        <f ca="1">IFERROR(__xludf.DUMMYFUNCTION("GOOGLETRANSLATE(D:D,""auto"",""en"")"),"#VALUE!")</f>
        <v>#VALUE!</v>
      </c>
    </row>
    <row r="12737" spans="3:3" ht="13.5" customHeight="1">
      <c r="C12737" s="4" t="str">
        <f ca="1">IFERROR(__xludf.DUMMYFUNCTION("GOOGLETRANSLATE(D:D,""auto"",""en"")"),"#VALUE!")</f>
        <v>#VALUE!</v>
      </c>
    </row>
    <row r="12738" spans="3:3" ht="13.5" customHeight="1">
      <c r="C12738" s="4" t="str">
        <f ca="1">IFERROR(__xludf.DUMMYFUNCTION("GOOGLETRANSLATE(D:D,""auto"",""en"")"),"#VALUE!")</f>
        <v>#VALUE!</v>
      </c>
    </row>
    <row r="12739" spans="3:3" ht="13.5" customHeight="1">
      <c r="C12739" s="4" t="str">
        <f ca="1">IFERROR(__xludf.DUMMYFUNCTION("GOOGLETRANSLATE(D:D,""auto"",""en"")"),"#VALUE!")</f>
        <v>#VALUE!</v>
      </c>
    </row>
    <row r="12740" spans="3:3" ht="13.5" customHeight="1">
      <c r="C12740" s="4" t="str">
        <f ca="1">IFERROR(__xludf.DUMMYFUNCTION("GOOGLETRANSLATE(D:D,""auto"",""en"")"),"#VALUE!")</f>
        <v>#VALUE!</v>
      </c>
    </row>
    <row r="12741" spans="3:3" ht="13.5" customHeight="1">
      <c r="C12741" s="4" t="str">
        <f ca="1">IFERROR(__xludf.DUMMYFUNCTION("GOOGLETRANSLATE(D:D,""auto"",""en"")"),"#VALUE!")</f>
        <v>#VALUE!</v>
      </c>
    </row>
    <row r="12742" spans="3:3" ht="13.5" customHeight="1">
      <c r="C12742" s="4" t="str">
        <f ca="1">IFERROR(__xludf.DUMMYFUNCTION("GOOGLETRANSLATE(D:D,""auto"",""en"")"),"#VALUE!")</f>
        <v>#VALUE!</v>
      </c>
    </row>
    <row r="12743" spans="3:3" ht="13.5" customHeight="1">
      <c r="C12743" s="4" t="str">
        <f ca="1">IFERROR(__xludf.DUMMYFUNCTION("GOOGLETRANSLATE(D:D,""auto"",""en"")"),"#VALUE!")</f>
        <v>#VALUE!</v>
      </c>
    </row>
    <row r="12744" spans="3:3" ht="13.5" customHeight="1">
      <c r="C12744" s="4" t="str">
        <f ca="1">IFERROR(__xludf.DUMMYFUNCTION("GOOGLETRANSLATE(D:D,""auto"",""en"")"),"#VALUE!")</f>
        <v>#VALUE!</v>
      </c>
    </row>
    <row r="12745" spans="3:3" ht="13.5" customHeight="1">
      <c r="C12745" s="4" t="str">
        <f ca="1">IFERROR(__xludf.DUMMYFUNCTION("GOOGLETRANSLATE(D:D,""auto"",""en"")"),"#VALUE!")</f>
        <v>#VALUE!</v>
      </c>
    </row>
    <row r="12746" spans="3:3" ht="13.5" customHeight="1">
      <c r="C12746" s="4" t="str">
        <f ca="1">IFERROR(__xludf.DUMMYFUNCTION("GOOGLETRANSLATE(D:D,""auto"",""en"")"),"#VALUE!")</f>
        <v>#VALUE!</v>
      </c>
    </row>
    <row r="12747" spans="3:3" ht="13.5" customHeight="1">
      <c r="C12747" s="4" t="str">
        <f ca="1">IFERROR(__xludf.DUMMYFUNCTION("GOOGLETRANSLATE(D:D,""auto"",""en"")"),"#VALUE!")</f>
        <v>#VALUE!</v>
      </c>
    </row>
    <row r="12748" spans="3:3" ht="13.5" customHeight="1">
      <c r="C12748" s="4" t="str">
        <f ca="1">IFERROR(__xludf.DUMMYFUNCTION("GOOGLETRANSLATE(D:D,""auto"",""en"")"),"#VALUE!")</f>
        <v>#VALUE!</v>
      </c>
    </row>
    <row r="12749" spans="3:3" ht="13.5" customHeight="1">
      <c r="C12749" s="4" t="str">
        <f ca="1">IFERROR(__xludf.DUMMYFUNCTION("GOOGLETRANSLATE(D:D,""auto"",""en"")"),"#VALUE!")</f>
        <v>#VALUE!</v>
      </c>
    </row>
    <row r="12750" spans="3:3" ht="13.5" customHeight="1">
      <c r="C12750" s="4" t="str">
        <f ca="1">IFERROR(__xludf.DUMMYFUNCTION("GOOGLETRANSLATE(D:D,""auto"",""en"")"),"#VALUE!")</f>
        <v>#VALUE!</v>
      </c>
    </row>
    <row r="12751" spans="3:3" ht="13.5" customHeight="1">
      <c r="C12751" s="4" t="str">
        <f ca="1">IFERROR(__xludf.DUMMYFUNCTION("GOOGLETRANSLATE(D:D,""auto"",""en"")"),"#VALUE!")</f>
        <v>#VALUE!</v>
      </c>
    </row>
    <row r="12752" spans="3:3" ht="13.5" customHeight="1">
      <c r="C12752" s="4" t="str">
        <f ca="1">IFERROR(__xludf.DUMMYFUNCTION("GOOGLETRANSLATE(D:D,""auto"",""en"")"),"#VALUE!")</f>
        <v>#VALUE!</v>
      </c>
    </row>
    <row r="12753" spans="3:3" ht="13.5" customHeight="1">
      <c r="C12753" s="4" t="str">
        <f ca="1">IFERROR(__xludf.DUMMYFUNCTION("GOOGLETRANSLATE(D:D,""auto"",""en"")"),"#VALUE!")</f>
        <v>#VALUE!</v>
      </c>
    </row>
    <row r="12754" spans="3:3" ht="13.5" customHeight="1">
      <c r="C12754" s="4" t="str">
        <f ca="1">IFERROR(__xludf.DUMMYFUNCTION("GOOGLETRANSLATE(D:D,""auto"",""en"")"),"#VALUE!")</f>
        <v>#VALUE!</v>
      </c>
    </row>
    <row r="12755" spans="3:3" ht="13.5" customHeight="1">
      <c r="C12755" s="4" t="str">
        <f ca="1">IFERROR(__xludf.DUMMYFUNCTION("GOOGLETRANSLATE(D:D,""auto"",""en"")"),"#VALUE!")</f>
        <v>#VALUE!</v>
      </c>
    </row>
    <row r="12756" spans="3:3" ht="13.5" customHeight="1">
      <c r="C12756" s="4" t="str">
        <f ca="1">IFERROR(__xludf.DUMMYFUNCTION("GOOGLETRANSLATE(D:D,""auto"",""en"")"),"#VALUE!")</f>
        <v>#VALUE!</v>
      </c>
    </row>
    <row r="12757" spans="3:3" ht="13.5" customHeight="1">
      <c r="C12757" s="4" t="str">
        <f ca="1">IFERROR(__xludf.DUMMYFUNCTION("GOOGLETRANSLATE(D:D,""auto"",""en"")"),"#VALUE!")</f>
        <v>#VALUE!</v>
      </c>
    </row>
    <row r="12758" spans="3:3" ht="13.5" customHeight="1">
      <c r="C12758" s="4" t="str">
        <f ca="1">IFERROR(__xludf.DUMMYFUNCTION("GOOGLETRANSLATE(D:D,""auto"",""en"")"),"#VALUE!")</f>
        <v>#VALUE!</v>
      </c>
    </row>
    <row r="12759" spans="3:3" ht="13.5" customHeight="1">
      <c r="C12759" s="4" t="str">
        <f ca="1">IFERROR(__xludf.DUMMYFUNCTION("GOOGLETRANSLATE(D:D,""auto"",""en"")"),"#VALUE!")</f>
        <v>#VALUE!</v>
      </c>
    </row>
    <row r="12760" spans="3:3" ht="13.5" customHeight="1">
      <c r="C12760" s="4" t="str">
        <f ca="1">IFERROR(__xludf.DUMMYFUNCTION("GOOGLETRANSLATE(D:D,""auto"",""en"")"),"#VALUE!")</f>
        <v>#VALUE!</v>
      </c>
    </row>
    <row r="12761" spans="3:3" ht="13.5" customHeight="1">
      <c r="C12761" s="4" t="str">
        <f ca="1">IFERROR(__xludf.DUMMYFUNCTION("GOOGLETRANSLATE(D:D,""auto"",""en"")"),"#VALUE!")</f>
        <v>#VALUE!</v>
      </c>
    </row>
    <row r="12762" spans="3:3" ht="13.5" customHeight="1">
      <c r="C12762" s="4" t="str">
        <f ca="1">IFERROR(__xludf.DUMMYFUNCTION("GOOGLETRANSLATE(D:D,""auto"",""en"")"),"#VALUE!")</f>
        <v>#VALUE!</v>
      </c>
    </row>
    <row r="12763" spans="3:3" ht="13.5" customHeight="1">
      <c r="C12763" s="4" t="str">
        <f ca="1">IFERROR(__xludf.DUMMYFUNCTION("GOOGLETRANSLATE(D:D,""auto"",""en"")"),"#VALUE!")</f>
        <v>#VALUE!</v>
      </c>
    </row>
    <row r="12764" spans="3:3" ht="13.5" customHeight="1">
      <c r="C12764" s="4" t="str">
        <f ca="1">IFERROR(__xludf.DUMMYFUNCTION("GOOGLETRANSLATE(D:D,""auto"",""en"")"),"#VALUE!")</f>
        <v>#VALUE!</v>
      </c>
    </row>
    <row r="12765" spans="3:3" ht="13.5" customHeight="1">
      <c r="C12765" s="4" t="str">
        <f ca="1">IFERROR(__xludf.DUMMYFUNCTION("GOOGLETRANSLATE(D:D,""auto"",""en"")"),"#VALUE!")</f>
        <v>#VALUE!</v>
      </c>
    </row>
    <row r="12766" spans="3:3" ht="13.5" customHeight="1">
      <c r="C12766" s="4" t="str">
        <f ca="1">IFERROR(__xludf.DUMMYFUNCTION("GOOGLETRANSLATE(D:D,""auto"",""en"")"),"#VALUE!")</f>
        <v>#VALUE!</v>
      </c>
    </row>
    <row r="12767" spans="3:3" ht="13.5" customHeight="1">
      <c r="C12767" s="4" t="str">
        <f ca="1">IFERROR(__xludf.DUMMYFUNCTION("GOOGLETRANSLATE(D:D,""auto"",""en"")"),"#VALUE!")</f>
        <v>#VALUE!</v>
      </c>
    </row>
    <row r="12768" spans="3:3" ht="13.5" customHeight="1">
      <c r="C12768" s="4" t="str">
        <f ca="1">IFERROR(__xludf.DUMMYFUNCTION("GOOGLETRANSLATE(D:D,""auto"",""en"")"),"#VALUE!")</f>
        <v>#VALUE!</v>
      </c>
    </row>
    <row r="12769" spans="3:3" ht="13.5" customHeight="1">
      <c r="C12769" s="4" t="str">
        <f ca="1">IFERROR(__xludf.DUMMYFUNCTION("GOOGLETRANSLATE(D:D,""auto"",""en"")"),"#VALUE!")</f>
        <v>#VALUE!</v>
      </c>
    </row>
    <row r="12770" spans="3:3" ht="13.5" customHeight="1">
      <c r="C12770" s="4" t="str">
        <f ca="1">IFERROR(__xludf.DUMMYFUNCTION("GOOGLETRANSLATE(D:D,""auto"",""en"")"),"#VALUE!")</f>
        <v>#VALUE!</v>
      </c>
    </row>
    <row r="12771" spans="3:3" ht="13.5" customHeight="1">
      <c r="C12771" s="4" t="str">
        <f ca="1">IFERROR(__xludf.DUMMYFUNCTION("GOOGLETRANSLATE(D:D,""auto"",""en"")"),"#VALUE!")</f>
        <v>#VALUE!</v>
      </c>
    </row>
    <row r="12772" spans="3:3" ht="13.5" customHeight="1">
      <c r="C12772" s="4" t="str">
        <f ca="1">IFERROR(__xludf.DUMMYFUNCTION("GOOGLETRANSLATE(D:D,""auto"",""en"")"),"#VALUE!")</f>
        <v>#VALUE!</v>
      </c>
    </row>
    <row r="12773" spans="3:3" ht="13.5" customHeight="1">
      <c r="C12773" s="4" t="str">
        <f ca="1">IFERROR(__xludf.DUMMYFUNCTION("GOOGLETRANSLATE(D:D,""auto"",""en"")"),"#VALUE!")</f>
        <v>#VALUE!</v>
      </c>
    </row>
    <row r="12774" spans="3:3" ht="13.5" customHeight="1">
      <c r="C12774" s="4" t="str">
        <f ca="1">IFERROR(__xludf.DUMMYFUNCTION("GOOGLETRANSLATE(D:D,""auto"",""en"")"),"#VALUE!")</f>
        <v>#VALUE!</v>
      </c>
    </row>
    <row r="12775" spans="3:3" ht="13.5" customHeight="1">
      <c r="C12775" s="4" t="str">
        <f ca="1">IFERROR(__xludf.DUMMYFUNCTION("GOOGLETRANSLATE(D:D,""auto"",""en"")"),"#VALUE!")</f>
        <v>#VALUE!</v>
      </c>
    </row>
    <row r="12776" spans="3:3" ht="13.5" customHeight="1">
      <c r="C12776" s="4" t="str">
        <f ca="1">IFERROR(__xludf.DUMMYFUNCTION("GOOGLETRANSLATE(D:D,""auto"",""en"")"),"#VALUE!")</f>
        <v>#VALUE!</v>
      </c>
    </row>
    <row r="12777" spans="3:3" ht="13.5" customHeight="1">
      <c r="C12777" s="4" t="str">
        <f ca="1">IFERROR(__xludf.DUMMYFUNCTION("GOOGLETRANSLATE(D:D,""auto"",""en"")"),"#VALUE!")</f>
        <v>#VALUE!</v>
      </c>
    </row>
    <row r="12778" spans="3:3" ht="13.5" customHeight="1">
      <c r="C12778" s="4" t="str">
        <f ca="1">IFERROR(__xludf.DUMMYFUNCTION("GOOGLETRANSLATE(D:D,""auto"",""en"")"),"#VALUE!")</f>
        <v>#VALUE!</v>
      </c>
    </row>
    <row r="12779" spans="3:3" ht="13.5" customHeight="1">
      <c r="C12779" s="4" t="str">
        <f ca="1">IFERROR(__xludf.DUMMYFUNCTION("GOOGLETRANSLATE(D:D,""auto"",""en"")"),"#VALUE!")</f>
        <v>#VALUE!</v>
      </c>
    </row>
    <row r="12780" spans="3:3" ht="13.5" customHeight="1">
      <c r="C12780" s="4" t="str">
        <f ca="1">IFERROR(__xludf.DUMMYFUNCTION("GOOGLETRANSLATE(D:D,""auto"",""en"")"),"#VALUE!")</f>
        <v>#VALUE!</v>
      </c>
    </row>
    <row r="12781" spans="3:3" ht="13.5" customHeight="1">
      <c r="C12781" s="4" t="str">
        <f ca="1">IFERROR(__xludf.DUMMYFUNCTION("GOOGLETRANSLATE(D:D,""auto"",""en"")"),"#VALUE!")</f>
        <v>#VALUE!</v>
      </c>
    </row>
    <row r="12782" spans="3:3" ht="13.5" customHeight="1">
      <c r="C12782" s="4" t="str">
        <f ca="1">IFERROR(__xludf.DUMMYFUNCTION("GOOGLETRANSLATE(D:D,""auto"",""en"")"),"#VALUE!")</f>
        <v>#VALUE!</v>
      </c>
    </row>
    <row r="12783" spans="3:3" ht="13.5" customHeight="1">
      <c r="C12783" s="4" t="str">
        <f ca="1">IFERROR(__xludf.DUMMYFUNCTION("GOOGLETRANSLATE(D:D,""auto"",""en"")"),"#VALUE!")</f>
        <v>#VALUE!</v>
      </c>
    </row>
    <row r="12784" spans="3:3" ht="13.5" customHeight="1">
      <c r="C12784" s="4" t="str">
        <f ca="1">IFERROR(__xludf.DUMMYFUNCTION("GOOGLETRANSLATE(D:D,""auto"",""en"")"),"#VALUE!")</f>
        <v>#VALUE!</v>
      </c>
    </row>
    <row r="12785" spans="3:3" ht="13.5" customHeight="1">
      <c r="C12785" s="4" t="str">
        <f ca="1">IFERROR(__xludf.DUMMYFUNCTION("GOOGLETRANSLATE(D:D,""auto"",""en"")"),"#VALUE!")</f>
        <v>#VALUE!</v>
      </c>
    </row>
    <row r="12786" spans="3:3" ht="13.5" customHeight="1">
      <c r="C12786" s="4" t="str">
        <f ca="1">IFERROR(__xludf.DUMMYFUNCTION("GOOGLETRANSLATE(D:D,""auto"",""en"")"),"#VALUE!")</f>
        <v>#VALUE!</v>
      </c>
    </row>
    <row r="12787" spans="3:3" ht="13.5" customHeight="1">
      <c r="C12787" s="4" t="str">
        <f ca="1">IFERROR(__xludf.DUMMYFUNCTION("GOOGLETRANSLATE(D:D,""auto"",""en"")"),"#VALUE!")</f>
        <v>#VALUE!</v>
      </c>
    </row>
    <row r="12788" spans="3:3" ht="13.5" customHeight="1">
      <c r="C12788" s="4" t="str">
        <f ca="1">IFERROR(__xludf.DUMMYFUNCTION("GOOGLETRANSLATE(D:D,""auto"",""en"")"),"#VALUE!")</f>
        <v>#VALUE!</v>
      </c>
    </row>
    <row r="12789" spans="3:3" ht="13.5" customHeight="1">
      <c r="C12789" s="4" t="str">
        <f ca="1">IFERROR(__xludf.DUMMYFUNCTION("GOOGLETRANSLATE(D:D,""auto"",""en"")"),"#VALUE!")</f>
        <v>#VALUE!</v>
      </c>
    </row>
    <row r="12790" spans="3:3" ht="13.5" customHeight="1">
      <c r="C12790" s="4" t="str">
        <f ca="1">IFERROR(__xludf.DUMMYFUNCTION("GOOGLETRANSLATE(D:D,""auto"",""en"")"),"#VALUE!")</f>
        <v>#VALUE!</v>
      </c>
    </row>
    <row r="12791" spans="3:3" ht="13.5" customHeight="1">
      <c r="C12791" s="4" t="str">
        <f ca="1">IFERROR(__xludf.DUMMYFUNCTION("GOOGLETRANSLATE(D:D,""auto"",""en"")"),"#VALUE!")</f>
        <v>#VALUE!</v>
      </c>
    </row>
    <row r="12792" spans="3:3" ht="13.5" customHeight="1">
      <c r="C12792" s="4" t="str">
        <f ca="1">IFERROR(__xludf.DUMMYFUNCTION("GOOGLETRANSLATE(D:D,""auto"",""en"")"),"#VALUE!")</f>
        <v>#VALUE!</v>
      </c>
    </row>
    <row r="12793" spans="3:3" ht="13.5" customHeight="1">
      <c r="C12793" s="4" t="str">
        <f ca="1">IFERROR(__xludf.DUMMYFUNCTION("GOOGLETRANSLATE(D:D,""auto"",""en"")"),"#VALUE!")</f>
        <v>#VALUE!</v>
      </c>
    </row>
    <row r="12794" spans="3:3" ht="13.5" customHeight="1">
      <c r="C12794" s="4" t="str">
        <f ca="1">IFERROR(__xludf.DUMMYFUNCTION("GOOGLETRANSLATE(D:D,""auto"",""en"")"),"#VALUE!")</f>
        <v>#VALUE!</v>
      </c>
    </row>
    <row r="12795" spans="3:3" ht="13.5" customHeight="1">
      <c r="C12795" s="4" t="str">
        <f ca="1">IFERROR(__xludf.DUMMYFUNCTION("GOOGLETRANSLATE(D:D,""auto"",""en"")"),"#VALUE!")</f>
        <v>#VALUE!</v>
      </c>
    </row>
    <row r="12796" spans="3:3" ht="13.5" customHeight="1">
      <c r="C12796" s="4" t="str">
        <f ca="1">IFERROR(__xludf.DUMMYFUNCTION("GOOGLETRANSLATE(D:D,""auto"",""en"")"),"#VALUE!")</f>
        <v>#VALUE!</v>
      </c>
    </row>
    <row r="12797" spans="3:3" ht="13.5" customHeight="1">
      <c r="C12797" s="4" t="str">
        <f ca="1">IFERROR(__xludf.DUMMYFUNCTION("GOOGLETRANSLATE(D:D,""auto"",""en"")"),"#VALUE!")</f>
        <v>#VALUE!</v>
      </c>
    </row>
    <row r="12798" spans="3:3" ht="13.5" customHeight="1">
      <c r="C12798" s="4" t="str">
        <f ca="1">IFERROR(__xludf.DUMMYFUNCTION("GOOGLETRANSLATE(D:D,""auto"",""en"")"),"#VALUE!")</f>
        <v>#VALUE!</v>
      </c>
    </row>
    <row r="12799" spans="3:3" ht="13.5" customHeight="1">
      <c r="C12799" s="4" t="str">
        <f ca="1">IFERROR(__xludf.DUMMYFUNCTION("GOOGLETRANSLATE(D:D,""auto"",""en"")"),"#VALUE!")</f>
        <v>#VALUE!</v>
      </c>
    </row>
    <row r="12800" spans="3:3" ht="13.5" customHeight="1">
      <c r="C12800" s="4" t="str">
        <f ca="1">IFERROR(__xludf.DUMMYFUNCTION("GOOGLETRANSLATE(D:D,""auto"",""en"")"),"#VALUE!")</f>
        <v>#VALUE!</v>
      </c>
    </row>
    <row r="12801" spans="3:3" ht="13.5" customHeight="1">
      <c r="C12801" s="4" t="str">
        <f ca="1">IFERROR(__xludf.DUMMYFUNCTION("GOOGLETRANSLATE(D:D,""auto"",""en"")"),"#VALUE!")</f>
        <v>#VALUE!</v>
      </c>
    </row>
    <row r="12802" spans="3:3" ht="13.5" customHeight="1">
      <c r="C12802" s="4" t="str">
        <f ca="1">IFERROR(__xludf.DUMMYFUNCTION("GOOGLETRANSLATE(D:D,""auto"",""en"")"),"#VALUE!")</f>
        <v>#VALUE!</v>
      </c>
    </row>
    <row r="12803" spans="3:3" ht="13.5" customHeight="1">
      <c r="C12803" s="4" t="str">
        <f ca="1">IFERROR(__xludf.DUMMYFUNCTION("GOOGLETRANSLATE(D:D,""auto"",""en"")"),"#VALUE!")</f>
        <v>#VALUE!</v>
      </c>
    </row>
    <row r="12804" spans="3:3" ht="13.5" customHeight="1">
      <c r="C12804" s="4" t="str">
        <f ca="1">IFERROR(__xludf.DUMMYFUNCTION("GOOGLETRANSLATE(D:D,""auto"",""en"")"),"#VALUE!")</f>
        <v>#VALUE!</v>
      </c>
    </row>
    <row r="12805" spans="3:3" ht="13.5" customHeight="1">
      <c r="C12805" s="4" t="str">
        <f ca="1">IFERROR(__xludf.DUMMYFUNCTION("GOOGLETRANSLATE(D:D,""auto"",""en"")"),"#VALUE!")</f>
        <v>#VALUE!</v>
      </c>
    </row>
    <row r="12806" spans="3:3" ht="13.5" customHeight="1">
      <c r="C12806" s="4" t="str">
        <f ca="1">IFERROR(__xludf.DUMMYFUNCTION("GOOGLETRANSLATE(D:D,""auto"",""en"")"),"#VALUE!")</f>
        <v>#VALUE!</v>
      </c>
    </row>
    <row r="12807" spans="3:3" ht="13.5" customHeight="1">
      <c r="C12807" s="4" t="str">
        <f ca="1">IFERROR(__xludf.DUMMYFUNCTION("GOOGLETRANSLATE(D:D,""auto"",""en"")"),"#VALUE!")</f>
        <v>#VALUE!</v>
      </c>
    </row>
    <row r="12808" spans="3:3" ht="13.5" customHeight="1">
      <c r="C12808" s="4" t="str">
        <f ca="1">IFERROR(__xludf.DUMMYFUNCTION("GOOGLETRANSLATE(D:D,""auto"",""en"")"),"#VALUE!")</f>
        <v>#VALUE!</v>
      </c>
    </row>
    <row r="12809" spans="3:3" ht="13.5" customHeight="1">
      <c r="C12809" s="4" t="str">
        <f ca="1">IFERROR(__xludf.DUMMYFUNCTION("GOOGLETRANSLATE(D:D,""auto"",""en"")"),"#VALUE!")</f>
        <v>#VALUE!</v>
      </c>
    </row>
    <row r="12810" spans="3:3" ht="13.5" customHeight="1">
      <c r="C12810" s="4" t="str">
        <f ca="1">IFERROR(__xludf.DUMMYFUNCTION("GOOGLETRANSLATE(D:D,""auto"",""en"")"),"#VALUE!")</f>
        <v>#VALUE!</v>
      </c>
    </row>
    <row r="12811" spans="3:3" ht="13.5" customHeight="1">
      <c r="C12811" s="4" t="str">
        <f ca="1">IFERROR(__xludf.DUMMYFUNCTION("GOOGLETRANSLATE(D:D,""auto"",""en"")"),"#VALUE!")</f>
        <v>#VALUE!</v>
      </c>
    </row>
    <row r="12812" spans="3:3" ht="13.5" customHeight="1">
      <c r="C12812" s="4" t="str">
        <f ca="1">IFERROR(__xludf.DUMMYFUNCTION("GOOGLETRANSLATE(D:D,""auto"",""en"")"),"#VALUE!")</f>
        <v>#VALUE!</v>
      </c>
    </row>
    <row r="12813" spans="3:3" ht="13.5" customHeight="1">
      <c r="C12813" s="4" t="str">
        <f ca="1">IFERROR(__xludf.DUMMYFUNCTION("GOOGLETRANSLATE(D:D,""auto"",""en"")"),"#VALUE!")</f>
        <v>#VALUE!</v>
      </c>
    </row>
    <row r="12814" spans="3:3" ht="13.5" customHeight="1">
      <c r="C12814" s="4" t="str">
        <f ca="1">IFERROR(__xludf.DUMMYFUNCTION("GOOGLETRANSLATE(D:D,""auto"",""en"")"),"#VALUE!")</f>
        <v>#VALUE!</v>
      </c>
    </row>
    <row r="12815" spans="3:3" ht="13.5" customHeight="1">
      <c r="C12815" s="4" t="str">
        <f ca="1">IFERROR(__xludf.DUMMYFUNCTION("GOOGLETRANSLATE(D:D,""auto"",""en"")"),"#VALUE!")</f>
        <v>#VALUE!</v>
      </c>
    </row>
    <row r="12816" spans="3:3" ht="13.5" customHeight="1">
      <c r="C12816" s="4" t="str">
        <f ca="1">IFERROR(__xludf.DUMMYFUNCTION("GOOGLETRANSLATE(D:D,""auto"",""en"")"),"#VALUE!")</f>
        <v>#VALUE!</v>
      </c>
    </row>
    <row r="12817" spans="3:3" ht="13.5" customHeight="1">
      <c r="C12817" s="4" t="str">
        <f ca="1">IFERROR(__xludf.DUMMYFUNCTION("GOOGLETRANSLATE(D:D,""auto"",""en"")"),"#VALUE!")</f>
        <v>#VALUE!</v>
      </c>
    </row>
    <row r="12818" spans="3:3" ht="13.5" customHeight="1">
      <c r="C12818" s="4" t="str">
        <f ca="1">IFERROR(__xludf.DUMMYFUNCTION("GOOGLETRANSLATE(D:D,""auto"",""en"")"),"#VALUE!")</f>
        <v>#VALUE!</v>
      </c>
    </row>
    <row r="12819" spans="3:3" ht="13.5" customHeight="1">
      <c r="C12819" s="4" t="str">
        <f ca="1">IFERROR(__xludf.DUMMYFUNCTION("GOOGLETRANSLATE(D:D,""auto"",""en"")"),"#VALUE!")</f>
        <v>#VALUE!</v>
      </c>
    </row>
    <row r="12820" spans="3:3" ht="13.5" customHeight="1">
      <c r="C12820" s="4" t="str">
        <f ca="1">IFERROR(__xludf.DUMMYFUNCTION("GOOGLETRANSLATE(D:D,""auto"",""en"")"),"#VALUE!")</f>
        <v>#VALUE!</v>
      </c>
    </row>
    <row r="12821" spans="3:3" ht="13.5" customHeight="1">
      <c r="C12821" s="4" t="str">
        <f ca="1">IFERROR(__xludf.DUMMYFUNCTION("GOOGLETRANSLATE(D:D,""auto"",""en"")"),"#VALUE!")</f>
        <v>#VALUE!</v>
      </c>
    </row>
    <row r="12822" spans="3:3" ht="13.5" customHeight="1">
      <c r="C12822" s="4" t="str">
        <f ca="1">IFERROR(__xludf.DUMMYFUNCTION("GOOGLETRANSLATE(D:D,""auto"",""en"")"),"#VALUE!")</f>
        <v>#VALUE!</v>
      </c>
    </row>
    <row r="12823" spans="3:3" ht="13.5" customHeight="1">
      <c r="C12823" s="4" t="str">
        <f ca="1">IFERROR(__xludf.DUMMYFUNCTION("GOOGLETRANSLATE(D:D,""auto"",""en"")"),"#VALUE!")</f>
        <v>#VALUE!</v>
      </c>
    </row>
    <row r="12824" spans="3:3" ht="13.5" customHeight="1">
      <c r="C12824" s="4" t="str">
        <f ca="1">IFERROR(__xludf.DUMMYFUNCTION("GOOGLETRANSLATE(D:D,""auto"",""en"")"),"#VALUE!")</f>
        <v>#VALUE!</v>
      </c>
    </row>
    <row r="12825" spans="3:3" ht="13.5" customHeight="1">
      <c r="C12825" s="4" t="str">
        <f ca="1">IFERROR(__xludf.DUMMYFUNCTION("GOOGLETRANSLATE(D:D,""auto"",""en"")"),"#VALUE!")</f>
        <v>#VALUE!</v>
      </c>
    </row>
    <row r="12826" spans="3:3" ht="13.5" customHeight="1">
      <c r="C12826" s="4" t="str">
        <f ca="1">IFERROR(__xludf.DUMMYFUNCTION("GOOGLETRANSLATE(D:D,""auto"",""en"")"),"#VALUE!")</f>
        <v>#VALUE!</v>
      </c>
    </row>
    <row r="12827" spans="3:3" ht="13.5" customHeight="1">
      <c r="C12827" s="4" t="str">
        <f ca="1">IFERROR(__xludf.DUMMYFUNCTION("GOOGLETRANSLATE(D:D,""auto"",""en"")"),"#VALUE!")</f>
        <v>#VALUE!</v>
      </c>
    </row>
    <row r="12828" spans="3:3" ht="13.5" customHeight="1">
      <c r="C12828" s="4" t="str">
        <f ca="1">IFERROR(__xludf.DUMMYFUNCTION("GOOGLETRANSLATE(D:D,""auto"",""en"")"),"#VALUE!")</f>
        <v>#VALUE!</v>
      </c>
    </row>
    <row r="12829" spans="3:3" ht="13.5" customHeight="1">
      <c r="C12829" s="4" t="str">
        <f ca="1">IFERROR(__xludf.DUMMYFUNCTION("GOOGLETRANSLATE(D:D,""auto"",""en"")"),"#VALUE!")</f>
        <v>#VALUE!</v>
      </c>
    </row>
    <row r="12830" spans="3:3" ht="13.5" customHeight="1">
      <c r="C12830" s="4" t="str">
        <f ca="1">IFERROR(__xludf.DUMMYFUNCTION("GOOGLETRANSLATE(D:D,""auto"",""en"")"),"#VALUE!")</f>
        <v>#VALUE!</v>
      </c>
    </row>
    <row r="12831" spans="3:3" ht="13.5" customHeight="1">
      <c r="C12831" s="4" t="str">
        <f ca="1">IFERROR(__xludf.DUMMYFUNCTION("GOOGLETRANSLATE(D:D,""auto"",""en"")"),"#VALUE!")</f>
        <v>#VALUE!</v>
      </c>
    </row>
    <row r="12832" spans="3:3" ht="13.5" customHeight="1">
      <c r="C12832" s="4" t="str">
        <f ca="1">IFERROR(__xludf.DUMMYFUNCTION("GOOGLETRANSLATE(D:D,""auto"",""en"")"),"#VALUE!")</f>
        <v>#VALUE!</v>
      </c>
    </row>
    <row r="12833" spans="3:3" ht="13.5" customHeight="1">
      <c r="C12833" s="4" t="str">
        <f ca="1">IFERROR(__xludf.DUMMYFUNCTION("GOOGLETRANSLATE(D:D,""auto"",""en"")"),"#VALUE!")</f>
        <v>#VALUE!</v>
      </c>
    </row>
    <row r="12834" spans="3:3" ht="13.5" customHeight="1">
      <c r="C12834" s="4" t="str">
        <f ca="1">IFERROR(__xludf.DUMMYFUNCTION("GOOGLETRANSLATE(D:D,""auto"",""en"")"),"#VALUE!")</f>
        <v>#VALUE!</v>
      </c>
    </row>
    <row r="12835" spans="3:3" ht="13.5" customHeight="1">
      <c r="C12835" s="4" t="str">
        <f ca="1">IFERROR(__xludf.DUMMYFUNCTION("GOOGLETRANSLATE(D:D,""auto"",""en"")"),"#VALUE!")</f>
        <v>#VALUE!</v>
      </c>
    </row>
    <row r="12836" spans="3:3" ht="13.5" customHeight="1">
      <c r="C12836" s="4" t="str">
        <f ca="1">IFERROR(__xludf.DUMMYFUNCTION("GOOGLETRANSLATE(D:D,""auto"",""en"")"),"#VALUE!")</f>
        <v>#VALUE!</v>
      </c>
    </row>
    <row r="12837" spans="3:3" ht="13.5" customHeight="1">
      <c r="C12837" s="4" t="str">
        <f ca="1">IFERROR(__xludf.DUMMYFUNCTION("GOOGLETRANSLATE(D:D,""auto"",""en"")"),"#VALUE!")</f>
        <v>#VALUE!</v>
      </c>
    </row>
    <row r="12838" spans="3:3" ht="13.5" customHeight="1">
      <c r="C12838" s="4" t="str">
        <f ca="1">IFERROR(__xludf.DUMMYFUNCTION("GOOGLETRANSLATE(D:D,""auto"",""en"")"),"#VALUE!")</f>
        <v>#VALUE!</v>
      </c>
    </row>
    <row r="12839" spans="3:3" ht="13.5" customHeight="1">
      <c r="C12839" s="4" t="str">
        <f ca="1">IFERROR(__xludf.DUMMYFUNCTION("GOOGLETRANSLATE(D:D,""auto"",""en"")"),"#VALUE!")</f>
        <v>#VALUE!</v>
      </c>
    </row>
    <row r="12840" spans="3:3" ht="13.5" customHeight="1">
      <c r="C12840" s="4" t="str">
        <f ca="1">IFERROR(__xludf.DUMMYFUNCTION("GOOGLETRANSLATE(D:D,""auto"",""en"")"),"#VALUE!")</f>
        <v>#VALUE!</v>
      </c>
    </row>
    <row r="12841" spans="3:3" ht="13.5" customHeight="1">
      <c r="C12841" s="4" t="str">
        <f ca="1">IFERROR(__xludf.DUMMYFUNCTION("GOOGLETRANSLATE(D:D,""auto"",""en"")"),"#VALUE!")</f>
        <v>#VALUE!</v>
      </c>
    </row>
    <row r="12842" spans="3:3" ht="13.5" customHeight="1">
      <c r="C12842" s="4" t="str">
        <f ca="1">IFERROR(__xludf.DUMMYFUNCTION("GOOGLETRANSLATE(D:D,""auto"",""en"")"),"#VALUE!")</f>
        <v>#VALUE!</v>
      </c>
    </row>
    <row r="12843" spans="3:3" ht="13.5" customHeight="1">
      <c r="C12843" s="4" t="str">
        <f ca="1">IFERROR(__xludf.DUMMYFUNCTION("GOOGLETRANSLATE(D:D,""auto"",""en"")"),"#VALUE!")</f>
        <v>#VALUE!</v>
      </c>
    </row>
    <row r="12844" spans="3:3" ht="13.5" customHeight="1">
      <c r="C12844" s="4" t="str">
        <f ca="1">IFERROR(__xludf.DUMMYFUNCTION("GOOGLETRANSLATE(D:D,""auto"",""en"")"),"#VALUE!")</f>
        <v>#VALUE!</v>
      </c>
    </row>
    <row r="12845" spans="3:3" ht="13.5" customHeight="1">
      <c r="C12845" s="4" t="str">
        <f ca="1">IFERROR(__xludf.DUMMYFUNCTION("GOOGLETRANSLATE(D:D,""auto"",""en"")"),"#VALUE!")</f>
        <v>#VALUE!</v>
      </c>
    </row>
    <row r="12846" spans="3:3" ht="13.5" customHeight="1">
      <c r="C12846" s="4" t="str">
        <f ca="1">IFERROR(__xludf.DUMMYFUNCTION("GOOGLETRANSLATE(D:D,""auto"",""en"")"),"#VALUE!")</f>
        <v>#VALUE!</v>
      </c>
    </row>
    <row r="12847" spans="3:3" ht="13.5" customHeight="1">
      <c r="C12847" s="4" t="str">
        <f ca="1">IFERROR(__xludf.DUMMYFUNCTION("GOOGLETRANSLATE(D:D,""auto"",""en"")"),"#VALUE!")</f>
        <v>#VALUE!</v>
      </c>
    </row>
    <row r="12848" spans="3:3" ht="13.5" customHeight="1">
      <c r="C12848" s="4" t="str">
        <f ca="1">IFERROR(__xludf.DUMMYFUNCTION("GOOGLETRANSLATE(D:D,""auto"",""en"")"),"#VALUE!")</f>
        <v>#VALUE!</v>
      </c>
    </row>
    <row r="12849" spans="3:3" ht="13.5" customHeight="1">
      <c r="C12849" s="4" t="str">
        <f ca="1">IFERROR(__xludf.DUMMYFUNCTION("GOOGLETRANSLATE(D:D,""auto"",""en"")"),"#VALUE!")</f>
        <v>#VALUE!</v>
      </c>
    </row>
    <row r="12850" spans="3:3" ht="13.5" customHeight="1">
      <c r="C12850" s="4" t="str">
        <f ca="1">IFERROR(__xludf.DUMMYFUNCTION("GOOGLETRANSLATE(D:D,""auto"",""en"")"),"#VALUE!")</f>
        <v>#VALUE!</v>
      </c>
    </row>
    <row r="12851" spans="3:3" ht="13.5" customHeight="1">
      <c r="C12851" s="4" t="str">
        <f ca="1">IFERROR(__xludf.DUMMYFUNCTION("GOOGLETRANSLATE(D:D,""auto"",""en"")"),"#VALUE!")</f>
        <v>#VALUE!</v>
      </c>
    </row>
    <row r="12852" spans="3:3" ht="13.5" customHeight="1">
      <c r="C12852" s="4" t="str">
        <f ca="1">IFERROR(__xludf.DUMMYFUNCTION("GOOGLETRANSLATE(D:D,""auto"",""en"")"),"#VALUE!")</f>
        <v>#VALUE!</v>
      </c>
    </row>
    <row r="12853" spans="3:3" ht="13.5" customHeight="1">
      <c r="C12853" s="4" t="str">
        <f ca="1">IFERROR(__xludf.DUMMYFUNCTION("GOOGLETRANSLATE(D:D,""auto"",""en"")"),"#VALUE!")</f>
        <v>#VALUE!</v>
      </c>
    </row>
    <row r="12854" spans="3:3" ht="13.5" customHeight="1">
      <c r="C12854" s="4" t="str">
        <f ca="1">IFERROR(__xludf.DUMMYFUNCTION("GOOGLETRANSLATE(D:D,""auto"",""en"")"),"#VALUE!")</f>
        <v>#VALUE!</v>
      </c>
    </row>
    <row r="12855" spans="3:3" ht="13.5" customHeight="1">
      <c r="C12855" s="4" t="str">
        <f ca="1">IFERROR(__xludf.DUMMYFUNCTION("GOOGLETRANSLATE(D:D,""auto"",""en"")"),"#VALUE!")</f>
        <v>#VALUE!</v>
      </c>
    </row>
    <row r="12856" spans="3:3" ht="13.5" customHeight="1">
      <c r="C12856" s="4" t="str">
        <f ca="1">IFERROR(__xludf.DUMMYFUNCTION("GOOGLETRANSLATE(D:D,""auto"",""en"")"),"#VALUE!")</f>
        <v>#VALUE!</v>
      </c>
    </row>
    <row r="12857" spans="3:3" ht="13.5" customHeight="1">
      <c r="C12857" s="4" t="str">
        <f ca="1">IFERROR(__xludf.DUMMYFUNCTION("GOOGLETRANSLATE(D:D,""auto"",""en"")"),"#VALUE!")</f>
        <v>#VALUE!</v>
      </c>
    </row>
    <row r="12858" spans="3:3" ht="13.5" customHeight="1">
      <c r="C12858" s="4" t="str">
        <f ca="1">IFERROR(__xludf.DUMMYFUNCTION("GOOGLETRANSLATE(D:D,""auto"",""en"")"),"#VALUE!")</f>
        <v>#VALUE!</v>
      </c>
    </row>
    <row r="12859" spans="3:3" ht="13.5" customHeight="1">
      <c r="C12859" s="4" t="str">
        <f ca="1">IFERROR(__xludf.DUMMYFUNCTION("GOOGLETRANSLATE(D:D,""auto"",""en"")"),"#VALUE!")</f>
        <v>#VALUE!</v>
      </c>
    </row>
    <row r="12860" spans="3:3" ht="13.5" customHeight="1">
      <c r="C12860" s="4" t="str">
        <f ca="1">IFERROR(__xludf.DUMMYFUNCTION("GOOGLETRANSLATE(D:D,""auto"",""en"")"),"#VALUE!")</f>
        <v>#VALUE!</v>
      </c>
    </row>
    <row r="12861" spans="3:3" ht="13.5" customHeight="1">
      <c r="C12861" s="4" t="str">
        <f ca="1">IFERROR(__xludf.DUMMYFUNCTION("GOOGLETRANSLATE(D:D,""auto"",""en"")"),"#VALUE!")</f>
        <v>#VALUE!</v>
      </c>
    </row>
    <row r="12862" spans="3:3" ht="13.5" customHeight="1">
      <c r="C12862" s="4" t="str">
        <f ca="1">IFERROR(__xludf.DUMMYFUNCTION("GOOGLETRANSLATE(D:D,""auto"",""en"")"),"#VALUE!")</f>
        <v>#VALUE!</v>
      </c>
    </row>
    <row r="12863" spans="3:3" ht="13.5" customHeight="1">
      <c r="C12863" s="4" t="str">
        <f ca="1">IFERROR(__xludf.DUMMYFUNCTION("GOOGLETRANSLATE(D:D,""auto"",""en"")"),"#VALUE!")</f>
        <v>#VALUE!</v>
      </c>
    </row>
    <row r="12864" spans="3:3" ht="13.5" customHeight="1">
      <c r="C12864" s="4" t="str">
        <f ca="1">IFERROR(__xludf.DUMMYFUNCTION("GOOGLETRANSLATE(D:D,""auto"",""en"")"),"#VALUE!")</f>
        <v>#VALUE!</v>
      </c>
    </row>
    <row r="12865" spans="3:3" ht="13.5" customHeight="1">
      <c r="C12865" s="4" t="str">
        <f ca="1">IFERROR(__xludf.DUMMYFUNCTION("GOOGLETRANSLATE(D:D,""auto"",""en"")"),"#VALUE!")</f>
        <v>#VALUE!</v>
      </c>
    </row>
    <row r="12866" spans="3:3" ht="13.5" customHeight="1">
      <c r="C12866" s="4" t="str">
        <f ca="1">IFERROR(__xludf.DUMMYFUNCTION("GOOGLETRANSLATE(D:D,""auto"",""en"")"),"#VALUE!")</f>
        <v>#VALUE!</v>
      </c>
    </row>
    <row r="12867" spans="3:3" ht="13.5" customHeight="1">
      <c r="C12867" s="4" t="str">
        <f ca="1">IFERROR(__xludf.DUMMYFUNCTION("GOOGLETRANSLATE(D:D,""auto"",""en"")"),"#VALUE!")</f>
        <v>#VALUE!</v>
      </c>
    </row>
    <row r="12868" spans="3:3" ht="13.5" customHeight="1">
      <c r="C12868" s="4" t="str">
        <f ca="1">IFERROR(__xludf.DUMMYFUNCTION("GOOGLETRANSLATE(D:D,""auto"",""en"")"),"#VALUE!")</f>
        <v>#VALUE!</v>
      </c>
    </row>
    <row r="12869" spans="3:3" ht="13.5" customHeight="1">
      <c r="C12869" s="4" t="str">
        <f ca="1">IFERROR(__xludf.DUMMYFUNCTION("GOOGLETRANSLATE(D:D,""auto"",""en"")"),"#VALUE!")</f>
        <v>#VALUE!</v>
      </c>
    </row>
    <row r="12870" spans="3:3" ht="13.5" customHeight="1">
      <c r="C12870" s="4" t="str">
        <f ca="1">IFERROR(__xludf.DUMMYFUNCTION("GOOGLETRANSLATE(D:D,""auto"",""en"")"),"#VALUE!")</f>
        <v>#VALUE!</v>
      </c>
    </row>
    <row r="12871" spans="3:3" ht="13.5" customHeight="1">
      <c r="C12871" s="4" t="str">
        <f ca="1">IFERROR(__xludf.DUMMYFUNCTION("GOOGLETRANSLATE(D:D,""auto"",""en"")"),"#VALUE!")</f>
        <v>#VALUE!</v>
      </c>
    </row>
    <row r="12872" spans="3:3" ht="13.5" customHeight="1">
      <c r="C12872" s="4" t="str">
        <f ca="1">IFERROR(__xludf.DUMMYFUNCTION("GOOGLETRANSLATE(D:D,""auto"",""en"")"),"#VALUE!")</f>
        <v>#VALUE!</v>
      </c>
    </row>
    <row r="12873" spans="3:3" ht="13.5" customHeight="1">
      <c r="C12873" s="4" t="str">
        <f ca="1">IFERROR(__xludf.DUMMYFUNCTION("GOOGLETRANSLATE(D:D,""auto"",""en"")"),"#VALUE!")</f>
        <v>#VALUE!</v>
      </c>
    </row>
    <row r="12874" spans="3:3" ht="13.5" customHeight="1">
      <c r="C12874" s="4" t="str">
        <f ca="1">IFERROR(__xludf.DUMMYFUNCTION("GOOGLETRANSLATE(D:D,""auto"",""en"")"),"#VALUE!")</f>
        <v>#VALUE!</v>
      </c>
    </row>
    <row r="12875" spans="3:3" ht="13.5" customHeight="1">
      <c r="C12875" s="4" t="str">
        <f ca="1">IFERROR(__xludf.DUMMYFUNCTION("GOOGLETRANSLATE(D:D,""auto"",""en"")"),"#VALUE!")</f>
        <v>#VALUE!</v>
      </c>
    </row>
    <row r="12876" spans="3:3" ht="13.5" customHeight="1">
      <c r="C12876" s="4" t="str">
        <f ca="1">IFERROR(__xludf.DUMMYFUNCTION("GOOGLETRANSLATE(D:D,""auto"",""en"")"),"#VALUE!")</f>
        <v>#VALUE!</v>
      </c>
    </row>
    <row r="12877" spans="3:3" ht="13.5" customHeight="1">
      <c r="C12877" s="4" t="str">
        <f ca="1">IFERROR(__xludf.DUMMYFUNCTION("GOOGLETRANSLATE(D:D,""auto"",""en"")"),"#VALUE!")</f>
        <v>#VALUE!</v>
      </c>
    </row>
    <row r="12878" spans="3:3" ht="13.5" customHeight="1">
      <c r="C12878" s="4" t="str">
        <f ca="1">IFERROR(__xludf.DUMMYFUNCTION("GOOGLETRANSLATE(D:D,""auto"",""en"")"),"#VALUE!")</f>
        <v>#VALUE!</v>
      </c>
    </row>
    <row r="12879" spans="3:3" ht="13.5" customHeight="1">
      <c r="C12879" s="4" t="str">
        <f ca="1">IFERROR(__xludf.DUMMYFUNCTION("GOOGLETRANSLATE(D:D,""auto"",""en"")"),"#VALUE!")</f>
        <v>#VALUE!</v>
      </c>
    </row>
    <row r="12880" spans="3:3" ht="13.5" customHeight="1">
      <c r="C12880" s="4" t="str">
        <f ca="1">IFERROR(__xludf.DUMMYFUNCTION("GOOGLETRANSLATE(D:D,""auto"",""en"")"),"#VALUE!")</f>
        <v>#VALUE!</v>
      </c>
    </row>
    <row r="12881" spans="3:3" ht="13.5" customHeight="1">
      <c r="C12881" s="4" t="str">
        <f ca="1">IFERROR(__xludf.DUMMYFUNCTION("GOOGLETRANSLATE(D:D,""auto"",""en"")"),"#VALUE!")</f>
        <v>#VALUE!</v>
      </c>
    </row>
    <row r="12882" spans="3:3" ht="13.5" customHeight="1">
      <c r="C12882" s="4" t="str">
        <f ca="1">IFERROR(__xludf.DUMMYFUNCTION("GOOGLETRANSLATE(D:D,""auto"",""en"")"),"#VALUE!")</f>
        <v>#VALUE!</v>
      </c>
    </row>
    <row r="12883" spans="3:3" ht="13.5" customHeight="1">
      <c r="C12883" s="4" t="str">
        <f ca="1">IFERROR(__xludf.DUMMYFUNCTION("GOOGLETRANSLATE(D:D,""auto"",""en"")"),"#VALUE!")</f>
        <v>#VALUE!</v>
      </c>
    </row>
    <row r="12884" spans="3:3" ht="13.5" customHeight="1">
      <c r="C12884" s="4" t="str">
        <f ca="1">IFERROR(__xludf.DUMMYFUNCTION("GOOGLETRANSLATE(D:D,""auto"",""en"")"),"#VALUE!")</f>
        <v>#VALUE!</v>
      </c>
    </row>
    <row r="12885" spans="3:3" ht="13.5" customHeight="1">
      <c r="C12885" s="4" t="str">
        <f ca="1">IFERROR(__xludf.DUMMYFUNCTION("GOOGLETRANSLATE(D:D,""auto"",""en"")"),"#VALUE!")</f>
        <v>#VALUE!</v>
      </c>
    </row>
    <row r="12886" spans="3:3" ht="13.5" customHeight="1">
      <c r="C12886" s="4" t="str">
        <f ca="1">IFERROR(__xludf.DUMMYFUNCTION("GOOGLETRANSLATE(D:D,""auto"",""en"")"),"#VALUE!")</f>
        <v>#VALUE!</v>
      </c>
    </row>
    <row r="12887" spans="3:3" ht="13.5" customHeight="1">
      <c r="C12887" s="4" t="str">
        <f ca="1">IFERROR(__xludf.DUMMYFUNCTION("GOOGLETRANSLATE(D:D,""auto"",""en"")"),"#VALUE!")</f>
        <v>#VALUE!</v>
      </c>
    </row>
    <row r="12888" spans="3:3" ht="13.5" customHeight="1">
      <c r="C12888" s="4" t="str">
        <f ca="1">IFERROR(__xludf.DUMMYFUNCTION("GOOGLETRANSLATE(D:D,""auto"",""en"")"),"#VALUE!")</f>
        <v>#VALUE!</v>
      </c>
    </row>
    <row r="12889" spans="3:3" ht="13.5" customHeight="1">
      <c r="C12889" s="4" t="str">
        <f ca="1">IFERROR(__xludf.DUMMYFUNCTION("GOOGLETRANSLATE(D:D,""auto"",""en"")"),"#VALUE!")</f>
        <v>#VALUE!</v>
      </c>
    </row>
    <row r="12890" spans="3:3" ht="13.5" customHeight="1">
      <c r="C12890" s="4" t="str">
        <f ca="1">IFERROR(__xludf.DUMMYFUNCTION("GOOGLETRANSLATE(D:D,""auto"",""en"")"),"#VALUE!")</f>
        <v>#VALUE!</v>
      </c>
    </row>
    <row r="12891" spans="3:3" ht="13.5" customHeight="1">
      <c r="C12891" s="4" t="str">
        <f ca="1">IFERROR(__xludf.DUMMYFUNCTION("GOOGLETRANSLATE(D:D,""auto"",""en"")"),"#VALUE!")</f>
        <v>#VALUE!</v>
      </c>
    </row>
    <row r="12892" spans="3:3" ht="13.5" customHeight="1">
      <c r="C12892" s="4" t="str">
        <f ca="1">IFERROR(__xludf.DUMMYFUNCTION("GOOGLETRANSLATE(D:D,""auto"",""en"")"),"#VALUE!")</f>
        <v>#VALUE!</v>
      </c>
    </row>
    <row r="12893" spans="3:3" ht="13.5" customHeight="1">
      <c r="C12893" s="4" t="str">
        <f ca="1">IFERROR(__xludf.DUMMYFUNCTION("GOOGLETRANSLATE(D:D,""auto"",""en"")"),"#VALUE!")</f>
        <v>#VALUE!</v>
      </c>
    </row>
    <row r="12894" spans="3:3" ht="13.5" customHeight="1">
      <c r="C12894" s="4" t="str">
        <f ca="1">IFERROR(__xludf.DUMMYFUNCTION("GOOGLETRANSLATE(D:D,""auto"",""en"")"),"#VALUE!")</f>
        <v>#VALUE!</v>
      </c>
    </row>
    <row r="12895" spans="3:3" ht="13.5" customHeight="1">
      <c r="C12895" s="4" t="str">
        <f ca="1">IFERROR(__xludf.DUMMYFUNCTION("GOOGLETRANSLATE(D:D,""auto"",""en"")"),"#VALUE!")</f>
        <v>#VALUE!</v>
      </c>
    </row>
    <row r="12896" spans="3:3" ht="13.5" customHeight="1">
      <c r="C12896" s="4" t="str">
        <f ca="1">IFERROR(__xludf.DUMMYFUNCTION("GOOGLETRANSLATE(D:D,""auto"",""en"")"),"#VALUE!")</f>
        <v>#VALUE!</v>
      </c>
    </row>
    <row r="12897" spans="3:3" ht="13.5" customHeight="1">
      <c r="C12897" s="4" t="str">
        <f ca="1">IFERROR(__xludf.DUMMYFUNCTION("GOOGLETRANSLATE(D:D,""auto"",""en"")"),"#VALUE!")</f>
        <v>#VALUE!</v>
      </c>
    </row>
    <row r="12898" spans="3:3" ht="13.5" customHeight="1">
      <c r="C12898" s="4" t="str">
        <f ca="1">IFERROR(__xludf.DUMMYFUNCTION("GOOGLETRANSLATE(D:D,""auto"",""en"")"),"#VALUE!")</f>
        <v>#VALUE!</v>
      </c>
    </row>
    <row r="12899" spans="3:3" ht="13.5" customHeight="1">
      <c r="C12899" s="4" t="str">
        <f ca="1">IFERROR(__xludf.DUMMYFUNCTION("GOOGLETRANSLATE(D:D,""auto"",""en"")"),"#VALUE!")</f>
        <v>#VALUE!</v>
      </c>
    </row>
    <row r="12900" spans="3:3" ht="13.5" customHeight="1">
      <c r="C12900" s="4" t="str">
        <f ca="1">IFERROR(__xludf.DUMMYFUNCTION("GOOGLETRANSLATE(D:D,""auto"",""en"")"),"#VALUE!")</f>
        <v>#VALUE!</v>
      </c>
    </row>
    <row r="12901" spans="3:3" ht="13.5" customHeight="1">
      <c r="C12901" s="4" t="str">
        <f ca="1">IFERROR(__xludf.DUMMYFUNCTION("GOOGLETRANSLATE(D:D,""auto"",""en"")"),"#VALUE!")</f>
        <v>#VALUE!</v>
      </c>
    </row>
    <row r="12902" spans="3:3" ht="13.5" customHeight="1">
      <c r="C12902" s="4" t="str">
        <f ca="1">IFERROR(__xludf.DUMMYFUNCTION("GOOGLETRANSLATE(D:D,""auto"",""en"")"),"#VALUE!")</f>
        <v>#VALUE!</v>
      </c>
    </row>
    <row r="12903" spans="3:3" ht="13.5" customHeight="1">
      <c r="C12903" s="4" t="str">
        <f ca="1">IFERROR(__xludf.DUMMYFUNCTION("GOOGLETRANSLATE(D:D,""auto"",""en"")"),"#VALUE!")</f>
        <v>#VALUE!</v>
      </c>
    </row>
    <row r="12904" spans="3:3" ht="13.5" customHeight="1">
      <c r="C12904" s="4" t="str">
        <f ca="1">IFERROR(__xludf.DUMMYFUNCTION("GOOGLETRANSLATE(D:D,""auto"",""en"")"),"#VALUE!")</f>
        <v>#VALUE!</v>
      </c>
    </row>
    <row r="12905" spans="3:3" ht="13.5" customHeight="1">
      <c r="C12905" s="4" t="str">
        <f ca="1">IFERROR(__xludf.DUMMYFUNCTION("GOOGLETRANSLATE(D:D,""auto"",""en"")"),"#VALUE!")</f>
        <v>#VALUE!</v>
      </c>
    </row>
    <row r="12906" spans="3:3" ht="13.5" customHeight="1">
      <c r="C12906" s="4" t="str">
        <f ca="1">IFERROR(__xludf.DUMMYFUNCTION("GOOGLETRANSLATE(D:D,""auto"",""en"")"),"#VALUE!")</f>
        <v>#VALUE!</v>
      </c>
    </row>
    <row r="12907" spans="3:3" ht="13.5" customHeight="1">
      <c r="C12907" s="4" t="str">
        <f ca="1">IFERROR(__xludf.DUMMYFUNCTION("GOOGLETRANSLATE(D:D,""auto"",""en"")"),"#VALUE!")</f>
        <v>#VALUE!</v>
      </c>
    </row>
    <row r="12908" spans="3:3" ht="13.5" customHeight="1">
      <c r="C12908" s="4" t="str">
        <f ca="1">IFERROR(__xludf.DUMMYFUNCTION("GOOGLETRANSLATE(D:D,""auto"",""en"")"),"#VALUE!")</f>
        <v>#VALUE!</v>
      </c>
    </row>
    <row r="12909" spans="3:3" ht="13.5" customHeight="1">
      <c r="C12909" s="4" t="str">
        <f ca="1">IFERROR(__xludf.DUMMYFUNCTION("GOOGLETRANSLATE(D:D,""auto"",""en"")"),"#VALUE!")</f>
        <v>#VALUE!</v>
      </c>
    </row>
    <row r="12910" spans="3:3" ht="13.5" customHeight="1">
      <c r="C12910" s="4" t="str">
        <f ca="1">IFERROR(__xludf.DUMMYFUNCTION("GOOGLETRANSLATE(D:D,""auto"",""en"")"),"#VALUE!")</f>
        <v>#VALUE!</v>
      </c>
    </row>
    <row r="12911" spans="3:3" ht="13.5" customHeight="1">
      <c r="C12911" s="4" t="str">
        <f ca="1">IFERROR(__xludf.DUMMYFUNCTION("GOOGLETRANSLATE(D:D,""auto"",""en"")"),"#VALUE!")</f>
        <v>#VALUE!</v>
      </c>
    </row>
    <row r="12912" spans="3:3" ht="13.5" customHeight="1">
      <c r="C12912" s="4" t="str">
        <f ca="1">IFERROR(__xludf.DUMMYFUNCTION("GOOGLETRANSLATE(D:D,""auto"",""en"")"),"#VALUE!")</f>
        <v>#VALUE!</v>
      </c>
    </row>
    <row r="12913" spans="3:3" ht="13.5" customHeight="1">
      <c r="C12913" s="4" t="str">
        <f ca="1">IFERROR(__xludf.DUMMYFUNCTION("GOOGLETRANSLATE(D:D,""auto"",""en"")"),"#VALUE!")</f>
        <v>#VALUE!</v>
      </c>
    </row>
    <row r="12914" spans="3:3" ht="13.5" customHeight="1">
      <c r="C12914" s="4" t="str">
        <f ca="1">IFERROR(__xludf.DUMMYFUNCTION("GOOGLETRANSLATE(D:D,""auto"",""en"")"),"#VALUE!")</f>
        <v>#VALUE!</v>
      </c>
    </row>
    <row r="12915" spans="3:3" ht="13.5" customHeight="1">
      <c r="C12915" s="4" t="str">
        <f ca="1">IFERROR(__xludf.DUMMYFUNCTION("GOOGLETRANSLATE(D:D,""auto"",""en"")"),"#VALUE!")</f>
        <v>#VALUE!</v>
      </c>
    </row>
    <row r="12916" spans="3:3" ht="13.5" customHeight="1">
      <c r="C12916" s="4" t="str">
        <f ca="1">IFERROR(__xludf.DUMMYFUNCTION("GOOGLETRANSLATE(D:D,""auto"",""en"")"),"#VALUE!")</f>
        <v>#VALUE!</v>
      </c>
    </row>
    <row r="12917" spans="3:3" ht="13.5" customHeight="1">
      <c r="C12917" s="4" t="str">
        <f ca="1">IFERROR(__xludf.DUMMYFUNCTION("GOOGLETRANSLATE(D:D,""auto"",""en"")"),"#VALUE!")</f>
        <v>#VALUE!</v>
      </c>
    </row>
    <row r="12918" spans="3:3" ht="13.5" customHeight="1">
      <c r="C12918" s="4" t="str">
        <f ca="1">IFERROR(__xludf.DUMMYFUNCTION("GOOGLETRANSLATE(D:D,""auto"",""en"")"),"#VALUE!")</f>
        <v>#VALUE!</v>
      </c>
    </row>
    <row r="12919" spans="3:3" ht="13.5" customHeight="1">
      <c r="C12919" s="4" t="str">
        <f ca="1">IFERROR(__xludf.DUMMYFUNCTION("GOOGLETRANSLATE(D:D,""auto"",""en"")"),"#VALUE!")</f>
        <v>#VALUE!</v>
      </c>
    </row>
    <row r="12920" spans="3:3" ht="13.5" customHeight="1">
      <c r="C12920" s="4" t="str">
        <f ca="1">IFERROR(__xludf.DUMMYFUNCTION("GOOGLETRANSLATE(D:D,""auto"",""en"")"),"#VALUE!")</f>
        <v>#VALUE!</v>
      </c>
    </row>
    <row r="12921" spans="3:3" ht="13.5" customHeight="1">
      <c r="C12921" s="4" t="str">
        <f ca="1">IFERROR(__xludf.DUMMYFUNCTION("GOOGLETRANSLATE(D:D,""auto"",""en"")"),"#VALUE!")</f>
        <v>#VALUE!</v>
      </c>
    </row>
    <row r="12922" spans="3:3" ht="13.5" customHeight="1">
      <c r="C12922" s="4" t="str">
        <f ca="1">IFERROR(__xludf.DUMMYFUNCTION("GOOGLETRANSLATE(D:D,""auto"",""en"")"),"#VALUE!")</f>
        <v>#VALUE!</v>
      </c>
    </row>
    <row r="12923" spans="3:3" ht="13.5" customHeight="1">
      <c r="C12923" s="4" t="str">
        <f ca="1">IFERROR(__xludf.DUMMYFUNCTION("GOOGLETRANSLATE(D:D,""auto"",""en"")"),"#VALUE!")</f>
        <v>#VALUE!</v>
      </c>
    </row>
    <row r="12924" spans="3:3" ht="13.5" customHeight="1">
      <c r="C12924" s="4" t="str">
        <f ca="1">IFERROR(__xludf.DUMMYFUNCTION("GOOGLETRANSLATE(D:D,""auto"",""en"")"),"#VALUE!")</f>
        <v>#VALUE!</v>
      </c>
    </row>
    <row r="12925" spans="3:3" ht="13.5" customHeight="1">
      <c r="C12925" s="4" t="str">
        <f ca="1">IFERROR(__xludf.DUMMYFUNCTION("GOOGLETRANSLATE(D:D,""auto"",""en"")"),"#VALUE!")</f>
        <v>#VALUE!</v>
      </c>
    </row>
    <row r="12926" spans="3:3" ht="13.5" customHeight="1">
      <c r="C12926" s="4" t="str">
        <f ca="1">IFERROR(__xludf.DUMMYFUNCTION("GOOGLETRANSLATE(D:D,""auto"",""en"")"),"#VALUE!")</f>
        <v>#VALUE!</v>
      </c>
    </row>
    <row r="12927" spans="3:3" ht="13.5" customHeight="1">
      <c r="C12927" s="4" t="str">
        <f ca="1">IFERROR(__xludf.DUMMYFUNCTION("GOOGLETRANSLATE(D:D,""auto"",""en"")"),"#VALUE!")</f>
        <v>#VALUE!</v>
      </c>
    </row>
    <row r="12928" spans="3:3" ht="13.5" customHeight="1">
      <c r="C12928" s="4" t="str">
        <f ca="1">IFERROR(__xludf.DUMMYFUNCTION("GOOGLETRANSLATE(D:D,""auto"",""en"")"),"#VALUE!")</f>
        <v>#VALUE!</v>
      </c>
    </row>
    <row r="12929" spans="3:3" ht="13.5" customHeight="1">
      <c r="C12929" s="4" t="str">
        <f ca="1">IFERROR(__xludf.DUMMYFUNCTION("GOOGLETRANSLATE(D:D,""auto"",""en"")"),"#VALUE!")</f>
        <v>#VALUE!</v>
      </c>
    </row>
    <row r="12930" spans="3:3" ht="13.5" customHeight="1">
      <c r="C12930" s="4" t="str">
        <f ca="1">IFERROR(__xludf.DUMMYFUNCTION("GOOGLETRANSLATE(D:D,""auto"",""en"")"),"#VALUE!")</f>
        <v>#VALUE!</v>
      </c>
    </row>
    <row r="12931" spans="3:3" ht="13.5" customHeight="1">
      <c r="C12931" s="4" t="str">
        <f ca="1">IFERROR(__xludf.DUMMYFUNCTION("GOOGLETRANSLATE(D:D,""auto"",""en"")"),"#VALUE!")</f>
        <v>#VALUE!</v>
      </c>
    </row>
    <row r="12932" spans="3:3" ht="13.5" customHeight="1">
      <c r="C12932" s="4" t="str">
        <f ca="1">IFERROR(__xludf.DUMMYFUNCTION("GOOGLETRANSLATE(D:D,""auto"",""en"")"),"#VALUE!")</f>
        <v>#VALUE!</v>
      </c>
    </row>
    <row r="12933" spans="3:3" ht="13.5" customHeight="1">
      <c r="C12933" s="4" t="str">
        <f ca="1">IFERROR(__xludf.DUMMYFUNCTION("GOOGLETRANSLATE(D:D,""auto"",""en"")"),"#VALUE!")</f>
        <v>#VALUE!</v>
      </c>
    </row>
    <row r="12934" spans="3:3" ht="13.5" customHeight="1">
      <c r="C12934" s="4" t="str">
        <f ca="1">IFERROR(__xludf.DUMMYFUNCTION("GOOGLETRANSLATE(D:D,""auto"",""en"")"),"#VALUE!")</f>
        <v>#VALUE!</v>
      </c>
    </row>
    <row r="12935" spans="3:3" ht="13.5" customHeight="1">
      <c r="C12935" s="4" t="str">
        <f ca="1">IFERROR(__xludf.DUMMYFUNCTION("GOOGLETRANSLATE(D:D,""auto"",""en"")"),"#VALUE!")</f>
        <v>#VALUE!</v>
      </c>
    </row>
    <row r="12936" spans="3:3" ht="13.5" customHeight="1">
      <c r="C12936" s="4" t="str">
        <f ca="1">IFERROR(__xludf.DUMMYFUNCTION("GOOGLETRANSLATE(D:D,""auto"",""en"")"),"#VALUE!")</f>
        <v>#VALUE!</v>
      </c>
    </row>
    <row r="12937" spans="3:3" ht="13.5" customHeight="1">
      <c r="C12937" s="4" t="str">
        <f ca="1">IFERROR(__xludf.DUMMYFUNCTION("GOOGLETRANSLATE(D:D,""auto"",""en"")"),"#VALUE!")</f>
        <v>#VALUE!</v>
      </c>
    </row>
    <row r="12938" spans="3:3" ht="13.5" customHeight="1">
      <c r="C12938" s="4" t="str">
        <f ca="1">IFERROR(__xludf.DUMMYFUNCTION("GOOGLETRANSLATE(D:D,""auto"",""en"")"),"#VALUE!")</f>
        <v>#VALUE!</v>
      </c>
    </row>
    <row r="12939" spans="3:3" ht="13.5" customHeight="1">
      <c r="C12939" s="4" t="str">
        <f ca="1">IFERROR(__xludf.DUMMYFUNCTION("GOOGLETRANSLATE(D:D,""auto"",""en"")"),"#VALUE!")</f>
        <v>#VALUE!</v>
      </c>
    </row>
    <row r="12940" spans="3:3" ht="13.5" customHeight="1">
      <c r="C12940" s="4" t="str">
        <f ca="1">IFERROR(__xludf.DUMMYFUNCTION("GOOGLETRANSLATE(D:D,""auto"",""en"")"),"#VALUE!")</f>
        <v>#VALUE!</v>
      </c>
    </row>
    <row r="12941" spans="3:3" ht="13.5" customHeight="1">
      <c r="C12941" s="4" t="str">
        <f ca="1">IFERROR(__xludf.DUMMYFUNCTION("GOOGLETRANSLATE(D:D,""auto"",""en"")"),"#VALUE!")</f>
        <v>#VALUE!</v>
      </c>
    </row>
    <row r="12942" spans="3:3" ht="13.5" customHeight="1">
      <c r="C12942" s="4" t="str">
        <f ca="1">IFERROR(__xludf.DUMMYFUNCTION("GOOGLETRANSLATE(D:D,""auto"",""en"")"),"#VALUE!")</f>
        <v>#VALUE!</v>
      </c>
    </row>
    <row r="12943" spans="3:3" ht="13.5" customHeight="1">
      <c r="C12943" s="4" t="str">
        <f ca="1">IFERROR(__xludf.DUMMYFUNCTION("GOOGLETRANSLATE(D:D,""auto"",""en"")"),"#VALUE!")</f>
        <v>#VALUE!</v>
      </c>
    </row>
    <row r="12944" spans="3:3" ht="13.5" customHeight="1">
      <c r="C12944" s="4" t="str">
        <f ca="1">IFERROR(__xludf.DUMMYFUNCTION("GOOGLETRANSLATE(D:D,""auto"",""en"")"),"#VALUE!")</f>
        <v>#VALUE!</v>
      </c>
    </row>
    <row r="12945" spans="3:3" ht="13.5" customHeight="1">
      <c r="C12945" s="4" t="str">
        <f ca="1">IFERROR(__xludf.DUMMYFUNCTION("GOOGLETRANSLATE(D:D,""auto"",""en"")"),"#VALUE!")</f>
        <v>#VALUE!</v>
      </c>
    </row>
    <row r="12946" spans="3:3" ht="13.5" customHeight="1">
      <c r="C12946" s="4" t="str">
        <f ca="1">IFERROR(__xludf.DUMMYFUNCTION("GOOGLETRANSLATE(D:D,""auto"",""en"")"),"#VALUE!")</f>
        <v>#VALUE!</v>
      </c>
    </row>
    <row r="12947" spans="3:3" ht="13.5" customHeight="1">
      <c r="C12947" s="4" t="str">
        <f ca="1">IFERROR(__xludf.DUMMYFUNCTION("GOOGLETRANSLATE(D:D,""auto"",""en"")"),"#VALUE!")</f>
        <v>#VALUE!</v>
      </c>
    </row>
    <row r="12948" spans="3:3" ht="13.5" customHeight="1">
      <c r="C12948" s="4" t="str">
        <f ca="1">IFERROR(__xludf.DUMMYFUNCTION("GOOGLETRANSLATE(D:D,""auto"",""en"")"),"#VALUE!")</f>
        <v>#VALUE!</v>
      </c>
    </row>
    <row r="12949" spans="3:3" ht="13.5" customHeight="1">
      <c r="C12949" s="4" t="str">
        <f ca="1">IFERROR(__xludf.DUMMYFUNCTION("GOOGLETRANSLATE(D:D,""auto"",""en"")"),"#VALUE!")</f>
        <v>#VALUE!</v>
      </c>
    </row>
    <row r="12950" spans="3:3" ht="13.5" customHeight="1">
      <c r="C12950" s="4" t="str">
        <f ca="1">IFERROR(__xludf.DUMMYFUNCTION("GOOGLETRANSLATE(D:D,""auto"",""en"")"),"#VALUE!")</f>
        <v>#VALUE!</v>
      </c>
    </row>
    <row r="12951" spans="3:3" ht="13.5" customHeight="1">
      <c r="C12951" s="4" t="str">
        <f ca="1">IFERROR(__xludf.DUMMYFUNCTION("GOOGLETRANSLATE(D:D,""auto"",""en"")"),"#VALUE!")</f>
        <v>#VALUE!</v>
      </c>
    </row>
    <row r="12952" spans="3:3" ht="13.5" customHeight="1">
      <c r="C12952" s="4" t="str">
        <f ca="1">IFERROR(__xludf.DUMMYFUNCTION("GOOGLETRANSLATE(D:D,""auto"",""en"")"),"#VALUE!")</f>
        <v>#VALUE!</v>
      </c>
    </row>
    <row r="12953" spans="3:3" ht="13.5" customHeight="1">
      <c r="C12953" s="4" t="str">
        <f ca="1">IFERROR(__xludf.DUMMYFUNCTION("GOOGLETRANSLATE(D:D,""auto"",""en"")"),"#VALUE!")</f>
        <v>#VALUE!</v>
      </c>
    </row>
    <row r="12954" spans="3:3" ht="13.5" customHeight="1">
      <c r="C12954" s="4" t="str">
        <f ca="1">IFERROR(__xludf.DUMMYFUNCTION("GOOGLETRANSLATE(D:D,""auto"",""en"")"),"#VALUE!")</f>
        <v>#VALUE!</v>
      </c>
    </row>
    <row r="12955" spans="3:3" ht="13.5" customHeight="1">
      <c r="C12955" s="4" t="str">
        <f ca="1">IFERROR(__xludf.DUMMYFUNCTION("GOOGLETRANSLATE(D:D,""auto"",""en"")"),"#VALUE!")</f>
        <v>#VALUE!</v>
      </c>
    </row>
    <row r="12956" spans="3:3" ht="13.5" customHeight="1">
      <c r="C12956" s="4" t="str">
        <f ca="1">IFERROR(__xludf.DUMMYFUNCTION("GOOGLETRANSLATE(D:D,""auto"",""en"")"),"#VALUE!")</f>
        <v>#VALUE!</v>
      </c>
    </row>
    <row r="12957" spans="3:3" ht="13.5" customHeight="1">
      <c r="C12957" s="4" t="str">
        <f ca="1">IFERROR(__xludf.DUMMYFUNCTION("GOOGLETRANSLATE(D:D,""auto"",""en"")"),"#VALUE!")</f>
        <v>#VALUE!</v>
      </c>
    </row>
    <row r="12958" spans="3:3" ht="13.5" customHeight="1">
      <c r="C12958" s="4" t="str">
        <f ca="1">IFERROR(__xludf.DUMMYFUNCTION("GOOGLETRANSLATE(D:D,""auto"",""en"")"),"#VALUE!")</f>
        <v>#VALUE!</v>
      </c>
    </row>
    <row r="12959" spans="3:3" ht="13.5" customHeight="1">
      <c r="C12959" s="4" t="str">
        <f ca="1">IFERROR(__xludf.DUMMYFUNCTION("GOOGLETRANSLATE(D:D,""auto"",""en"")"),"#VALUE!")</f>
        <v>#VALUE!</v>
      </c>
    </row>
    <row r="12960" spans="3:3" ht="13.5" customHeight="1">
      <c r="C12960" s="4" t="str">
        <f ca="1">IFERROR(__xludf.DUMMYFUNCTION("GOOGLETRANSLATE(D:D,""auto"",""en"")"),"#VALUE!")</f>
        <v>#VALUE!</v>
      </c>
    </row>
    <row r="12961" spans="3:3" ht="13.5" customHeight="1">
      <c r="C12961" s="4" t="str">
        <f ca="1">IFERROR(__xludf.DUMMYFUNCTION("GOOGLETRANSLATE(D:D,""auto"",""en"")"),"#VALUE!")</f>
        <v>#VALUE!</v>
      </c>
    </row>
    <row r="12962" spans="3:3" ht="13.5" customHeight="1">
      <c r="C12962" s="4" t="str">
        <f ca="1">IFERROR(__xludf.DUMMYFUNCTION("GOOGLETRANSLATE(D:D,""auto"",""en"")"),"#VALUE!")</f>
        <v>#VALUE!</v>
      </c>
    </row>
    <row r="12963" spans="3:3" ht="13.5" customHeight="1">
      <c r="C12963" s="4" t="str">
        <f ca="1">IFERROR(__xludf.DUMMYFUNCTION("GOOGLETRANSLATE(D:D,""auto"",""en"")"),"#VALUE!")</f>
        <v>#VALUE!</v>
      </c>
    </row>
    <row r="12964" spans="3:3" ht="13.5" customHeight="1">
      <c r="C12964" s="4" t="str">
        <f ca="1">IFERROR(__xludf.DUMMYFUNCTION("GOOGLETRANSLATE(D:D,""auto"",""en"")"),"#VALUE!")</f>
        <v>#VALUE!</v>
      </c>
    </row>
    <row r="12965" spans="3:3" ht="13.5" customHeight="1">
      <c r="C12965" s="4" t="str">
        <f ca="1">IFERROR(__xludf.DUMMYFUNCTION("GOOGLETRANSLATE(D:D,""auto"",""en"")"),"#VALUE!")</f>
        <v>#VALUE!</v>
      </c>
    </row>
    <row r="12966" spans="3:3" ht="13.5" customHeight="1">
      <c r="C12966" s="4" t="str">
        <f ca="1">IFERROR(__xludf.DUMMYFUNCTION("GOOGLETRANSLATE(D:D,""auto"",""en"")"),"#VALUE!")</f>
        <v>#VALUE!</v>
      </c>
    </row>
    <row r="12967" spans="3:3" ht="13.5" customHeight="1">
      <c r="C12967" s="4" t="str">
        <f ca="1">IFERROR(__xludf.DUMMYFUNCTION("GOOGLETRANSLATE(D:D,""auto"",""en"")"),"#VALUE!")</f>
        <v>#VALUE!</v>
      </c>
    </row>
    <row r="12968" spans="3:3" ht="13.5" customHeight="1">
      <c r="C12968" s="4" t="str">
        <f ca="1">IFERROR(__xludf.DUMMYFUNCTION("GOOGLETRANSLATE(D:D,""auto"",""en"")"),"#VALUE!")</f>
        <v>#VALUE!</v>
      </c>
    </row>
    <row r="12969" spans="3:3" ht="13.5" customHeight="1">
      <c r="C12969" s="4" t="str">
        <f ca="1">IFERROR(__xludf.DUMMYFUNCTION("GOOGLETRANSLATE(D:D,""auto"",""en"")"),"#VALUE!")</f>
        <v>#VALUE!</v>
      </c>
    </row>
    <row r="12970" spans="3:3" ht="13.5" customHeight="1">
      <c r="C12970" s="4" t="str">
        <f ca="1">IFERROR(__xludf.DUMMYFUNCTION("GOOGLETRANSLATE(D:D,""auto"",""en"")"),"#VALUE!")</f>
        <v>#VALUE!</v>
      </c>
    </row>
    <row r="12971" spans="3:3" ht="13.5" customHeight="1">
      <c r="C12971" s="4" t="str">
        <f ca="1">IFERROR(__xludf.DUMMYFUNCTION("GOOGLETRANSLATE(D:D,""auto"",""en"")"),"#VALUE!")</f>
        <v>#VALUE!</v>
      </c>
    </row>
    <row r="12972" spans="3:3" ht="13.5" customHeight="1">
      <c r="C12972" s="4" t="str">
        <f ca="1">IFERROR(__xludf.DUMMYFUNCTION("GOOGLETRANSLATE(D:D,""auto"",""en"")"),"#VALUE!")</f>
        <v>#VALUE!</v>
      </c>
    </row>
    <row r="12973" spans="3:3" ht="13.5" customHeight="1">
      <c r="C12973" s="4" t="str">
        <f ca="1">IFERROR(__xludf.DUMMYFUNCTION("GOOGLETRANSLATE(D:D,""auto"",""en"")"),"#VALUE!")</f>
        <v>#VALUE!</v>
      </c>
    </row>
    <row r="12974" spans="3:3" ht="13.5" customHeight="1">
      <c r="C12974" s="4" t="str">
        <f ca="1">IFERROR(__xludf.DUMMYFUNCTION("GOOGLETRANSLATE(D:D,""auto"",""en"")"),"#VALUE!")</f>
        <v>#VALUE!</v>
      </c>
    </row>
    <row r="12975" spans="3:3" ht="13.5" customHeight="1">
      <c r="C12975" s="4" t="str">
        <f ca="1">IFERROR(__xludf.DUMMYFUNCTION("GOOGLETRANSLATE(D:D,""auto"",""en"")"),"#VALUE!")</f>
        <v>#VALUE!</v>
      </c>
    </row>
    <row r="12976" spans="3:3" ht="13.5" customHeight="1">
      <c r="C12976" s="4" t="str">
        <f ca="1">IFERROR(__xludf.DUMMYFUNCTION("GOOGLETRANSLATE(D:D,""auto"",""en"")"),"#VALUE!")</f>
        <v>#VALUE!</v>
      </c>
    </row>
    <row r="12977" spans="3:3" ht="13.5" customHeight="1">
      <c r="C12977" s="4" t="str">
        <f ca="1">IFERROR(__xludf.DUMMYFUNCTION("GOOGLETRANSLATE(D:D,""auto"",""en"")"),"#VALUE!")</f>
        <v>#VALUE!</v>
      </c>
    </row>
    <row r="12978" spans="3:3" ht="13.5" customHeight="1">
      <c r="C12978" s="4" t="str">
        <f ca="1">IFERROR(__xludf.DUMMYFUNCTION("GOOGLETRANSLATE(D:D,""auto"",""en"")"),"#VALUE!")</f>
        <v>#VALUE!</v>
      </c>
    </row>
    <row r="12979" spans="3:3" ht="13.5" customHeight="1">
      <c r="C12979" s="4" t="str">
        <f ca="1">IFERROR(__xludf.DUMMYFUNCTION("GOOGLETRANSLATE(D:D,""auto"",""en"")"),"#VALUE!")</f>
        <v>#VALUE!</v>
      </c>
    </row>
    <row r="12980" spans="3:3" ht="13.5" customHeight="1">
      <c r="C12980" s="4" t="str">
        <f ca="1">IFERROR(__xludf.DUMMYFUNCTION("GOOGLETRANSLATE(D:D,""auto"",""en"")"),"#VALUE!")</f>
        <v>#VALUE!</v>
      </c>
    </row>
    <row r="12981" spans="3:3" ht="13.5" customHeight="1">
      <c r="C12981" s="4" t="str">
        <f ca="1">IFERROR(__xludf.DUMMYFUNCTION("GOOGLETRANSLATE(D:D,""auto"",""en"")"),"#VALUE!")</f>
        <v>#VALUE!</v>
      </c>
    </row>
    <row r="12982" spans="3:3" ht="13.5" customHeight="1">
      <c r="C12982" s="4" t="str">
        <f ca="1">IFERROR(__xludf.DUMMYFUNCTION("GOOGLETRANSLATE(D:D,""auto"",""en"")"),"#VALUE!")</f>
        <v>#VALUE!</v>
      </c>
    </row>
    <row r="12983" spans="3:3" ht="13.5" customHeight="1">
      <c r="C12983" s="4" t="str">
        <f ca="1">IFERROR(__xludf.DUMMYFUNCTION("GOOGLETRANSLATE(D:D,""auto"",""en"")"),"#VALUE!")</f>
        <v>#VALUE!</v>
      </c>
    </row>
    <row r="12984" spans="3:3" ht="13.5" customHeight="1">
      <c r="C12984" s="4" t="str">
        <f ca="1">IFERROR(__xludf.DUMMYFUNCTION("GOOGLETRANSLATE(D:D,""auto"",""en"")"),"#VALUE!")</f>
        <v>#VALUE!</v>
      </c>
    </row>
    <row r="12985" spans="3:3" ht="13.5" customHeight="1">
      <c r="C12985" s="4" t="str">
        <f ca="1">IFERROR(__xludf.DUMMYFUNCTION("GOOGLETRANSLATE(D:D,""auto"",""en"")"),"#VALUE!")</f>
        <v>#VALUE!</v>
      </c>
    </row>
    <row r="12986" spans="3:3" ht="13.5" customHeight="1">
      <c r="C12986" s="4" t="str">
        <f ca="1">IFERROR(__xludf.DUMMYFUNCTION("GOOGLETRANSLATE(D:D,""auto"",""en"")"),"#VALUE!")</f>
        <v>#VALUE!</v>
      </c>
    </row>
    <row r="12987" spans="3:3" ht="13.5" customHeight="1">
      <c r="C12987" s="4" t="str">
        <f ca="1">IFERROR(__xludf.DUMMYFUNCTION("GOOGLETRANSLATE(D:D,""auto"",""en"")"),"#VALUE!")</f>
        <v>#VALUE!</v>
      </c>
    </row>
    <row r="12988" spans="3:3" ht="13.5" customHeight="1">
      <c r="C12988" s="4" t="str">
        <f ca="1">IFERROR(__xludf.DUMMYFUNCTION("GOOGLETRANSLATE(D:D,""auto"",""en"")"),"#VALUE!")</f>
        <v>#VALUE!</v>
      </c>
    </row>
    <row r="12989" spans="3:3" ht="13.5" customHeight="1">
      <c r="C12989" s="4" t="str">
        <f ca="1">IFERROR(__xludf.DUMMYFUNCTION("GOOGLETRANSLATE(D:D,""auto"",""en"")"),"#VALUE!")</f>
        <v>#VALUE!</v>
      </c>
    </row>
    <row r="12990" spans="3:3" ht="13.5" customHeight="1">
      <c r="C12990" s="4" t="str">
        <f ca="1">IFERROR(__xludf.DUMMYFUNCTION("GOOGLETRANSLATE(D:D,""auto"",""en"")"),"#VALUE!")</f>
        <v>#VALUE!</v>
      </c>
    </row>
    <row r="12991" spans="3:3" ht="13.5" customHeight="1">
      <c r="C12991" s="4" t="str">
        <f ca="1">IFERROR(__xludf.DUMMYFUNCTION("GOOGLETRANSLATE(D:D,""auto"",""en"")"),"#VALUE!")</f>
        <v>#VALUE!</v>
      </c>
    </row>
    <row r="12992" spans="3:3" ht="13.5" customHeight="1">
      <c r="C12992" s="4" t="str">
        <f ca="1">IFERROR(__xludf.DUMMYFUNCTION("GOOGLETRANSLATE(D:D,""auto"",""en"")"),"#VALUE!")</f>
        <v>#VALUE!</v>
      </c>
    </row>
    <row r="12993" spans="3:3" ht="13.5" customHeight="1">
      <c r="C12993" s="4" t="str">
        <f ca="1">IFERROR(__xludf.DUMMYFUNCTION("GOOGLETRANSLATE(D:D,""auto"",""en"")"),"#VALUE!")</f>
        <v>#VALUE!</v>
      </c>
    </row>
    <row r="12994" spans="3:3" ht="13.5" customHeight="1">
      <c r="C12994" s="4" t="str">
        <f ca="1">IFERROR(__xludf.DUMMYFUNCTION("GOOGLETRANSLATE(D:D,""auto"",""en"")"),"#VALUE!")</f>
        <v>#VALUE!</v>
      </c>
    </row>
    <row r="12995" spans="3:3" ht="13.5" customHeight="1">
      <c r="C12995" s="4" t="str">
        <f ca="1">IFERROR(__xludf.DUMMYFUNCTION("GOOGLETRANSLATE(D:D,""auto"",""en"")"),"#VALUE!")</f>
        <v>#VALUE!</v>
      </c>
    </row>
    <row r="12996" spans="3:3" ht="13.5" customHeight="1">
      <c r="C12996" s="4" t="str">
        <f ca="1">IFERROR(__xludf.DUMMYFUNCTION("GOOGLETRANSLATE(D:D,""auto"",""en"")"),"#VALUE!")</f>
        <v>#VALUE!</v>
      </c>
    </row>
    <row r="12997" spans="3:3" ht="13.5" customHeight="1">
      <c r="C12997" s="4" t="str">
        <f ca="1">IFERROR(__xludf.DUMMYFUNCTION("GOOGLETRANSLATE(D:D,""auto"",""en"")"),"#VALUE!")</f>
        <v>#VALUE!</v>
      </c>
    </row>
    <row r="12998" spans="3:3" ht="13.5" customHeight="1">
      <c r="C12998" s="4" t="str">
        <f ca="1">IFERROR(__xludf.DUMMYFUNCTION("GOOGLETRANSLATE(D:D,""auto"",""en"")"),"#VALUE!")</f>
        <v>#VALUE!</v>
      </c>
    </row>
    <row r="12999" spans="3:3" ht="13.5" customHeight="1">
      <c r="C12999" s="4" t="str">
        <f ca="1">IFERROR(__xludf.DUMMYFUNCTION("GOOGLETRANSLATE(D:D,""auto"",""en"")"),"#VALUE!")</f>
        <v>#VALUE!</v>
      </c>
    </row>
    <row r="13000" spans="3:3" ht="13.5" customHeight="1">
      <c r="C13000" s="4" t="str">
        <f ca="1">IFERROR(__xludf.DUMMYFUNCTION("GOOGLETRANSLATE(D:D,""auto"",""en"")"),"#VALUE!")</f>
        <v>#VALUE!</v>
      </c>
    </row>
    <row r="13001" spans="3:3" ht="13.5" customHeight="1">
      <c r="C13001" s="4" t="str">
        <f ca="1">IFERROR(__xludf.DUMMYFUNCTION("GOOGLETRANSLATE(D:D,""auto"",""en"")"),"#VALUE!")</f>
        <v>#VALUE!</v>
      </c>
    </row>
    <row r="13002" spans="3:3" ht="13.5" customHeight="1">
      <c r="C13002" s="4" t="str">
        <f ca="1">IFERROR(__xludf.DUMMYFUNCTION("GOOGLETRANSLATE(D:D,""auto"",""en"")"),"#VALUE!")</f>
        <v>#VALUE!</v>
      </c>
    </row>
    <row r="13003" spans="3:3" ht="13.5" customHeight="1">
      <c r="C13003" s="4" t="str">
        <f ca="1">IFERROR(__xludf.DUMMYFUNCTION("GOOGLETRANSLATE(D:D,""auto"",""en"")"),"#VALUE!")</f>
        <v>#VALUE!</v>
      </c>
    </row>
    <row r="13004" spans="3:3" ht="13.5" customHeight="1">
      <c r="C13004" s="4" t="str">
        <f ca="1">IFERROR(__xludf.DUMMYFUNCTION("GOOGLETRANSLATE(D:D,""auto"",""en"")"),"#VALUE!")</f>
        <v>#VALUE!</v>
      </c>
    </row>
    <row r="13005" spans="3:3" ht="13.5" customHeight="1">
      <c r="C13005" s="4" t="str">
        <f ca="1">IFERROR(__xludf.DUMMYFUNCTION("GOOGLETRANSLATE(D:D,""auto"",""en"")"),"#VALUE!")</f>
        <v>#VALUE!</v>
      </c>
    </row>
    <row r="13006" spans="3:3" ht="13.5" customHeight="1">
      <c r="C13006" s="4" t="str">
        <f ca="1">IFERROR(__xludf.DUMMYFUNCTION("GOOGLETRANSLATE(D:D,""auto"",""en"")"),"#VALUE!")</f>
        <v>#VALUE!</v>
      </c>
    </row>
    <row r="13007" spans="3:3" ht="13.5" customHeight="1">
      <c r="C13007" s="4" t="str">
        <f ca="1">IFERROR(__xludf.DUMMYFUNCTION("GOOGLETRANSLATE(D:D,""auto"",""en"")"),"#VALUE!")</f>
        <v>#VALUE!</v>
      </c>
    </row>
    <row r="13008" spans="3:3" ht="13.5" customHeight="1">
      <c r="C13008" s="4" t="str">
        <f ca="1">IFERROR(__xludf.DUMMYFUNCTION("GOOGLETRANSLATE(D:D,""auto"",""en"")"),"#VALUE!")</f>
        <v>#VALUE!</v>
      </c>
    </row>
    <row r="13009" spans="3:3" ht="13.5" customHeight="1">
      <c r="C13009" s="4" t="str">
        <f ca="1">IFERROR(__xludf.DUMMYFUNCTION("GOOGLETRANSLATE(D:D,""auto"",""en"")"),"#VALUE!")</f>
        <v>#VALUE!</v>
      </c>
    </row>
    <row r="13010" spans="3:3" ht="13.5" customHeight="1">
      <c r="C13010" s="4" t="str">
        <f ca="1">IFERROR(__xludf.DUMMYFUNCTION("GOOGLETRANSLATE(D:D,""auto"",""en"")"),"#VALUE!")</f>
        <v>#VALUE!</v>
      </c>
    </row>
    <row r="13011" spans="3:3" ht="13.5" customHeight="1">
      <c r="C13011" s="4" t="str">
        <f ca="1">IFERROR(__xludf.DUMMYFUNCTION("GOOGLETRANSLATE(D:D,""auto"",""en"")"),"#VALUE!")</f>
        <v>#VALUE!</v>
      </c>
    </row>
    <row r="13012" spans="3:3" ht="13.5" customHeight="1">
      <c r="C13012" s="4" t="str">
        <f ca="1">IFERROR(__xludf.DUMMYFUNCTION("GOOGLETRANSLATE(D:D,""auto"",""en"")"),"#VALUE!")</f>
        <v>#VALUE!</v>
      </c>
    </row>
    <row r="13013" spans="3:3" ht="13.5" customHeight="1">
      <c r="C13013" s="4" t="str">
        <f ca="1">IFERROR(__xludf.DUMMYFUNCTION("GOOGLETRANSLATE(D:D,""auto"",""en"")"),"#VALUE!")</f>
        <v>#VALUE!</v>
      </c>
    </row>
    <row r="13014" spans="3:3" ht="13.5" customHeight="1">
      <c r="C13014" s="4" t="str">
        <f ca="1">IFERROR(__xludf.DUMMYFUNCTION("GOOGLETRANSLATE(D:D,""auto"",""en"")"),"#VALUE!")</f>
        <v>#VALUE!</v>
      </c>
    </row>
    <row r="13015" spans="3:3" ht="13.5" customHeight="1">
      <c r="C13015" s="4" t="str">
        <f ca="1">IFERROR(__xludf.DUMMYFUNCTION("GOOGLETRANSLATE(D:D,""auto"",""en"")"),"#VALUE!")</f>
        <v>#VALUE!</v>
      </c>
    </row>
    <row r="13016" spans="3:3" ht="13.5" customHeight="1">
      <c r="C13016" s="4" t="str">
        <f ca="1">IFERROR(__xludf.DUMMYFUNCTION("GOOGLETRANSLATE(D:D,""auto"",""en"")"),"#VALUE!")</f>
        <v>#VALUE!</v>
      </c>
    </row>
    <row r="13017" spans="3:3" ht="13.5" customHeight="1">
      <c r="C13017" s="4" t="str">
        <f ca="1">IFERROR(__xludf.DUMMYFUNCTION("GOOGLETRANSLATE(D:D,""auto"",""en"")"),"#VALUE!")</f>
        <v>#VALUE!</v>
      </c>
    </row>
    <row r="13018" spans="3:3" ht="13.5" customHeight="1">
      <c r="C13018" s="4" t="str">
        <f ca="1">IFERROR(__xludf.DUMMYFUNCTION("GOOGLETRANSLATE(D:D,""auto"",""en"")"),"#VALUE!")</f>
        <v>#VALUE!</v>
      </c>
    </row>
    <row r="13019" spans="3:3" ht="13.5" customHeight="1">
      <c r="C13019" s="4" t="str">
        <f ca="1">IFERROR(__xludf.DUMMYFUNCTION("GOOGLETRANSLATE(D:D,""auto"",""en"")"),"#VALUE!")</f>
        <v>#VALUE!</v>
      </c>
    </row>
    <row r="13020" spans="3:3" ht="13.5" customHeight="1">
      <c r="C13020" s="4" t="str">
        <f ca="1">IFERROR(__xludf.DUMMYFUNCTION("GOOGLETRANSLATE(D:D,""auto"",""en"")"),"#VALUE!")</f>
        <v>#VALUE!</v>
      </c>
    </row>
    <row r="13021" spans="3:3" ht="13.5" customHeight="1">
      <c r="C13021" s="4" t="str">
        <f ca="1">IFERROR(__xludf.DUMMYFUNCTION("GOOGLETRANSLATE(D:D,""auto"",""en"")"),"#VALUE!")</f>
        <v>#VALUE!</v>
      </c>
    </row>
    <row r="13022" spans="3:3" ht="13.5" customHeight="1">
      <c r="C13022" s="4" t="str">
        <f ca="1">IFERROR(__xludf.DUMMYFUNCTION("GOOGLETRANSLATE(D:D,""auto"",""en"")"),"#VALUE!")</f>
        <v>#VALUE!</v>
      </c>
    </row>
    <row r="13023" spans="3:3" ht="13.5" customHeight="1">
      <c r="C13023" s="4" t="str">
        <f ca="1">IFERROR(__xludf.DUMMYFUNCTION("GOOGLETRANSLATE(D:D,""auto"",""en"")"),"#VALUE!")</f>
        <v>#VALUE!</v>
      </c>
    </row>
    <row r="13024" spans="3:3" ht="13.5" customHeight="1">
      <c r="C13024" s="4" t="str">
        <f ca="1">IFERROR(__xludf.DUMMYFUNCTION("GOOGLETRANSLATE(D:D,""auto"",""en"")"),"#VALUE!")</f>
        <v>#VALUE!</v>
      </c>
    </row>
    <row r="13025" spans="3:3" ht="13.5" customHeight="1">
      <c r="C13025" s="4" t="str">
        <f ca="1">IFERROR(__xludf.DUMMYFUNCTION("GOOGLETRANSLATE(D:D,""auto"",""en"")"),"#VALUE!")</f>
        <v>#VALUE!</v>
      </c>
    </row>
    <row r="13026" spans="3:3" ht="13.5" customHeight="1">
      <c r="C13026" s="4" t="str">
        <f ca="1">IFERROR(__xludf.DUMMYFUNCTION("GOOGLETRANSLATE(D:D,""auto"",""en"")"),"#VALUE!")</f>
        <v>#VALUE!</v>
      </c>
    </row>
    <row r="13027" spans="3:3" ht="13.5" customHeight="1">
      <c r="C13027" s="4" t="str">
        <f ca="1">IFERROR(__xludf.DUMMYFUNCTION("GOOGLETRANSLATE(D:D,""auto"",""en"")"),"#VALUE!")</f>
        <v>#VALUE!</v>
      </c>
    </row>
    <row r="13028" spans="3:3" ht="13.5" customHeight="1">
      <c r="C13028" s="4" t="str">
        <f ca="1">IFERROR(__xludf.DUMMYFUNCTION("GOOGLETRANSLATE(D:D,""auto"",""en"")"),"#VALUE!")</f>
        <v>#VALUE!</v>
      </c>
    </row>
    <row r="13029" spans="3:3" ht="13.5" customHeight="1">
      <c r="C13029" s="4" t="str">
        <f ca="1">IFERROR(__xludf.DUMMYFUNCTION("GOOGLETRANSLATE(D:D,""auto"",""en"")"),"#VALUE!")</f>
        <v>#VALUE!</v>
      </c>
    </row>
    <row r="13030" spans="3:3" ht="13.5" customHeight="1">
      <c r="C13030" s="4" t="str">
        <f ca="1">IFERROR(__xludf.DUMMYFUNCTION("GOOGLETRANSLATE(D:D,""auto"",""en"")"),"#VALUE!")</f>
        <v>#VALUE!</v>
      </c>
    </row>
    <row r="13031" spans="3:3" ht="13.5" customHeight="1">
      <c r="C13031" s="4" t="str">
        <f ca="1">IFERROR(__xludf.DUMMYFUNCTION("GOOGLETRANSLATE(D:D,""auto"",""en"")"),"#VALUE!")</f>
        <v>#VALUE!</v>
      </c>
    </row>
    <row r="13032" spans="3:3" ht="13.5" customHeight="1">
      <c r="C13032" s="4" t="str">
        <f ca="1">IFERROR(__xludf.DUMMYFUNCTION("GOOGLETRANSLATE(D:D,""auto"",""en"")"),"#VALUE!")</f>
        <v>#VALUE!</v>
      </c>
    </row>
    <row r="13033" spans="3:3" ht="13.5" customHeight="1">
      <c r="C13033" s="4" t="str">
        <f ca="1">IFERROR(__xludf.DUMMYFUNCTION("GOOGLETRANSLATE(D:D,""auto"",""en"")"),"#VALUE!")</f>
        <v>#VALUE!</v>
      </c>
    </row>
    <row r="13034" spans="3:3" ht="13.5" customHeight="1">
      <c r="C13034" s="4" t="str">
        <f ca="1">IFERROR(__xludf.DUMMYFUNCTION("GOOGLETRANSLATE(D:D,""auto"",""en"")"),"#VALUE!")</f>
        <v>#VALUE!</v>
      </c>
    </row>
    <row r="13035" spans="3:3" ht="13.5" customHeight="1">
      <c r="C13035" s="4" t="str">
        <f ca="1">IFERROR(__xludf.DUMMYFUNCTION("GOOGLETRANSLATE(D:D,""auto"",""en"")"),"#VALUE!")</f>
        <v>#VALUE!</v>
      </c>
    </row>
    <row r="13036" spans="3:3" ht="13.5" customHeight="1">
      <c r="C13036" s="4" t="str">
        <f ca="1">IFERROR(__xludf.DUMMYFUNCTION("GOOGLETRANSLATE(D:D,""auto"",""en"")"),"#VALUE!")</f>
        <v>#VALUE!</v>
      </c>
    </row>
    <row r="13037" spans="3:3" ht="13.5" customHeight="1">
      <c r="C13037" s="4" t="str">
        <f ca="1">IFERROR(__xludf.DUMMYFUNCTION("GOOGLETRANSLATE(D:D,""auto"",""en"")"),"#VALUE!")</f>
        <v>#VALUE!</v>
      </c>
    </row>
    <row r="13038" spans="3:3" ht="13.5" customHeight="1">
      <c r="C13038" s="4" t="str">
        <f ca="1">IFERROR(__xludf.DUMMYFUNCTION("GOOGLETRANSLATE(D:D,""auto"",""en"")"),"#VALUE!")</f>
        <v>#VALUE!</v>
      </c>
    </row>
    <row r="13039" spans="3:3" ht="13.5" customHeight="1">
      <c r="C13039" s="4" t="str">
        <f ca="1">IFERROR(__xludf.DUMMYFUNCTION("GOOGLETRANSLATE(D:D,""auto"",""en"")"),"#VALUE!")</f>
        <v>#VALUE!</v>
      </c>
    </row>
    <row r="13040" spans="3:3" ht="13.5" customHeight="1">
      <c r="C13040" s="4" t="str">
        <f ca="1">IFERROR(__xludf.DUMMYFUNCTION("GOOGLETRANSLATE(D:D,""auto"",""en"")"),"#VALUE!")</f>
        <v>#VALUE!</v>
      </c>
    </row>
    <row r="13041" spans="3:3" ht="13.5" customHeight="1">
      <c r="C13041" s="4" t="str">
        <f ca="1">IFERROR(__xludf.DUMMYFUNCTION("GOOGLETRANSLATE(D:D,""auto"",""en"")"),"#VALUE!")</f>
        <v>#VALUE!</v>
      </c>
    </row>
    <row r="13042" spans="3:3" ht="13.5" customHeight="1">
      <c r="C13042" s="4" t="str">
        <f ca="1">IFERROR(__xludf.DUMMYFUNCTION("GOOGLETRANSLATE(D:D,""auto"",""en"")"),"#VALUE!")</f>
        <v>#VALUE!</v>
      </c>
    </row>
    <row r="13043" spans="3:3" ht="13.5" customHeight="1">
      <c r="C13043" s="4" t="str">
        <f ca="1">IFERROR(__xludf.DUMMYFUNCTION("GOOGLETRANSLATE(D:D,""auto"",""en"")"),"#VALUE!")</f>
        <v>#VALUE!</v>
      </c>
    </row>
    <row r="13044" spans="3:3" ht="13.5" customHeight="1">
      <c r="C13044" s="4" t="str">
        <f ca="1">IFERROR(__xludf.DUMMYFUNCTION("GOOGLETRANSLATE(D:D,""auto"",""en"")"),"#VALUE!")</f>
        <v>#VALUE!</v>
      </c>
    </row>
    <row r="13045" spans="3:3" ht="13.5" customHeight="1">
      <c r="C13045" s="4" t="str">
        <f ca="1">IFERROR(__xludf.DUMMYFUNCTION("GOOGLETRANSLATE(D:D,""auto"",""en"")"),"#VALUE!")</f>
        <v>#VALUE!</v>
      </c>
    </row>
    <row r="13046" spans="3:3" ht="13.5" customHeight="1">
      <c r="C13046" s="4" t="str">
        <f ca="1">IFERROR(__xludf.DUMMYFUNCTION("GOOGLETRANSLATE(D:D,""auto"",""en"")"),"#VALUE!")</f>
        <v>#VALUE!</v>
      </c>
    </row>
    <row r="13047" spans="3:3" ht="13.5" customHeight="1">
      <c r="C13047" s="4" t="str">
        <f ca="1">IFERROR(__xludf.DUMMYFUNCTION("GOOGLETRANSLATE(D:D,""auto"",""en"")"),"#VALUE!")</f>
        <v>#VALUE!</v>
      </c>
    </row>
    <row r="13048" spans="3:3" ht="13.5" customHeight="1">
      <c r="C13048" s="4" t="str">
        <f ca="1">IFERROR(__xludf.DUMMYFUNCTION("GOOGLETRANSLATE(D:D,""auto"",""en"")"),"#VALUE!")</f>
        <v>#VALUE!</v>
      </c>
    </row>
    <row r="13049" spans="3:3" ht="13.5" customHeight="1">
      <c r="C13049" s="4" t="str">
        <f ca="1">IFERROR(__xludf.DUMMYFUNCTION("GOOGLETRANSLATE(D:D,""auto"",""en"")"),"#VALUE!")</f>
        <v>#VALUE!</v>
      </c>
    </row>
    <row r="13050" spans="3:3" ht="13.5" customHeight="1">
      <c r="C13050" s="4" t="str">
        <f ca="1">IFERROR(__xludf.DUMMYFUNCTION("GOOGLETRANSLATE(D:D,""auto"",""en"")"),"#VALUE!")</f>
        <v>#VALUE!</v>
      </c>
    </row>
    <row r="13051" spans="3:3" ht="13.5" customHeight="1">
      <c r="C13051" s="4" t="str">
        <f ca="1">IFERROR(__xludf.DUMMYFUNCTION("GOOGLETRANSLATE(D:D,""auto"",""en"")"),"#VALUE!")</f>
        <v>#VALUE!</v>
      </c>
    </row>
    <row r="13052" spans="3:3" ht="13.5" customHeight="1">
      <c r="C13052" s="4" t="str">
        <f ca="1">IFERROR(__xludf.DUMMYFUNCTION("GOOGLETRANSLATE(D:D,""auto"",""en"")"),"#VALUE!")</f>
        <v>#VALUE!</v>
      </c>
    </row>
    <row r="13053" spans="3:3" ht="13.5" customHeight="1">
      <c r="C13053" s="4" t="str">
        <f ca="1">IFERROR(__xludf.DUMMYFUNCTION("GOOGLETRANSLATE(D:D,""auto"",""en"")"),"#VALUE!")</f>
        <v>#VALUE!</v>
      </c>
    </row>
    <row r="13054" spans="3:3" ht="13.5" customHeight="1">
      <c r="C13054" s="4" t="str">
        <f ca="1">IFERROR(__xludf.DUMMYFUNCTION("GOOGLETRANSLATE(D:D,""auto"",""en"")"),"#VALUE!")</f>
        <v>#VALUE!</v>
      </c>
    </row>
    <row r="13055" spans="3:3" ht="13.5" customHeight="1">
      <c r="C13055" s="4" t="str">
        <f ca="1">IFERROR(__xludf.DUMMYFUNCTION("GOOGLETRANSLATE(D:D,""auto"",""en"")"),"#VALUE!")</f>
        <v>#VALUE!</v>
      </c>
    </row>
    <row r="13056" spans="3:3" ht="13.5" customHeight="1">
      <c r="C13056" s="4" t="str">
        <f ca="1">IFERROR(__xludf.DUMMYFUNCTION("GOOGLETRANSLATE(D:D,""auto"",""en"")"),"#VALUE!")</f>
        <v>#VALUE!</v>
      </c>
    </row>
    <row r="13057" spans="3:3" ht="13.5" customHeight="1">
      <c r="C13057" s="4" t="str">
        <f ca="1">IFERROR(__xludf.DUMMYFUNCTION("GOOGLETRANSLATE(D:D,""auto"",""en"")"),"#VALUE!")</f>
        <v>#VALUE!</v>
      </c>
    </row>
    <row r="13058" spans="3:3" ht="13.5" customHeight="1">
      <c r="C13058" s="4" t="str">
        <f ca="1">IFERROR(__xludf.DUMMYFUNCTION("GOOGLETRANSLATE(D:D,""auto"",""en"")"),"#VALUE!")</f>
        <v>#VALUE!</v>
      </c>
    </row>
    <row r="13059" spans="3:3" ht="13.5" customHeight="1">
      <c r="C13059" s="4" t="str">
        <f ca="1">IFERROR(__xludf.DUMMYFUNCTION("GOOGLETRANSLATE(D:D,""auto"",""en"")"),"#VALUE!")</f>
        <v>#VALUE!</v>
      </c>
    </row>
    <row r="13060" spans="3:3" ht="13.5" customHeight="1">
      <c r="C13060" s="4" t="str">
        <f ca="1">IFERROR(__xludf.DUMMYFUNCTION("GOOGLETRANSLATE(D:D,""auto"",""en"")"),"#VALUE!")</f>
        <v>#VALUE!</v>
      </c>
    </row>
    <row r="13061" spans="3:3" ht="13.5" customHeight="1">
      <c r="C13061" s="4" t="str">
        <f ca="1">IFERROR(__xludf.DUMMYFUNCTION("GOOGLETRANSLATE(D:D,""auto"",""en"")"),"#VALUE!")</f>
        <v>#VALUE!</v>
      </c>
    </row>
    <row r="13062" spans="3:3" ht="13.5" customHeight="1">
      <c r="C13062" s="4" t="str">
        <f ca="1">IFERROR(__xludf.DUMMYFUNCTION("GOOGLETRANSLATE(D:D,""auto"",""en"")"),"#VALUE!")</f>
        <v>#VALUE!</v>
      </c>
    </row>
    <row r="13063" spans="3:3" ht="13.5" customHeight="1">
      <c r="C13063" s="4" t="str">
        <f ca="1">IFERROR(__xludf.DUMMYFUNCTION("GOOGLETRANSLATE(D:D,""auto"",""en"")"),"#VALUE!")</f>
        <v>#VALUE!</v>
      </c>
    </row>
    <row r="13064" spans="3:3" ht="13.5" customHeight="1">
      <c r="C13064" s="4" t="str">
        <f ca="1">IFERROR(__xludf.DUMMYFUNCTION("GOOGLETRANSLATE(D:D,""auto"",""en"")"),"#VALUE!")</f>
        <v>#VALUE!</v>
      </c>
    </row>
    <row r="13065" spans="3:3" ht="13.5" customHeight="1">
      <c r="C13065" s="4" t="str">
        <f ca="1">IFERROR(__xludf.DUMMYFUNCTION("GOOGLETRANSLATE(D:D,""auto"",""en"")"),"#VALUE!")</f>
        <v>#VALUE!</v>
      </c>
    </row>
    <row r="13066" spans="3:3" ht="13.5" customHeight="1">
      <c r="C13066" s="4" t="str">
        <f ca="1">IFERROR(__xludf.DUMMYFUNCTION("GOOGLETRANSLATE(D:D,""auto"",""en"")"),"#VALUE!")</f>
        <v>#VALUE!</v>
      </c>
    </row>
    <row r="13067" spans="3:3" ht="13.5" customHeight="1">
      <c r="C13067" s="4" t="str">
        <f ca="1">IFERROR(__xludf.DUMMYFUNCTION("GOOGLETRANSLATE(D:D,""auto"",""en"")"),"#VALUE!")</f>
        <v>#VALUE!</v>
      </c>
    </row>
    <row r="13068" spans="3:3" ht="13.5" customHeight="1">
      <c r="C13068" s="4" t="str">
        <f ca="1">IFERROR(__xludf.DUMMYFUNCTION("GOOGLETRANSLATE(D:D,""auto"",""en"")"),"#VALUE!")</f>
        <v>#VALUE!</v>
      </c>
    </row>
    <row r="13069" spans="3:3" ht="13.5" customHeight="1">
      <c r="C13069" s="4" t="str">
        <f ca="1">IFERROR(__xludf.DUMMYFUNCTION("GOOGLETRANSLATE(D:D,""auto"",""en"")"),"#VALUE!")</f>
        <v>#VALUE!</v>
      </c>
    </row>
    <row r="13070" spans="3:3" ht="13.5" customHeight="1">
      <c r="C13070" s="4" t="str">
        <f ca="1">IFERROR(__xludf.DUMMYFUNCTION("GOOGLETRANSLATE(D:D,""auto"",""en"")"),"#VALUE!")</f>
        <v>#VALUE!</v>
      </c>
    </row>
    <row r="13071" spans="3:3" ht="13.5" customHeight="1">
      <c r="C13071" s="4" t="str">
        <f ca="1">IFERROR(__xludf.DUMMYFUNCTION("GOOGLETRANSLATE(D:D,""auto"",""en"")"),"#VALUE!")</f>
        <v>#VALUE!</v>
      </c>
    </row>
    <row r="13072" spans="3:3" ht="13.5" customHeight="1">
      <c r="C13072" s="4" t="str">
        <f ca="1">IFERROR(__xludf.DUMMYFUNCTION("GOOGLETRANSLATE(D:D,""auto"",""en"")"),"#VALUE!")</f>
        <v>#VALUE!</v>
      </c>
    </row>
    <row r="13073" spans="3:3" ht="13.5" customHeight="1">
      <c r="C13073" s="4" t="str">
        <f ca="1">IFERROR(__xludf.DUMMYFUNCTION("GOOGLETRANSLATE(D:D,""auto"",""en"")"),"#VALUE!")</f>
        <v>#VALUE!</v>
      </c>
    </row>
    <row r="13074" spans="3:3" ht="13.5" customHeight="1">
      <c r="C13074" s="4" t="str">
        <f ca="1">IFERROR(__xludf.DUMMYFUNCTION("GOOGLETRANSLATE(D:D,""auto"",""en"")"),"#VALUE!")</f>
        <v>#VALUE!</v>
      </c>
    </row>
    <row r="13075" spans="3:3" ht="13.5" customHeight="1">
      <c r="C13075" s="4" t="str">
        <f ca="1">IFERROR(__xludf.DUMMYFUNCTION("GOOGLETRANSLATE(D:D,""auto"",""en"")"),"#VALUE!")</f>
        <v>#VALUE!</v>
      </c>
    </row>
    <row r="13076" spans="3:3" ht="13.5" customHeight="1">
      <c r="C13076" s="4" t="str">
        <f ca="1">IFERROR(__xludf.DUMMYFUNCTION("GOOGLETRANSLATE(D:D,""auto"",""en"")"),"#VALUE!")</f>
        <v>#VALUE!</v>
      </c>
    </row>
    <row r="13077" spans="3:3" ht="13.5" customHeight="1">
      <c r="C13077" s="4" t="str">
        <f ca="1">IFERROR(__xludf.DUMMYFUNCTION("GOOGLETRANSLATE(D:D,""auto"",""en"")"),"#VALUE!")</f>
        <v>#VALUE!</v>
      </c>
    </row>
    <row r="13078" spans="3:3" ht="13.5" customHeight="1">
      <c r="C13078" s="4" t="str">
        <f ca="1">IFERROR(__xludf.DUMMYFUNCTION("GOOGLETRANSLATE(D:D,""auto"",""en"")"),"#VALUE!")</f>
        <v>#VALUE!</v>
      </c>
    </row>
    <row r="13079" spans="3:3" ht="13.5" customHeight="1">
      <c r="C13079" s="4" t="str">
        <f ca="1">IFERROR(__xludf.DUMMYFUNCTION("GOOGLETRANSLATE(D:D,""auto"",""en"")"),"#VALUE!")</f>
        <v>#VALUE!</v>
      </c>
    </row>
    <row r="13080" spans="3:3" ht="13.5" customHeight="1">
      <c r="C13080" s="4" t="str">
        <f ca="1">IFERROR(__xludf.DUMMYFUNCTION("GOOGLETRANSLATE(D:D,""auto"",""en"")"),"#VALUE!")</f>
        <v>#VALUE!</v>
      </c>
    </row>
    <row r="13081" spans="3:3" ht="13.5" customHeight="1">
      <c r="C13081" s="4" t="str">
        <f ca="1">IFERROR(__xludf.DUMMYFUNCTION("GOOGLETRANSLATE(D:D,""auto"",""en"")"),"#VALUE!")</f>
        <v>#VALUE!</v>
      </c>
    </row>
    <row r="13082" spans="3:3" ht="13.5" customHeight="1">
      <c r="C13082" s="4" t="str">
        <f ca="1">IFERROR(__xludf.DUMMYFUNCTION("GOOGLETRANSLATE(D:D,""auto"",""en"")"),"#VALUE!")</f>
        <v>#VALUE!</v>
      </c>
    </row>
    <row r="13083" spans="3:3" ht="13.5" customHeight="1">
      <c r="C13083" s="4" t="str">
        <f ca="1">IFERROR(__xludf.DUMMYFUNCTION("GOOGLETRANSLATE(D:D,""auto"",""en"")"),"#VALUE!")</f>
        <v>#VALUE!</v>
      </c>
    </row>
    <row r="13084" spans="3:3" ht="13.5" customHeight="1">
      <c r="C13084" s="4" t="str">
        <f ca="1">IFERROR(__xludf.DUMMYFUNCTION("GOOGLETRANSLATE(D:D,""auto"",""en"")"),"#VALUE!")</f>
        <v>#VALUE!</v>
      </c>
    </row>
    <row r="13085" spans="3:3" ht="13.5" customHeight="1">
      <c r="C13085" s="4" t="str">
        <f ca="1">IFERROR(__xludf.DUMMYFUNCTION("GOOGLETRANSLATE(D:D,""auto"",""en"")"),"#VALUE!")</f>
        <v>#VALUE!</v>
      </c>
    </row>
    <row r="13086" spans="3:3" ht="13.5" customHeight="1">
      <c r="C13086" s="4" t="str">
        <f ca="1">IFERROR(__xludf.DUMMYFUNCTION("GOOGLETRANSLATE(D:D,""auto"",""en"")"),"#VALUE!")</f>
        <v>#VALUE!</v>
      </c>
    </row>
    <row r="13087" spans="3:3" ht="13.5" customHeight="1">
      <c r="C13087" s="4" t="str">
        <f ca="1">IFERROR(__xludf.DUMMYFUNCTION("GOOGLETRANSLATE(D:D,""auto"",""en"")"),"#VALUE!")</f>
        <v>#VALUE!</v>
      </c>
    </row>
    <row r="13088" spans="3:3" ht="13.5" customHeight="1">
      <c r="C13088" s="4" t="str">
        <f ca="1">IFERROR(__xludf.DUMMYFUNCTION("GOOGLETRANSLATE(D:D,""auto"",""en"")"),"#VALUE!")</f>
        <v>#VALUE!</v>
      </c>
    </row>
    <row r="13089" spans="3:3" ht="13.5" customHeight="1">
      <c r="C13089" s="4" t="str">
        <f ca="1">IFERROR(__xludf.DUMMYFUNCTION("GOOGLETRANSLATE(D:D,""auto"",""en"")"),"#VALUE!")</f>
        <v>#VALUE!</v>
      </c>
    </row>
    <row r="13090" spans="3:3" ht="13.5" customHeight="1">
      <c r="C13090" s="4" t="str">
        <f ca="1">IFERROR(__xludf.DUMMYFUNCTION("GOOGLETRANSLATE(D:D,""auto"",""en"")"),"#VALUE!")</f>
        <v>#VALUE!</v>
      </c>
    </row>
    <row r="13091" spans="3:3" ht="13.5" customHeight="1">
      <c r="C13091" s="4" t="str">
        <f ca="1">IFERROR(__xludf.DUMMYFUNCTION("GOOGLETRANSLATE(D:D,""auto"",""en"")"),"#VALUE!")</f>
        <v>#VALUE!</v>
      </c>
    </row>
    <row r="13092" spans="3:3" ht="13.5" customHeight="1">
      <c r="C13092" s="4" t="str">
        <f ca="1">IFERROR(__xludf.DUMMYFUNCTION("GOOGLETRANSLATE(D:D,""auto"",""en"")"),"#VALUE!")</f>
        <v>#VALUE!</v>
      </c>
    </row>
    <row r="13093" spans="3:3" ht="13.5" customHeight="1">
      <c r="C13093" s="4" t="str">
        <f ca="1">IFERROR(__xludf.DUMMYFUNCTION("GOOGLETRANSLATE(D:D,""auto"",""en"")"),"#VALUE!")</f>
        <v>#VALUE!</v>
      </c>
    </row>
    <row r="13094" spans="3:3" ht="13.5" customHeight="1">
      <c r="C13094" s="4" t="str">
        <f ca="1">IFERROR(__xludf.DUMMYFUNCTION("GOOGLETRANSLATE(D:D,""auto"",""en"")"),"#VALUE!")</f>
        <v>#VALUE!</v>
      </c>
    </row>
    <row r="13095" spans="3:3" ht="13.5" customHeight="1">
      <c r="C13095" s="4" t="str">
        <f ca="1">IFERROR(__xludf.DUMMYFUNCTION("GOOGLETRANSLATE(D:D,""auto"",""en"")"),"#VALUE!")</f>
        <v>#VALUE!</v>
      </c>
    </row>
    <row r="13096" spans="3:3" ht="13.5" customHeight="1">
      <c r="C13096" s="4" t="str">
        <f ca="1">IFERROR(__xludf.DUMMYFUNCTION("GOOGLETRANSLATE(D:D,""auto"",""en"")"),"#VALUE!")</f>
        <v>#VALUE!</v>
      </c>
    </row>
    <row r="13097" spans="3:3" ht="13.5" customHeight="1">
      <c r="C13097" s="4" t="str">
        <f ca="1">IFERROR(__xludf.DUMMYFUNCTION("GOOGLETRANSLATE(D:D,""auto"",""en"")"),"#VALUE!")</f>
        <v>#VALUE!</v>
      </c>
    </row>
    <row r="13098" spans="3:3" ht="13.5" customHeight="1">
      <c r="C13098" s="4" t="str">
        <f ca="1">IFERROR(__xludf.DUMMYFUNCTION("GOOGLETRANSLATE(D:D,""auto"",""en"")"),"#VALUE!")</f>
        <v>#VALUE!</v>
      </c>
    </row>
    <row r="13099" spans="3:3" ht="13.5" customHeight="1">
      <c r="C13099" s="4" t="str">
        <f ca="1">IFERROR(__xludf.DUMMYFUNCTION("GOOGLETRANSLATE(D:D,""auto"",""en"")"),"#VALUE!")</f>
        <v>#VALUE!</v>
      </c>
    </row>
    <row r="13100" spans="3:3" ht="13.5" customHeight="1">
      <c r="C13100" s="4" t="str">
        <f ca="1">IFERROR(__xludf.DUMMYFUNCTION("GOOGLETRANSLATE(D:D,""auto"",""en"")"),"#VALUE!")</f>
        <v>#VALUE!</v>
      </c>
    </row>
    <row r="13101" spans="3:3" ht="13.5" customHeight="1">
      <c r="C13101" s="4" t="str">
        <f ca="1">IFERROR(__xludf.DUMMYFUNCTION("GOOGLETRANSLATE(D:D,""auto"",""en"")"),"#VALUE!")</f>
        <v>#VALUE!</v>
      </c>
    </row>
    <row r="13102" spans="3:3" ht="13.5" customHeight="1">
      <c r="C13102" s="4" t="str">
        <f ca="1">IFERROR(__xludf.DUMMYFUNCTION("GOOGLETRANSLATE(D:D,""auto"",""en"")"),"#VALUE!")</f>
        <v>#VALUE!</v>
      </c>
    </row>
    <row r="13103" spans="3:3" ht="13.5" customHeight="1">
      <c r="C13103" s="4" t="str">
        <f ca="1">IFERROR(__xludf.DUMMYFUNCTION("GOOGLETRANSLATE(D:D,""auto"",""en"")"),"#VALUE!")</f>
        <v>#VALUE!</v>
      </c>
    </row>
    <row r="13104" spans="3:3" ht="13.5" customHeight="1">
      <c r="C13104" s="4" t="str">
        <f ca="1">IFERROR(__xludf.DUMMYFUNCTION("GOOGLETRANSLATE(D:D,""auto"",""en"")"),"#VALUE!")</f>
        <v>#VALUE!</v>
      </c>
    </row>
    <row r="13105" spans="3:3" ht="13.5" customHeight="1">
      <c r="C13105" s="4" t="str">
        <f ca="1">IFERROR(__xludf.DUMMYFUNCTION("GOOGLETRANSLATE(D:D,""auto"",""en"")"),"#VALUE!")</f>
        <v>#VALUE!</v>
      </c>
    </row>
    <row r="13106" spans="3:3" ht="13.5" customHeight="1">
      <c r="C13106" s="4" t="str">
        <f ca="1">IFERROR(__xludf.DUMMYFUNCTION("GOOGLETRANSLATE(D:D,""auto"",""en"")"),"#VALUE!")</f>
        <v>#VALUE!</v>
      </c>
    </row>
    <row r="13107" spans="3:3" ht="13.5" customHeight="1">
      <c r="C13107" s="4" t="str">
        <f ca="1">IFERROR(__xludf.DUMMYFUNCTION("GOOGLETRANSLATE(D:D,""auto"",""en"")"),"#VALUE!")</f>
        <v>#VALUE!</v>
      </c>
    </row>
    <row r="13108" spans="3:3" ht="13.5" customHeight="1">
      <c r="C13108" s="4" t="str">
        <f ca="1">IFERROR(__xludf.DUMMYFUNCTION("GOOGLETRANSLATE(D:D,""auto"",""en"")"),"#VALUE!")</f>
        <v>#VALUE!</v>
      </c>
    </row>
    <row r="13109" spans="3:3" ht="13.5" customHeight="1">
      <c r="C13109" s="4" t="str">
        <f ca="1">IFERROR(__xludf.DUMMYFUNCTION("GOOGLETRANSLATE(D:D,""auto"",""en"")"),"#VALUE!")</f>
        <v>#VALUE!</v>
      </c>
    </row>
    <row r="13110" spans="3:3" ht="13.5" customHeight="1">
      <c r="C13110" s="4" t="str">
        <f ca="1">IFERROR(__xludf.DUMMYFUNCTION("GOOGLETRANSLATE(D:D,""auto"",""en"")"),"#VALUE!")</f>
        <v>#VALUE!</v>
      </c>
    </row>
    <row r="13111" spans="3:3" ht="13.5" customHeight="1">
      <c r="C13111" s="4" t="str">
        <f ca="1">IFERROR(__xludf.DUMMYFUNCTION("GOOGLETRANSLATE(D:D,""auto"",""en"")"),"#VALUE!")</f>
        <v>#VALUE!</v>
      </c>
    </row>
    <row r="13112" spans="3:3" ht="13.5" customHeight="1">
      <c r="C13112" s="4" t="str">
        <f ca="1">IFERROR(__xludf.DUMMYFUNCTION("GOOGLETRANSLATE(D:D,""auto"",""en"")"),"#VALUE!")</f>
        <v>#VALUE!</v>
      </c>
    </row>
    <row r="13113" spans="3:3" ht="13.5" customHeight="1">
      <c r="C13113" s="4" t="str">
        <f ca="1">IFERROR(__xludf.DUMMYFUNCTION("GOOGLETRANSLATE(D:D,""auto"",""en"")"),"#VALUE!")</f>
        <v>#VALUE!</v>
      </c>
    </row>
    <row r="13114" spans="3:3" ht="13.5" customHeight="1">
      <c r="C13114" s="4" t="str">
        <f ca="1">IFERROR(__xludf.DUMMYFUNCTION("GOOGLETRANSLATE(D:D,""auto"",""en"")"),"#VALUE!")</f>
        <v>#VALUE!</v>
      </c>
    </row>
    <row r="13115" spans="3:3" ht="13.5" customHeight="1">
      <c r="C13115" s="4" t="str">
        <f ca="1">IFERROR(__xludf.DUMMYFUNCTION("GOOGLETRANSLATE(D:D,""auto"",""en"")"),"#VALUE!")</f>
        <v>#VALUE!</v>
      </c>
    </row>
    <row r="13116" spans="3:3" ht="13.5" customHeight="1">
      <c r="C13116" s="4" t="str">
        <f ca="1">IFERROR(__xludf.DUMMYFUNCTION("GOOGLETRANSLATE(D:D,""auto"",""en"")"),"#VALUE!")</f>
        <v>#VALUE!</v>
      </c>
    </row>
    <row r="13117" spans="3:3" ht="13.5" customHeight="1">
      <c r="C13117" s="4" t="str">
        <f ca="1">IFERROR(__xludf.DUMMYFUNCTION("GOOGLETRANSLATE(D:D,""auto"",""en"")"),"#VALUE!")</f>
        <v>#VALUE!</v>
      </c>
    </row>
    <row r="13118" spans="3:3" ht="13.5" customHeight="1">
      <c r="C13118" s="4" t="str">
        <f ca="1">IFERROR(__xludf.DUMMYFUNCTION("GOOGLETRANSLATE(D:D,""auto"",""en"")"),"#VALUE!")</f>
        <v>#VALUE!</v>
      </c>
    </row>
    <row r="13119" spans="3:3" ht="13.5" customHeight="1">
      <c r="C13119" s="4" t="str">
        <f ca="1">IFERROR(__xludf.DUMMYFUNCTION("GOOGLETRANSLATE(D:D,""auto"",""en"")"),"#VALUE!")</f>
        <v>#VALUE!</v>
      </c>
    </row>
    <row r="13120" spans="3:3" ht="13.5" customHeight="1">
      <c r="C13120" s="4" t="str">
        <f ca="1">IFERROR(__xludf.DUMMYFUNCTION("GOOGLETRANSLATE(D:D,""auto"",""en"")"),"#VALUE!")</f>
        <v>#VALUE!</v>
      </c>
    </row>
    <row r="13121" spans="3:3" ht="13.5" customHeight="1">
      <c r="C13121" s="4" t="str">
        <f ca="1">IFERROR(__xludf.DUMMYFUNCTION("GOOGLETRANSLATE(D:D,""auto"",""en"")"),"#VALUE!")</f>
        <v>#VALUE!</v>
      </c>
    </row>
    <row r="13122" spans="3:3" ht="13.5" customHeight="1">
      <c r="C13122" s="4" t="str">
        <f ca="1">IFERROR(__xludf.DUMMYFUNCTION("GOOGLETRANSLATE(D:D,""auto"",""en"")"),"#VALUE!")</f>
        <v>#VALUE!</v>
      </c>
    </row>
    <row r="13123" spans="3:3" ht="13.5" customHeight="1">
      <c r="C13123" s="4" t="str">
        <f ca="1">IFERROR(__xludf.DUMMYFUNCTION("GOOGLETRANSLATE(D:D,""auto"",""en"")"),"#VALUE!")</f>
        <v>#VALUE!</v>
      </c>
    </row>
    <row r="13124" spans="3:3" ht="13.5" customHeight="1">
      <c r="C13124" s="4" t="str">
        <f ca="1">IFERROR(__xludf.DUMMYFUNCTION("GOOGLETRANSLATE(D:D,""auto"",""en"")"),"#VALUE!")</f>
        <v>#VALUE!</v>
      </c>
    </row>
    <row r="13125" spans="3:3" ht="13.5" customHeight="1">
      <c r="C13125" s="4" t="str">
        <f ca="1">IFERROR(__xludf.DUMMYFUNCTION("GOOGLETRANSLATE(D:D,""auto"",""en"")"),"#VALUE!")</f>
        <v>#VALUE!</v>
      </c>
    </row>
    <row r="13126" spans="3:3" ht="13.5" customHeight="1">
      <c r="C13126" s="4" t="str">
        <f ca="1">IFERROR(__xludf.DUMMYFUNCTION("GOOGLETRANSLATE(D:D,""auto"",""en"")"),"#VALUE!")</f>
        <v>#VALUE!</v>
      </c>
    </row>
    <row r="13127" spans="3:3" ht="13.5" customHeight="1">
      <c r="C13127" s="4" t="str">
        <f ca="1">IFERROR(__xludf.DUMMYFUNCTION("GOOGLETRANSLATE(D:D,""auto"",""en"")"),"#VALUE!")</f>
        <v>#VALUE!</v>
      </c>
    </row>
    <row r="13128" spans="3:3" ht="13.5" customHeight="1">
      <c r="C13128" s="4" t="str">
        <f ca="1">IFERROR(__xludf.DUMMYFUNCTION("GOOGLETRANSLATE(D:D,""auto"",""en"")"),"#VALUE!")</f>
        <v>#VALUE!</v>
      </c>
    </row>
    <row r="13129" spans="3:3" ht="13.5" customHeight="1">
      <c r="C13129" s="4" t="str">
        <f ca="1">IFERROR(__xludf.DUMMYFUNCTION("GOOGLETRANSLATE(D:D,""auto"",""en"")"),"#VALUE!")</f>
        <v>#VALUE!</v>
      </c>
    </row>
    <row r="13130" spans="3:3" ht="13.5" customHeight="1">
      <c r="C13130" s="4" t="str">
        <f ca="1">IFERROR(__xludf.DUMMYFUNCTION("GOOGLETRANSLATE(D:D,""auto"",""en"")"),"#VALUE!")</f>
        <v>#VALUE!</v>
      </c>
    </row>
    <row r="13131" spans="3:3" ht="13.5" customHeight="1">
      <c r="C13131" s="4" t="str">
        <f ca="1">IFERROR(__xludf.DUMMYFUNCTION("GOOGLETRANSLATE(D:D,""auto"",""en"")"),"#VALUE!")</f>
        <v>#VALUE!</v>
      </c>
    </row>
    <row r="13132" spans="3:3" ht="13.5" customHeight="1">
      <c r="C13132" s="4" t="str">
        <f ca="1">IFERROR(__xludf.DUMMYFUNCTION("GOOGLETRANSLATE(D:D,""auto"",""en"")"),"#VALUE!")</f>
        <v>#VALUE!</v>
      </c>
    </row>
    <row r="13133" spans="3:3" ht="13.5" customHeight="1">
      <c r="C13133" s="4" t="str">
        <f ca="1">IFERROR(__xludf.DUMMYFUNCTION("GOOGLETRANSLATE(D:D,""auto"",""en"")"),"#VALUE!")</f>
        <v>#VALUE!</v>
      </c>
    </row>
    <row r="13134" spans="3:3" ht="13.5" customHeight="1">
      <c r="C13134" s="4" t="str">
        <f ca="1">IFERROR(__xludf.DUMMYFUNCTION("GOOGLETRANSLATE(D:D,""auto"",""en"")"),"#VALUE!")</f>
        <v>#VALUE!</v>
      </c>
    </row>
    <row r="13135" spans="3:3" ht="13.5" customHeight="1">
      <c r="C13135" s="4" t="str">
        <f ca="1">IFERROR(__xludf.DUMMYFUNCTION("GOOGLETRANSLATE(D:D,""auto"",""en"")"),"#VALUE!")</f>
        <v>#VALUE!</v>
      </c>
    </row>
    <row r="13136" spans="3:3" ht="13.5" customHeight="1">
      <c r="C13136" s="4" t="str">
        <f ca="1">IFERROR(__xludf.DUMMYFUNCTION("GOOGLETRANSLATE(D:D,""auto"",""en"")"),"#VALUE!")</f>
        <v>#VALUE!</v>
      </c>
    </row>
    <row r="13137" spans="3:3" ht="13.5" customHeight="1">
      <c r="C13137" s="4" t="str">
        <f ca="1">IFERROR(__xludf.DUMMYFUNCTION("GOOGLETRANSLATE(D:D,""auto"",""en"")"),"#VALUE!")</f>
        <v>#VALUE!</v>
      </c>
    </row>
    <row r="13138" spans="3:3" ht="13.5" customHeight="1">
      <c r="C13138" s="4" t="str">
        <f ca="1">IFERROR(__xludf.DUMMYFUNCTION("GOOGLETRANSLATE(D:D,""auto"",""en"")"),"#VALUE!")</f>
        <v>#VALUE!</v>
      </c>
    </row>
    <row r="13139" spans="3:3" ht="13.5" customHeight="1">
      <c r="C13139" s="4" t="str">
        <f ca="1">IFERROR(__xludf.DUMMYFUNCTION("GOOGLETRANSLATE(D:D,""auto"",""en"")"),"#VALUE!")</f>
        <v>#VALUE!</v>
      </c>
    </row>
    <row r="13140" spans="3:3" ht="13.5" customHeight="1">
      <c r="C13140" s="4" t="str">
        <f ca="1">IFERROR(__xludf.DUMMYFUNCTION("GOOGLETRANSLATE(D:D,""auto"",""en"")"),"#VALUE!")</f>
        <v>#VALUE!</v>
      </c>
    </row>
    <row r="13141" spans="3:3" ht="13.5" customHeight="1">
      <c r="C13141" s="4" t="str">
        <f ca="1">IFERROR(__xludf.DUMMYFUNCTION("GOOGLETRANSLATE(D:D,""auto"",""en"")"),"#VALUE!")</f>
        <v>#VALUE!</v>
      </c>
    </row>
    <row r="13142" spans="3:3" ht="13.5" customHeight="1">
      <c r="C13142" s="4" t="str">
        <f ca="1">IFERROR(__xludf.DUMMYFUNCTION("GOOGLETRANSLATE(D:D,""auto"",""en"")"),"#VALUE!")</f>
        <v>#VALUE!</v>
      </c>
    </row>
    <row r="13143" spans="3:3" ht="13.5" customHeight="1">
      <c r="C13143" s="4" t="str">
        <f ca="1">IFERROR(__xludf.DUMMYFUNCTION("GOOGLETRANSLATE(D:D,""auto"",""en"")"),"#VALUE!")</f>
        <v>#VALUE!</v>
      </c>
    </row>
    <row r="13144" spans="3:3" ht="13.5" customHeight="1">
      <c r="C13144" s="4" t="str">
        <f ca="1">IFERROR(__xludf.DUMMYFUNCTION("GOOGLETRANSLATE(D:D,""auto"",""en"")"),"#VALUE!")</f>
        <v>#VALUE!</v>
      </c>
    </row>
    <row r="13145" spans="3:3" ht="13.5" customHeight="1">
      <c r="C13145" s="4" t="str">
        <f ca="1">IFERROR(__xludf.DUMMYFUNCTION("GOOGLETRANSLATE(D:D,""auto"",""en"")"),"#VALUE!")</f>
        <v>#VALUE!</v>
      </c>
    </row>
    <row r="13146" spans="3:3" ht="13.5" customHeight="1">
      <c r="C13146" s="4" t="str">
        <f ca="1">IFERROR(__xludf.DUMMYFUNCTION("GOOGLETRANSLATE(D:D,""auto"",""en"")"),"#VALUE!")</f>
        <v>#VALUE!</v>
      </c>
    </row>
    <row r="13147" spans="3:3" ht="13.5" customHeight="1">
      <c r="C13147" s="4" t="str">
        <f ca="1">IFERROR(__xludf.DUMMYFUNCTION("GOOGLETRANSLATE(D:D,""auto"",""en"")"),"#VALUE!")</f>
        <v>#VALUE!</v>
      </c>
    </row>
    <row r="13148" spans="3:3" ht="13.5" customHeight="1">
      <c r="C13148" s="4" t="str">
        <f ca="1">IFERROR(__xludf.DUMMYFUNCTION("GOOGLETRANSLATE(D:D,""auto"",""en"")"),"#VALUE!")</f>
        <v>#VALUE!</v>
      </c>
    </row>
    <row r="13149" spans="3:3" ht="13.5" customHeight="1">
      <c r="C13149" s="4" t="str">
        <f ca="1">IFERROR(__xludf.DUMMYFUNCTION("GOOGLETRANSLATE(D:D,""auto"",""en"")"),"#VALUE!")</f>
        <v>#VALUE!</v>
      </c>
    </row>
    <row r="13150" spans="3:3" ht="13.5" customHeight="1">
      <c r="C13150" s="4" t="str">
        <f ca="1">IFERROR(__xludf.DUMMYFUNCTION("GOOGLETRANSLATE(D:D,""auto"",""en"")"),"#VALUE!")</f>
        <v>#VALUE!</v>
      </c>
    </row>
    <row r="13151" spans="3:3" ht="13.5" customHeight="1">
      <c r="C13151" s="4" t="str">
        <f ca="1">IFERROR(__xludf.DUMMYFUNCTION("GOOGLETRANSLATE(D:D,""auto"",""en"")"),"#VALUE!")</f>
        <v>#VALUE!</v>
      </c>
    </row>
    <row r="13152" spans="3:3" ht="13.5" customHeight="1">
      <c r="C13152" s="4" t="str">
        <f ca="1">IFERROR(__xludf.DUMMYFUNCTION("GOOGLETRANSLATE(D:D,""auto"",""en"")"),"#VALUE!")</f>
        <v>#VALUE!</v>
      </c>
    </row>
    <row r="13153" spans="3:3" ht="13.5" customHeight="1">
      <c r="C13153" s="4" t="str">
        <f ca="1">IFERROR(__xludf.DUMMYFUNCTION("GOOGLETRANSLATE(D:D,""auto"",""en"")"),"#VALUE!")</f>
        <v>#VALUE!</v>
      </c>
    </row>
    <row r="13154" spans="3:3" ht="13.5" customHeight="1">
      <c r="C13154" s="4" t="str">
        <f ca="1">IFERROR(__xludf.DUMMYFUNCTION("GOOGLETRANSLATE(D:D,""auto"",""en"")"),"#VALUE!")</f>
        <v>#VALUE!</v>
      </c>
    </row>
    <row r="13155" spans="3:3" ht="13.5" customHeight="1">
      <c r="C13155" s="4" t="str">
        <f ca="1">IFERROR(__xludf.DUMMYFUNCTION("GOOGLETRANSLATE(D:D,""auto"",""en"")"),"#VALUE!")</f>
        <v>#VALUE!</v>
      </c>
    </row>
    <row r="13156" spans="3:3" ht="13.5" customHeight="1">
      <c r="C13156" s="4" t="str">
        <f ca="1">IFERROR(__xludf.DUMMYFUNCTION("GOOGLETRANSLATE(D:D,""auto"",""en"")"),"#VALUE!")</f>
        <v>#VALUE!</v>
      </c>
    </row>
    <row r="13157" spans="3:3" ht="13.5" customHeight="1">
      <c r="C13157" s="4" t="str">
        <f ca="1">IFERROR(__xludf.DUMMYFUNCTION("GOOGLETRANSLATE(D:D,""auto"",""en"")"),"#VALUE!")</f>
        <v>#VALUE!</v>
      </c>
    </row>
    <row r="13158" spans="3:3" ht="13.5" customHeight="1">
      <c r="C13158" s="4" t="str">
        <f ca="1">IFERROR(__xludf.DUMMYFUNCTION("GOOGLETRANSLATE(D:D,""auto"",""en"")"),"#VALUE!")</f>
        <v>#VALUE!</v>
      </c>
    </row>
    <row r="13159" spans="3:3" ht="13.5" customHeight="1">
      <c r="C13159" s="4" t="str">
        <f ca="1">IFERROR(__xludf.DUMMYFUNCTION("GOOGLETRANSLATE(D:D,""auto"",""en"")"),"#VALUE!")</f>
        <v>#VALUE!</v>
      </c>
    </row>
    <row r="13160" spans="3:3" ht="13.5" customHeight="1">
      <c r="C13160" s="4" t="str">
        <f ca="1">IFERROR(__xludf.DUMMYFUNCTION("GOOGLETRANSLATE(D:D,""auto"",""en"")"),"#VALUE!")</f>
        <v>#VALUE!</v>
      </c>
    </row>
    <row r="13161" spans="3:3" ht="13.5" customHeight="1">
      <c r="C13161" s="4" t="str">
        <f ca="1">IFERROR(__xludf.DUMMYFUNCTION("GOOGLETRANSLATE(D:D,""auto"",""en"")"),"#VALUE!")</f>
        <v>#VALUE!</v>
      </c>
    </row>
    <row r="13162" spans="3:3" ht="13.5" customHeight="1">
      <c r="C13162" s="4" t="str">
        <f ca="1">IFERROR(__xludf.DUMMYFUNCTION("GOOGLETRANSLATE(D:D,""auto"",""en"")"),"#VALUE!")</f>
        <v>#VALUE!</v>
      </c>
    </row>
    <row r="13163" spans="3:3" ht="13.5" customHeight="1">
      <c r="C13163" s="4" t="str">
        <f ca="1">IFERROR(__xludf.DUMMYFUNCTION("GOOGLETRANSLATE(D:D,""auto"",""en"")"),"#VALUE!")</f>
        <v>#VALUE!</v>
      </c>
    </row>
    <row r="13164" spans="3:3" ht="13.5" customHeight="1">
      <c r="C13164" s="4" t="str">
        <f ca="1">IFERROR(__xludf.DUMMYFUNCTION("GOOGLETRANSLATE(D:D,""auto"",""en"")"),"#VALUE!")</f>
        <v>#VALUE!</v>
      </c>
    </row>
    <row r="13165" spans="3:3" ht="13.5" customHeight="1">
      <c r="C13165" s="4" t="str">
        <f ca="1">IFERROR(__xludf.DUMMYFUNCTION("GOOGLETRANSLATE(D:D,""auto"",""en"")"),"#VALUE!")</f>
        <v>#VALUE!</v>
      </c>
    </row>
    <row r="13166" spans="3:3" ht="13.5" customHeight="1">
      <c r="C13166" s="4" t="str">
        <f ca="1">IFERROR(__xludf.DUMMYFUNCTION("GOOGLETRANSLATE(D:D,""auto"",""en"")"),"#VALUE!")</f>
        <v>#VALUE!</v>
      </c>
    </row>
    <row r="13167" spans="3:3" ht="13.5" customHeight="1">
      <c r="C13167" s="4" t="str">
        <f ca="1">IFERROR(__xludf.DUMMYFUNCTION("GOOGLETRANSLATE(D:D,""auto"",""en"")"),"#VALUE!")</f>
        <v>#VALUE!</v>
      </c>
    </row>
    <row r="13168" spans="3:3" ht="13.5" customHeight="1">
      <c r="C13168" s="4" t="str">
        <f ca="1">IFERROR(__xludf.DUMMYFUNCTION("GOOGLETRANSLATE(D:D,""auto"",""en"")"),"#VALUE!")</f>
        <v>#VALUE!</v>
      </c>
    </row>
    <row r="13169" spans="3:3" ht="13.5" customHeight="1">
      <c r="C13169" s="4" t="str">
        <f ca="1">IFERROR(__xludf.DUMMYFUNCTION("GOOGLETRANSLATE(D:D,""auto"",""en"")"),"#VALUE!")</f>
        <v>#VALUE!</v>
      </c>
    </row>
    <row r="13170" spans="3:3" ht="13.5" customHeight="1">
      <c r="C13170" s="4" t="str">
        <f ca="1">IFERROR(__xludf.DUMMYFUNCTION("GOOGLETRANSLATE(D:D,""auto"",""en"")"),"#VALUE!")</f>
        <v>#VALUE!</v>
      </c>
    </row>
    <row r="13171" spans="3:3" ht="13.5" customHeight="1">
      <c r="C13171" s="4" t="str">
        <f ca="1">IFERROR(__xludf.DUMMYFUNCTION("GOOGLETRANSLATE(D:D,""auto"",""en"")"),"#VALUE!")</f>
        <v>#VALUE!</v>
      </c>
    </row>
    <row r="13172" spans="3:3" ht="13.5" customHeight="1">
      <c r="C13172" s="4" t="str">
        <f ca="1">IFERROR(__xludf.DUMMYFUNCTION("GOOGLETRANSLATE(D:D,""auto"",""en"")"),"#VALUE!")</f>
        <v>#VALUE!</v>
      </c>
    </row>
    <row r="13173" spans="3:3" ht="13.5" customHeight="1">
      <c r="C13173" s="4" t="str">
        <f ca="1">IFERROR(__xludf.DUMMYFUNCTION("GOOGLETRANSLATE(D:D,""auto"",""en"")"),"#VALUE!")</f>
        <v>#VALUE!</v>
      </c>
    </row>
    <row r="13174" spans="3:3" ht="13.5" customHeight="1">
      <c r="C13174" s="4" t="str">
        <f ca="1">IFERROR(__xludf.DUMMYFUNCTION("GOOGLETRANSLATE(D:D,""auto"",""en"")"),"#VALUE!")</f>
        <v>#VALUE!</v>
      </c>
    </row>
    <row r="13175" spans="3:3" ht="13.5" customHeight="1">
      <c r="C13175" s="4" t="str">
        <f ca="1">IFERROR(__xludf.DUMMYFUNCTION("GOOGLETRANSLATE(D:D,""auto"",""en"")"),"#VALUE!")</f>
        <v>#VALUE!</v>
      </c>
    </row>
    <row r="13176" spans="3:3" ht="13.5" customHeight="1">
      <c r="C13176" s="4" t="str">
        <f ca="1">IFERROR(__xludf.DUMMYFUNCTION("GOOGLETRANSLATE(D:D,""auto"",""en"")"),"#VALUE!")</f>
        <v>#VALUE!</v>
      </c>
    </row>
    <row r="13177" spans="3:3" ht="13.5" customHeight="1">
      <c r="C13177" s="4" t="str">
        <f ca="1">IFERROR(__xludf.DUMMYFUNCTION("GOOGLETRANSLATE(D:D,""auto"",""en"")"),"#VALUE!")</f>
        <v>#VALUE!</v>
      </c>
    </row>
    <row r="13178" spans="3:3" ht="13.5" customHeight="1">
      <c r="C13178" s="4" t="str">
        <f ca="1">IFERROR(__xludf.DUMMYFUNCTION("GOOGLETRANSLATE(D:D,""auto"",""en"")"),"#VALUE!")</f>
        <v>#VALUE!</v>
      </c>
    </row>
    <row r="13179" spans="3:3" ht="13.5" customHeight="1">
      <c r="C13179" s="4" t="str">
        <f ca="1">IFERROR(__xludf.DUMMYFUNCTION("GOOGLETRANSLATE(D:D,""auto"",""en"")"),"#VALUE!")</f>
        <v>#VALUE!</v>
      </c>
    </row>
    <row r="13180" spans="3:3" ht="13.5" customHeight="1">
      <c r="C13180" s="4" t="str">
        <f ca="1">IFERROR(__xludf.DUMMYFUNCTION("GOOGLETRANSLATE(D:D,""auto"",""en"")"),"#VALUE!")</f>
        <v>#VALUE!</v>
      </c>
    </row>
    <row r="13181" spans="3:3" ht="13.5" customHeight="1">
      <c r="C13181" s="4" t="str">
        <f ca="1">IFERROR(__xludf.DUMMYFUNCTION("GOOGLETRANSLATE(D:D,""auto"",""en"")"),"#VALUE!")</f>
        <v>#VALUE!</v>
      </c>
    </row>
    <row r="13182" spans="3:3" ht="13.5" customHeight="1">
      <c r="C13182" s="4" t="str">
        <f ca="1">IFERROR(__xludf.DUMMYFUNCTION("GOOGLETRANSLATE(D:D,""auto"",""en"")"),"#VALUE!")</f>
        <v>#VALUE!</v>
      </c>
    </row>
    <row r="13183" spans="3:3" ht="13.5" customHeight="1">
      <c r="C13183" s="4" t="str">
        <f ca="1">IFERROR(__xludf.DUMMYFUNCTION("GOOGLETRANSLATE(D:D,""auto"",""en"")"),"#VALUE!")</f>
        <v>#VALUE!</v>
      </c>
    </row>
    <row r="13184" spans="3:3" ht="13.5" customHeight="1">
      <c r="C13184" s="4" t="str">
        <f ca="1">IFERROR(__xludf.DUMMYFUNCTION("GOOGLETRANSLATE(D:D,""auto"",""en"")"),"#VALUE!")</f>
        <v>#VALUE!</v>
      </c>
    </row>
    <row r="13185" spans="3:3" ht="13.5" customHeight="1">
      <c r="C13185" s="4" t="str">
        <f ca="1">IFERROR(__xludf.DUMMYFUNCTION("GOOGLETRANSLATE(D:D,""auto"",""en"")"),"#VALUE!")</f>
        <v>#VALUE!</v>
      </c>
    </row>
    <row r="13186" spans="3:3" ht="13.5" customHeight="1">
      <c r="C13186" s="4" t="str">
        <f ca="1">IFERROR(__xludf.DUMMYFUNCTION("GOOGLETRANSLATE(D:D,""auto"",""en"")"),"#VALUE!")</f>
        <v>#VALUE!</v>
      </c>
    </row>
    <row r="13187" spans="3:3" ht="13.5" customHeight="1">
      <c r="C13187" s="4" t="str">
        <f ca="1">IFERROR(__xludf.DUMMYFUNCTION("GOOGLETRANSLATE(D:D,""auto"",""en"")"),"#VALUE!")</f>
        <v>#VALUE!</v>
      </c>
    </row>
    <row r="13188" spans="3:3" ht="13.5" customHeight="1">
      <c r="C13188" s="4" t="str">
        <f ca="1">IFERROR(__xludf.DUMMYFUNCTION("GOOGLETRANSLATE(D:D,""auto"",""en"")"),"#VALUE!")</f>
        <v>#VALUE!</v>
      </c>
    </row>
    <row r="13189" spans="3:3" ht="13.5" customHeight="1">
      <c r="C13189" s="4" t="str">
        <f ca="1">IFERROR(__xludf.DUMMYFUNCTION("GOOGLETRANSLATE(D:D,""auto"",""en"")"),"#VALUE!")</f>
        <v>#VALUE!</v>
      </c>
    </row>
    <row r="13190" spans="3:3" ht="13.5" customHeight="1">
      <c r="C13190" s="4" t="str">
        <f ca="1">IFERROR(__xludf.DUMMYFUNCTION("GOOGLETRANSLATE(D:D,""auto"",""en"")"),"#VALUE!")</f>
        <v>#VALUE!</v>
      </c>
    </row>
    <row r="13191" spans="3:3" ht="13.5" customHeight="1">
      <c r="C13191" s="4" t="str">
        <f ca="1">IFERROR(__xludf.DUMMYFUNCTION("GOOGLETRANSLATE(D:D,""auto"",""en"")"),"#VALUE!")</f>
        <v>#VALUE!</v>
      </c>
    </row>
    <row r="13192" spans="3:3" ht="13.5" customHeight="1">
      <c r="C13192" s="4" t="str">
        <f ca="1">IFERROR(__xludf.DUMMYFUNCTION("GOOGLETRANSLATE(D:D,""auto"",""en"")"),"#VALUE!")</f>
        <v>#VALUE!</v>
      </c>
    </row>
    <row r="13193" spans="3:3" ht="13.5" customHeight="1">
      <c r="C13193" s="4" t="str">
        <f ca="1">IFERROR(__xludf.DUMMYFUNCTION("GOOGLETRANSLATE(D:D,""auto"",""en"")"),"#VALUE!")</f>
        <v>#VALUE!</v>
      </c>
    </row>
    <row r="13194" spans="3:3" ht="13.5" customHeight="1">
      <c r="C13194" s="4" t="str">
        <f ca="1">IFERROR(__xludf.DUMMYFUNCTION("GOOGLETRANSLATE(D:D,""auto"",""en"")"),"#VALUE!")</f>
        <v>#VALUE!</v>
      </c>
    </row>
    <row r="13195" spans="3:3" ht="13.5" customHeight="1">
      <c r="C13195" s="4" t="str">
        <f ca="1">IFERROR(__xludf.DUMMYFUNCTION("GOOGLETRANSLATE(D:D,""auto"",""en"")"),"#VALUE!")</f>
        <v>#VALUE!</v>
      </c>
    </row>
    <row r="13196" spans="3:3" ht="13.5" customHeight="1">
      <c r="C13196" s="4" t="str">
        <f ca="1">IFERROR(__xludf.DUMMYFUNCTION("GOOGLETRANSLATE(D:D,""auto"",""en"")"),"#VALUE!")</f>
        <v>#VALUE!</v>
      </c>
    </row>
    <row r="13197" spans="3:3" ht="13.5" customHeight="1">
      <c r="C13197" s="4" t="str">
        <f ca="1">IFERROR(__xludf.DUMMYFUNCTION("GOOGLETRANSLATE(D:D,""auto"",""en"")"),"#VALUE!")</f>
        <v>#VALUE!</v>
      </c>
    </row>
    <row r="13198" spans="3:3" ht="13.5" customHeight="1">
      <c r="C13198" s="4" t="str">
        <f ca="1">IFERROR(__xludf.DUMMYFUNCTION("GOOGLETRANSLATE(D:D,""auto"",""en"")"),"#VALUE!")</f>
        <v>#VALUE!</v>
      </c>
    </row>
    <row r="13199" spans="3:3" ht="13.5" customHeight="1">
      <c r="C13199" s="4" t="str">
        <f ca="1">IFERROR(__xludf.DUMMYFUNCTION("GOOGLETRANSLATE(D:D,""auto"",""en"")"),"#VALUE!")</f>
        <v>#VALUE!</v>
      </c>
    </row>
    <row r="13200" spans="3:3" ht="13.5" customHeight="1">
      <c r="C13200" s="4" t="str">
        <f ca="1">IFERROR(__xludf.DUMMYFUNCTION("GOOGLETRANSLATE(D:D,""auto"",""en"")"),"#VALUE!")</f>
        <v>#VALUE!</v>
      </c>
    </row>
    <row r="13201" spans="3:3" ht="13.5" customHeight="1">
      <c r="C13201" s="4" t="str">
        <f ca="1">IFERROR(__xludf.DUMMYFUNCTION("GOOGLETRANSLATE(D:D,""auto"",""en"")"),"#VALUE!")</f>
        <v>#VALUE!</v>
      </c>
    </row>
    <row r="13202" spans="3:3" ht="13.5" customHeight="1">
      <c r="C13202" s="4" t="str">
        <f ca="1">IFERROR(__xludf.DUMMYFUNCTION("GOOGLETRANSLATE(D:D,""auto"",""en"")"),"#VALUE!")</f>
        <v>#VALUE!</v>
      </c>
    </row>
    <row r="13203" spans="3:3" ht="13.5" customHeight="1">
      <c r="C13203" s="4" t="str">
        <f ca="1">IFERROR(__xludf.DUMMYFUNCTION("GOOGLETRANSLATE(D:D,""auto"",""en"")"),"#VALUE!")</f>
        <v>#VALUE!</v>
      </c>
    </row>
    <row r="13204" spans="3:3" ht="13.5" customHeight="1">
      <c r="C13204" s="4" t="str">
        <f ca="1">IFERROR(__xludf.DUMMYFUNCTION("GOOGLETRANSLATE(D:D,""auto"",""en"")"),"#VALUE!")</f>
        <v>#VALUE!</v>
      </c>
    </row>
    <row r="13205" spans="3:3" ht="13.5" customHeight="1">
      <c r="C13205" s="4" t="str">
        <f ca="1">IFERROR(__xludf.DUMMYFUNCTION("GOOGLETRANSLATE(D:D,""auto"",""en"")"),"#VALUE!")</f>
        <v>#VALUE!</v>
      </c>
    </row>
    <row r="13206" spans="3:3" ht="13.5" customHeight="1">
      <c r="C13206" s="4" t="str">
        <f ca="1">IFERROR(__xludf.DUMMYFUNCTION("GOOGLETRANSLATE(D:D,""auto"",""en"")"),"#VALUE!")</f>
        <v>#VALUE!</v>
      </c>
    </row>
    <row r="13207" spans="3:3" ht="13.5" customHeight="1">
      <c r="C13207" s="4" t="str">
        <f ca="1">IFERROR(__xludf.DUMMYFUNCTION("GOOGLETRANSLATE(D:D,""auto"",""en"")"),"#VALUE!")</f>
        <v>#VALUE!</v>
      </c>
    </row>
    <row r="13208" spans="3:3" ht="13.5" customHeight="1">
      <c r="C13208" s="4" t="str">
        <f ca="1">IFERROR(__xludf.DUMMYFUNCTION("GOOGLETRANSLATE(D:D,""auto"",""en"")"),"#VALUE!")</f>
        <v>#VALUE!</v>
      </c>
    </row>
    <row r="13209" spans="3:3" ht="13.5" customHeight="1">
      <c r="C13209" s="4" t="str">
        <f ca="1">IFERROR(__xludf.DUMMYFUNCTION("GOOGLETRANSLATE(D:D,""auto"",""en"")"),"#VALUE!")</f>
        <v>#VALUE!</v>
      </c>
    </row>
    <row r="13210" spans="3:3" ht="13.5" customHeight="1">
      <c r="C13210" s="4" t="str">
        <f ca="1">IFERROR(__xludf.DUMMYFUNCTION("GOOGLETRANSLATE(D:D,""auto"",""en"")"),"#VALUE!")</f>
        <v>#VALUE!</v>
      </c>
    </row>
    <row r="13211" spans="3:3" ht="13.5" customHeight="1">
      <c r="C13211" s="4" t="str">
        <f ca="1">IFERROR(__xludf.DUMMYFUNCTION("GOOGLETRANSLATE(D:D,""auto"",""en"")"),"#VALUE!")</f>
        <v>#VALUE!</v>
      </c>
    </row>
    <row r="13212" spans="3:3" ht="13.5" customHeight="1">
      <c r="C13212" s="4" t="str">
        <f ca="1">IFERROR(__xludf.DUMMYFUNCTION("GOOGLETRANSLATE(D:D,""auto"",""en"")"),"#VALUE!")</f>
        <v>#VALUE!</v>
      </c>
    </row>
    <row r="13213" spans="3:3" ht="13.5" customHeight="1">
      <c r="C13213" s="4" t="str">
        <f ca="1">IFERROR(__xludf.DUMMYFUNCTION("GOOGLETRANSLATE(D:D,""auto"",""en"")"),"#VALUE!")</f>
        <v>#VALUE!</v>
      </c>
    </row>
    <row r="13214" spans="3:3" ht="13.5" customHeight="1">
      <c r="C13214" s="4" t="str">
        <f ca="1">IFERROR(__xludf.DUMMYFUNCTION("GOOGLETRANSLATE(D:D,""auto"",""en"")"),"#VALUE!")</f>
        <v>#VALUE!</v>
      </c>
    </row>
    <row r="13215" spans="3:3" ht="13.5" customHeight="1">
      <c r="C13215" s="4" t="str">
        <f ca="1">IFERROR(__xludf.DUMMYFUNCTION("GOOGLETRANSLATE(D:D,""auto"",""en"")"),"#VALUE!")</f>
        <v>#VALUE!</v>
      </c>
    </row>
    <row r="13216" spans="3:3" ht="13.5" customHeight="1">
      <c r="C13216" s="4" t="str">
        <f ca="1">IFERROR(__xludf.DUMMYFUNCTION("GOOGLETRANSLATE(D:D,""auto"",""en"")"),"#VALUE!")</f>
        <v>#VALUE!</v>
      </c>
    </row>
    <row r="13217" spans="3:3" ht="13.5" customHeight="1">
      <c r="C13217" s="4" t="str">
        <f ca="1">IFERROR(__xludf.DUMMYFUNCTION("GOOGLETRANSLATE(D:D,""auto"",""en"")"),"#VALUE!")</f>
        <v>#VALUE!</v>
      </c>
    </row>
    <row r="13218" spans="3:3" ht="13.5" customHeight="1">
      <c r="C13218" s="4" t="str">
        <f ca="1">IFERROR(__xludf.DUMMYFUNCTION("GOOGLETRANSLATE(D:D,""auto"",""en"")"),"#VALUE!")</f>
        <v>#VALUE!</v>
      </c>
    </row>
    <row r="13219" spans="3:3" ht="13.5" customHeight="1">
      <c r="C13219" s="4" t="str">
        <f ca="1">IFERROR(__xludf.DUMMYFUNCTION("GOOGLETRANSLATE(D:D,""auto"",""en"")"),"#VALUE!")</f>
        <v>#VALUE!</v>
      </c>
    </row>
    <row r="13220" spans="3:3" ht="13.5" customHeight="1">
      <c r="C13220" s="4" t="str">
        <f ca="1">IFERROR(__xludf.DUMMYFUNCTION("GOOGLETRANSLATE(D:D,""auto"",""en"")"),"#VALUE!")</f>
        <v>#VALUE!</v>
      </c>
    </row>
    <row r="13221" spans="3:3" ht="13.5" customHeight="1">
      <c r="C13221" s="4" t="str">
        <f ca="1">IFERROR(__xludf.DUMMYFUNCTION("GOOGLETRANSLATE(D:D,""auto"",""en"")"),"#VALUE!")</f>
        <v>#VALUE!</v>
      </c>
    </row>
    <row r="13222" spans="3:3" ht="13.5" customHeight="1">
      <c r="C13222" s="4" t="str">
        <f ca="1">IFERROR(__xludf.DUMMYFUNCTION("GOOGLETRANSLATE(D:D,""auto"",""en"")"),"#VALUE!")</f>
        <v>#VALUE!</v>
      </c>
    </row>
    <row r="13223" spans="3:3" ht="13.5" customHeight="1">
      <c r="C13223" s="4" t="str">
        <f ca="1">IFERROR(__xludf.DUMMYFUNCTION("GOOGLETRANSLATE(D:D,""auto"",""en"")"),"#VALUE!")</f>
        <v>#VALUE!</v>
      </c>
    </row>
    <row r="13224" spans="3:3" ht="13.5" customHeight="1">
      <c r="C13224" s="4" t="str">
        <f ca="1">IFERROR(__xludf.DUMMYFUNCTION("GOOGLETRANSLATE(D:D,""auto"",""en"")"),"#VALUE!")</f>
        <v>#VALUE!</v>
      </c>
    </row>
    <row r="13225" spans="3:3" ht="13.5" customHeight="1">
      <c r="C13225" s="4" t="str">
        <f ca="1">IFERROR(__xludf.DUMMYFUNCTION("GOOGLETRANSLATE(D:D,""auto"",""en"")"),"#VALUE!")</f>
        <v>#VALUE!</v>
      </c>
    </row>
    <row r="13226" spans="3:3" ht="13.5" customHeight="1">
      <c r="C13226" s="4" t="str">
        <f ca="1">IFERROR(__xludf.DUMMYFUNCTION("GOOGLETRANSLATE(D:D,""auto"",""en"")"),"#VALUE!")</f>
        <v>#VALUE!</v>
      </c>
    </row>
    <row r="13227" spans="3:3" ht="13.5" customHeight="1">
      <c r="C13227" s="4" t="str">
        <f ca="1">IFERROR(__xludf.DUMMYFUNCTION("GOOGLETRANSLATE(D:D,""auto"",""en"")"),"#VALUE!")</f>
        <v>#VALUE!</v>
      </c>
    </row>
    <row r="13228" spans="3:3" ht="13.5" customHeight="1">
      <c r="C13228" s="4" t="str">
        <f ca="1">IFERROR(__xludf.DUMMYFUNCTION("GOOGLETRANSLATE(D:D,""auto"",""en"")"),"#VALUE!")</f>
        <v>#VALUE!</v>
      </c>
    </row>
    <row r="13229" spans="3:3" ht="13.5" customHeight="1">
      <c r="C13229" s="4" t="str">
        <f ca="1">IFERROR(__xludf.DUMMYFUNCTION("GOOGLETRANSLATE(D:D,""auto"",""en"")"),"#VALUE!")</f>
        <v>#VALUE!</v>
      </c>
    </row>
    <row r="13230" spans="3:3" ht="13.5" customHeight="1">
      <c r="C13230" s="4" t="str">
        <f ca="1">IFERROR(__xludf.DUMMYFUNCTION("GOOGLETRANSLATE(D:D,""auto"",""en"")"),"#VALUE!")</f>
        <v>#VALUE!</v>
      </c>
    </row>
    <row r="13231" spans="3:3" ht="13.5" customHeight="1">
      <c r="C13231" s="4" t="str">
        <f ca="1">IFERROR(__xludf.DUMMYFUNCTION("GOOGLETRANSLATE(D:D,""auto"",""en"")"),"#VALUE!")</f>
        <v>#VALUE!</v>
      </c>
    </row>
    <row r="13232" spans="3:3" ht="13.5" customHeight="1">
      <c r="C13232" s="4" t="str">
        <f ca="1">IFERROR(__xludf.DUMMYFUNCTION("GOOGLETRANSLATE(D:D,""auto"",""en"")"),"#VALUE!")</f>
        <v>#VALUE!</v>
      </c>
    </row>
    <row r="13233" spans="3:3" ht="13.5" customHeight="1">
      <c r="C13233" s="4" t="str">
        <f ca="1">IFERROR(__xludf.DUMMYFUNCTION("GOOGLETRANSLATE(D:D,""auto"",""en"")"),"#VALUE!")</f>
        <v>#VALUE!</v>
      </c>
    </row>
    <row r="13234" spans="3:3" ht="13.5" customHeight="1">
      <c r="C13234" s="4" t="str">
        <f ca="1">IFERROR(__xludf.DUMMYFUNCTION("GOOGLETRANSLATE(D:D,""auto"",""en"")"),"#VALUE!")</f>
        <v>#VALUE!</v>
      </c>
    </row>
    <row r="13235" spans="3:3" ht="13.5" customHeight="1">
      <c r="C13235" s="4" t="str">
        <f ca="1">IFERROR(__xludf.DUMMYFUNCTION("GOOGLETRANSLATE(D:D,""auto"",""en"")"),"#VALUE!")</f>
        <v>#VALUE!</v>
      </c>
    </row>
    <row r="13236" spans="3:3" ht="13.5" customHeight="1">
      <c r="C13236" s="4" t="str">
        <f ca="1">IFERROR(__xludf.DUMMYFUNCTION("GOOGLETRANSLATE(D:D,""auto"",""en"")"),"#VALUE!")</f>
        <v>#VALUE!</v>
      </c>
    </row>
    <row r="13237" spans="3:3" ht="13.5" customHeight="1">
      <c r="C13237" s="4" t="str">
        <f ca="1">IFERROR(__xludf.DUMMYFUNCTION("GOOGLETRANSLATE(D:D,""auto"",""en"")"),"#VALUE!")</f>
        <v>#VALUE!</v>
      </c>
    </row>
    <row r="13238" spans="3:3" ht="13.5" customHeight="1">
      <c r="C13238" s="4" t="str">
        <f ca="1">IFERROR(__xludf.DUMMYFUNCTION("GOOGLETRANSLATE(D:D,""auto"",""en"")"),"#VALUE!")</f>
        <v>#VALUE!</v>
      </c>
    </row>
    <row r="13239" spans="3:3" ht="13.5" customHeight="1">
      <c r="C13239" s="4" t="str">
        <f ca="1">IFERROR(__xludf.DUMMYFUNCTION("GOOGLETRANSLATE(D:D,""auto"",""en"")"),"#VALUE!")</f>
        <v>#VALUE!</v>
      </c>
    </row>
    <row r="13240" spans="3:3" ht="13.5" customHeight="1">
      <c r="C13240" s="4" t="str">
        <f ca="1">IFERROR(__xludf.DUMMYFUNCTION("GOOGLETRANSLATE(D:D,""auto"",""en"")"),"#VALUE!")</f>
        <v>#VALUE!</v>
      </c>
    </row>
    <row r="13241" spans="3:3" ht="13.5" customHeight="1">
      <c r="C13241" s="4" t="str">
        <f ca="1">IFERROR(__xludf.DUMMYFUNCTION("GOOGLETRANSLATE(D:D,""auto"",""en"")"),"#VALUE!")</f>
        <v>#VALUE!</v>
      </c>
    </row>
    <row r="13242" spans="3:3" ht="13.5" customHeight="1">
      <c r="C13242" s="4" t="str">
        <f ca="1">IFERROR(__xludf.DUMMYFUNCTION("GOOGLETRANSLATE(D:D,""auto"",""en"")"),"#VALUE!")</f>
        <v>#VALUE!</v>
      </c>
    </row>
    <row r="13243" spans="3:3" ht="13.5" customHeight="1">
      <c r="C13243" s="4" t="str">
        <f ca="1">IFERROR(__xludf.DUMMYFUNCTION("GOOGLETRANSLATE(D:D,""auto"",""en"")"),"#VALUE!")</f>
        <v>#VALUE!</v>
      </c>
    </row>
    <row r="13244" spans="3:3" ht="13.5" customHeight="1">
      <c r="C13244" s="4" t="str">
        <f ca="1">IFERROR(__xludf.DUMMYFUNCTION("GOOGLETRANSLATE(D:D,""auto"",""en"")"),"#VALUE!")</f>
        <v>#VALUE!</v>
      </c>
    </row>
    <row r="13245" spans="3:3" ht="13.5" customHeight="1">
      <c r="C13245" s="4" t="str">
        <f ca="1">IFERROR(__xludf.DUMMYFUNCTION("GOOGLETRANSLATE(D:D,""auto"",""en"")"),"#VALUE!")</f>
        <v>#VALUE!</v>
      </c>
    </row>
    <row r="13246" spans="3:3" ht="13.5" customHeight="1">
      <c r="C13246" s="4" t="str">
        <f ca="1">IFERROR(__xludf.DUMMYFUNCTION("GOOGLETRANSLATE(D:D,""auto"",""en"")"),"#VALUE!")</f>
        <v>#VALUE!</v>
      </c>
    </row>
    <row r="13247" spans="3:3" ht="13.5" customHeight="1">
      <c r="C13247" s="4" t="str">
        <f ca="1">IFERROR(__xludf.DUMMYFUNCTION("GOOGLETRANSLATE(D:D,""auto"",""en"")"),"#VALUE!")</f>
        <v>#VALUE!</v>
      </c>
    </row>
    <row r="13248" spans="3:3" ht="13.5" customHeight="1">
      <c r="C13248" s="4" t="str">
        <f ca="1">IFERROR(__xludf.DUMMYFUNCTION("GOOGLETRANSLATE(D:D,""auto"",""en"")"),"#VALUE!")</f>
        <v>#VALUE!</v>
      </c>
    </row>
    <row r="13249" spans="3:3" ht="13.5" customHeight="1">
      <c r="C13249" s="4" t="str">
        <f ca="1">IFERROR(__xludf.DUMMYFUNCTION("GOOGLETRANSLATE(D:D,""auto"",""en"")"),"#VALUE!")</f>
        <v>#VALUE!</v>
      </c>
    </row>
    <row r="13250" spans="3:3" ht="13.5" customHeight="1">
      <c r="C13250" s="4" t="str">
        <f ca="1">IFERROR(__xludf.DUMMYFUNCTION("GOOGLETRANSLATE(D:D,""auto"",""en"")"),"#VALUE!")</f>
        <v>#VALUE!</v>
      </c>
    </row>
    <row r="13251" spans="3:3" ht="13.5" customHeight="1">
      <c r="C13251" s="4" t="str">
        <f ca="1">IFERROR(__xludf.DUMMYFUNCTION("GOOGLETRANSLATE(D:D,""auto"",""en"")"),"#VALUE!")</f>
        <v>#VALUE!</v>
      </c>
    </row>
    <row r="13252" spans="3:3" ht="13.5" customHeight="1">
      <c r="C13252" s="4" t="str">
        <f ca="1">IFERROR(__xludf.DUMMYFUNCTION("GOOGLETRANSLATE(D:D,""auto"",""en"")"),"#VALUE!")</f>
        <v>#VALUE!</v>
      </c>
    </row>
    <row r="13253" spans="3:3" ht="13.5" customHeight="1">
      <c r="C13253" s="4" t="str">
        <f ca="1">IFERROR(__xludf.DUMMYFUNCTION("GOOGLETRANSLATE(D:D,""auto"",""en"")"),"#VALUE!")</f>
        <v>#VALUE!</v>
      </c>
    </row>
    <row r="13254" spans="3:3" ht="13.5" customHeight="1">
      <c r="C13254" s="4" t="str">
        <f ca="1">IFERROR(__xludf.DUMMYFUNCTION("GOOGLETRANSLATE(D:D,""auto"",""en"")"),"#VALUE!")</f>
        <v>#VALUE!</v>
      </c>
    </row>
    <row r="13255" spans="3:3" ht="13.5" customHeight="1">
      <c r="C13255" s="4" t="str">
        <f ca="1">IFERROR(__xludf.DUMMYFUNCTION("GOOGLETRANSLATE(D:D,""auto"",""en"")"),"#VALUE!")</f>
        <v>#VALUE!</v>
      </c>
    </row>
    <row r="13256" spans="3:3" ht="13.5" customHeight="1">
      <c r="C13256" s="4" t="str">
        <f ca="1">IFERROR(__xludf.DUMMYFUNCTION("GOOGLETRANSLATE(D:D,""auto"",""en"")"),"#VALUE!")</f>
        <v>#VALUE!</v>
      </c>
    </row>
    <row r="13257" spans="3:3" ht="13.5" customHeight="1">
      <c r="C13257" s="4" t="str">
        <f ca="1">IFERROR(__xludf.DUMMYFUNCTION("GOOGLETRANSLATE(D:D,""auto"",""en"")"),"#VALUE!")</f>
        <v>#VALUE!</v>
      </c>
    </row>
    <row r="13258" spans="3:3" ht="13.5" customHeight="1">
      <c r="C13258" s="4" t="str">
        <f ca="1">IFERROR(__xludf.DUMMYFUNCTION("GOOGLETRANSLATE(D:D,""auto"",""en"")"),"#VALUE!")</f>
        <v>#VALUE!</v>
      </c>
    </row>
    <row r="13259" spans="3:3" ht="13.5" customHeight="1">
      <c r="C13259" s="4" t="str">
        <f ca="1">IFERROR(__xludf.DUMMYFUNCTION("GOOGLETRANSLATE(D:D,""auto"",""en"")"),"#VALUE!")</f>
        <v>#VALUE!</v>
      </c>
    </row>
    <row r="13260" spans="3:3" ht="13.5" customHeight="1">
      <c r="C13260" s="4" t="str">
        <f ca="1">IFERROR(__xludf.DUMMYFUNCTION("GOOGLETRANSLATE(D:D,""auto"",""en"")"),"#VALUE!")</f>
        <v>#VALUE!</v>
      </c>
    </row>
    <row r="13261" spans="3:3" ht="13.5" customHeight="1">
      <c r="C13261" s="4" t="str">
        <f ca="1">IFERROR(__xludf.DUMMYFUNCTION("GOOGLETRANSLATE(D:D,""auto"",""en"")"),"#VALUE!")</f>
        <v>#VALUE!</v>
      </c>
    </row>
    <row r="13262" spans="3:3" ht="13.5" customHeight="1">
      <c r="C13262" s="4" t="str">
        <f ca="1">IFERROR(__xludf.DUMMYFUNCTION("GOOGLETRANSLATE(D:D,""auto"",""en"")"),"#VALUE!")</f>
        <v>#VALUE!</v>
      </c>
    </row>
    <row r="13263" spans="3:3" ht="13.5" customHeight="1">
      <c r="C13263" s="4" t="str">
        <f ca="1">IFERROR(__xludf.DUMMYFUNCTION("GOOGLETRANSLATE(D:D,""auto"",""en"")"),"#VALUE!")</f>
        <v>#VALUE!</v>
      </c>
    </row>
    <row r="13264" spans="3:3" ht="13.5" customHeight="1">
      <c r="C13264" s="4" t="str">
        <f ca="1">IFERROR(__xludf.DUMMYFUNCTION("GOOGLETRANSLATE(D:D,""auto"",""en"")"),"#VALUE!")</f>
        <v>#VALUE!</v>
      </c>
    </row>
    <row r="13265" spans="3:3" ht="13.5" customHeight="1">
      <c r="C13265" s="4" t="str">
        <f ca="1">IFERROR(__xludf.DUMMYFUNCTION("GOOGLETRANSLATE(D:D,""auto"",""en"")"),"#VALUE!")</f>
        <v>#VALUE!</v>
      </c>
    </row>
    <row r="13266" spans="3:3" ht="13.5" customHeight="1">
      <c r="C13266" s="4" t="str">
        <f ca="1">IFERROR(__xludf.DUMMYFUNCTION("GOOGLETRANSLATE(D:D,""auto"",""en"")"),"#VALUE!")</f>
        <v>#VALUE!</v>
      </c>
    </row>
    <row r="13267" spans="3:3" ht="13.5" customHeight="1">
      <c r="C13267" s="4" t="str">
        <f ca="1">IFERROR(__xludf.DUMMYFUNCTION("GOOGLETRANSLATE(D:D,""auto"",""en"")"),"#VALUE!")</f>
        <v>#VALUE!</v>
      </c>
    </row>
    <row r="13268" spans="3:3" ht="13.5" customHeight="1">
      <c r="C13268" s="4" t="str">
        <f ca="1">IFERROR(__xludf.DUMMYFUNCTION("GOOGLETRANSLATE(D:D,""auto"",""en"")"),"#VALUE!")</f>
        <v>#VALUE!</v>
      </c>
    </row>
    <row r="13269" spans="3:3" ht="13.5" customHeight="1">
      <c r="C13269" s="4" t="str">
        <f ca="1">IFERROR(__xludf.DUMMYFUNCTION("GOOGLETRANSLATE(D:D,""auto"",""en"")"),"#VALUE!")</f>
        <v>#VALUE!</v>
      </c>
    </row>
    <row r="13270" spans="3:3" ht="13.5" customHeight="1">
      <c r="C13270" s="4" t="str">
        <f ca="1">IFERROR(__xludf.DUMMYFUNCTION("GOOGLETRANSLATE(D:D,""auto"",""en"")"),"#VALUE!")</f>
        <v>#VALUE!</v>
      </c>
    </row>
    <row r="13271" spans="3:3" ht="13.5" customHeight="1">
      <c r="C13271" s="4" t="str">
        <f ca="1">IFERROR(__xludf.DUMMYFUNCTION("GOOGLETRANSLATE(D:D,""auto"",""en"")"),"#VALUE!")</f>
        <v>#VALUE!</v>
      </c>
    </row>
    <row r="13272" spans="3:3" ht="13.5" customHeight="1">
      <c r="C13272" s="4" t="str">
        <f ca="1">IFERROR(__xludf.DUMMYFUNCTION("GOOGLETRANSLATE(D:D,""auto"",""en"")"),"#VALUE!")</f>
        <v>#VALUE!</v>
      </c>
    </row>
    <row r="13273" spans="3:3" ht="13.5" customHeight="1">
      <c r="C13273" s="4" t="str">
        <f ca="1">IFERROR(__xludf.DUMMYFUNCTION("GOOGLETRANSLATE(D:D,""auto"",""en"")"),"#VALUE!")</f>
        <v>#VALUE!</v>
      </c>
    </row>
    <row r="13274" spans="3:3" ht="13.5" customHeight="1">
      <c r="C13274" s="4" t="str">
        <f ca="1">IFERROR(__xludf.DUMMYFUNCTION("GOOGLETRANSLATE(D:D,""auto"",""en"")"),"#VALUE!")</f>
        <v>#VALUE!</v>
      </c>
    </row>
    <row r="13275" spans="3:3" ht="13.5" customHeight="1">
      <c r="C13275" s="4" t="str">
        <f ca="1">IFERROR(__xludf.DUMMYFUNCTION("GOOGLETRANSLATE(D:D,""auto"",""en"")"),"#VALUE!")</f>
        <v>#VALUE!</v>
      </c>
    </row>
    <row r="13276" spans="3:3" ht="13.5" customHeight="1">
      <c r="C13276" s="4" t="str">
        <f ca="1">IFERROR(__xludf.DUMMYFUNCTION("GOOGLETRANSLATE(D:D,""auto"",""en"")"),"#VALUE!")</f>
        <v>#VALUE!</v>
      </c>
    </row>
    <row r="13277" spans="3:3" ht="13.5" customHeight="1">
      <c r="C13277" s="4" t="str">
        <f ca="1">IFERROR(__xludf.DUMMYFUNCTION("GOOGLETRANSLATE(D:D,""auto"",""en"")"),"#VALUE!")</f>
        <v>#VALUE!</v>
      </c>
    </row>
    <row r="13278" spans="3:3" ht="13.5" customHeight="1">
      <c r="C13278" s="4" t="str">
        <f ca="1">IFERROR(__xludf.DUMMYFUNCTION("GOOGLETRANSLATE(D:D,""auto"",""en"")"),"#VALUE!")</f>
        <v>#VALUE!</v>
      </c>
    </row>
    <row r="13279" spans="3:3" ht="13.5" customHeight="1">
      <c r="C13279" s="4" t="str">
        <f ca="1">IFERROR(__xludf.DUMMYFUNCTION("GOOGLETRANSLATE(D:D,""auto"",""en"")"),"#VALUE!")</f>
        <v>#VALUE!</v>
      </c>
    </row>
    <row r="13280" spans="3:3" ht="13.5" customHeight="1">
      <c r="C13280" s="4" t="str">
        <f ca="1">IFERROR(__xludf.DUMMYFUNCTION("GOOGLETRANSLATE(D:D,""auto"",""en"")"),"#VALUE!")</f>
        <v>#VALUE!</v>
      </c>
    </row>
    <row r="13281" spans="3:3" ht="13.5" customHeight="1">
      <c r="C13281" s="4" t="str">
        <f ca="1">IFERROR(__xludf.DUMMYFUNCTION("GOOGLETRANSLATE(D:D,""auto"",""en"")"),"#VALUE!")</f>
        <v>#VALUE!</v>
      </c>
    </row>
    <row r="13282" spans="3:3" ht="13.5" customHeight="1">
      <c r="C13282" s="4" t="str">
        <f ca="1">IFERROR(__xludf.DUMMYFUNCTION("GOOGLETRANSLATE(D:D,""auto"",""en"")"),"#VALUE!")</f>
        <v>#VALUE!</v>
      </c>
    </row>
    <row r="13283" spans="3:3" ht="13.5" customHeight="1">
      <c r="C13283" s="4" t="str">
        <f ca="1">IFERROR(__xludf.DUMMYFUNCTION("GOOGLETRANSLATE(D:D,""auto"",""en"")"),"#VALUE!")</f>
        <v>#VALUE!</v>
      </c>
    </row>
    <row r="13284" spans="3:3" ht="13.5" customHeight="1">
      <c r="C13284" s="4" t="str">
        <f ca="1">IFERROR(__xludf.DUMMYFUNCTION("GOOGLETRANSLATE(D:D,""auto"",""en"")"),"#VALUE!")</f>
        <v>#VALUE!</v>
      </c>
    </row>
    <row r="13285" spans="3:3" ht="13.5" customHeight="1">
      <c r="C13285" s="4" t="str">
        <f ca="1">IFERROR(__xludf.DUMMYFUNCTION("GOOGLETRANSLATE(D:D,""auto"",""en"")"),"#VALUE!")</f>
        <v>#VALUE!</v>
      </c>
    </row>
    <row r="13286" spans="3:3" ht="13.5" customHeight="1">
      <c r="C13286" s="4" t="str">
        <f ca="1">IFERROR(__xludf.DUMMYFUNCTION("GOOGLETRANSLATE(D:D,""auto"",""en"")"),"#VALUE!")</f>
        <v>#VALUE!</v>
      </c>
    </row>
    <row r="13287" spans="3:3" ht="13.5" customHeight="1">
      <c r="C13287" s="4" t="str">
        <f ca="1">IFERROR(__xludf.DUMMYFUNCTION("GOOGLETRANSLATE(D:D,""auto"",""en"")"),"#VALUE!")</f>
        <v>#VALUE!</v>
      </c>
    </row>
    <row r="13288" spans="3:3" ht="13.5" customHeight="1">
      <c r="C13288" s="4" t="str">
        <f ca="1">IFERROR(__xludf.DUMMYFUNCTION("GOOGLETRANSLATE(D:D,""auto"",""en"")"),"#VALUE!")</f>
        <v>#VALUE!</v>
      </c>
    </row>
    <row r="13289" spans="3:3" ht="13.5" customHeight="1">
      <c r="C13289" s="4" t="str">
        <f ca="1">IFERROR(__xludf.DUMMYFUNCTION("GOOGLETRANSLATE(D:D,""auto"",""en"")"),"#VALUE!")</f>
        <v>#VALUE!</v>
      </c>
    </row>
    <row r="13290" spans="3:3" ht="13.5" customHeight="1">
      <c r="C13290" s="4" t="str">
        <f ca="1">IFERROR(__xludf.DUMMYFUNCTION("GOOGLETRANSLATE(D:D,""auto"",""en"")"),"#VALUE!")</f>
        <v>#VALUE!</v>
      </c>
    </row>
    <row r="13291" spans="3:3" ht="13.5" customHeight="1">
      <c r="C13291" s="4" t="str">
        <f ca="1">IFERROR(__xludf.DUMMYFUNCTION("GOOGLETRANSLATE(D:D,""auto"",""en"")"),"#VALUE!")</f>
        <v>#VALUE!</v>
      </c>
    </row>
    <row r="13292" spans="3:3" ht="13.5" customHeight="1">
      <c r="C13292" s="4" t="str">
        <f ca="1">IFERROR(__xludf.DUMMYFUNCTION("GOOGLETRANSLATE(D:D,""auto"",""en"")"),"#VALUE!")</f>
        <v>#VALUE!</v>
      </c>
    </row>
    <row r="13293" spans="3:3" ht="13.5" customHeight="1">
      <c r="C13293" s="4" t="str">
        <f ca="1">IFERROR(__xludf.DUMMYFUNCTION("GOOGLETRANSLATE(D:D,""auto"",""en"")"),"#VALUE!")</f>
        <v>#VALUE!</v>
      </c>
    </row>
    <row r="13294" spans="3:3" ht="13.5" customHeight="1">
      <c r="C13294" s="4" t="str">
        <f ca="1">IFERROR(__xludf.DUMMYFUNCTION("GOOGLETRANSLATE(D:D,""auto"",""en"")"),"#VALUE!")</f>
        <v>#VALUE!</v>
      </c>
    </row>
    <row r="13295" spans="3:3" ht="13.5" customHeight="1">
      <c r="C13295" s="4" t="str">
        <f ca="1">IFERROR(__xludf.DUMMYFUNCTION("GOOGLETRANSLATE(D:D,""auto"",""en"")"),"#VALUE!")</f>
        <v>#VALUE!</v>
      </c>
    </row>
    <row r="13296" spans="3:3" ht="13.5" customHeight="1">
      <c r="C13296" s="4" t="str">
        <f ca="1">IFERROR(__xludf.DUMMYFUNCTION("GOOGLETRANSLATE(D:D,""auto"",""en"")"),"#VALUE!")</f>
        <v>#VALUE!</v>
      </c>
    </row>
    <row r="13297" spans="3:3" ht="13.5" customHeight="1">
      <c r="C13297" s="4" t="str">
        <f ca="1">IFERROR(__xludf.DUMMYFUNCTION("GOOGLETRANSLATE(D:D,""auto"",""en"")"),"#VALUE!")</f>
        <v>#VALUE!</v>
      </c>
    </row>
    <row r="13298" spans="3:3" ht="13.5" customHeight="1">
      <c r="C13298" s="4" t="str">
        <f ca="1">IFERROR(__xludf.DUMMYFUNCTION("GOOGLETRANSLATE(D:D,""auto"",""en"")"),"#VALUE!")</f>
        <v>#VALUE!</v>
      </c>
    </row>
    <row r="13299" spans="3:3" ht="13.5" customHeight="1">
      <c r="C13299" s="4" t="str">
        <f ca="1">IFERROR(__xludf.DUMMYFUNCTION("GOOGLETRANSLATE(D:D,""auto"",""en"")"),"#VALUE!")</f>
        <v>#VALUE!</v>
      </c>
    </row>
    <row r="13300" spans="3:3" ht="13.5" customHeight="1">
      <c r="C13300" s="4" t="str">
        <f ca="1">IFERROR(__xludf.DUMMYFUNCTION("GOOGLETRANSLATE(D:D,""auto"",""en"")"),"#VALUE!")</f>
        <v>#VALUE!</v>
      </c>
    </row>
    <row r="13301" spans="3:3" ht="13.5" customHeight="1">
      <c r="C13301" s="4" t="str">
        <f ca="1">IFERROR(__xludf.DUMMYFUNCTION("GOOGLETRANSLATE(D:D,""auto"",""en"")"),"#VALUE!")</f>
        <v>#VALUE!</v>
      </c>
    </row>
    <row r="13302" spans="3:3" ht="13.5" customHeight="1">
      <c r="C13302" s="4" t="str">
        <f ca="1">IFERROR(__xludf.DUMMYFUNCTION("GOOGLETRANSLATE(D:D,""auto"",""en"")"),"#VALUE!")</f>
        <v>#VALUE!</v>
      </c>
    </row>
    <row r="13303" spans="3:3" ht="13.5" customHeight="1">
      <c r="C13303" s="4" t="str">
        <f ca="1">IFERROR(__xludf.DUMMYFUNCTION("GOOGLETRANSLATE(D:D,""auto"",""en"")"),"#VALUE!")</f>
        <v>#VALUE!</v>
      </c>
    </row>
    <row r="13304" spans="3:3" ht="13.5" customHeight="1">
      <c r="C13304" s="4" t="str">
        <f ca="1">IFERROR(__xludf.DUMMYFUNCTION("GOOGLETRANSLATE(D:D,""auto"",""en"")"),"#VALUE!")</f>
        <v>#VALUE!</v>
      </c>
    </row>
    <row r="13305" spans="3:3" ht="13.5" customHeight="1">
      <c r="C13305" s="4" t="str">
        <f ca="1">IFERROR(__xludf.DUMMYFUNCTION("GOOGLETRANSLATE(D:D,""auto"",""en"")"),"#VALUE!")</f>
        <v>#VALUE!</v>
      </c>
    </row>
    <row r="13306" spans="3:3" ht="13.5" customHeight="1">
      <c r="C13306" s="4" t="str">
        <f ca="1">IFERROR(__xludf.DUMMYFUNCTION("GOOGLETRANSLATE(D:D,""auto"",""en"")"),"#VALUE!")</f>
        <v>#VALUE!</v>
      </c>
    </row>
    <row r="13307" spans="3:3" ht="13.5" customHeight="1">
      <c r="C13307" s="4" t="str">
        <f ca="1">IFERROR(__xludf.DUMMYFUNCTION("GOOGLETRANSLATE(D:D,""auto"",""en"")"),"#VALUE!")</f>
        <v>#VALUE!</v>
      </c>
    </row>
    <row r="13308" spans="3:3" ht="13.5" customHeight="1">
      <c r="C13308" s="4" t="str">
        <f ca="1">IFERROR(__xludf.DUMMYFUNCTION("GOOGLETRANSLATE(D:D,""auto"",""en"")"),"#VALUE!")</f>
        <v>#VALUE!</v>
      </c>
    </row>
    <row r="13309" spans="3:3" ht="13.5" customHeight="1">
      <c r="C13309" s="4" t="str">
        <f ca="1">IFERROR(__xludf.DUMMYFUNCTION("GOOGLETRANSLATE(D:D,""auto"",""en"")"),"#VALUE!")</f>
        <v>#VALUE!</v>
      </c>
    </row>
    <row r="13310" spans="3:3" ht="13.5" customHeight="1">
      <c r="C13310" s="4" t="str">
        <f ca="1">IFERROR(__xludf.DUMMYFUNCTION("GOOGLETRANSLATE(D:D,""auto"",""en"")"),"#VALUE!")</f>
        <v>#VALUE!</v>
      </c>
    </row>
    <row r="13311" spans="3:3" ht="13.5" customHeight="1">
      <c r="C13311" s="4" t="str">
        <f ca="1">IFERROR(__xludf.DUMMYFUNCTION("GOOGLETRANSLATE(D:D,""auto"",""en"")"),"#VALUE!")</f>
        <v>#VALUE!</v>
      </c>
    </row>
    <row r="13312" spans="3:3" ht="13.5" customHeight="1">
      <c r="C13312" s="4" t="str">
        <f ca="1">IFERROR(__xludf.DUMMYFUNCTION("GOOGLETRANSLATE(D:D,""auto"",""en"")"),"#VALUE!")</f>
        <v>#VALUE!</v>
      </c>
    </row>
    <row r="13313" spans="3:3" ht="13.5" customHeight="1">
      <c r="C13313" s="4" t="str">
        <f ca="1">IFERROR(__xludf.DUMMYFUNCTION("GOOGLETRANSLATE(D:D,""auto"",""en"")"),"#VALUE!")</f>
        <v>#VALUE!</v>
      </c>
    </row>
    <row r="13314" spans="3:3" ht="13.5" customHeight="1">
      <c r="C13314" s="4" t="str">
        <f ca="1">IFERROR(__xludf.DUMMYFUNCTION("GOOGLETRANSLATE(D:D,""auto"",""en"")"),"#VALUE!")</f>
        <v>#VALUE!</v>
      </c>
    </row>
    <row r="13315" spans="3:3" ht="13.5" customHeight="1">
      <c r="C13315" s="4" t="str">
        <f ca="1">IFERROR(__xludf.DUMMYFUNCTION("GOOGLETRANSLATE(D:D,""auto"",""en"")"),"#VALUE!")</f>
        <v>#VALUE!</v>
      </c>
    </row>
    <row r="13316" spans="3:3" ht="13.5" customHeight="1">
      <c r="C13316" s="4" t="str">
        <f ca="1">IFERROR(__xludf.DUMMYFUNCTION("GOOGLETRANSLATE(D:D,""auto"",""en"")"),"#VALUE!")</f>
        <v>#VALUE!</v>
      </c>
    </row>
    <row r="13317" spans="3:3" ht="13.5" customHeight="1">
      <c r="C13317" s="4" t="str">
        <f ca="1">IFERROR(__xludf.DUMMYFUNCTION("GOOGLETRANSLATE(D:D,""auto"",""en"")"),"#VALUE!")</f>
        <v>#VALUE!</v>
      </c>
    </row>
    <row r="13318" spans="3:3" ht="13.5" customHeight="1">
      <c r="C13318" s="4" t="str">
        <f ca="1">IFERROR(__xludf.DUMMYFUNCTION("GOOGLETRANSLATE(D:D,""auto"",""en"")"),"#VALUE!")</f>
        <v>#VALUE!</v>
      </c>
    </row>
    <row r="13319" spans="3:3" ht="13.5" customHeight="1">
      <c r="C13319" s="4" t="str">
        <f ca="1">IFERROR(__xludf.DUMMYFUNCTION("GOOGLETRANSLATE(D:D,""auto"",""en"")"),"#VALUE!")</f>
        <v>#VALUE!</v>
      </c>
    </row>
    <row r="13320" spans="3:3" ht="13.5" customHeight="1">
      <c r="C13320" s="4" t="str">
        <f ca="1">IFERROR(__xludf.DUMMYFUNCTION("GOOGLETRANSLATE(D:D,""auto"",""en"")"),"#VALUE!")</f>
        <v>#VALUE!</v>
      </c>
    </row>
    <row r="13321" spans="3:3" ht="13.5" customHeight="1">
      <c r="C13321" s="4" t="str">
        <f ca="1">IFERROR(__xludf.DUMMYFUNCTION("GOOGLETRANSLATE(D:D,""auto"",""en"")"),"#VALUE!")</f>
        <v>#VALUE!</v>
      </c>
    </row>
    <row r="13322" spans="3:3" ht="13.5" customHeight="1">
      <c r="C13322" s="4" t="str">
        <f ca="1">IFERROR(__xludf.DUMMYFUNCTION("GOOGLETRANSLATE(D:D,""auto"",""en"")"),"#VALUE!")</f>
        <v>#VALUE!</v>
      </c>
    </row>
    <row r="13323" spans="3:3" ht="13.5" customHeight="1">
      <c r="C13323" s="4" t="str">
        <f ca="1">IFERROR(__xludf.DUMMYFUNCTION("GOOGLETRANSLATE(D:D,""auto"",""en"")"),"#VALUE!")</f>
        <v>#VALUE!</v>
      </c>
    </row>
    <row r="13324" spans="3:3" ht="13.5" customHeight="1">
      <c r="C13324" s="4" t="str">
        <f ca="1">IFERROR(__xludf.DUMMYFUNCTION("GOOGLETRANSLATE(D:D,""auto"",""en"")"),"#VALUE!")</f>
        <v>#VALUE!</v>
      </c>
    </row>
    <row r="13325" spans="3:3" ht="13.5" customHeight="1">
      <c r="C13325" s="4" t="str">
        <f ca="1">IFERROR(__xludf.DUMMYFUNCTION("GOOGLETRANSLATE(D:D,""auto"",""en"")"),"#VALUE!")</f>
        <v>#VALUE!</v>
      </c>
    </row>
    <row r="13326" spans="3:3" ht="13.5" customHeight="1">
      <c r="C13326" s="4" t="str">
        <f ca="1">IFERROR(__xludf.DUMMYFUNCTION("GOOGLETRANSLATE(D:D,""auto"",""en"")"),"#VALUE!")</f>
        <v>#VALUE!</v>
      </c>
    </row>
    <row r="13327" spans="3:3" ht="13.5" customHeight="1">
      <c r="C13327" s="4" t="str">
        <f ca="1">IFERROR(__xludf.DUMMYFUNCTION("GOOGLETRANSLATE(D:D,""auto"",""en"")"),"#VALUE!")</f>
        <v>#VALUE!</v>
      </c>
    </row>
    <row r="13328" spans="3:3" ht="13.5" customHeight="1">
      <c r="C13328" s="4" t="str">
        <f ca="1">IFERROR(__xludf.DUMMYFUNCTION("GOOGLETRANSLATE(D:D,""auto"",""en"")"),"#VALUE!")</f>
        <v>#VALUE!</v>
      </c>
    </row>
    <row r="13329" spans="3:3" ht="13.5" customHeight="1">
      <c r="C13329" s="4" t="str">
        <f ca="1">IFERROR(__xludf.DUMMYFUNCTION("GOOGLETRANSLATE(D:D,""auto"",""en"")"),"#VALUE!")</f>
        <v>#VALUE!</v>
      </c>
    </row>
    <row r="13330" spans="3:3" ht="13.5" customHeight="1">
      <c r="C13330" s="4" t="str">
        <f ca="1">IFERROR(__xludf.DUMMYFUNCTION("GOOGLETRANSLATE(D:D,""auto"",""en"")"),"#VALUE!")</f>
        <v>#VALUE!</v>
      </c>
    </row>
    <row r="13331" spans="3:3" ht="13.5" customHeight="1">
      <c r="C13331" s="4" t="str">
        <f ca="1">IFERROR(__xludf.DUMMYFUNCTION("GOOGLETRANSLATE(D:D,""auto"",""en"")"),"#VALUE!")</f>
        <v>#VALUE!</v>
      </c>
    </row>
    <row r="13332" spans="3:3" ht="13.5" customHeight="1">
      <c r="C13332" s="4" t="str">
        <f ca="1">IFERROR(__xludf.DUMMYFUNCTION("GOOGLETRANSLATE(D:D,""auto"",""en"")"),"#VALUE!")</f>
        <v>#VALUE!</v>
      </c>
    </row>
    <row r="13333" spans="3:3" ht="13.5" customHeight="1">
      <c r="C13333" s="4" t="str">
        <f ca="1">IFERROR(__xludf.DUMMYFUNCTION("GOOGLETRANSLATE(D:D,""auto"",""en"")"),"#VALUE!")</f>
        <v>#VALUE!</v>
      </c>
    </row>
    <row r="13334" spans="3:3" ht="13.5" customHeight="1">
      <c r="C13334" s="4" t="str">
        <f ca="1">IFERROR(__xludf.DUMMYFUNCTION("GOOGLETRANSLATE(D:D,""auto"",""en"")"),"#VALUE!")</f>
        <v>#VALUE!</v>
      </c>
    </row>
    <row r="13335" spans="3:3" ht="13.5" customHeight="1">
      <c r="C13335" s="4" t="str">
        <f ca="1">IFERROR(__xludf.DUMMYFUNCTION("GOOGLETRANSLATE(D:D,""auto"",""en"")"),"#VALUE!")</f>
        <v>#VALUE!</v>
      </c>
    </row>
    <row r="13336" spans="3:3" ht="13.5" customHeight="1">
      <c r="C13336" s="4" t="str">
        <f ca="1">IFERROR(__xludf.DUMMYFUNCTION("GOOGLETRANSLATE(D:D,""auto"",""en"")"),"#VALUE!")</f>
        <v>#VALUE!</v>
      </c>
    </row>
    <row r="13337" spans="3:3" ht="13.5" customHeight="1">
      <c r="C13337" s="4" t="str">
        <f ca="1">IFERROR(__xludf.DUMMYFUNCTION("GOOGLETRANSLATE(D:D,""auto"",""en"")"),"#VALUE!")</f>
        <v>#VALUE!</v>
      </c>
    </row>
    <row r="13338" spans="3:3" ht="13.5" customHeight="1">
      <c r="C13338" s="4" t="str">
        <f ca="1">IFERROR(__xludf.DUMMYFUNCTION("GOOGLETRANSLATE(D:D,""auto"",""en"")"),"#VALUE!")</f>
        <v>#VALUE!</v>
      </c>
    </row>
    <row r="13339" spans="3:3" ht="13.5" customHeight="1">
      <c r="C13339" s="4" t="str">
        <f ca="1">IFERROR(__xludf.DUMMYFUNCTION("GOOGLETRANSLATE(D:D,""auto"",""en"")"),"#VALUE!")</f>
        <v>#VALUE!</v>
      </c>
    </row>
    <row r="13340" spans="3:3" ht="13.5" customHeight="1">
      <c r="C13340" s="4" t="str">
        <f ca="1">IFERROR(__xludf.DUMMYFUNCTION("GOOGLETRANSLATE(D:D,""auto"",""en"")"),"#VALUE!")</f>
        <v>#VALUE!</v>
      </c>
    </row>
    <row r="13341" spans="3:3" ht="13.5" customHeight="1">
      <c r="C13341" s="4" t="str">
        <f ca="1">IFERROR(__xludf.DUMMYFUNCTION("GOOGLETRANSLATE(D:D,""auto"",""en"")"),"#VALUE!")</f>
        <v>#VALUE!</v>
      </c>
    </row>
    <row r="13342" spans="3:3" ht="13.5" customHeight="1">
      <c r="C13342" s="4" t="str">
        <f ca="1">IFERROR(__xludf.DUMMYFUNCTION("GOOGLETRANSLATE(D:D,""auto"",""en"")"),"#VALUE!")</f>
        <v>#VALUE!</v>
      </c>
    </row>
    <row r="13343" spans="3:3" ht="13.5" customHeight="1">
      <c r="C13343" s="4" t="str">
        <f ca="1">IFERROR(__xludf.DUMMYFUNCTION("GOOGLETRANSLATE(D:D,""auto"",""en"")"),"#VALUE!")</f>
        <v>#VALUE!</v>
      </c>
    </row>
    <row r="13344" spans="3:3" ht="13.5" customHeight="1">
      <c r="C13344" s="4" t="str">
        <f ca="1">IFERROR(__xludf.DUMMYFUNCTION("GOOGLETRANSLATE(D:D,""auto"",""en"")"),"#VALUE!")</f>
        <v>#VALUE!</v>
      </c>
    </row>
    <row r="13345" spans="3:3" ht="13.5" customHeight="1">
      <c r="C13345" s="4" t="str">
        <f ca="1">IFERROR(__xludf.DUMMYFUNCTION("GOOGLETRANSLATE(D:D,""auto"",""en"")"),"#VALUE!")</f>
        <v>#VALUE!</v>
      </c>
    </row>
    <row r="13346" spans="3:3" ht="13.5" customHeight="1">
      <c r="C13346" s="4" t="str">
        <f ca="1">IFERROR(__xludf.DUMMYFUNCTION("GOOGLETRANSLATE(D:D,""auto"",""en"")"),"#VALUE!")</f>
        <v>#VALUE!</v>
      </c>
    </row>
    <row r="13347" spans="3:3" ht="13.5" customHeight="1">
      <c r="C13347" s="4" t="str">
        <f ca="1">IFERROR(__xludf.DUMMYFUNCTION("GOOGLETRANSLATE(D:D,""auto"",""en"")"),"#VALUE!")</f>
        <v>#VALUE!</v>
      </c>
    </row>
    <row r="13348" spans="3:3" ht="13.5" customHeight="1">
      <c r="C13348" s="4" t="str">
        <f ca="1">IFERROR(__xludf.DUMMYFUNCTION("GOOGLETRANSLATE(D:D,""auto"",""en"")"),"#VALUE!")</f>
        <v>#VALUE!</v>
      </c>
    </row>
    <row r="13349" spans="3:3" ht="13.5" customHeight="1">
      <c r="C13349" s="4" t="str">
        <f ca="1">IFERROR(__xludf.DUMMYFUNCTION("GOOGLETRANSLATE(D:D,""auto"",""en"")"),"#VALUE!")</f>
        <v>#VALUE!</v>
      </c>
    </row>
    <row r="13350" spans="3:3" ht="13.5" customHeight="1">
      <c r="C13350" s="4" t="str">
        <f ca="1">IFERROR(__xludf.DUMMYFUNCTION("GOOGLETRANSLATE(D:D,""auto"",""en"")"),"#VALUE!")</f>
        <v>#VALUE!</v>
      </c>
    </row>
    <row r="13351" spans="3:3" ht="13.5" customHeight="1">
      <c r="C13351" s="4" t="str">
        <f ca="1">IFERROR(__xludf.DUMMYFUNCTION("GOOGLETRANSLATE(D:D,""auto"",""en"")"),"#VALUE!")</f>
        <v>#VALUE!</v>
      </c>
    </row>
    <row r="13352" spans="3:3" ht="13.5" customHeight="1">
      <c r="C13352" s="4" t="str">
        <f ca="1">IFERROR(__xludf.DUMMYFUNCTION("GOOGLETRANSLATE(D:D,""auto"",""en"")"),"#VALUE!")</f>
        <v>#VALUE!</v>
      </c>
    </row>
    <row r="13353" spans="3:3" ht="13.5" customHeight="1">
      <c r="C13353" s="4" t="str">
        <f ca="1">IFERROR(__xludf.DUMMYFUNCTION("GOOGLETRANSLATE(D:D,""auto"",""en"")"),"#VALUE!")</f>
        <v>#VALUE!</v>
      </c>
    </row>
    <row r="13354" spans="3:3" ht="13.5" customHeight="1">
      <c r="C13354" s="4" t="str">
        <f ca="1">IFERROR(__xludf.DUMMYFUNCTION("GOOGLETRANSLATE(D:D,""auto"",""en"")"),"#VALUE!")</f>
        <v>#VALUE!</v>
      </c>
    </row>
    <row r="13355" spans="3:3" ht="13.5" customHeight="1">
      <c r="C13355" s="4" t="str">
        <f ca="1">IFERROR(__xludf.DUMMYFUNCTION("GOOGLETRANSLATE(D:D,""auto"",""en"")"),"#VALUE!")</f>
        <v>#VALUE!</v>
      </c>
    </row>
    <row r="13356" spans="3:3" ht="13.5" customHeight="1">
      <c r="C13356" s="4" t="str">
        <f ca="1">IFERROR(__xludf.DUMMYFUNCTION("GOOGLETRANSLATE(D:D,""auto"",""en"")"),"#VALUE!")</f>
        <v>#VALUE!</v>
      </c>
    </row>
    <row r="13357" spans="3:3" ht="13.5" customHeight="1">
      <c r="C13357" s="4" t="str">
        <f ca="1">IFERROR(__xludf.DUMMYFUNCTION("GOOGLETRANSLATE(D:D,""auto"",""en"")"),"#VALUE!")</f>
        <v>#VALUE!</v>
      </c>
    </row>
    <row r="13358" spans="3:3" ht="13.5" customHeight="1">
      <c r="C13358" s="4" t="str">
        <f ca="1">IFERROR(__xludf.DUMMYFUNCTION("GOOGLETRANSLATE(D:D,""auto"",""en"")"),"#VALUE!")</f>
        <v>#VALUE!</v>
      </c>
    </row>
    <row r="13359" spans="3:3" ht="13.5" customHeight="1">
      <c r="C13359" s="4" t="str">
        <f ca="1">IFERROR(__xludf.DUMMYFUNCTION("GOOGLETRANSLATE(D:D,""auto"",""en"")"),"#VALUE!")</f>
        <v>#VALUE!</v>
      </c>
    </row>
    <row r="13360" spans="3:3" ht="13.5" customHeight="1">
      <c r="C13360" s="4" t="str">
        <f ca="1">IFERROR(__xludf.DUMMYFUNCTION("GOOGLETRANSLATE(D:D,""auto"",""en"")"),"#VALUE!")</f>
        <v>#VALUE!</v>
      </c>
    </row>
    <row r="13361" spans="3:3" ht="13.5" customHeight="1">
      <c r="C13361" s="4" t="str">
        <f ca="1">IFERROR(__xludf.DUMMYFUNCTION("GOOGLETRANSLATE(D:D,""auto"",""en"")"),"#VALUE!")</f>
        <v>#VALUE!</v>
      </c>
    </row>
    <row r="13362" spans="3:3" ht="13.5" customHeight="1">
      <c r="C13362" s="4" t="str">
        <f ca="1">IFERROR(__xludf.DUMMYFUNCTION("GOOGLETRANSLATE(D:D,""auto"",""en"")"),"#VALUE!")</f>
        <v>#VALUE!</v>
      </c>
    </row>
    <row r="13363" spans="3:3" ht="13.5" customHeight="1">
      <c r="C13363" s="4" t="str">
        <f ca="1">IFERROR(__xludf.DUMMYFUNCTION("GOOGLETRANSLATE(D:D,""auto"",""en"")"),"#VALUE!")</f>
        <v>#VALUE!</v>
      </c>
    </row>
    <row r="13364" spans="3:3" ht="13.5" customHeight="1">
      <c r="C13364" s="4" t="str">
        <f ca="1">IFERROR(__xludf.DUMMYFUNCTION("GOOGLETRANSLATE(D:D,""auto"",""en"")"),"#VALUE!")</f>
        <v>#VALUE!</v>
      </c>
    </row>
    <row r="13365" spans="3:3" ht="13.5" customHeight="1">
      <c r="C13365" s="4" t="str">
        <f ca="1">IFERROR(__xludf.DUMMYFUNCTION("GOOGLETRANSLATE(D:D,""auto"",""en"")"),"#VALUE!")</f>
        <v>#VALUE!</v>
      </c>
    </row>
    <row r="13366" spans="3:3" ht="13.5" customHeight="1">
      <c r="C13366" s="4" t="str">
        <f ca="1">IFERROR(__xludf.DUMMYFUNCTION("GOOGLETRANSLATE(D:D,""auto"",""en"")"),"#VALUE!")</f>
        <v>#VALUE!</v>
      </c>
    </row>
    <row r="13367" spans="3:3" ht="13.5" customHeight="1">
      <c r="C13367" s="4" t="str">
        <f ca="1">IFERROR(__xludf.DUMMYFUNCTION("GOOGLETRANSLATE(D:D,""auto"",""en"")"),"#VALUE!")</f>
        <v>#VALUE!</v>
      </c>
    </row>
    <row r="13368" spans="3:3" ht="13.5" customHeight="1">
      <c r="C13368" s="4" t="str">
        <f ca="1">IFERROR(__xludf.DUMMYFUNCTION("GOOGLETRANSLATE(D:D,""auto"",""en"")"),"#VALUE!")</f>
        <v>#VALUE!</v>
      </c>
    </row>
    <row r="13369" spans="3:3" ht="13.5" customHeight="1">
      <c r="C13369" s="4" t="str">
        <f ca="1">IFERROR(__xludf.DUMMYFUNCTION("GOOGLETRANSLATE(D:D,""auto"",""en"")"),"#VALUE!")</f>
        <v>#VALUE!</v>
      </c>
    </row>
    <row r="13370" spans="3:3" ht="13.5" customHeight="1">
      <c r="C13370" s="4" t="str">
        <f ca="1">IFERROR(__xludf.DUMMYFUNCTION("GOOGLETRANSLATE(D:D,""auto"",""en"")"),"#VALUE!")</f>
        <v>#VALUE!</v>
      </c>
    </row>
    <row r="13371" spans="3:3" ht="13.5" customHeight="1">
      <c r="C13371" s="4" t="str">
        <f ca="1">IFERROR(__xludf.DUMMYFUNCTION("GOOGLETRANSLATE(D:D,""auto"",""en"")"),"#VALUE!")</f>
        <v>#VALUE!</v>
      </c>
    </row>
    <row r="13372" spans="3:3" ht="13.5" customHeight="1">
      <c r="C13372" s="4" t="str">
        <f ca="1">IFERROR(__xludf.DUMMYFUNCTION("GOOGLETRANSLATE(D:D,""auto"",""en"")"),"#VALUE!")</f>
        <v>#VALUE!</v>
      </c>
    </row>
    <row r="13373" spans="3:3" ht="13.5" customHeight="1">
      <c r="C13373" s="4" t="str">
        <f ca="1">IFERROR(__xludf.DUMMYFUNCTION("GOOGLETRANSLATE(D:D,""auto"",""en"")"),"#VALUE!")</f>
        <v>#VALUE!</v>
      </c>
    </row>
    <row r="13374" spans="3:3" ht="13.5" customHeight="1">
      <c r="C13374" s="4" t="str">
        <f ca="1">IFERROR(__xludf.DUMMYFUNCTION("GOOGLETRANSLATE(D:D,""auto"",""en"")"),"#VALUE!")</f>
        <v>#VALUE!</v>
      </c>
    </row>
    <row r="13375" spans="3:3" ht="13.5" customHeight="1">
      <c r="C13375" s="4" t="str">
        <f ca="1">IFERROR(__xludf.DUMMYFUNCTION("GOOGLETRANSLATE(D:D,""auto"",""en"")"),"#VALUE!")</f>
        <v>#VALUE!</v>
      </c>
    </row>
    <row r="13376" spans="3:3" ht="13.5" customHeight="1">
      <c r="C13376" s="4" t="str">
        <f ca="1">IFERROR(__xludf.DUMMYFUNCTION("GOOGLETRANSLATE(D:D,""auto"",""en"")"),"#VALUE!")</f>
        <v>#VALUE!</v>
      </c>
    </row>
    <row r="13377" spans="3:3" ht="13.5" customHeight="1">
      <c r="C13377" s="4" t="str">
        <f ca="1">IFERROR(__xludf.DUMMYFUNCTION("GOOGLETRANSLATE(D:D,""auto"",""en"")"),"#VALUE!")</f>
        <v>#VALUE!</v>
      </c>
    </row>
    <row r="13378" spans="3:3" ht="13.5" customHeight="1">
      <c r="C13378" s="4" t="str">
        <f ca="1">IFERROR(__xludf.DUMMYFUNCTION("GOOGLETRANSLATE(D:D,""auto"",""en"")"),"#VALUE!")</f>
        <v>#VALUE!</v>
      </c>
    </row>
    <row r="13379" spans="3:3" ht="13.5" customHeight="1">
      <c r="C13379" s="4" t="str">
        <f ca="1">IFERROR(__xludf.DUMMYFUNCTION("GOOGLETRANSLATE(D:D,""auto"",""en"")"),"#VALUE!")</f>
        <v>#VALUE!</v>
      </c>
    </row>
    <row r="13380" spans="3:3" ht="13.5" customHeight="1">
      <c r="C13380" s="4" t="str">
        <f ca="1">IFERROR(__xludf.DUMMYFUNCTION("GOOGLETRANSLATE(D:D,""auto"",""en"")"),"#VALUE!")</f>
        <v>#VALUE!</v>
      </c>
    </row>
    <row r="13381" spans="3:3" ht="13.5" customHeight="1">
      <c r="C13381" s="4" t="str">
        <f ca="1">IFERROR(__xludf.DUMMYFUNCTION("GOOGLETRANSLATE(D:D,""auto"",""en"")"),"#VALUE!")</f>
        <v>#VALUE!</v>
      </c>
    </row>
    <row r="13382" spans="3:3" ht="13.5" customHeight="1">
      <c r="C13382" s="4" t="str">
        <f ca="1">IFERROR(__xludf.DUMMYFUNCTION("GOOGLETRANSLATE(D:D,""auto"",""en"")"),"#VALUE!")</f>
        <v>#VALUE!</v>
      </c>
    </row>
    <row r="13383" spans="3:3" ht="13.5" customHeight="1">
      <c r="C13383" s="4" t="str">
        <f ca="1">IFERROR(__xludf.DUMMYFUNCTION("GOOGLETRANSLATE(D:D,""auto"",""en"")"),"#VALUE!")</f>
        <v>#VALUE!</v>
      </c>
    </row>
    <row r="13384" spans="3:3" ht="13.5" customHeight="1">
      <c r="C13384" s="4" t="str">
        <f ca="1">IFERROR(__xludf.DUMMYFUNCTION("GOOGLETRANSLATE(D:D,""auto"",""en"")"),"#VALUE!")</f>
        <v>#VALUE!</v>
      </c>
    </row>
    <row r="13385" spans="3:3" ht="13.5" customHeight="1">
      <c r="C13385" s="4" t="str">
        <f ca="1">IFERROR(__xludf.DUMMYFUNCTION("GOOGLETRANSLATE(D:D,""auto"",""en"")"),"#VALUE!")</f>
        <v>#VALUE!</v>
      </c>
    </row>
    <row r="13386" spans="3:3" ht="13.5" customHeight="1">
      <c r="C13386" s="4" t="str">
        <f ca="1">IFERROR(__xludf.DUMMYFUNCTION("GOOGLETRANSLATE(D:D,""auto"",""en"")"),"#VALUE!")</f>
        <v>#VALUE!</v>
      </c>
    </row>
    <row r="13387" spans="3:3" ht="13.5" customHeight="1">
      <c r="C13387" s="4" t="str">
        <f ca="1">IFERROR(__xludf.DUMMYFUNCTION("GOOGLETRANSLATE(D:D,""auto"",""en"")"),"#VALUE!")</f>
        <v>#VALUE!</v>
      </c>
    </row>
    <row r="13388" spans="3:3" ht="13.5" customHeight="1">
      <c r="C13388" s="4" t="str">
        <f ca="1">IFERROR(__xludf.DUMMYFUNCTION("GOOGLETRANSLATE(D:D,""auto"",""en"")"),"#VALUE!")</f>
        <v>#VALUE!</v>
      </c>
    </row>
    <row r="13389" spans="3:3" ht="13.5" customHeight="1">
      <c r="C13389" s="4" t="str">
        <f ca="1">IFERROR(__xludf.DUMMYFUNCTION("GOOGLETRANSLATE(D:D,""auto"",""en"")"),"#VALUE!")</f>
        <v>#VALUE!</v>
      </c>
    </row>
    <row r="13390" spans="3:3" ht="13.5" customHeight="1">
      <c r="C13390" s="4" t="str">
        <f ca="1">IFERROR(__xludf.DUMMYFUNCTION("GOOGLETRANSLATE(D:D,""auto"",""en"")"),"#VALUE!")</f>
        <v>#VALUE!</v>
      </c>
    </row>
    <row r="13391" spans="3:3" ht="13.5" customHeight="1">
      <c r="C13391" s="4" t="str">
        <f ca="1">IFERROR(__xludf.DUMMYFUNCTION("GOOGLETRANSLATE(D:D,""auto"",""en"")"),"#VALUE!")</f>
        <v>#VALUE!</v>
      </c>
    </row>
    <row r="13392" spans="3:3" ht="13.5" customHeight="1">
      <c r="C13392" s="4" t="str">
        <f ca="1">IFERROR(__xludf.DUMMYFUNCTION("GOOGLETRANSLATE(D:D,""auto"",""en"")"),"#VALUE!")</f>
        <v>#VALUE!</v>
      </c>
    </row>
    <row r="13393" spans="3:3" ht="13.5" customHeight="1">
      <c r="C13393" s="4" t="str">
        <f ca="1">IFERROR(__xludf.DUMMYFUNCTION("GOOGLETRANSLATE(D:D,""auto"",""en"")"),"#VALUE!")</f>
        <v>#VALUE!</v>
      </c>
    </row>
    <row r="13394" spans="3:3" ht="13.5" customHeight="1">
      <c r="C13394" s="4" t="str">
        <f ca="1">IFERROR(__xludf.DUMMYFUNCTION("GOOGLETRANSLATE(D:D,""auto"",""en"")"),"#VALUE!")</f>
        <v>#VALUE!</v>
      </c>
    </row>
    <row r="13395" spans="3:3" ht="13.5" customHeight="1">
      <c r="C13395" s="4" t="str">
        <f ca="1">IFERROR(__xludf.DUMMYFUNCTION("GOOGLETRANSLATE(D:D,""auto"",""en"")"),"#VALUE!")</f>
        <v>#VALUE!</v>
      </c>
    </row>
    <row r="13396" spans="3:3" ht="13.5" customHeight="1">
      <c r="C13396" s="4" t="str">
        <f ca="1">IFERROR(__xludf.DUMMYFUNCTION("GOOGLETRANSLATE(D:D,""auto"",""en"")"),"#VALUE!")</f>
        <v>#VALUE!</v>
      </c>
    </row>
    <row r="13397" spans="3:3" ht="13.5" customHeight="1">
      <c r="C13397" s="4" t="str">
        <f ca="1">IFERROR(__xludf.DUMMYFUNCTION("GOOGLETRANSLATE(D:D,""auto"",""en"")"),"#VALUE!")</f>
        <v>#VALUE!</v>
      </c>
    </row>
    <row r="13398" spans="3:3" ht="13.5" customHeight="1">
      <c r="C13398" s="4" t="str">
        <f ca="1">IFERROR(__xludf.DUMMYFUNCTION("GOOGLETRANSLATE(D:D,""auto"",""en"")"),"#VALUE!")</f>
        <v>#VALUE!</v>
      </c>
    </row>
    <row r="13399" spans="3:3" ht="13.5" customHeight="1">
      <c r="C13399" s="4" t="str">
        <f ca="1">IFERROR(__xludf.DUMMYFUNCTION("GOOGLETRANSLATE(D:D,""auto"",""en"")"),"#VALUE!")</f>
        <v>#VALUE!</v>
      </c>
    </row>
    <row r="13400" spans="3:3" ht="13.5" customHeight="1">
      <c r="C13400" s="4" t="str">
        <f ca="1">IFERROR(__xludf.DUMMYFUNCTION("GOOGLETRANSLATE(D:D,""auto"",""en"")"),"#VALUE!")</f>
        <v>#VALUE!</v>
      </c>
    </row>
    <row r="13401" spans="3:3" ht="13.5" customHeight="1">
      <c r="C13401" s="4" t="str">
        <f ca="1">IFERROR(__xludf.DUMMYFUNCTION("GOOGLETRANSLATE(D:D,""auto"",""en"")"),"#VALUE!")</f>
        <v>#VALUE!</v>
      </c>
    </row>
    <row r="13402" spans="3:3" ht="13.5" customHeight="1">
      <c r="C13402" s="4" t="str">
        <f ca="1">IFERROR(__xludf.DUMMYFUNCTION("GOOGLETRANSLATE(D:D,""auto"",""en"")"),"#VALUE!")</f>
        <v>#VALUE!</v>
      </c>
    </row>
    <row r="13403" spans="3:3" ht="13.5" customHeight="1">
      <c r="C13403" s="4" t="str">
        <f ca="1">IFERROR(__xludf.DUMMYFUNCTION("GOOGLETRANSLATE(D:D,""auto"",""en"")"),"#VALUE!")</f>
        <v>#VALUE!</v>
      </c>
    </row>
    <row r="13404" spans="3:3" ht="13.5" customHeight="1">
      <c r="C13404" s="4" t="str">
        <f ca="1">IFERROR(__xludf.DUMMYFUNCTION("GOOGLETRANSLATE(D:D,""auto"",""en"")"),"#VALUE!")</f>
        <v>#VALUE!</v>
      </c>
    </row>
    <row r="13405" spans="3:3" ht="13.5" customHeight="1">
      <c r="C13405" s="4" t="str">
        <f ca="1">IFERROR(__xludf.DUMMYFUNCTION("GOOGLETRANSLATE(D:D,""auto"",""en"")"),"#VALUE!")</f>
        <v>#VALUE!</v>
      </c>
    </row>
    <row r="13406" spans="3:3" ht="13.5" customHeight="1">
      <c r="C13406" s="4" t="str">
        <f ca="1">IFERROR(__xludf.DUMMYFUNCTION("GOOGLETRANSLATE(D:D,""auto"",""en"")"),"#VALUE!")</f>
        <v>#VALUE!</v>
      </c>
    </row>
    <row r="13407" spans="3:3" ht="13.5" customHeight="1">
      <c r="C13407" s="4" t="str">
        <f ca="1">IFERROR(__xludf.DUMMYFUNCTION("GOOGLETRANSLATE(D:D,""auto"",""en"")"),"#VALUE!")</f>
        <v>#VALUE!</v>
      </c>
    </row>
    <row r="13408" spans="3:3" ht="13.5" customHeight="1">
      <c r="C13408" s="4" t="str">
        <f ca="1">IFERROR(__xludf.DUMMYFUNCTION("GOOGLETRANSLATE(D:D,""auto"",""en"")"),"#VALUE!")</f>
        <v>#VALUE!</v>
      </c>
    </row>
    <row r="13409" spans="3:3" ht="13.5" customHeight="1">
      <c r="C13409" s="4" t="str">
        <f ca="1">IFERROR(__xludf.DUMMYFUNCTION("GOOGLETRANSLATE(D:D,""auto"",""en"")"),"#VALUE!")</f>
        <v>#VALUE!</v>
      </c>
    </row>
    <row r="13410" spans="3:3" ht="13.5" customHeight="1">
      <c r="C13410" s="4" t="str">
        <f ca="1">IFERROR(__xludf.DUMMYFUNCTION("GOOGLETRANSLATE(D:D,""auto"",""en"")"),"#VALUE!")</f>
        <v>#VALUE!</v>
      </c>
    </row>
    <row r="13411" spans="3:3" ht="13.5" customHeight="1">
      <c r="C13411" s="4" t="str">
        <f ca="1">IFERROR(__xludf.DUMMYFUNCTION("GOOGLETRANSLATE(D:D,""auto"",""en"")"),"#VALUE!")</f>
        <v>#VALUE!</v>
      </c>
    </row>
    <row r="13412" spans="3:3" ht="13.5" customHeight="1">
      <c r="C13412" s="4" t="str">
        <f ca="1">IFERROR(__xludf.DUMMYFUNCTION("GOOGLETRANSLATE(D:D,""auto"",""en"")"),"#VALUE!")</f>
        <v>#VALUE!</v>
      </c>
    </row>
    <row r="13413" spans="3:3" ht="13.5" customHeight="1">
      <c r="C13413" s="4" t="str">
        <f ca="1">IFERROR(__xludf.DUMMYFUNCTION("GOOGLETRANSLATE(D:D,""auto"",""en"")"),"#VALUE!")</f>
        <v>#VALUE!</v>
      </c>
    </row>
    <row r="13414" spans="3:3" ht="13.5" customHeight="1">
      <c r="C13414" s="4" t="str">
        <f ca="1">IFERROR(__xludf.DUMMYFUNCTION("GOOGLETRANSLATE(D:D,""auto"",""en"")"),"#VALUE!")</f>
        <v>#VALUE!</v>
      </c>
    </row>
    <row r="13415" spans="3:3" ht="13.5" customHeight="1">
      <c r="C13415" s="4" t="str">
        <f ca="1">IFERROR(__xludf.DUMMYFUNCTION("GOOGLETRANSLATE(D:D,""auto"",""en"")"),"#VALUE!")</f>
        <v>#VALUE!</v>
      </c>
    </row>
    <row r="13416" spans="3:3" ht="13.5" customHeight="1">
      <c r="C13416" s="4" t="str">
        <f ca="1">IFERROR(__xludf.DUMMYFUNCTION("GOOGLETRANSLATE(D:D,""auto"",""en"")"),"#VALUE!")</f>
        <v>#VALUE!</v>
      </c>
    </row>
    <row r="13417" spans="3:3" ht="13.5" customHeight="1">
      <c r="C13417" s="4" t="str">
        <f ca="1">IFERROR(__xludf.DUMMYFUNCTION("GOOGLETRANSLATE(D:D,""auto"",""en"")"),"#VALUE!")</f>
        <v>#VALUE!</v>
      </c>
    </row>
    <row r="13418" spans="3:3" ht="13.5" customHeight="1">
      <c r="C13418" s="4" t="str">
        <f ca="1">IFERROR(__xludf.DUMMYFUNCTION("GOOGLETRANSLATE(D:D,""auto"",""en"")"),"#VALUE!")</f>
        <v>#VALUE!</v>
      </c>
    </row>
    <row r="13419" spans="3:3" ht="13.5" customHeight="1">
      <c r="C13419" s="4" t="str">
        <f ca="1">IFERROR(__xludf.DUMMYFUNCTION("GOOGLETRANSLATE(D:D,""auto"",""en"")"),"#VALUE!")</f>
        <v>#VALUE!</v>
      </c>
    </row>
    <row r="13420" spans="3:3" ht="13.5" customHeight="1">
      <c r="C13420" s="4" t="str">
        <f ca="1">IFERROR(__xludf.DUMMYFUNCTION("GOOGLETRANSLATE(D:D,""auto"",""en"")"),"#VALUE!")</f>
        <v>#VALUE!</v>
      </c>
    </row>
    <row r="13421" spans="3:3" ht="13.5" customHeight="1">
      <c r="C13421" s="4" t="str">
        <f ca="1">IFERROR(__xludf.DUMMYFUNCTION("GOOGLETRANSLATE(D:D,""auto"",""en"")"),"#VALUE!")</f>
        <v>#VALUE!</v>
      </c>
    </row>
    <row r="13422" spans="3:3" ht="13.5" customHeight="1">
      <c r="C13422" s="4" t="str">
        <f ca="1">IFERROR(__xludf.DUMMYFUNCTION("GOOGLETRANSLATE(D:D,""auto"",""en"")"),"#VALUE!")</f>
        <v>#VALUE!</v>
      </c>
    </row>
    <row r="13423" spans="3:3" ht="13.5" customHeight="1">
      <c r="C13423" s="4" t="str">
        <f ca="1">IFERROR(__xludf.DUMMYFUNCTION("GOOGLETRANSLATE(D:D,""auto"",""en"")"),"#VALUE!")</f>
        <v>#VALUE!</v>
      </c>
    </row>
    <row r="13424" spans="3:3" ht="13.5" customHeight="1">
      <c r="C13424" s="4" t="str">
        <f ca="1">IFERROR(__xludf.DUMMYFUNCTION("GOOGLETRANSLATE(D:D,""auto"",""en"")"),"#VALUE!")</f>
        <v>#VALUE!</v>
      </c>
    </row>
    <row r="13425" spans="3:3" ht="13.5" customHeight="1">
      <c r="C13425" s="4" t="str">
        <f ca="1">IFERROR(__xludf.DUMMYFUNCTION("GOOGLETRANSLATE(D:D,""auto"",""en"")"),"#VALUE!")</f>
        <v>#VALUE!</v>
      </c>
    </row>
    <row r="13426" spans="3:3" ht="13.5" customHeight="1">
      <c r="C13426" s="4" t="str">
        <f ca="1">IFERROR(__xludf.DUMMYFUNCTION("GOOGLETRANSLATE(D:D,""auto"",""en"")"),"#VALUE!")</f>
        <v>#VALUE!</v>
      </c>
    </row>
    <row r="13427" spans="3:3" ht="13.5" customHeight="1">
      <c r="C13427" s="4" t="str">
        <f ca="1">IFERROR(__xludf.DUMMYFUNCTION("GOOGLETRANSLATE(D:D,""auto"",""en"")"),"#VALUE!")</f>
        <v>#VALUE!</v>
      </c>
    </row>
    <row r="13428" spans="3:3" ht="13.5" customHeight="1">
      <c r="C13428" s="4" t="str">
        <f ca="1">IFERROR(__xludf.DUMMYFUNCTION("GOOGLETRANSLATE(D:D,""auto"",""en"")"),"#VALUE!")</f>
        <v>#VALUE!</v>
      </c>
    </row>
    <row r="13429" spans="3:3" ht="13.5" customHeight="1">
      <c r="C13429" s="4" t="str">
        <f ca="1">IFERROR(__xludf.DUMMYFUNCTION("GOOGLETRANSLATE(D:D,""auto"",""en"")"),"#VALUE!")</f>
        <v>#VALUE!</v>
      </c>
    </row>
    <row r="13430" spans="3:3" ht="13.5" customHeight="1">
      <c r="C13430" s="4" t="str">
        <f ca="1">IFERROR(__xludf.DUMMYFUNCTION("GOOGLETRANSLATE(D:D,""auto"",""en"")"),"#VALUE!")</f>
        <v>#VALUE!</v>
      </c>
    </row>
    <row r="13431" spans="3:3" ht="13.5" customHeight="1">
      <c r="C13431" s="4" t="str">
        <f ca="1">IFERROR(__xludf.DUMMYFUNCTION("GOOGLETRANSLATE(D:D,""auto"",""en"")"),"#VALUE!")</f>
        <v>#VALUE!</v>
      </c>
    </row>
    <row r="13432" spans="3:3" ht="13.5" customHeight="1">
      <c r="C13432" s="4" t="str">
        <f ca="1">IFERROR(__xludf.DUMMYFUNCTION("GOOGLETRANSLATE(D:D,""auto"",""en"")"),"#VALUE!")</f>
        <v>#VALUE!</v>
      </c>
    </row>
    <row r="13433" spans="3:3" ht="13.5" customHeight="1">
      <c r="C13433" s="4" t="str">
        <f ca="1">IFERROR(__xludf.DUMMYFUNCTION("GOOGLETRANSLATE(D:D,""auto"",""en"")"),"#VALUE!")</f>
        <v>#VALUE!</v>
      </c>
    </row>
    <row r="13434" spans="3:3" ht="13.5" customHeight="1">
      <c r="C13434" s="4" t="str">
        <f ca="1">IFERROR(__xludf.DUMMYFUNCTION("GOOGLETRANSLATE(D:D,""auto"",""en"")"),"#VALUE!")</f>
        <v>#VALUE!</v>
      </c>
    </row>
    <row r="13435" spans="3:3" ht="13.5" customHeight="1">
      <c r="C13435" s="4" t="str">
        <f ca="1">IFERROR(__xludf.DUMMYFUNCTION("GOOGLETRANSLATE(D:D,""auto"",""en"")"),"#VALUE!")</f>
        <v>#VALUE!</v>
      </c>
    </row>
    <row r="13436" spans="3:3" ht="13.5" customHeight="1">
      <c r="C13436" s="4" t="str">
        <f ca="1">IFERROR(__xludf.DUMMYFUNCTION("GOOGLETRANSLATE(D:D,""auto"",""en"")"),"#VALUE!")</f>
        <v>#VALUE!</v>
      </c>
    </row>
    <row r="13437" spans="3:3" ht="13.5" customHeight="1">
      <c r="C13437" s="4" t="str">
        <f ca="1">IFERROR(__xludf.DUMMYFUNCTION("GOOGLETRANSLATE(D:D,""auto"",""en"")"),"#VALUE!")</f>
        <v>#VALUE!</v>
      </c>
    </row>
    <row r="13438" spans="3:3" ht="13.5" customHeight="1">
      <c r="C13438" s="4" t="str">
        <f ca="1">IFERROR(__xludf.DUMMYFUNCTION("GOOGLETRANSLATE(D:D,""auto"",""en"")"),"#VALUE!")</f>
        <v>#VALUE!</v>
      </c>
    </row>
    <row r="13439" spans="3:3" ht="13.5" customHeight="1">
      <c r="C13439" s="4" t="str">
        <f ca="1">IFERROR(__xludf.DUMMYFUNCTION("GOOGLETRANSLATE(D:D,""auto"",""en"")"),"#VALUE!")</f>
        <v>#VALUE!</v>
      </c>
    </row>
    <row r="13440" spans="3:3" ht="13.5" customHeight="1">
      <c r="C13440" s="4" t="str">
        <f ca="1">IFERROR(__xludf.DUMMYFUNCTION("GOOGLETRANSLATE(D:D,""auto"",""en"")"),"#VALUE!")</f>
        <v>#VALUE!</v>
      </c>
    </row>
    <row r="13441" spans="3:3" ht="13.5" customHeight="1">
      <c r="C13441" s="4" t="str">
        <f ca="1">IFERROR(__xludf.DUMMYFUNCTION("GOOGLETRANSLATE(D:D,""auto"",""en"")"),"#VALUE!")</f>
        <v>#VALUE!</v>
      </c>
    </row>
    <row r="13442" spans="3:3" ht="13.5" customHeight="1">
      <c r="C13442" s="4" t="str">
        <f ca="1">IFERROR(__xludf.DUMMYFUNCTION("GOOGLETRANSLATE(D:D,""auto"",""en"")"),"#VALUE!")</f>
        <v>#VALUE!</v>
      </c>
    </row>
    <row r="13443" spans="3:3" ht="13.5" customHeight="1">
      <c r="C13443" s="4" t="str">
        <f ca="1">IFERROR(__xludf.DUMMYFUNCTION("GOOGLETRANSLATE(D:D,""auto"",""en"")"),"#VALUE!")</f>
        <v>#VALUE!</v>
      </c>
    </row>
    <row r="13444" spans="3:3" ht="13.5" customHeight="1">
      <c r="C13444" s="4" t="str">
        <f ca="1">IFERROR(__xludf.DUMMYFUNCTION("GOOGLETRANSLATE(D:D,""auto"",""en"")"),"#VALUE!")</f>
        <v>#VALUE!</v>
      </c>
    </row>
    <row r="13445" spans="3:3" ht="13.5" customHeight="1">
      <c r="C13445" s="4" t="str">
        <f ca="1">IFERROR(__xludf.DUMMYFUNCTION("GOOGLETRANSLATE(D:D,""auto"",""en"")"),"#VALUE!")</f>
        <v>#VALUE!</v>
      </c>
    </row>
    <row r="13446" spans="3:3" ht="13.5" customHeight="1">
      <c r="C13446" s="4" t="str">
        <f ca="1">IFERROR(__xludf.DUMMYFUNCTION("GOOGLETRANSLATE(D:D,""auto"",""en"")"),"#VALUE!")</f>
        <v>#VALUE!</v>
      </c>
    </row>
    <row r="13447" spans="3:3" ht="13.5" customHeight="1">
      <c r="C13447" s="4" t="str">
        <f ca="1">IFERROR(__xludf.DUMMYFUNCTION("GOOGLETRANSLATE(D:D,""auto"",""en"")"),"#VALUE!")</f>
        <v>#VALUE!</v>
      </c>
    </row>
    <row r="13448" spans="3:3" ht="13.5" customHeight="1">
      <c r="C13448" s="4" t="str">
        <f ca="1">IFERROR(__xludf.DUMMYFUNCTION("GOOGLETRANSLATE(D:D,""auto"",""en"")"),"#VALUE!")</f>
        <v>#VALUE!</v>
      </c>
    </row>
    <row r="13449" spans="3:3" ht="13.5" customHeight="1">
      <c r="C13449" s="4" t="str">
        <f ca="1">IFERROR(__xludf.DUMMYFUNCTION("GOOGLETRANSLATE(D:D,""auto"",""en"")"),"#VALUE!")</f>
        <v>#VALUE!</v>
      </c>
    </row>
    <row r="13450" spans="3:3" ht="13.5" customHeight="1">
      <c r="C13450" s="4" t="str">
        <f ca="1">IFERROR(__xludf.DUMMYFUNCTION("GOOGLETRANSLATE(D:D,""auto"",""en"")"),"#VALUE!")</f>
        <v>#VALUE!</v>
      </c>
    </row>
    <row r="13451" spans="3:3" ht="13.5" customHeight="1">
      <c r="C13451" s="4" t="str">
        <f ca="1">IFERROR(__xludf.DUMMYFUNCTION("GOOGLETRANSLATE(D:D,""auto"",""en"")"),"#VALUE!")</f>
        <v>#VALUE!</v>
      </c>
    </row>
    <row r="13452" spans="3:3" ht="13.5" customHeight="1">
      <c r="C13452" s="4" t="str">
        <f ca="1">IFERROR(__xludf.DUMMYFUNCTION("GOOGLETRANSLATE(D:D,""auto"",""en"")"),"#VALUE!")</f>
        <v>#VALUE!</v>
      </c>
    </row>
    <row r="13453" spans="3:3" ht="13.5" customHeight="1">
      <c r="C13453" s="4" t="str">
        <f ca="1">IFERROR(__xludf.DUMMYFUNCTION("GOOGLETRANSLATE(D:D,""auto"",""en"")"),"#VALUE!")</f>
        <v>#VALUE!</v>
      </c>
    </row>
    <row r="13454" spans="3:3" ht="13.5" customHeight="1">
      <c r="C13454" s="4" t="str">
        <f ca="1">IFERROR(__xludf.DUMMYFUNCTION("GOOGLETRANSLATE(D:D,""auto"",""en"")"),"#VALUE!")</f>
        <v>#VALUE!</v>
      </c>
    </row>
    <row r="13455" spans="3:3" ht="13.5" customHeight="1">
      <c r="C13455" s="4" t="str">
        <f ca="1">IFERROR(__xludf.DUMMYFUNCTION("GOOGLETRANSLATE(D:D,""auto"",""en"")"),"#VALUE!")</f>
        <v>#VALUE!</v>
      </c>
    </row>
    <row r="13456" spans="3:3" ht="13.5" customHeight="1">
      <c r="C13456" s="4" t="str">
        <f ca="1">IFERROR(__xludf.DUMMYFUNCTION("GOOGLETRANSLATE(D:D,""auto"",""en"")"),"#VALUE!")</f>
        <v>#VALUE!</v>
      </c>
    </row>
    <row r="13457" spans="3:3" ht="13.5" customHeight="1">
      <c r="C13457" s="4" t="str">
        <f ca="1">IFERROR(__xludf.DUMMYFUNCTION("GOOGLETRANSLATE(D:D,""auto"",""en"")"),"#VALUE!")</f>
        <v>#VALUE!</v>
      </c>
    </row>
    <row r="13458" spans="3:3" ht="13.5" customHeight="1">
      <c r="C13458" s="4" t="str">
        <f ca="1">IFERROR(__xludf.DUMMYFUNCTION("GOOGLETRANSLATE(D:D,""auto"",""en"")"),"#VALUE!")</f>
        <v>#VALUE!</v>
      </c>
    </row>
    <row r="13459" spans="3:3" ht="13.5" customHeight="1">
      <c r="C13459" s="4" t="str">
        <f ca="1">IFERROR(__xludf.DUMMYFUNCTION("GOOGLETRANSLATE(D:D,""auto"",""en"")"),"#VALUE!")</f>
        <v>#VALUE!</v>
      </c>
    </row>
    <row r="13460" spans="3:3" ht="13.5" customHeight="1">
      <c r="C13460" s="4" t="str">
        <f ca="1">IFERROR(__xludf.DUMMYFUNCTION("GOOGLETRANSLATE(D:D,""auto"",""en"")"),"#VALUE!")</f>
        <v>#VALUE!</v>
      </c>
    </row>
    <row r="13461" spans="3:3" ht="13.5" customHeight="1">
      <c r="C13461" s="4" t="str">
        <f ca="1">IFERROR(__xludf.DUMMYFUNCTION("GOOGLETRANSLATE(D:D,""auto"",""en"")"),"#VALUE!")</f>
        <v>#VALUE!</v>
      </c>
    </row>
    <row r="13462" spans="3:3" ht="13.5" customHeight="1">
      <c r="C13462" s="4" t="str">
        <f ca="1">IFERROR(__xludf.DUMMYFUNCTION("GOOGLETRANSLATE(D:D,""auto"",""en"")"),"#VALUE!")</f>
        <v>#VALUE!</v>
      </c>
    </row>
    <row r="13463" spans="3:3" ht="13.5" customHeight="1">
      <c r="C13463" s="4" t="str">
        <f ca="1">IFERROR(__xludf.DUMMYFUNCTION("GOOGLETRANSLATE(D:D,""auto"",""en"")"),"#VALUE!")</f>
        <v>#VALUE!</v>
      </c>
    </row>
    <row r="13464" spans="3:3" ht="13.5" customHeight="1">
      <c r="C13464" s="4" t="str">
        <f ca="1">IFERROR(__xludf.DUMMYFUNCTION("GOOGLETRANSLATE(D:D,""auto"",""en"")"),"#VALUE!")</f>
        <v>#VALUE!</v>
      </c>
    </row>
    <row r="13465" spans="3:3" ht="13.5" customHeight="1">
      <c r="C13465" s="4" t="str">
        <f ca="1">IFERROR(__xludf.DUMMYFUNCTION("GOOGLETRANSLATE(D:D,""auto"",""en"")"),"#VALUE!")</f>
        <v>#VALUE!</v>
      </c>
    </row>
    <row r="13466" spans="3:3" ht="13.5" customHeight="1">
      <c r="C13466" s="4" t="str">
        <f ca="1">IFERROR(__xludf.DUMMYFUNCTION("GOOGLETRANSLATE(D:D,""auto"",""en"")"),"#VALUE!")</f>
        <v>#VALUE!</v>
      </c>
    </row>
    <row r="13467" spans="3:3" ht="13.5" customHeight="1">
      <c r="C13467" s="4" t="str">
        <f ca="1">IFERROR(__xludf.DUMMYFUNCTION("GOOGLETRANSLATE(D:D,""auto"",""en"")"),"#VALUE!")</f>
        <v>#VALUE!</v>
      </c>
    </row>
    <row r="13468" spans="3:3" ht="13.5" customHeight="1">
      <c r="C13468" s="4" t="str">
        <f ca="1">IFERROR(__xludf.DUMMYFUNCTION("GOOGLETRANSLATE(D:D,""auto"",""en"")"),"#VALUE!")</f>
        <v>#VALUE!</v>
      </c>
    </row>
    <row r="13469" spans="3:3" ht="13.5" customHeight="1">
      <c r="C13469" s="4" t="str">
        <f ca="1">IFERROR(__xludf.DUMMYFUNCTION("GOOGLETRANSLATE(D:D,""auto"",""en"")"),"#VALUE!")</f>
        <v>#VALUE!</v>
      </c>
    </row>
    <row r="13470" spans="3:3" ht="13.5" customHeight="1">
      <c r="C13470" s="4" t="str">
        <f ca="1">IFERROR(__xludf.DUMMYFUNCTION("GOOGLETRANSLATE(D:D,""auto"",""en"")"),"#VALUE!")</f>
        <v>#VALUE!</v>
      </c>
    </row>
    <row r="13471" spans="3:3" ht="13.5" customHeight="1">
      <c r="C13471" s="4" t="str">
        <f ca="1">IFERROR(__xludf.DUMMYFUNCTION("GOOGLETRANSLATE(D:D,""auto"",""en"")"),"#VALUE!")</f>
        <v>#VALUE!</v>
      </c>
    </row>
    <row r="13472" spans="3:3" ht="13.5" customHeight="1">
      <c r="C13472" s="4" t="str">
        <f ca="1">IFERROR(__xludf.DUMMYFUNCTION("GOOGLETRANSLATE(D:D,""auto"",""en"")"),"#VALUE!")</f>
        <v>#VALUE!</v>
      </c>
    </row>
    <row r="13473" spans="3:3" ht="13.5" customHeight="1">
      <c r="C13473" s="4" t="str">
        <f ca="1">IFERROR(__xludf.DUMMYFUNCTION("GOOGLETRANSLATE(D:D,""auto"",""en"")"),"#VALUE!")</f>
        <v>#VALUE!</v>
      </c>
    </row>
    <row r="13474" spans="3:3" ht="13.5" customHeight="1">
      <c r="C13474" s="4" t="str">
        <f ca="1">IFERROR(__xludf.DUMMYFUNCTION("GOOGLETRANSLATE(D:D,""auto"",""en"")"),"#VALUE!")</f>
        <v>#VALUE!</v>
      </c>
    </row>
    <row r="13475" spans="3:3" ht="13.5" customHeight="1">
      <c r="C13475" s="4" t="str">
        <f ca="1">IFERROR(__xludf.DUMMYFUNCTION("GOOGLETRANSLATE(D:D,""auto"",""en"")"),"#VALUE!")</f>
        <v>#VALUE!</v>
      </c>
    </row>
    <row r="13476" spans="3:3" ht="13.5" customHeight="1">
      <c r="C13476" s="4" t="str">
        <f ca="1">IFERROR(__xludf.DUMMYFUNCTION("GOOGLETRANSLATE(D:D,""auto"",""en"")"),"#VALUE!")</f>
        <v>#VALUE!</v>
      </c>
    </row>
    <row r="13477" spans="3:3" ht="13.5" customHeight="1">
      <c r="C13477" s="4" t="str">
        <f ca="1">IFERROR(__xludf.DUMMYFUNCTION("GOOGLETRANSLATE(D:D,""auto"",""en"")"),"#VALUE!")</f>
        <v>#VALUE!</v>
      </c>
    </row>
    <row r="13478" spans="3:3" ht="13.5" customHeight="1">
      <c r="C13478" s="4" t="str">
        <f ca="1">IFERROR(__xludf.DUMMYFUNCTION("GOOGLETRANSLATE(D:D,""auto"",""en"")"),"#VALUE!")</f>
        <v>#VALUE!</v>
      </c>
    </row>
    <row r="13479" spans="3:3" ht="13.5" customHeight="1">
      <c r="C13479" s="4" t="str">
        <f ca="1">IFERROR(__xludf.DUMMYFUNCTION("GOOGLETRANSLATE(D:D,""auto"",""en"")"),"#VALUE!")</f>
        <v>#VALUE!</v>
      </c>
    </row>
    <row r="13480" spans="3:3" ht="13.5" customHeight="1">
      <c r="C13480" s="4" t="str">
        <f ca="1">IFERROR(__xludf.DUMMYFUNCTION("GOOGLETRANSLATE(D:D,""auto"",""en"")"),"#VALUE!")</f>
        <v>#VALUE!</v>
      </c>
    </row>
    <row r="13481" spans="3:3" ht="13.5" customHeight="1">
      <c r="C13481" s="4" t="str">
        <f ca="1">IFERROR(__xludf.DUMMYFUNCTION("GOOGLETRANSLATE(D:D,""auto"",""en"")"),"#VALUE!")</f>
        <v>#VALUE!</v>
      </c>
    </row>
    <row r="13482" spans="3:3" ht="13.5" customHeight="1">
      <c r="C13482" s="4" t="str">
        <f ca="1">IFERROR(__xludf.DUMMYFUNCTION("GOOGLETRANSLATE(D:D,""auto"",""en"")"),"#VALUE!")</f>
        <v>#VALUE!</v>
      </c>
    </row>
    <row r="13483" spans="3:3" ht="13.5" customHeight="1">
      <c r="C13483" s="4" t="str">
        <f ca="1">IFERROR(__xludf.DUMMYFUNCTION("GOOGLETRANSLATE(D:D,""auto"",""en"")"),"#VALUE!")</f>
        <v>#VALUE!</v>
      </c>
    </row>
    <row r="13484" spans="3:3" ht="13.5" customHeight="1">
      <c r="C13484" s="4" t="str">
        <f ca="1">IFERROR(__xludf.DUMMYFUNCTION("GOOGLETRANSLATE(D:D,""auto"",""en"")"),"#VALUE!")</f>
        <v>#VALUE!</v>
      </c>
    </row>
    <row r="13485" spans="3:3" ht="13.5" customHeight="1">
      <c r="C13485" s="4" t="str">
        <f ca="1">IFERROR(__xludf.DUMMYFUNCTION("GOOGLETRANSLATE(D:D,""auto"",""en"")"),"#VALUE!")</f>
        <v>#VALUE!</v>
      </c>
    </row>
    <row r="13486" spans="3:3" ht="13.5" customHeight="1">
      <c r="C13486" s="4" t="str">
        <f ca="1">IFERROR(__xludf.DUMMYFUNCTION("GOOGLETRANSLATE(D:D,""auto"",""en"")"),"#VALUE!")</f>
        <v>#VALUE!</v>
      </c>
    </row>
    <row r="13487" spans="3:3" ht="13.5" customHeight="1">
      <c r="C13487" s="4" t="str">
        <f ca="1">IFERROR(__xludf.DUMMYFUNCTION("GOOGLETRANSLATE(D:D,""auto"",""en"")"),"#VALUE!")</f>
        <v>#VALUE!</v>
      </c>
    </row>
    <row r="13488" spans="3:3" ht="13.5" customHeight="1">
      <c r="C13488" s="4" t="str">
        <f ca="1">IFERROR(__xludf.DUMMYFUNCTION("GOOGLETRANSLATE(D:D,""auto"",""en"")"),"#VALUE!")</f>
        <v>#VALUE!</v>
      </c>
    </row>
    <row r="13489" spans="3:3" ht="13.5" customHeight="1">
      <c r="C13489" s="4" t="str">
        <f ca="1">IFERROR(__xludf.DUMMYFUNCTION("GOOGLETRANSLATE(D:D,""auto"",""en"")"),"#VALUE!")</f>
        <v>#VALUE!</v>
      </c>
    </row>
    <row r="13490" spans="3:3" ht="13.5" customHeight="1">
      <c r="C13490" s="4" t="str">
        <f ca="1">IFERROR(__xludf.DUMMYFUNCTION("GOOGLETRANSLATE(D:D,""auto"",""en"")"),"#VALUE!")</f>
        <v>#VALUE!</v>
      </c>
    </row>
    <row r="13491" spans="3:3" ht="13.5" customHeight="1">
      <c r="C13491" s="4" t="str">
        <f ca="1">IFERROR(__xludf.DUMMYFUNCTION("GOOGLETRANSLATE(D:D,""auto"",""en"")"),"#VALUE!")</f>
        <v>#VALUE!</v>
      </c>
    </row>
    <row r="13492" spans="3:3" ht="13.5" customHeight="1">
      <c r="C13492" s="4" t="str">
        <f ca="1">IFERROR(__xludf.DUMMYFUNCTION("GOOGLETRANSLATE(D:D,""auto"",""en"")"),"#VALUE!")</f>
        <v>#VALUE!</v>
      </c>
    </row>
    <row r="13493" spans="3:3" ht="13.5" customHeight="1">
      <c r="C13493" s="4" t="str">
        <f ca="1">IFERROR(__xludf.DUMMYFUNCTION("GOOGLETRANSLATE(D:D,""auto"",""en"")"),"#VALUE!")</f>
        <v>#VALUE!</v>
      </c>
    </row>
    <row r="13494" spans="3:3" ht="13.5" customHeight="1">
      <c r="C13494" s="4" t="str">
        <f ca="1">IFERROR(__xludf.DUMMYFUNCTION("GOOGLETRANSLATE(D:D,""auto"",""en"")"),"#VALUE!")</f>
        <v>#VALUE!</v>
      </c>
    </row>
    <row r="13495" spans="3:3" ht="13.5" customHeight="1">
      <c r="C13495" s="4" t="str">
        <f ca="1">IFERROR(__xludf.DUMMYFUNCTION("GOOGLETRANSLATE(D:D,""auto"",""en"")"),"#VALUE!")</f>
        <v>#VALUE!</v>
      </c>
    </row>
    <row r="13496" spans="3:3" ht="13.5" customHeight="1">
      <c r="C13496" s="4" t="str">
        <f ca="1">IFERROR(__xludf.DUMMYFUNCTION("GOOGLETRANSLATE(D:D,""auto"",""en"")"),"#VALUE!")</f>
        <v>#VALUE!</v>
      </c>
    </row>
    <row r="13497" spans="3:3" ht="13.5" customHeight="1">
      <c r="C13497" s="4" t="str">
        <f ca="1">IFERROR(__xludf.DUMMYFUNCTION("GOOGLETRANSLATE(D:D,""auto"",""en"")"),"#VALUE!")</f>
        <v>#VALUE!</v>
      </c>
    </row>
    <row r="13498" spans="3:3" ht="13.5" customHeight="1">
      <c r="C13498" s="4" t="str">
        <f ca="1">IFERROR(__xludf.DUMMYFUNCTION("GOOGLETRANSLATE(D:D,""auto"",""en"")"),"#VALUE!")</f>
        <v>#VALUE!</v>
      </c>
    </row>
    <row r="13499" spans="3:3" ht="13.5" customHeight="1">
      <c r="C13499" s="4" t="str">
        <f ca="1">IFERROR(__xludf.DUMMYFUNCTION("GOOGLETRANSLATE(D:D,""auto"",""en"")"),"#VALUE!")</f>
        <v>#VALUE!</v>
      </c>
    </row>
    <row r="13500" spans="3:3" ht="13.5" customHeight="1">
      <c r="C13500" s="4" t="str">
        <f ca="1">IFERROR(__xludf.DUMMYFUNCTION("GOOGLETRANSLATE(D:D,""auto"",""en"")"),"#VALUE!")</f>
        <v>#VALUE!</v>
      </c>
    </row>
    <row r="13501" spans="3:3" ht="13.5" customHeight="1">
      <c r="C13501" s="4" t="str">
        <f ca="1">IFERROR(__xludf.DUMMYFUNCTION("GOOGLETRANSLATE(D:D,""auto"",""en"")"),"#VALUE!")</f>
        <v>#VALUE!</v>
      </c>
    </row>
    <row r="13502" spans="3:3" ht="13.5" customHeight="1">
      <c r="C13502" s="4" t="str">
        <f ca="1">IFERROR(__xludf.DUMMYFUNCTION("GOOGLETRANSLATE(D:D,""auto"",""en"")"),"#VALUE!")</f>
        <v>#VALUE!</v>
      </c>
    </row>
    <row r="13503" spans="3:3" ht="13.5" customHeight="1">
      <c r="C13503" s="4" t="str">
        <f ca="1">IFERROR(__xludf.DUMMYFUNCTION("GOOGLETRANSLATE(D:D,""auto"",""en"")"),"#VALUE!")</f>
        <v>#VALUE!</v>
      </c>
    </row>
    <row r="13504" spans="3:3" ht="13.5" customHeight="1">
      <c r="C13504" s="4" t="str">
        <f ca="1">IFERROR(__xludf.DUMMYFUNCTION("GOOGLETRANSLATE(D:D,""auto"",""en"")"),"#VALUE!")</f>
        <v>#VALUE!</v>
      </c>
    </row>
    <row r="13505" spans="3:3" ht="13.5" customHeight="1">
      <c r="C13505" s="4" t="str">
        <f ca="1">IFERROR(__xludf.DUMMYFUNCTION("GOOGLETRANSLATE(D:D,""auto"",""en"")"),"#VALUE!")</f>
        <v>#VALUE!</v>
      </c>
    </row>
    <row r="13506" spans="3:3" ht="13.5" customHeight="1">
      <c r="C13506" s="4" t="str">
        <f ca="1">IFERROR(__xludf.DUMMYFUNCTION("GOOGLETRANSLATE(D:D,""auto"",""en"")"),"#VALUE!")</f>
        <v>#VALUE!</v>
      </c>
    </row>
    <row r="13507" spans="3:3" ht="13.5" customHeight="1">
      <c r="C13507" s="4" t="str">
        <f ca="1">IFERROR(__xludf.DUMMYFUNCTION("GOOGLETRANSLATE(D:D,""auto"",""en"")"),"#VALUE!")</f>
        <v>#VALUE!</v>
      </c>
    </row>
    <row r="13508" spans="3:3" ht="13.5" customHeight="1">
      <c r="C13508" s="4" t="str">
        <f ca="1">IFERROR(__xludf.DUMMYFUNCTION("GOOGLETRANSLATE(D:D,""auto"",""en"")"),"#VALUE!")</f>
        <v>#VALUE!</v>
      </c>
    </row>
    <row r="13509" spans="3:3" ht="13.5" customHeight="1">
      <c r="C13509" s="4" t="str">
        <f ca="1">IFERROR(__xludf.DUMMYFUNCTION("GOOGLETRANSLATE(D:D,""auto"",""en"")"),"#VALUE!")</f>
        <v>#VALUE!</v>
      </c>
    </row>
    <row r="13510" spans="3:3" ht="13.5" customHeight="1">
      <c r="C13510" s="4" t="str">
        <f ca="1">IFERROR(__xludf.DUMMYFUNCTION("GOOGLETRANSLATE(D:D,""auto"",""en"")"),"#VALUE!")</f>
        <v>#VALUE!</v>
      </c>
    </row>
    <row r="13511" spans="3:3" ht="13.5" customHeight="1">
      <c r="C13511" s="4" t="str">
        <f ca="1">IFERROR(__xludf.DUMMYFUNCTION("GOOGLETRANSLATE(D:D,""auto"",""en"")"),"#VALUE!")</f>
        <v>#VALUE!</v>
      </c>
    </row>
    <row r="13512" spans="3:3" ht="13.5" customHeight="1">
      <c r="C13512" s="4" t="str">
        <f ca="1">IFERROR(__xludf.DUMMYFUNCTION("GOOGLETRANSLATE(D:D,""auto"",""en"")"),"#VALUE!")</f>
        <v>#VALUE!</v>
      </c>
    </row>
    <row r="13513" spans="3:3" ht="13.5" customHeight="1">
      <c r="C13513" s="4" t="str">
        <f ca="1">IFERROR(__xludf.DUMMYFUNCTION("GOOGLETRANSLATE(D:D,""auto"",""en"")"),"#VALUE!")</f>
        <v>#VALUE!</v>
      </c>
    </row>
    <row r="13514" spans="3:3" ht="13.5" customHeight="1">
      <c r="C13514" s="4" t="str">
        <f ca="1">IFERROR(__xludf.DUMMYFUNCTION("GOOGLETRANSLATE(D:D,""auto"",""en"")"),"#VALUE!")</f>
        <v>#VALUE!</v>
      </c>
    </row>
    <row r="13515" spans="3:3" ht="13.5" customHeight="1">
      <c r="C13515" s="4" t="str">
        <f ca="1">IFERROR(__xludf.DUMMYFUNCTION("GOOGLETRANSLATE(D:D,""auto"",""en"")"),"#VALUE!")</f>
        <v>#VALUE!</v>
      </c>
    </row>
    <row r="13516" spans="3:3" ht="13.5" customHeight="1">
      <c r="C13516" s="4" t="str">
        <f ca="1">IFERROR(__xludf.DUMMYFUNCTION("GOOGLETRANSLATE(D:D,""auto"",""en"")"),"#VALUE!")</f>
        <v>#VALUE!</v>
      </c>
    </row>
    <row r="13517" spans="3:3" ht="13.5" customHeight="1">
      <c r="C13517" s="4" t="str">
        <f ca="1">IFERROR(__xludf.DUMMYFUNCTION("GOOGLETRANSLATE(D:D,""auto"",""en"")"),"#VALUE!")</f>
        <v>#VALUE!</v>
      </c>
    </row>
    <row r="13518" spans="3:3" ht="13.5" customHeight="1">
      <c r="C13518" s="4" t="str">
        <f ca="1">IFERROR(__xludf.DUMMYFUNCTION("GOOGLETRANSLATE(D:D,""auto"",""en"")"),"#VALUE!")</f>
        <v>#VALUE!</v>
      </c>
    </row>
    <row r="13519" spans="3:3" ht="13.5" customHeight="1">
      <c r="C13519" s="4" t="str">
        <f ca="1">IFERROR(__xludf.DUMMYFUNCTION("GOOGLETRANSLATE(D:D,""auto"",""en"")"),"#VALUE!")</f>
        <v>#VALUE!</v>
      </c>
    </row>
    <row r="13520" spans="3:3" ht="13.5" customHeight="1">
      <c r="C13520" s="4" t="str">
        <f ca="1">IFERROR(__xludf.DUMMYFUNCTION("GOOGLETRANSLATE(D:D,""auto"",""en"")"),"#VALUE!")</f>
        <v>#VALUE!</v>
      </c>
    </row>
    <row r="13521" spans="3:3" ht="13.5" customHeight="1">
      <c r="C13521" s="4" t="str">
        <f ca="1">IFERROR(__xludf.DUMMYFUNCTION("GOOGLETRANSLATE(D:D,""auto"",""en"")"),"#VALUE!")</f>
        <v>#VALUE!</v>
      </c>
    </row>
    <row r="13522" spans="3:3" ht="13.5" customHeight="1">
      <c r="C13522" s="4" t="str">
        <f ca="1">IFERROR(__xludf.DUMMYFUNCTION("GOOGLETRANSLATE(D:D,""auto"",""en"")"),"#VALUE!")</f>
        <v>#VALUE!</v>
      </c>
    </row>
    <row r="13523" spans="3:3" ht="13.5" customHeight="1">
      <c r="C13523" s="4" t="str">
        <f ca="1">IFERROR(__xludf.DUMMYFUNCTION("GOOGLETRANSLATE(D:D,""auto"",""en"")"),"#VALUE!")</f>
        <v>#VALUE!</v>
      </c>
    </row>
    <row r="13524" spans="3:3" ht="13.5" customHeight="1">
      <c r="C13524" s="4" t="str">
        <f ca="1">IFERROR(__xludf.DUMMYFUNCTION("GOOGLETRANSLATE(D:D,""auto"",""en"")"),"#VALUE!")</f>
        <v>#VALUE!</v>
      </c>
    </row>
    <row r="13525" spans="3:3" ht="13.5" customHeight="1">
      <c r="C13525" s="4" t="str">
        <f ca="1">IFERROR(__xludf.DUMMYFUNCTION("GOOGLETRANSLATE(D:D,""auto"",""en"")"),"#VALUE!")</f>
        <v>#VALUE!</v>
      </c>
    </row>
    <row r="13526" spans="3:3" ht="13.5" customHeight="1">
      <c r="C13526" s="4" t="str">
        <f ca="1">IFERROR(__xludf.DUMMYFUNCTION("GOOGLETRANSLATE(D:D,""auto"",""en"")"),"#VALUE!")</f>
        <v>#VALUE!</v>
      </c>
    </row>
    <row r="13527" spans="3:3" ht="13.5" customHeight="1">
      <c r="C13527" s="4" t="str">
        <f ca="1">IFERROR(__xludf.DUMMYFUNCTION("GOOGLETRANSLATE(D:D,""auto"",""en"")"),"#VALUE!")</f>
        <v>#VALUE!</v>
      </c>
    </row>
    <row r="13528" spans="3:3" ht="13.5" customHeight="1">
      <c r="C13528" s="4" t="str">
        <f ca="1">IFERROR(__xludf.DUMMYFUNCTION("GOOGLETRANSLATE(D:D,""auto"",""en"")"),"#VALUE!")</f>
        <v>#VALUE!</v>
      </c>
    </row>
    <row r="13529" spans="3:3" ht="13.5" customHeight="1">
      <c r="C13529" s="4" t="str">
        <f ca="1">IFERROR(__xludf.DUMMYFUNCTION("GOOGLETRANSLATE(D:D,""auto"",""en"")"),"#VALUE!")</f>
        <v>#VALUE!</v>
      </c>
    </row>
    <row r="13530" spans="3:3" ht="13.5" customHeight="1">
      <c r="C13530" s="4" t="str">
        <f ca="1">IFERROR(__xludf.DUMMYFUNCTION("GOOGLETRANSLATE(D:D,""auto"",""en"")"),"#VALUE!")</f>
        <v>#VALUE!</v>
      </c>
    </row>
    <row r="13531" spans="3:3" ht="13.5" customHeight="1">
      <c r="C13531" s="4" t="str">
        <f ca="1">IFERROR(__xludf.DUMMYFUNCTION("GOOGLETRANSLATE(D:D,""auto"",""en"")"),"#VALUE!")</f>
        <v>#VALUE!</v>
      </c>
    </row>
    <row r="13532" spans="3:3" ht="13.5" customHeight="1">
      <c r="C13532" s="4" t="str">
        <f ca="1">IFERROR(__xludf.DUMMYFUNCTION("GOOGLETRANSLATE(D:D,""auto"",""en"")"),"#VALUE!")</f>
        <v>#VALUE!</v>
      </c>
    </row>
    <row r="13533" spans="3:3" ht="13.5" customHeight="1">
      <c r="C13533" s="4" t="str">
        <f ca="1">IFERROR(__xludf.DUMMYFUNCTION("GOOGLETRANSLATE(D:D,""auto"",""en"")"),"#VALUE!")</f>
        <v>#VALUE!</v>
      </c>
    </row>
    <row r="13534" spans="3:3" ht="13.5" customHeight="1">
      <c r="C13534" s="4" t="str">
        <f ca="1">IFERROR(__xludf.DUMMYFUNCTION("GOOGLETRANSLATE(D:D,""auto"",""en"")"),"#VALUE!")</f>
        <v>#VALUE!</v>
      </c>
    </row>
    <row r="13535" spans="3:3" ht="13.5" customHeight="1">
      <c r="C13535" s="4" t="str">
        <f ca="1">IFERROR(__xludf.DUMMYFUNCTION("GOOGLETRANSLATE(D:D,""auto"",""en"")"),"#VALUE!")</f>
        <v>#VALUE!</v>
      </c>
    </row>
    <row r="13536" spans="3:3" ht="13.5" customHeight="1">
      <c r="C13536" s="4" t="str">
        <f ca="1">IFERROR(__xludf.DUMMYFUNCTION("GOOGLETRANSLATE(D:D,""auto"",""en"")"),"#VALUE!")</f>
        <v>#VALUE!</v>
      </c>
    </row>
    <row r="13537" spans="3:3" ht="13.5" customHeight="1">
      <c r="C13537" s="4" t="str">
        <f ca="1">IFERROR(__xludf.DUMMYFUNCTION("GOOGLETRANSLATE(D:D,""auto"",""en"")"),"#VALUE!")</f>
        <v>#VALUE!</v>
      </c>
    </row>
    <row r="13538" spans="3:3" ht="13.5" customHeight="1">
      <c r="C13538" s="4" t="str">
        <f ca="1">IFERROR(__xludf.DUMMYFUNCTION("GOOGLETRANSLATE(D:D,""auto"",""en"")"),"#VALUE!")</f>
        <v>#VALUE!</v>
      </c>
    </row>
    <row r="13539" spans="3:3" ht="13.5" customHeight="1">
      <c r="C13539" s="4" t="str">
        <f ca="1">IFERROR(__xludf.DUMMYFUNCTION("GOOGLETRANSLATE(D:D,""auto"",""en"")"),"#VALUE!")</f>
        <v>#VALUE!</v>
      </c>
    </row>
    <row r="13540" spans="3:3" ht="13.5" customHeight="1">
      <c r="C13540" s="4" t="str">
        <f ca="1">IFERROR(__xludf.DUMMYFUNCTION("GOOGLETRANSLATE(D:D,""auto"",""en"")"),"#VALUE!")</f>
        <v>#VALUE!</v>
      </c>
    </row>
    <row r="13541" spans="3:3" ht="13.5" customHeight="1">
      <c r="C13541" s="4" t="str">
        <f ca="1">IFERROR(__xludf.DUMMYFUNCTION("GOOGLETRANSLATE(D:D,""auto"",""en"")"),"#VALUE!")</f>
        <v>#VALUE!</v>
      </c>
    </row>
    <row r="13542" spans="3:3" ht="13.5" customHeight="1">
      <c r="C13542" s="4" t="str">
        <f ca="1">IFERROR(__xludf.DUMMYFUNCTION("GOOGLETRANSLATE(D:D,""auto"",""en"")"),"#VALUE!")</f>
        <v>#VALUE!</v>
      </c>
    </row>
    <row r="13543" spans="3:3" ht="13.5" customHeight="1">
      <c r="C13543" s="4" t="str">
        <f ca="1">IFERROR(__xludf.DUMMYFUNCTION("GOOGLETRANSLATE(D:D,""auto"",""en"")"),"#VALUE!")</f>
        <v>#VALUE!</v>
      </c>
    </row>
    <row r="13544" spans="3:3" ht="13.5" customHeight="1">
      <c r="C13544" s="4" t="str">
        <f ca="1">IFERROR(__xludf.DUMMYFUNCTION("GOOGLETRANSLATE(D:D,""auto"",""en"")"),"#VALUE!")</f>
        <v>#VALUE!</v>
      </c>
    </row>
    <row r="13545" spans="3:3" ht="13.5" customHeight="1">
      <c r="C13545" s="4" t="str">
        <f ca="1">IFERROR(__xludf.DUMMYFUNCTION("GOOGLETRANSLATE(D:D,""auto"",""en"")"),"#VALUE!")</f>
        <v>#VALUE!</v>
      </c>
    </row>
    <row r="13546" spans="3:3" ht="13.5" customHeight="1">
      <c r="C13546" s="4" t="str">
        <f ca="1">IFERROR(__xludf.DUMMYFUNCTION("GOOGLETRANSLATE(D:D,""auto"",""en"")"),"#VALUE!")</f>
        <v>#VALUE!</v>
      </c>
    </row>
    <row r="13547" spans="3:3" ht="13.5" customHeight="1">
      <c r="C13547" s="4" t="str">
        <f ca="1">IFERROR(__xludf.DUMMYFUNCTION("GOOGLETRANSLATE(D:D,""auto"",""en"")"),"#VALUE!")</f>
        <v>#VALUE!</v>
      </c>
    </row>
    <row r="13548" spans="3:3" ht="13.5" customHeight="1">
      <c r="C13548" s="4" t="str">
        <f ca="1">IFERROR(__xludf.DUMMYFUNCTION("GOOGLETRANSLATE(D:D,""auto"",""en"")"),"#VALUE!")</f>
        <v>#VALUE!</v>
      </c>
    </row>
    <row r="13549" spans="3:3" ht="13.5" customHeight="1">
      <c r="C13549" s="4" t="str">
        <f ca="1">IFERROR(__xludf.DUMMYFUNCTION("GOOGLETRANSLATE(D:D,""auto"",""en"")"),"#VALUE!")</f>
        <v>#VALUE!</v>
      </c>
    </row>
    <row r="13550" spans="3:3" ht="13.5" customHeight="1">
      <c r="C13550" s="4" t="str">
        <f ca="1">IFERROR(__xludf.DUMMYFUNCTION("GOOGLETRANSLATE(D:D,""auto"",""en"")"),"#VALUE!")</f>
        <v>#VALUE!</v>
      </c>
    </row>
    <row r="13551" spans="3:3" ht="13.5" customHeight="1">
      <c r="C13551" s="4" t="str">
        <f ca="1">IFERROR(__xludf.DUMMYFUNCTION("GOOGLETRANSLATE(D:D,""auto"",""en"")"),"#VALUE!")</f>
        <v>#VALUE!</v>
      </c>
    </row>
    <row r="13552" spans="3:3" ht="13.5" customHeight="1">
      <c r="C13552" s="4" t="str">
        <f ca="1">IFERROR(__xludf.DUMMYFUNCTION("GOOGLETRANSLATE(D:D,""auto"",""en"")"),"#VALUE!")</f>
        <v>#VALUE!</v>
      </c>
    </row>
    <row r="13553" spans="3:3" ht="13.5" customHeight="1">
      <c r="C13553" s="4" t="str">
        <f ca="1">IFERROR(__xludf.DUMMYFUNCTION("GOOGLETRANSLATE(D:D,""auto"",""en"")"),"#VALUE!")</f>
        <v>#VALUE!</v>
      </c>
    </row>
    <row r="13554" spans="3:3" ht="13.5" customHeight="1">
      <c r="C13554" s="4" t="str">
        <f ca="1">IFERROR(__xludf.DUMMYFUNCTION("GOOGLETRANSLATE(D:D,""auto"",""en"")"),"#VALUE!")</f>
        <v>#VALUE!</v>
      </c>
    </row>
    <row r="13555" spans="3:3" ht="13.5" customHeight="1">
      <c r="C13555" s="4" t="str">
        <f ca="1">IFERROR(__xludf.DUMMYFUNCTION("GOOGLETRANSLATE(D:D,""auto"",""en"")"),"#VALUE!")</f>
        <v>#VALUE!</v>
      </c>
    </row>
    <row r="13556" spans="3:3" ht="13.5" customHeight="1">
      <c r="C13556" s="4" t="str">
        <f ca="1">IFERROR(__xludf.DUMMYFUNCTION("GOOGLETRANSLATE(D:D,""auto"",""en"")"),"#VALUE!")</f>
        <v>#VALUE!</v>
      </c>
    </row>
    <row r="13557" spans="3:3" ht="13.5" customHeight="1">
      <c r="C13557" s="4" t="str">
        <f ca="1">IFERROR(__xludf.DUMMYFUNCTION("GOOGLETRANSLATE(D:D,""auto"",""en"")"),"#VALUE!")</f>
        <v>#VALUE!</v>
      </c>
    </row>
    <row r="13558" spans="3:3" ht="13.5" customHeight="1">
      <c r="C13558" s="4" t="str">
        <f ca="1">IFERROR(__xludf.DUMMYFUNCTION("GOOGLETRANSLATE(D:D,""auto"",""en"")"),"#VALUE!")</f>
        <v>#VALUE!</v>
      </c>
    </row>
    <row r="13559" spans="3:3" ht="13.5" customHeight="1">
      <c r="C13559" s="4" t="str">
        <f ca="1">IFERROR(__xludf.DUMMYFUNCTION("GOOGLETRANSLATE(D:D,""auto"",""en"")"),"#VALUE!")</f>
        <v>#VALUE!</v>
      </c>
    </row>
    <row r="13560" spans="3:3" ht="13.5" customHeight="1">
      <c r="C13560" s="4" t="str">
        <f ca="1">IFERROR(__xludf.DUMMYFUNCTION("GOOGLETRANSLATE(D:D,""auto"",""en"")"),"#VALUE!")</f>
        <v>#VALUE!</v>
      </c>
    </row>
    <row r="13561" spans="3:3" ht="13.5" customHeight="1">
      <c r="C13561" s="4" t="str">
        <f ca="1">IFERROR(__xludf.DUMMYFUNCTION("GOOGLETRANSLATE(D:D,""auto"",""en"")"),"#VALUE!")</f>
        <v>#VALUE!</v>
      </c>
    </row>
    <row r="13562" spans="3:3" ht="13.5" customHeight="1">
      <c r="C13562" s="4" t="str">
        <f ca="1">IFERROR(__xludf.DUMMYFUNCTION("GOOGLETRANSLATE(D:D,""auto"",""en"")"),"#VALUE!")</f>
        <v>#VALUE!</v>
      </c>
    </row>
    <row r="13563" spans="3:3" ht="13.5" customHeight="1">
      <c r="C13563" s="4" t="str">
        <f ca="1">IFERROR(__xludf.DUMMYFUNCTION("GOOGLETRANSLATE(D:D,""auto"",""en"")"),"#VALUE!")</f>
        <v>#VALUE!</v>
      </c>
    </row>
    <row r="13564" spans="3:3" ht="13.5" customHeight="1">
      <c r="C13564" s="4" t="str">
        <f ca="1">IFERROR(__xludf.DUMMYFUNCTION("GOOGLETRANSLATE(D:D,""auto"",""en"")"),"#VALUE!")</f>
        <v>#VALUE!</v>
      </c>
    </row>
    <row r="13565" spans="3:3" ht="13.5" customHeight="1">
      <c r="C13565" s="4" t="str">
        <f ca="1">IFERROR(__xludf.DUMMYFUNCTION("GOOGLETRANSLATE(D:D,""auto"",""en"")"),"#VALUE!")</f>
        <v>#VALUE!</v>
      </c>
    </row>
    <row r="13566" spans="3:3" ht="13.5" customHeight="1">
      <c r="C13566" s="4" t="str">
        <f ca="1">IFERROR(__xludf.DUMMYFUNCTION("GOOGLETRANSLATE(D:D,""auto"",""en"")"),"#VALUE!")</f>
        <v>#VALUE!</v>
      </c>
    </row>
    <row r="13567" spans="3:3" ht="13.5" customHeight="1">
      <c r="C13567" s="4" t="str">
        <f ca="1">IFERROR(__xludf.DUMMYFUNCTION("GOOGLETRANSLATE(D:D,""auto"",""en"")"),"#VALUE!")</f>
        <v>#VALUE!</v>
      </c>
    </row>
    <row r="13568" spans="3:3" ht="13.5" customHeight="1">
      <c r="C13568" s="4" t="str">
        <f ca="1">IFERROR(__xludf.DUMMYFUNCTION("GOOGLETRANSLATE(D:D,""auto"",""en"")"),"#VALUE!")</f>
        <v>#VALUE!</v>
      </c>
    </row>
    <row r="13569" spans="3:3" ht="13.5" customHeight="1">
      <c r="C13569" s="4" t="str">
        <f ca="1">IFERROR(__xludf.DUMMYFUNCTION("GOOGLETRANSLATE(D:D,""auto"",""en"")"),"#VALUE!")</f>
        <v>#VALUE!</v>
      </c>
    </row>
    <row r="13570" spans="3:3" ht="13.5" customHeight="1">
      <c r="C13570" s="4" t="str">
        <f ca="1">IFERROR(__xludf.DUMMYFUNCTION("GOOGLETRANSLATE(D:D,""auto"",""en"")"),"#VALUE!")</f>
        <v>#VALUE!</v>
      </c>
    </row>
    <row r="13571" spans="3:3" ht="13.5" customHeight="1">
      <c r="C13571" s="4" t="str">
        <f ca="1">IFERROR(__xludf.DUMMYFUNCTION("GOOGLETRANSLATE(D:D,""auto"",""en"")"),"#VALUE!")</f>
        <v>#VALUE!</v>
      </c>
    </row>
    <row r="13572" spans="3:3" ht="13.5" customHeight="1">
      <c r="C13572" s="4" t="str">
        <f ca="1">IFERROR(__xludf.DUMMYFUNCTION("GOOGLETRANSLATE(D:D,""auto"",""en"")"),"#VALUE!")</f>
        <v>#VALUE!</v>
      </c>
    </row>
    <row r="13573" spans="3:3" ht="13.5" customHeight="1">
      <c r="C13573" s="4" t="str">
        <f ca="1">IFERROR(__xludf.DUMMYFUNCTION("GOOGLETRANSLATE(D:D,""auto"",""en"")"),"#VALUE!")</f>
        <v>#VALUE!</v>
      </c>
    </row>
    <row r="13574" spans="3:3" ht="13.5" customHeight="1">
      <c r="C13574" s="4" t="str">
        <f ca="1">IFERROR(__xludf.DUMMYFUNCTION("GOOGLETRANSLATE(D:D,""auto"",""en"")"),"#VALUE!")</f>
        <v>#VALUE!</v>
      </c>
    </row>
    <row r="13575" spans="3:3" ht="13.5" customHeight="1">
      <c r="C13575" s="4" t="str">
        <f ca="1">IFERROR(__xludf.DUMMYFUNCTION("GOOGLETRANSLATE(D:D,""auto"",""en"")"),"#VALUE!")</f>
        <v>#VALUE!</v>
      </c>
    </row>
    <row r="13576" spans="3:3" ht="13.5" customHeight="1">
      <c r="C13576" s="4" t="str">
        <f ca="1">IFERROR(__xludf.DUMMYFUNCTION("GOOGLETRANSLATE(D:D,""auto"",""en"")"),"#VALUE!")</f>
        <v>#VALUE!</v>
      </c>
    </row>
    <row r="13577" spans="3:3" ht="13.5" customHeight="1">
      <c r="C13577" s="4" t="str">
        <f ca="1">IFERROR(__xludf.DUMMYFUNCTION("GOOGLETRANSLATE(D:D,""auto"",""en"")"),"#VALUE!")</f>
        <v>#VALUE!</v>
      </c>
    </row>
    <row r="13578" spans="3:3" ht="13.5" customHeight="1">
      <c r="C13578" s="4" t="str">
        <f ca="1">IFERROR(__xludf.DUMMYFUNCTION("GOOGLETRANSLATE(D:D,""auto"",""en"")"),"#VALUE!")</f>
        <v>#VALUE!</v>
      </c>
    </row>
    <row r="13579" spans="3:3" ht="13.5" customHeight="1">
      <c r="C13579" s="4" t="str">
        <f ca="1">IFERROR(__xludf.DUMMYFUNCTION("GOOGLETRANSLATE(D:D,""auto"",""en"")"),"#VALUE!")</f>
        <v>#VALUE!</v>
      </c>
    </row>
    <row r="13580" spans="3:3" ht="13.5" customHeight="1">
      <c r="C13580" s="4" t="str">
        <f ca="1">IFERROR(__xludf.DUMMYFUNCTION("GOOGLETRANSLATE(D:D,""auto"",""en"")"),"#VALUE!")</f>
        <v>#VALUE!</v>
      </c>
    </row>
    <row r="13581" spans="3:3" ht="13.5" customHeight="1">
      <c r="C13581" s="4" t="str">
        <f ca="1">IFERROR(__xludf.DUMMYFUNCTION("GOOGLETRANSLATE(D:D,""auto"",""en"")"),"#VALUE!")</f>
        <v>#VALUE!</v>
      </c>
    </row>
    <row r="13582" spans="3:3" ht="13.5" customHeight="1">
      <c r="C13582" s="4" t="str">
        <f ca="1">IFERROR(__xludf.DUMMYFUNCTION("GOOGLETRANSLATE(D:D,""auto"",""en"")"),"#VALUE!")</f>
        <v>#VALUE!</v>
      </c>
    </row>
    <row r="13583" spans="3:3" ht="13.5" customHeight="1">
      <c r="C13583" s="4" t="str">
        <f ca="1">IFERROR(__xludf.DUMMYFUNCTION("GOOGLETRANSLATE(D:D,""auto"",""en"")"),"#VALUE!")</f>
        <v>#VALUE!</v>
      </c>
    </row>
    <row r="13584" spans="3:3" ht="13.5" customHeight="1">
      <c r="C13584" s="4" t="str">
        <f ca="1">IFERROR(__xludf.DUMMYFUNCTION("GOOGLETRANSLATE(D:D,""auto"",""en"")"),"#VALUE!")</f>
        <v>#VALUE!</v>
      </c>
    </row>
    <row r="13585" spans="3:3" ht="13.5" customHeight="1">
      <c r="C13585" s="4" t="str">
        <f ca="1">IFERROR(__xludf.DUMMYFUNCTION("GOOGLETRANSLATE(D:D,""auto"",""en"")"),"#VALUE!")</f>
        <v>#VALUE!</v>
      </c>
    </row>
    <row r="13586" spans="3:3" ht="13.5" customHeight="1">
      <c r="C13586" s="4" t="str">
        <f ca="1">IFERROR(__xludf.DUMMYFUNCTION("GOOGLETRANSLATE(D:D,""auto"",""en"")"),"#VALUE!")</f>
        <v>#VALUE!</v>
      </c>
    </row>
    <row r="13587" spans="3:3" ht="13.5" customHeight="1">
      <c r="C13587" s="4" t="str">
        <f ca="1">IFERROR(__xludf.DUMMYFUNCTION("GOOGLETRANSLATE(D:D,""auto"",""en"")"),"#VALUE!")</f>
        <v>#VALUE!</v>
      </c>
    </row>
    <row r="13588" spans="3:3" ht="13.5" customHeight="1">
      <c r="C13588" s="4" t="str">
        <f ca="1">IFERROR(__xludf.DUMMYFUNCTION("GOOGLETRANSLATE(D:D,""auto"",""en"")"),"#VALUE!")</f>
        <v>#VALUE!</v>
      </c>
    </row>
    <row r="13589" spans="3:3" ht="13.5" customHeight="1">
      <c r="C13589" s="4" t="str">
        <f ca="1">IFERROR(__xludf.DUMMYFUNCTION("GOOGLETRANSLATE(D:D,""auto"",""en"")"),"#VALUE!")</f>
        <v>#VALUE!</v>
      </c>
    </row>
    <row r="13590" spans="3:3" ht="13.5" customHeight="1">
      <c r="C13590" s="4" t="str">
        <f ca="1">IFERROR(__xludf.DUMMYFUNCTION("GOOGLETRANSLATE(D:D,""auto"",""en"")"),"#VALUE!")</f>
        <v>#VALUE!</v>
      </c>
    </row>
    <row r="13591" spans="3:3" ht="13.5" customHeight="1">
      <c r="C13591" s="4" t="str">
        <f ca="1">IFERROR(__xludf.DUMMYFUNCTION("GOOGLETRANSLATE(D:D,""auto"",""en"")"),"#VALUE!")</f>
        <v>#VALUE!</v>
      </c>
    </row>
    <row r="13592" spans="3:3" ht="13.5" customHeight="1">
      <c r="C13592" s="4" t="str">
        <f ca="1">IFERROR(__xludf.DUMMYFUNCTION("GOOGLETRANSLATE(D:D,""auto"",""en"")"),"#VALUE!")</f>
        <v>#VALUE!</v>
      </c>
    </row>
    <row r="13593" spans="3:3" ht="13.5" customHeight="1">
      <c r="C13593" s="4" t="str">
        <f ca="1">IFERROR(__xludf.DUMMYFUNCTION("GOOGLETRANSLATE(D:D,""auto"",""en"")"),"#VALUE!")</f>
        <v>#VALUE!</v>
      </c>
    </row>
    <row r="13594" spans="3:3" ht="13.5" customHeight="1">
      <c r="C13594" s="4" t="str">
        <f ca="1">IFERROR(__xludf.DUMMYFUNCTION("GOOGLETRANSLATE(D:D,""auto"",""en"")"),"#VALUE!")</f>
        <v>#VALUE!</v>
      </c>
    </row>
    <row r="13595" spans="3:3" ht="13.5" customHeight="1">
      <c r="C13595" s="4" t="str">
        <f ca="1">IFERROR(__xludf.DUMMYFUNCTION("GOOGLETRANSLATE(D:D,""auto"",""en"")"),"#VALUE!")</f>
        <v>#VALUE!</v>
      </c>
    </row>
    <row r="13596" spans="3:3" ht="13.5" customHeight="1">
      <c r="C13596" s="4" t="str">
        <f ca="1">IFERROR(__xludf.DUMMYFUNCTION("GOOGLETRANSLATE(D:D,""auto"",""en"")"),"#VALUE!")</f>
        <v>#VALUE!</v>
      </c>
    </row>
    <row r="13597" spans="3:3" ht="13.5" customHeight="1">
      <c r="C13597" s="4" t="str">
        <f ca="1">IFERROR(__xludf.DUMMYFUNCTION("GOOGLETRANSLATE(D:D,""auto"",""en"")"),"#VALUE!")</f>
        <v>#VALUE!</v>
      </c>
    </row>
    <row r="13598" spans="3:3" ht="13.5" customHeight="1">
      <c r="C13598" s="4" t="str">
        <f ca="1">IFERROR(__xludf.DUMMYFUNCTION("GOOGLETRANSLATE(D:D,""auto"",""en"")"),"#VALUE!")</f>
        <v>#VALUE!</v>
      </c>
    </row>
    <row r="13599" spans="3:3" ht="13.5" customHeight="1">
      <c r="C13599" s="4" t="str">
        <f ca="1">IFERROR(__xludf.DUMMYFUNCTION("GOOGLETRANSLATE(D:D,""auto"",""en"")"),"#VALUE!")</f>
        <v>#VALUE!</v>
      </c>
    </row>
    <row r="13600" spans="3:3" ht="13.5" customHeight="1">
      <c r="C13600" s="4" t="str">
        <f ca="1">IFERROR(__xludf.DUMMYFUNCTION("GOOGLETRANSLATE(D:D,""auto"",""en"")"),"#VALUE!")</f>
        <v>#VALUE!</v>
      </c>
    </row>
    <row r="13601" spans="3:3" ht="13.5" customHeight="1">
      <c r="C13601" s="4" t="str">
        <f ca="1">IFERROR(__xludf.DUMMYFUNCTION("GOOGLETRANSLATE(D:D,""auto"",""en"")"),"#VALUE!")</f>
        <v>#VALUE!</v>
      </c>
    </row>
    <row r="13602" spans="3:3" ht="13.5" customHeight="1">
      <c r="C13602" s="4" t="str">
        <f ca="1">IFERROR(__xludf.DUMMYFUNCTION("GOOGLETRANSLATE(D:D,""auto"",""en"")"),"#VALUE!")</f>
        <v>#VALUE!</v>
      </c>
    </row>
    <row r="13603" spans="3:3" ht="13.5" customHeight="1">
      <c r="C13603" s="4" t="str">
        <f ca="1">IFERROR(__xludf.DUMMYFUNCTION("GOOGLETRANSLATE(D:D,""auto"",""en"")"),"#VALUE!")</f>
        <v>#VALUE!</v>
      </c>
    </row>
    <row r="13604" spans="3:3" ht="13.5" customHeight="1">
      <c r="C13604" s="4" t="str">
        <f ca="1">IFERROR(__xludf.DUMMYFUNCTION("GOOGLETRANSLATE(D:D,""auto"",""en"")"),"#VALUE!")</f>
        <v>#VALUE!</v>
      </c>
    </row>
    <row r="13605" spans="3:3" ht="13.5" customHeight="1">
      <c r="C13605" s="4" t="str">
        <f ca="1">IFERROR(__xludf.DUMMYFUNCTION("GOOGLETRANSLATE(D:D,""auto"",""en"")"),"#VALUE!")</f>
        <v>#VALUE!</v>
      </c>
    </row>
    <row r="13606" spans="3:3" ht="13.5" customHeight="1">
      <c r="C13606" s="4" t="str">
        <f ca="1">IFERROR(__xludf.DUMMYFUNCTION("GOOGLETRANSLATE(D:D,""auto"",""en"")"),"#VALUE!")</f>
        <v>#VALUE!</v>
      </c>
    </row>
    <row r="13607" spans="3:3" ht="13.5" customHeight="1">
      <c r="C13607" s="4" t="str">
        <f ca="1">IFERROR(__xludf.DUMMYFUNCTION("GOOGLETRANSLATE(D:D,""auto"",""en"")"),"#VALUE!")</f>
        <v>#VALUE!</v>
      </c>
    </row>
    <row r="13608" spans="3:3" ht="13.5" customHeight="1">
      <c r="C13608" s="4" t="str">
        <f ca="1">IFERROR(__xludf.DUMMYFUNCTION("GOOGLETRANSLATE(D:D,""auto"",""en"")"),"#VALUE!")</f>
        <v>#VALUE!</v>
      </c>
    </row>
    <row r="13609" spans="3:3" ht="13.5" customHeight="1">
      <c r="C13609" s="4" t="str">
        <f ca="1">IFERROR(__xludf.DUMMYFUNCTION("GOOGLETRANSLATE(D:D,""auto"",""en"")"),"#VALUE!")</f>
        <v>#VALUE!</v>
      </c>
    </row>
    <row r="13610" spans="3:3" ht="13.5" customHeight="1">
      <c r="C13610" s="4" t="str">
        <f ca="1">IFERROR(__xludf.DUMMYFUNCTION("GOOGLETRANSLATE(D:D,""auto"",""en"")"),"#VALUE!")</f>
        <v>#VALUE!</v>
      </c>
    </row>
    <row r="13611" spans="3:3" ht="13.5" customHeight="1">
      <c r="C13611" s="4" t="str">
        <f ca="1">IFERROR(__xludf.DUMMYFUNCTION("GOOGLETRANSLATE(D:D,""auto"",""en"")"),"#VALUE!")</f>
        <v>#VALUE!</v>
      </c>
    </row>
    <row r="13612" spans="3:3" ht="13.5" customHeight="1">
      <c r="C13612" s="4" t="str">
        <f ca="1">IFERROR(__xludf.DUMMYFUNCTION("GOOGLETRANSLATE(D:D,""auto"",""en"")"),"#VALUE!")</f>
        <v>#VALUE!</v>
      </c>
    </row>
    <row r="13613" spans="3:3" ht="13.5" customHeight="1">
      <c r="C13613" s="4" t="str">
        <f ca="1">IFERROR(__xludf.DUMMYFUNCTION("GOOGLETRANSLATE(D:D,""auto"",""en"")"),"#VALUE!")</f>
        <v>#VALUE!</v>
      </c>
    </row>
    <row r="13614" spans="3:3" ht="13.5" customHeight="1">
      <c r="C13614" s="4" t="str">
        <f ca="1">IFERROR(__xludf.DUMMYFUNCTION("GOOGLETRANSLATE(D:D,""auto"",""en"")"),"#VALUE!")</f>
        <v>#VALUE!</v>
      </c>
    </row>
    <row r="13615" spans="3:3" ht="13.5" customHeight="1">
      <c r="C13615" s="4" t="str">
        <f ca="1">IFERROR(__xludf.DUMMYFUNCTION("GOOGLETRANSLATE(D:D,""auto"",""en"")"),"#VALUE!")</f>
        <v>#VALUE!</v>
      </c>
    </row>
    <row r="13616" spans="3:3" ht="13.5" customHeight="1">
      <c r="C13616" s="4" t="str">
        <f ca="1">IFERROR(__xludf.DUMMYFUNCTION("GOOGLETRANSLATE(D:D,""auto"",""en"")"),"#VALUE!")</f>
        <v>#VALUE!</v>
      </c>
    </row>
    <row r="13617" spans="3:3" ht="13.5" customHeight="1">
      <c r="C13617" s="4" t="str">
        <f ca="1">IFERROR(__xludf.DUMMYFUNCTION("GOOGLETRANSLATE(D:D,""auto"",""en"")"),"#VALUE!")</f>
        <v>#VALUE!</v>
      </c>
    </row>
    <row r="13618" spans="3:3" ht="13.5" customHeight="1">
      <c r="C13618" s="4" t="str">
        <f ca="1">IFERROR(__xludf.DUMMYFUNCTION("GOOGLETRANSLATE(D:D,""auto"",""en"")"),"#VALUE!")</f>
        <v>#VALUE!</v>
      </c>
    </row>
    <row r="13619" spans="3:3" ht="13.5" customHeight="1">
      <c r="C13619" s="4" t="str">
        <f ca="1">IFERROR(__xludf.DUMMYFUNCTION("GOOGLETRANSLATE(D:D,""auto"",""en"")"),"#VALUE!")</f>
        <v>#VALUE!</v>
      </c>
    </row>
    <row r="13620" spans="3:3" ht="13.5" customHeight="1">
      <c r="C13620" s="4" t="str">
        <f ca="1">IFERROR(__xludf.DUMMYFUNCTION("GOOGLETRANSLATE(D:D,""auto"",""en"")"),"#VALUE!")</f>
        <v>#VALUE!</v>
      </c>
    </row>
    <row r="13621" spans="3:3" ht="13.5" customHeight="1">
      <c r="C13621" s="4" t="str">
        <f ca="1">IFERROR(__xludf.DUMMYFUNCTION("GOOGLETRANSLATE(D:D,""auto"",""en"")"),"#VALUE!")</f>
        <v>#VALUE!</v>
      </c>
    </row>
    <row r="13622" spans="3:3" ht="13.5" customHeight="1">
      <c r="C13622" s="4" t="str">
        <f ca="1">IFERROR(__xludf.DUMMYFUNCTION("GOOGLETRANSLATE(D:D,""auto"",""en"")"),"#VALUE!")</f>
        <v>#VALUE!</v>
      </c>
    </row>
    <row r="13623" spans="3:3" ht="13.5" customHeight="1">
      <c r="C13623" s="4" t="str">
        <f ca="1">IFERROR(__xludf.DUMMYFUNCTION("GOOGLETRANSLATE(D:D,""auto"",""en"")"),"#VALUE!")</f>
        <v>#VALUE!</v>
      </c>
    </row>
    <row r="13624" spans="3:3" ht="13.5" customHeight="1">
      <c r="C13624" s="4" t="str">
        <f ca="1">IFERROR(__xludf.DUMMYFUNCTION("GOOGLETRANSLATE(D:D,""auto"",""en"")"),"#VALUE!")</f>
        <v>#VALUE!</v>
      </c>
    </row>
    <row r="13625" spans="3:3" ht="13.5" customHeight="1">
      <c r="C13625" s="4" t="str">
        <f ca="1">IFERROR(__xludf.DUMMYFUNCTION("GOOGLETRANSLATE(D:D,""auto"",""en"")"),"#VALUE!")</f>
        <v>#VALUE!</v>
      </c>
    </row>
    <row r="13626" spans="3:3" ht="13.5" customHeight="1">
      <c r="C13626" s="4" t="str">
        <f ca="1">IFERROR(__xludf.DUMMYFUNCTION("GOOGLETRANSLATE(D:D,""auto"",""en"")"),"#VALUE!")</f>
        <v>#VALUE!</v>
      </c>
    </row>
    <row r="13627" spans="3:3" ht="13.5" customHeight="1">
      <c r="C13627" s="4" t="str">
        <f ca="1">IFERROR(__xludf.DUMMYFUNCTION("GOOGLETRANSLATE(D:D,""auto"",""en"")"),"#VALUE!")</f>
        <v>#VALUE!</v>
      </c>
    </row>
    <row r="13628" spans="3:3" ht="13.5" customHeight="1">
      <c r="C13628" s="4" t="str">
        <f ca="1">IFERROR(__xludf.DUMMYFUNCTION("GOOGLETRANSLATE(D:D,""auto"",""en"")"),"#VALUE!")</f>
        <v>#VALUE!</v>
      </c>
    </row>
    <row r="13629" spans="3:3" ht="13.5" customHeight="1">
      <c r="C13629" s="4" t="str">
        <f ca="1">IFERROR(__xludf.DUMMYFUNCTION("GOOGLETRANSLATE(D:D,""auto"",""en"")"),"#VALUE!")</f>
        <v>#VALUE!</v>
      </c>
    </row>
    <row r="13630" spans="3:3" ht="13.5" customHeight="1">
      <c r="C13630" s="4" t="str">
        <f ca="1">IFERROR(__xludf.DUMMYFUNCTION("GOOGLETRANSLATE(D:D,""auto"",""en"")"),"#VALUE!")</f>
        <v>#VALUE!</v>
      </c>
    </row>
    <row r="13631" spans="3:3" ht="13.5" customHeight="1">
      <c r="C13631" s="4" t="str">
        <f ca="1">IFERROR(__xludf.DUMMYFUNCTION("GOOGLETRANSLATE(D:D,""auto"",""en"")"),"#VALUE!")</f>
        <v>#VALUE!</v>
      </c>
    </row>
    <row r="13632" spans="3:3" ht="13.5" customHeight="1">
      <c r="C13632" s="4" t="str">
        <f ca="1">IFERROR(__xludf.DUMMYFUNCTION("GOOGLETRANSLATE(D:D,""auto"",""en"")"),"#VALUE!")</f>
        <v>#VALUE!</v>
      </c>
    </row>
    <row r="13633" spans="3:3" ht="13.5" customHeight="1">
      <c r="C13633" s="4" t="str">
        <f ca="1">IFERROR(__xludf.DUMMYFUNCTION("GOOGLETRANSLATE(D:D,""auto"",""en"")"),"#VALUE!")</f>
        <v>#VALUE!</v>
      </c>
    </row>
    <row r="13634" spans="3:3" ht="13.5" customHeight="1">
      <c r="C13634" s="4" t="str">
        <f ca="1">IFERROR(__xludf.DUMMYFUNCTION("GOOGLETRANSLATE(D:D,""auto"",""en"")"),"#VALUE!")</f>
        <v>#VALUE!</v>
      </c>
    </row>
    <row r="13635" spans="3:3" ht="13.5" customHeight="1">
      <c r="C13635" s="4" t="str">
        <f ca="1">IFERROR(__xludf.DUMMYFUNCTION("GOOGLETRANSLATE(D:D,""auto"",""en"")"),"#VALUE!")</f>
        <v>#VALUE!</v>
      </c>
    </row>
    <row r="13636" spans="3:3" ht="13.5" customHeight="1">
      <c r="C13636" s="4" t="str">
        <f ca="1">IFERROR(__xludf.DUMMYFUNCTION("GOOGLETRANSLATE(D:D,""auto"",""en"")"),"#VALUE!")</f>
        <v>#VALUE!</v>
      </c>
    </row>
    <row r="13637" spans="3:3" ht="13.5" customHeight="1">
      <c r="C13637" s="4" t="str">
        <f ca="1">IFERROR(__xludf.DUMMYFUNCTION("GOOGLETRANSLATE(D:D,""auto"",""en"")"),"#VALUE!")</f>
        <v>#VALUE!</v>
      </c>
    </row>
    <row r="13638" spans="3:3" ht="13.5" customHeight="1">
      <c r="C13638" s="4" t="str">
        <f ca="1">IFERROR(__xludf.DUMMYFUNCTION("GOOGLETRANSLATE(D:D,""auto"",""en"")"),"#VALUE!")</f>
        <v>#VALUE!</v>
      </c>
    </row>
    <row r="13639" spans="3:3" ht="13.5" customHeight="1">
      <c r="C13639" s="4" t="str">
        <f ca="1">IFERROR(__xludf.DUMMYFUNCTION("GOOGLETRANSLATE(D:D,""auto"",""en"")"),"#VALUE!")</f>
        <v>#VALUE!</v>
      </c>
    </row>
    <row r="13640" spans="3:3" ht="13.5" customHeight="1">
      <c r="C13640" s="4" t="str">
        <f ca="1">IFERROR(__xludf.DUMMYFUNCTION("GOOGLETRANSLATE(D:D,""auto"",""en"")"),"#VALUE!")</f>
        <v>#VALUE!</v>
      </c>
    </row>
    <row r="13641" spans="3:3" ht="13.5" customHeight="1">
      <c r="C13641" s="4" t="str">
        <f ca="1">IFERROR(__xludf.DUMMYFUNCTION("GOOGLETRANSLATE(D:D,""auto"",""en"")"),"#VALUE!")</f>
        <v>#VALUE!</v>
      </c>
    </row>
    <row r="13642" spans="3:3" ht="13.5" customHeight="1">
      <c r="C13642" s="4" t="str">
        <f ca="1">IFERROR(__xludf.DUMMYFUNCTION("GOOGLETRANSLATE(D:D,""auto"",""en"")"),"#VALUE!")</f>
        <v>#VALUE!</v>
      </c>
    </row>
    <row r="13643" spans="3:3" ht="13.5" customHeight="1">
      <c r="C13643" s="4" t="str">
        <f ca="1">IFERROR(__xludf.DUMMYFUNCTION("GOOGLETRANSLATE(D:D,""auto"",""en"")"),"#VALUE!")</f>
        <v>#VALUE!</v>
      </c>
    </row>
    <row r="13644" spans="3:3" ht="13.5" customHeight="1">
      <c r="C13644" s="4" t="str">
        <f ca="1">IFERROR(__xludf.DUMMYFUNCTION("GOOGLETRANSLATE(D:D,""auto"",""en"")"),"#VALUE!")</f>
        <v>#VALUE!</v>
      </c>
    </row>
    <row r="13645" spans="3:3" ht="13.5" customHeight="1">
      <c r="C13645" s="4" t="str">
        <f ca="1">IFERROR(__xludf.DUMMYFUNCTION("GOOGLETRANSLATE(D:D,""auto"",""en"")"),"#VALUE!")</f>
        <v>#VALUE!</v>
      </c>
    </row>
    <row r="13646" spans="3:3" ht="13.5" customHeight="1">
      <c r="C13646" s="4" t="str">
        <f ca="1">IFERROR(__xludf.DUMMYFUNCTION("GOOGLETRANSLATE(D:D,""auto"",""en"")"),"#VALUE!")</f>
        <v>#VALUE!</v>
      </c>
    </row>
    <row r="13647" spans="3:3" ht="13.5" customHeight="1">
      <c r="C13647" s="4" t="str">
        <f ca="1">IFERROR(__xludf.DUMMYFUNCTION("GOOGLETRANSLATE(D:D,""auto"",""en"")"),"#VALUE!")</f>
        <v>#VALUE!</v>
      </c>
    </row>
    <row r="13648" spans="3:3" ht="13.5" customHeight="1">
      <c r="C13648" s="4" t="str">
        <f ca="1">IFERROR(__xludf.DUMMYFUNCTION("GOOGLETRANSLATE(D:D,""auto"",""en"")"),"#VALUE!")</f>
        <v>#VALUE!</v>
      </c>
    </row>
    <row r="13649" spans="3:3" ht="13.5" customHeight="1">
      <c r="C13649" s="4" t="str">
        <f ca="1">IFERROR(__xludf.DUMMYFUNCTION("GOOGLETRANSLATE(D:D,""auto"",""en"")"),"#VALUE!")</f>
        <v>#VALUE!</v>
      </c>
    </row>
    <row r="13650" spans="3:3" ht="13.5" customHeight="1">
      <c r="C13650" s="4" t="str">
        <f ca="1">IFERROR(__xludf.DUMMYFUNCTION("GOOGLETRANSLATE(D:D,""auto"",""en"")"),"#VALUE!")</f>
        <v>#VALUE!</v>
      </c>
    </row>
    <row r="13651" spans="3:3" ht="13.5" customHeight="1">
      <c r="C13651" s="4" t="str">
        <f ca="1">IFERROR(__xludf.DUMMYFUNCTION("GOOGLETRANSLATE(D:D,""auto"",""en"")"),"#VALUE!")</f>
        <v>#VALUE!</v>
      </c>
    </row>
    <row r="13652" spans="3:3" ht="13.5" customHeight="1">
      <c r="C13652" s="4" t="str">
        <f ca="1">IFERROR(__xludf.DUMMYFUNCTION("GOOGLETRANSLATE(D:D,""auto"",""en"")"),"#VALUE!")</f>
        <v>#VALUE!</v>
      </c>
    </row>
    <row r="13653" spans="3:3" ht="13.5" customHeight="1">
      <c r="C13653" s="4" t="str">
        <f ca="1">IFERROR(__xludf.DUMMYFUNCTION("GOOGLETRANSLATE(D:D,""auto"",""en"")"),"#VALUE!")</f>
        <v>#VALUE!</v>
      </c>
    </row>
    <row r="13654" spans="3:3" ht="13.5" customHeight="1">
      <c r="C13654" s="4" t="str">
        <f ca="1">IFERROR(__xludf.DUMMYFUNCTION("GOOGLETRANSLATE(D:D,""auto"",""en"")"),"#VALUE!")</f>
        <v>#VALUE!</v>
      </c>
    </row>
    <row r="13655" spans="3:3" ht="13.5" customHeight="1">
      <c r="C13655" s="4" t="str">
        <f ca="1">IFERROR(__xludf.DUMMYFUNCTION("GOOGLETRANSLATE(D:D,""auto"",""en"")"),"#VALUE!")</f>
        <v>#VALUE!</v>
      </c>
    </row>
    <row r="13656" spans="3:3" ht="13.5" customHeight="1">
      <c r="C13656" s="4" t="str">
        <f ca="1">IFERROR(__xludf.DUMMYFUNCTION("GOOGLETRANSLATE(D:D,""auto"",""en"")"),"#VALUE!")</f>
        <v>#VALUE!</v>
      </c>
    </row>
    <row r="13657" spans="3:3" ht="13.5" customHeight="1">
      <c r="C13657" s="4" t="str">
        <f ca="1">IFERROR(__xludf.DUMMYFUNCTION("GOOGLETRANSLATE(D:D,""auto"",""en"")"),"#VALUE!")</f>
        <v>#VALUE!</v>
      </c>
    </row>
    <row r="13658" spans="3:3" ht="13.5" customHeight="1">
      <c r="C13658" s="4" t="str">
        <f ca="1">IFERROR(__xludf.DUMMYFUNCTION("GOOGLETRANSLATE(D:D,""auto"",""en"")"),"#VALUE!")</f>
        <v>#VALUE!</v>
      </c>
    </row>
    <row r="13659" spans="3:3" ht="13.5" customHeight="1">
      <c r="C13659" s="4" t="str">
        <f ca="1">IFERROR(__xludf.DUMMYFUNCTION("GOOGLETRANSLATE(D:D,""auto"",""en"")"),"#VALUE!")</f>
        <v>#VALUE!</v>
      </c>
    </row>
    <row r="13660" spans="3:3" ht="13.5" customHeight="1">
      <c r="C13660" s="4" t="str">
        <f ca="1">IFERROR(__xludf.DUMMYFUNCTION("GOOGLETRANSLATE(D:D,""auto"",""en"")"),"#VALUE!")</f>
        <v>#VALUE!</v>
      </c>
    </row>
    <row r="13661" spans="3:3" ht="13.5" customHeight="1">
      <c r="C13661" s="4" t="str">
        <f ca="1">IFERROR(__xludf.DUMMYFUNCTION("GOOGLETRANSLATE(D:D,""auto"",""en"")"),"#VALUE!")</f>
        <v>#VALUE!</v>
      </c>
    </row>
    <row r="13662" spans="3:3" ht="13.5" customHeight="1">
      <c r="C13662" s="4" t="str">
        <f ca="1">IFERROR(__xludf.DUMMYFUNCTION("GOOGLETRANSLATE(D:D,""auto"",""en"")"),"#VALUE!")</f>
        <v>#VALUE!</v>
      </c>
    </row>
    <row r="13663" spans="3:3" ht="13.5" customHeight="1">
      <c r="C13663" s="4" t="str">
        <f ca="1">IFERROR(__xludf.DUMMYFUNCTION("GOOGLETRANSLATE(D:D,""auto"",""en"")"),"#VALUE!")</f>
        <v>#VALUE!</v>
      </c>
    </row>
    <row r="13664" spans="3:3" ht="13.5" customHeight="1">
      <c r="C13664" s="4" t="str">
        <f ca="1">IFERROR(__xludf.DUMMYFUNCTION("GOOGLETRANSLATE(D:D,""auto"",""en"")"),"#VALUE!")</f>
        <v>#VALUE!</v>
      </c>
    </row>
    <row r="13665" spans="3:3" ht="13.5" customHeight="1">
      <c r="C13665" s="4" t="str">
        <f ca="1">IFERROR(__xludf.DUMMYFUNCTION("GOOGLETRANSLATE(D:D,""auto"",""en"")"),"#VALUE!")</f>
        <v>#VALUE!</v>
      </c>
    </row>
    <row r="13666" spans="3:3" ht="13.5" customHeight="1">
      <c r="C13666" s="4" t="str">
        <f ca="1">IFERROR(__xludf.DUMMYFUNCTION("GOOGLETRANSLATE(D:D,""auto"",""en"")"),"#VALUE!")</f>
        <v>#VALUE!</v>
      </c>
    </row>
    <row r="13667" spans="3:3" ht="13.5" customHeight="1">
      <c r="C13667" s="4" t="str">
        <f ca="1">IFERROR(__xludf.DUMMYFUNCTION("GOOGLETRANSLATE(D:D,""auto"",""en"")"),"#VALUE!")</f>
        <v>#VALUE!</v>
      </c>
    </row>
    <row r="13668" spans="3:3" ht="13.5" customHeight="1">
      <c r="C13668" s="4" t="str">
        <f ca="1">IFERROR(__xludf.DUMMYFUNCTION("GOOGLETRANSLATE(D:D,""auto"",""en"")"),"#VALUE!")</f>
        <v>#VALUE!</v>
      </c>
    </row>
    <row r="13669" spans="3:3" ht="13.5" customHeight="1">
      <c r="C13669" s="4" t="str">
        <f ca="1">IFERROR(__xludf.DUMMYFUNCTION("GOOGLETRANSLATE(D:D,""auto"",""en"")"),"#VALUE!")</f>
        <v>#VALUE!</v>
      </c>
    </row>
    <row r="13670" spans="3:3" ht="13.5" customHeight="1">
      <c r="C13670" s="4" t="str">
        <f ca="1">IFERROR(__xludf.DUMMYFUNCTION("GOOGLETRANSLATE(D:D,""auto"",""en"")"),"#VALUE!")</f>
        <v>#VALUE!</v>
      </c>
    </row>
    <row r="13671" spans="3:3" ht="13.5" customHeight="1">
      <c r="C13671" s="4" t="str">
        <f ca="1">IFERROR(__xludf.DUMMYFUNCTION("GOOGLETRANSLATE(D:D,""auto"",""en"")"),"#VALUE!")</f>
        <v>#VALUE!</v>
      </c>
    </row>
    <row r="13672" spans="3:3" ht="13.5" customHeight="1">
      <c r="C13672" s="4" t="str">
        <f ca="1">IFERROR(__xludf.DUMMYFUNCTION("GOOGLETRANSLATE(D:D,""auto"",""en"")"),"#VALUE!")</f>
        <v>#VALUE!</v>
      </c>
    </row>
    <row r="13673" spans="3:3" ht="13.5" customHeight="1">
      <c r="C13673" s="4" t="str">
        <f ca="1">IFERROR(__xludf.DUMMYFUNCTION("GOOGLETRANSLATE(D:D,""auto"",""en"")"),"#VALUE!")</f>
        <v>#VALUE!</v>
      </c>
    </row>
    <row r="13674" spans="3:3" ht="13.5" customHeight="1">
      <c r="C13674" s="4" t="str">
        <f ca="1">IFERROR(__xludf.DUMMYFUNCTION("GOOGLETRANSLATE(D:D,""auto"",""en"")"),"#VALUE!")</f>
        <v>#VALUE!</v>
      </c>
    </row>
    <row r="13675" spans="3:3" ht="13.5" customHeight="1">
      <c r="C13675" s="4" t="str">
        <f ca="1">IFERROR(__xludf.DUMMYFUNCTION("GOOGLETRANSLATE(D:D,""auto"",""en"")"),"#VALUE!")</f>
        <v>#VALUE!</v>
      </c>
    </row>
    <row r="13676" spans="3:3" ht="13.5" customHeight="1">
      <c r="C13676" s="4" t="str">
        <f ca="1">IFERROR(__xludf.DUMMYFUNCTION("GOOGLETRANSLATE(D:D,""auto"",""en"")"),"#VALUE!")</f>
        <v>#VALUE!</v>
      </c>
    </row>
    <row r="13677" spans="3:3" ht="13.5" customHeight="1">
      <c r="C13677" s="4" t="str">
        <f ca="1">IFERROR(__xludf.DUMMYFUNCTION("GOOGLETRANSLATE(D:D,""auto"",""en"")"),"#VALUE!")</f>
        <v>#VALUE!</v>
      </c>
    </row>
    <row r="13678" spans="3:3" ht="13.5" customHeight="1">
      <c r="C13678" s="4" t="str">
        <f ca="1">IFERROR(__xludf.DUMMYFUNCTION("GOOGLETRANSLATE(D:D,""auto"",""en"")"),"#VALUE!")</f>
        <v>#VALUE!</v>
      </c>
    </row>
    <row r="13679" spans="3:3" ht="13.5" customHeight="1">
      <c r="C13679" s="4" t="str">
        <f ca="1">IFERROR(__xludf.DUMMYFUNCTION("GOOGLETRANSLATE(D:D,""auto"",""en"")"),"#VALUE!")</f>
        <v>#VALUE!</v>
      </c>
    </row>
    <row r="13680" spans="3:3" ht="13.5" customHeight="1">
      <c r="C13680" s="4" t="str">
        <f ca="1">IFERROR(__xludf.DUMMYFUNCTION("GOOGLETRANSLATE(D:D,""auto"",""en"")"),"#VALUE!")</f>
        <v>#VALUE!</v>
      </c>
    </row>
    <row r="13681" spans="3:3" ht="13.5" customHeight="1">
      <c r="C13681" s="4" t="str">
        <f ca="1">IFERROR(__xludf.DUMMYFUNCTION("GOOGLETRANSLATE(D:D,""auto"",""en"")"),"#VALUE!")</f>
        <v>#VALUE!</v>
      </c>
    </row>
    <row r="13682" spans="3:3" ht="13.5" customHeight="1">
      <c r="C13682" s="4" t="str">
        <f ca="1">IFERROR(__xludf.DUMMYFUNCTION("GOOGLETRANSLATE(D:D,""auto"",""en"")"),"#VALUE!")</f>
        <v>#VALUE!</v>
      </c>
    </row>
    <row r="13683" spans="3:3" ht="13.5" customHeight="1">
      <c r="C13683" s="4" t="str">
        <f ca="1">IFERROR(__xludf.DUMMYFUNCTION("GOOGLETRANSLATE(D:D,""auto"",""en"")"),"#VALUE!")</f>
        <v>#VALUE!</v>
      </c>
    </row>
    <row r="13684" spans="3:3" ht="13.5" customHeight="1">
      <c r="C13684" s="4" t="str">
        <f ca="1">IFERROR(__xludf.DUMMYFUNCTION("GOOGLETRANSLATE(D:D,""auto"",""en"")"),"#VALUE!")</f>
        <v>#VALUE!</v>
      </c>
    </row>
    <row r="13685" spans="3:3" ht="13.5" customHeight="1">
      <c r="C13685" s="4" t="str">
        <f ca="1">IFERROR(__xludf.DUMMYFUNCTION("GOOGLETRANSLATE(D:D,""auto"",""en"")"),"#VALUE!")</f>
        <v>#VALUE!</v>
      </c>
    </row>
    <row r="13686" spans="3:3" ht="13.5" customHeight="1">
      <c r="C13686" s="4" t="str">
        <f ca="1">IFERROR(__xludf.DUMMYFUNCTION("GOOGLETRANSLATE(D:D,""auto"",""en"")"),"#VALUE!")</f>
        <v>#VALUE!</v>
      </c>
    </row>
    <row r="13687" spans="3:3" ht="13.5" customHeight="1">
      <c r="C13687" s="4" t="str">
        <f ca="1">IFERROR(__xludf.DUMMYFUNCTION("GOOGLETRANSLATE(D:D,""auto"",""en"")"),"#VALUE!")</f>
        <v>#VALUE!</v>
      </c>
    </row>
    <row r="13688" spans="3:3" ht="13.5" customHeight="1">
      <c r="C13688" s="4" t="str">
        <f ca="1">IFERROR(__xludf.DUMMYFUNCTION("GOOGLETRANSLATE(D:D,""auto"",""en"")"),"#VALUE!")</f>
        <v>#VALUE!</v>
      </c>
    </row>
    <row r="13689" spans="3:3" ht="13.5" customHeight="1">
      <c r="C13689" s="4" t="str">
        <f ca="1">IFERROR(__xludf.DUMMYFUNCTION("GOOGLETRANSLATE(D:D,""auto"",""en"")"),"#VALUE!")</f>
        <v>#VALUE!</v>
      </c>
    </row>
    <row r="13690" spans="3:3" ht="13.5" customHeight="1">
      <c r="C13690" s="4" t="str">
        <f ca="1">IFERROR(__xludf.DUMMYFUNCTION("GOOGLETRANSLATE(D:D,""auto"",""en"")"),"#VALUE!")</f>
        <v>#VALUE!</v>
      </c>
    </row>
    <row r="13691" spans="3:3" ht="13.5" customHeight="1">
      <c r="C13691" s="4" t="str">
        <f ca="1">IFERROR(__xludf.DUMMYFUNCTION("GOOGLETRANSLATE(D:D,""auto"",""en"")"),"#VALUE!")</f>
        <v>#VALUE!</v>
      </c>
    </row>
    <row r="13692" spans="3:3" ht="13.5" customHeight="1">
      <c r="C13692" s="4" t="str">
        <f ca="1">IFERROR(__xludf.DUMMYFUNCTION("GOOGLETRANSLATE(D:D,""auto"",""en"")"),"#VALUE!")</f>
        <v>#VALUE!</v>
      </c>
    </row>
    <row r="13693" spans="3:3" ht="13.5" customHeight="1">
      <c r="C13693" s="4" t="str">
        <f ca="1">IFERROR(__xludf.DUMMYFUNCTION("GOOGLETRANSLATE(D:D,""auto"",""en"")"),"#VALUE!")</f>
        <v>#VALUE!</v>
      </c>
    </row>
    <row r="13694" spans="3:3" ht="13.5" customHeight="1">
      <c r="C13694" s="4" t="str">
        <f ca="1">IFERROR(__xludf.DUMMYFUNCTION("GOOGLETRANSLATE(D:D,""auto"",""en"")"),"#VALUE!")</f>
        <v>#VALUE!</v>
      </c>
    </row>
    <row r="13695" spans="3:3" ht="13.5" customHeight="1">
      <c r="C13695" s="4" t="str">
        <f ca="1">IFERROR(__xludf.DUMMYFUNCTION("GOOGLETRANSLATE(D:D,""auto"",""en"")"),"#VALUE!")</f>
        <v>#VALUE!</v>
      </c>
    </row>
    <row r="13696" spans="3:3" ht="13.5" customHeight="1">
      <c r="C13696" s="4" t="str">
        <f ca="1">IFERROR(__xludf.DUMMYFUNCTION("GOOGLETRANSLATE(D:D,""auto"",""en"")"),"#VALUE!")</f>
        <v>#VALUE!</v>
      </c>
    </row>
    <row r="13697" spans="3:3" ht="13.5" customHeight="1">
      <c r="C13697" s="4" t="str">
        <f ca="1">IFERROR(__xludf.DUMMYFUNCTION("GOOGLETRANSLATE(D:D,""auto"",""en"")"),"#VALUE!")</f>
        <v>#VALUE!</v>
      </c>
    </row>
    <row r="13698" spans="3:3" ht="13.5" customHeight="1">
      <c r="C13698" s="4" t="str">
        <f ca="1">IFERROR(__xludf.DUMMYFUNCTION("GOOGLETRANSLATE(D:D,""auto"",""en"")"),"#VALUE!")</f>
        <v>#VALUE!</v>
      </c>
    </row>
    <row r="13699" spans="3:3" ht="13.5" customHeight="1">
      <c r="C13699" s="4" t="str">
        <f ca="1">IFERROR(__xludf.DUMMYFUNCTION("GOOGLETRANSLATE(D:D,""auto"",""en"")"),"#VALUE!")</f>
        <v>#VALUE!</v>
      </c>
    </row>
    <row r="13700" spans="3:3" ht="13.5" customHeight="1">
      <c r="C13700" s="4" t="str">
        <f ca="1">IFERROR(__xludf.DUMMYFUNCTION("GOOGLETRANSLATE(D:D,""auto"",""en"")"),"#VALUE!")</f>
        <v>#VALUE!</v>
      </c>
    </row>
    <row r="13701" spans="3:3" ht="13.5" customHeight="1">
      <c r="C13701" s="4" t="str">
        <f ca="1">IFERROR(__xludf.DUMMYFUNCTION("GOOGLETRANSLATE(D:D,""auto"",""en"")"),"#VALUE!")</f>
        <v>#VALUE!</v>
      </c>
    </row>
    <row r="13702" spans="3:3" ht="13.5" customHeight="1">
      <c r="C13702" s="4" t="str">
        <f ca="1">IFERROR(__xludf.DUMMYFUNCTION("GOOGLETRANSLATE(D:D,""auto"",""en"")"),"#VALUE!")</f>
        <v>#VALUE!</v>
      </c>
    </row>
    <row r="13703" spans="3:3" ht="13.5" customHeight="1">
      <c r="C13703" s="4" t="str">
        <f ca="1">IFERROR(__xludf.DUMMYFUNCTION("GOOGLETRANSLATE(D:D,""auto"",""en"")"),"#VALUE!")</f>
        <v>#VALUE!</v>
      </c>
    </row>
    <row r="13704" spans="3:3" ht="13.5" customHeight="1">
      <c r="C13704" s="4" t="str">
        <f ca="1">IFERROR(__xludf.DUMMYFUNCTION("GOOGLETRANSLATE(D:D,""auto"",""en"")"),"#VALUE!")</f>
        <v>#VALUE!</v>
      </c>
    </row>
    <row r="13705" spans="3:3" ht="13.5" customHeight="1">
      <c r="C13705" s="4" t="str">
        <f ca="1">IFERROR(__xludf.DUMMYFUNCTION("GOOGLETRANSLATE(D:D,""auto"",""en"")"),"#VALUE!")</f>
        <v>#VALUE!</v>
      </c>
    </row>
    <row r="13706" spans="3:3" ht="13.5" customHeight="1">
      <c r="C13706" s="4" t="str">
        <f ca="1">IFERROR(__xludf.DUMMYFUNCTION("GOOGLETRANSLATE(D:D,""auto"",""en"")"),"#VALUE!")</f>
        <v>#VALUE!</v>
      </c>
    </row>
    <row r="13707" spans="3:3" ht="13.5" customHeight="1">
      <c r="C13707" s="4" t="str">
        <f ca="1">IFERROR(__xludf.DUMMYFUNCTION("GOOGLETRANSLATE(D:D,""auto"",""en"")"),"#VALUE!")</f>
        <v>#VALUE!</v>
      </c>
    </row>
    <row r="13708" spans="3:3" ht="13.5" customHeight="1">
      <c r="C13708" s="4" t="str">
        <f ca="1">IFERROR(__xludf.DUMMYFUNCTION("GOOGLETRANSLATE(D:D,""auto"",""en"")"),"#VALUE!")</f>
        <v>#VALUE!</v>
      </c>
    </row>
    <row r="13709" spans="3:3" ht="13.5" customHeight="1">
      <c r="C13709" s="4" t="str">
        <f ca="1">IFERROR(__xludf.DUMMYFUNCTION("GOOGLETRANSLATE(D:D,""auto"",""en"")"),"#VALUE!")</f>
        <v>#VALUE!</v>
      </c>
    </row>
    <row r="13710" spans="3:3" ht="13.5" customHeight="1">
      <c r="C13710" s="4" t="str">
        <f ca="1">IFERROR(__xludf.DUMMYFUNCTION("GOOGLETRANSLATE(D:D,""auto"",""en"")"),"#VALUE!")</f>
        <v>#VALUE!</v>
      </c>
    </row>
    <row r="13711" spans="3:3" ht="13.5" customHeight="1">
      <c r="C13711" s="4" t="str">
        <f ca="1">IFERROR(__xludf.DUMMYFUNCTION("GOOGLETRANSLATE(D:D,""auto"",""en"")"),"#VALUE!")</f>
        <v>#VALUE!</v>
      </c>
    </row>
    <row r="13712" spans="3:3" ht="13.5" customHeight="1">
      <c r="C13712" s="4" t="str">
        <f ca="1">IFERROR(__xludf.DUMMYFUNCTION("GOOGLETRANSLATE(D:D,""auto"",""en"")"),"#VALUE!")</f>
        <v>#VALUE!</v>
      </c>
    </row>
    <row r="13713" spans="3:3" ht="13.5" customHeight="1">
      <c r="C13713" s="4" t="str">
        <f ca="1">IFERROR(__xludf.DUMMYFUNCTION("GOOGLETRANSLATE(D:D,""auto"",""en"")"),"#VALUE!")</f>
        <v>#VALUE!</v>
      </c>
    </row>
    <row r="13714" spans="3:3" ht="13.5" customHeight="1">
      <c r="C13714" s="4" t="str">
        <f ca="1">IFERROR(__xludf.DUMMYFUNCTION("GOOGLETRANSLATE(D:D,""auto"",""en"")"),"#VALUE!")</f>
        <v>#VALUE!</v>
      </c>
    </row>
    <row r="13715" spans="3:3" ht="13.5" customHeight="1">
      <c r="C13715" s="4" t="str">
        <f ca="1">IFERROR(__xludf.DUMMYFUNCTION("GOOGLETRANSLATE(D:D,""auto"",""en"")"),"#VALUE!")</f>
        <v>#VALUE!</v>
      </c>
    </row>
    <row r="13716" spans="3:3" ht="13.5" customHeight="1">
      <c r="C13716" s="4" t="str">
        <f ca="1">IFERROR(__xludf.DUMMYFUNCTION("GOOGLETRANSLATE(D:D,""auto"",""en"")"),"#VALUE!")</f>
        <v>#VALUE!</v>
      </c>
    </row>
    <row r="13717" spans="3:3" ht="13.5" customHeight="1">
      <c r="C13717" s="4" t="str">
        <f ca="1">IFERROR(__xludf.DUMMYFUNCTION("GOOGLETRANSLATE(D:D,""auto"",""en"")"),"#VALUE!")</f>
        <v>#VALUE!</v>
      </c>
    </row>
    <row r="13718" spans="3:3" ht="13.5" customHeight="1">
      <c r="C13718" s="4" t="str">
        <f ca="1">IFERROR(__xludf.DUMMYFUNCTION("GOOGLETRANSLATE(D:D,""auto"",""en"")"),"#VALUE!")</f>
        <v>#VALUE!</v>
      </c>
    </row>
    <row r="13719" spans="3:3" ht="13.5" customHeight="1">
      <c r="C13719" s="4" t="str">
        <f ca="1">IFERROR(__xludf.DUMMYFUNCTION("GOOGLETRANSLATE(D:D,""auto"",""en"")"),"#VALUE!")</f>
        <v>#VALUE!</v>
      </c>
    </row>
    <row r="13720" spans="3:3" ht="13.5" customHeight="1">
      <c r="C13720" s="4" t="str">
        <f ca="1">IFERROR(__xludf.DUMMYFUNCTION("GOOGLETRANSLATE(D:D,""auto"",""en"")"),"#VALUE!")</f>
        <v>#VALUE!</v>
      </c>
    </row>
    <row r="13721" spans="3:3" ht="13.5" customHeight="1">
      <c r="C13721" s="4" t="str">
        <f ca="1">IFERROR(__xludf.DUMMYFUNCTION("GOOGLETRANSLATE(D:D,""auto"",""en"")"),"#VALUE!")</f>
        <v>#VALUE!</v>
      </c>
    </row>
    <row r="13722" spans="3:3" ht="13.5" customHeight="1">
      <c r="C13722" s="4" t="str">
        <f ca="1">IFERROR(__xludf.DUMMYFUNCTION("GOOGLETRANSLATE(D:D,""auto"",""en"")"),"#VALUE!")</f>
        <v>#VALUE!</v>
      </c>
    </row>
    <row r="13723" spans="3:3" ht="13.5" customHeight="1">
      <c r="C13723" s="4" t="str">
        <f ca="1">IFERROR(__xludf.DUMMYFUNCTION("GOOGLETRANSLATE(D:D,""auto"",""en"")"),"#VALUE!")</f>
        <v>#VALUE!</v>
      </c>
    </row>
    <row r="13724" spans="3:3" ht="13.5" customHeight="1">
      <c r="C13724" s="4" t="str">
        <f ca="1">IFERROR(__xludf.DUMMYFUNCTION("GOOGLETRANSLATE(D:D,""auto"",""en"")"),"#VALUE!")</f>
        <v>#VALUE!</v>
      </c>
    </row>
    <row r="13725" spans="3:3" ht="13.5" customHeight="1">
      <c r="C13725" s="4" t="str">
        <f ca="1">IFERROR(__xludf.DUMMYFUNCTION("GOOGLETRANSLATE(D:D,""auto"",""en"")"),"#VALUE!")</f>
        <v>#VALUE!</v>
      </c>
    </row>
    <row r="13726" spans="3:3" ht="13.5" customHeight="1">
      <c r="C13726" s="4" t="str">
        <f ca="1">IFERROR(__xludf.DUMMYFUNCTION("GOOGLETRANSLATE(D:D,""auto"",""en"")"),"#VALUE!")</f>
        <v>#VALUE!</v>
      </c>
    </row>
    <row r="13727" spans="3:3" ht="13.5" customHeight="1">
      <c r="C13727" s="4" t="str">
        <f ca="1">IFERROR(__xludf.DUMMYFUNCTION("GOOGLETRANSLATE(D:D,""auto"",""en"")"),"#VALUE!")</f>
        <v>#VALUE!</v>
      </c>
    </row>
    <row r="13728" spans="3:3" ht="13.5" customHeight="1">
      <c r="C13728" s="4" t="str">
        <f ca="1">IFERROR(__xludf.DUMMYFUNCTION("GOOGLETRANSLATE(D:D,""auto"",""en"")"),"#VALUE!")</f>
        <v>#VALUE!</v>
      </c>
    </row>
    <row r="13729" spans="3:3" ht="13.5" customHeight="1">
      <c r="C13729" s="4" t="str">
        <f ca="1">IFERROR(__xludf.DUMMYFUNCTION("GOOGLETRANSLATE(D:D,""auto"",""en"")"),"#VALUE!")</f>
        <v>#VALUE!</v>
      </c>
    </row>
    <row r="13730" spans="3:3" ht="13.5" customHeight="1">
      <c r="C13730" s="4" t="str">
        <f ca="1">IFERROR(__xludf.DUMMYFUNCTION("GOOGLETRANSLATE(D:D,""auto"",""en"")"),"#VALUE!")</f>
        <v>#VALUE!</v>
      </c>
    </row>
    <row r="13731" spans="3:3" ht="13.5" customHeight="1">
      <c r="C13731" s="4" t="str">
        <f ca="1">IFERROR(__xludf.DUMMYFUNCTION("GOOGLETRANSLATE(D:D,""auto"",""en"")"),"#VALUE!")</f>
        <v>#VALUE!</v>
      </c>
    </row>
    <row r="13732" spans="3:3" ht="13.5" customHeight="1">
      <c r="C13732" s="4" t="str">
        <f ca="1">IFERROR(__xludf.DUMMYFUNCTION("GOOGLETRANSLATE(D:D,""auto"",""en"")"),"#VALUE!")</f>
        <v>#VALUE!</v>
      </c>
    </row>
    <row r="13733" spans="3:3" ht="13.5" customHeight="1">
      <c r="C13733" s="4" t="str">
        <f ca="1">IFERROR(__xludf.DUMMYFUNCTION("GOOGLETRANSLATE(D:D,""auto"",""en"")"),"#VALUE!")</f>
        <v>#VALUE!</v>
      </c>
    </row>
    <row r="13734" spans="3:3" ht="13.5" customHeight="1">
      <c r="C13734" s="4" t="str">
        <f ca="1">IFERROR(__xludf.DUMMYFUNCTION("GOOGLETRANSLATE(D:D,""auto"",""en"")"),"#VALUE!")</f>
        <v>#VALUE!</v>
      </c>
    </row>
    <row r="13735" spans="3:3" ht="13.5" customHeight="1">
      <c r="C13735" s="4" t="str">
        <f ca="1">IFERROR(__xludf.DUMMYFUNCTION("GOOGLETRANSLATE(D:D,""auto"",""en"")"),"#VALUE!")</f>
        <v>#VALUE!</v>
      </c>
    </row>
    <row r="13736" spans="3:3" ht="13.5" customHeight="1">
      <c r="C13736" s="4" t="str">
        <f ca="1">IFERROR(__xludf.DUMMYFUNCTION("GOOGLETRANSLATE(D:D,""auto"",""en"")"),"#VALUE!")</f>
        <v>#VALUE!</v>
      </c>
    </row>
    <row r="13737" spans="3:3" ht="13.5" customHeight="1">
      <c r="C13737" s="4" t="str">
        <f ca="1">IFERROR(__xludf.DUMMYFUNCTION("GOOGLETRANSLATE(D:D,""auto"",""en"")"),"#VALUE!")</f>
        <v>#VALUE!</v>
      </c>
    </row>
    <row r="13738" spans="3:3" ht="13.5" customHeight="1">
      <c r="C13738" s="4" t="str">
        <f ca="1">IFERROR(__xludf.DUMMYFUNCTION("GOOGLETRANSLATE(D:D,""auto"",""en"")"),"#VALUE!")</f>
        <v>#VALUE!</v>
      </c>
    </row>
    <row r="13739" spans="3:3" ht="13.5" customHeight="1">
      <c r="C13739" s="4" t="str">
        <f ca="1">IFERROR(__xludf.DUMMYFUNCTION("GOOGLETRANSLATE(D:D,""auto"",""en"")"),"#VALUE!")</f>
        <v>#VALUE!</v>
      </c>
    </row>
    <row r="13740" spans="3:3" ht="13.5" customHeight="1">
      <c r="C13740" s="4" t="str">
        <f ca="1">IFERROR(__xludf.DUMMYFUNCTION("GOOGLETRANSLATE(D:D,""auto"",""en"")"),"#VALUE!")</f>
        <v>#VALUE!</v>
      </c>
    </row>
    <row r="13741" spans="3:3" ht="13.5" customHeight="1">
      <c r="C13741" s="4" t="str">
        <f ca="1">IFERROR(__xludf.DUMMYFUNCTION("GOOGLETRANSLATE(D:D,""auto"",""en"")"),"#VALUE!")</f>
        <v>#VALUE!</v>
      </c>
    </row>
    <row r="13742" spans="3:3" ht="13.5" customHeight="1">
      <c r="C13742" s="4" t="str">
        <f ca="1">IFERROR(__xludf.DUMMYFUNCTION("GOOGLETRANSLATE(D:D,""auto"",""en"")"),"#VALUE!")</f>
        <v>#VALUE!</v>
      </c>
    </row>
    <row r="13743" spans="3:3" ht="13.5" customHeight="1">
      <c r="C13743" s="4" t="str">
        <f ca="1">IFERROR(__xludf.DUMMYFUNCTION("GOOGLETRANSLATE(D:D,""auto"",""en"")"),"#VALUE!")</f>
        <v>#VALUE!</v>
      </c>
    </row>
    <row r="13744" spans="3:3" ht="13.5" customHeight="1">
      <c r="C13744" s="4" t="str">
        <f ca="1">IFERROR(__xludf.DUMMYFUNCTION("GOOGLETRANSLATE(D:D,""auto"",""en"")"),"#VALUE!")</f>
        <v>#VALUE!</v>
      </c>
    </row>
    <row r="13745" spans="3:3" ht="13.5" customHeight="1">
      <c r="C13745" s="4" t="str">
        <f ca="1">IFERROR(__xludf.DUMMYFUNCTION("GOOGLETRANSLATE(D:D,""auto"",""en"")"),"#VALUE!")</f>
        <v>#VALUE!</v>
      </c>
    </row>
    <row r="13746" spans="3:3" ht="13.5" customHeight="1">
      <c r="C13746" s="4" t="str">
        <f ca="1">IFERROR(__xludf.DUMMYFUNCTION("GOOGLETRANSLATE(D:D,""auto"",""en"")"),"#VALUE!")</f>
        <v>#VALUE!</v>
      </c>
    </row>
    <row r="13747" spans="3:3" ht="13.5" customHeight="1">
      <c r="C13747" s="4" t="str">
        <f ca="1">IFERROR(__xludf.DUMMYFUNCTION("GOOGLETRANSLATE(D:D,""auto"",""en"")"),"#VALUE!")</f>
        <v>#VALUE!</v>
      </c>
    </row>
    <row r="13748" spans="3:3" ht="13.5" customHeight="1">
      <c r="C13748" s="4" t="str">
        <f ca="1">IFERROR(__xludf.DUMMYFUNCTION("GOOGLETRANSLATE(D:D,""auto"",""en"")"),"#VALUE!")</f>
        <v>#VALUE!</v>
      </c>
    </row>
    <row r="13749" spans="3:3" ht="13.5" customHeight="1">
      <c r="C13749" s="4" t="str">
        <f ca="1">IFERROR(__xludf.DUMMYFUNCTION("GOOGLETRANSLATE(D:D,""auto"",""en"")"),"#VALUE!")</f>
        <v>#VALUE!</v>
      </c>
    </row>
    <row r="13750" spans="3:3" ht="13.5" customHeight="1">
      <c r="C13750" s="4" t="str">
        <f ca="1">IFERROR(__xludf.DUMMYFUNCTION("GOOGLETRANSLATE(D:D,""auto"",""en"")"),"#VALUE!")</f>
        <v>#VALUE!</v>
      </c>
    </row>
    <row r="13751" spans="3:3" ht="13.5" customHeight="1">
      <c r="C13751" s="4" t="str">
        <f ca="1">IFERROR(__xludf.DUMMYFUNCTION("GOOGLETRANSLATE(D:D,""auto"",""en"")"),"#VALUE!")</f>
        <v>#VALUE!</v>
      </c>
    </row>
    <row r="13752" spans="3:3" ht="13.5" customHeight="1">
      <c r="C13752" s="4" t="str">
        <f ca="1">IFERROR(__xludf.DUMMYFUNCTION("GOOGLETRANSLATE(D:D,""auto"",""en"")"),"#VALUE!")</f>
        <v>#VALUE!</v>
      </c>
    </row>
    <row r="13753" spans="3:3" ht="13.5" customHeight="1">
      <c r="C13753" s="4" t="str">
        <f ca="1">IFERROR(__xludf.DUMMYFUNCTION("GOOGLETRANSLATE(D:D,""auto"",""en"")"),"#VALUE!")</f>
        <v>#VALUE!</v>
      </c>
    </row>
    <row r="13754" spans="3:3" ht="13.5" customHeight="1">
      <c r="C13754" s="4" t="str">
        <f ca="1">IFERROR(__xludf.DUMMYFUNCTION("GOOGLETRANSLATE(D:D,""auto"",""en"")"),"#VALUE!")</f>
        <v>#VALUE!</v>
      </c>
    </row>
    <row r="13755" spans="3:3" ht="13.5" customHeight="1">
      <c r="C13755" s="4" t="str">
        <f ca="1">IFERROR(__xludf.DUMMYFUNCTION("GOOGLETRANSLATE(D:D,""auto"",""en"")"),"#VALUE!")</f>
        <v>#VALUE!</v>
      </c>
    </row>
    <row r="13756" spans="3:3" ht="13.5" customHeight="1">
      <c r="C13756" s="4" t="str">
        <f ca="1">IFERROR(__xludf.DUMMYFUNCTION("GOOGLETRANSLATE(D:D,""auto"",""en"")"),"#VALUE!")</f>
        <v>#VALUE!</v>
      </c>
    </row>
    <row r="13757" spans="3:3" ht="13.5" customHeight="1">
      <c r="C13757" s="4" t="str">
        <f ca="1">IFERROR(__xludf.DUMMYFUNCTION("GOOGLETRANSLATE(D:D,""auto"",""en"")"),"#VALUE!")</f>
        <v>#VALUE!</v>
      </c>
    </row>
    <row r="13758" spans="3:3" ht="13.5" customHeight="1">
      <c r="C13758" s="4" t="str">
        <f ca="1">IFERROR(__xludf.DUMMYFUNCTION("GOOGLETRANSLATE(D:D,""auto"",""en"")"),"#VALUE!")</f>
        <v>#VALUE!</v>
      </c>
    </row>
    <row r="13759" spans="3:3" ht="13.5" customHeight="1">
      <c r="C13759" s="4" t="str">
        <f ca="1">IFERROR(__xludf.DUMMYFUNCTION("GOOGLETRANSLATE(D:D,""auto"",""en"")"),"#VALUE!")</f>
        <v>#VALUE!</v>
      </c>
    </row>
    <row r="13760" spans="3:3" ht="13.5" customHeight="1">
      <c r="C13760" s="4" t="str">
        <f ca="1">IFERROR(__xludf.DUMMYFUNCTION("GOOGLETRANSLATE(D:D,""auto"",""en"")"),"#VALUE!")</f>
        <v>#VALUE!</v>
      </c>
    </row>
    <row r="13761" spans="3:3" ht="13.5" customHeight="1">
      <c r="C13761" s="4" t="str">
        <f ca="1">IFERROR(__xludf.DUMMYFUNCTION("GOOGLETRANSLATE(D:D,""auto"",""en"")"),"#VALUE!")</f>
        <v>#VALUE!</v>
      </c>
    </row>
    <row r="13762" spans="3:3" ht="13.5" customHeight="1">
      <c r="C13762" s="4" t="str">
        <f ca="1">IFERROR(__xludf.DUMMYFUNCTION("GOOGLETRANSLATE(D:D,""auto"",""en"")"),"#VALUE!")</f>
        <v>#VALUE!</v>
      </c>
    </row>
    <row r="13763" spans="3:3" ht="13.5" customHeight="1">
      <c r="C13763" s="4" t="str">
        <f ca="1">IFERROR(__xludf.DUMMYFUNCTION("GOOGLETRANSLATE(D:D,""auto"",""en"")"),"#VALUE!")</f>
        <v>#VALUE!</v>
      </c>
    </row>
    <row r="13764" spans="3:3" ht="13.5" customHeight="1">
      <c r="C13764" s="4" t="str">
        <f ca="1">IFERROR(__xludf.DUMMYFUNCTION("GOOGLETRANSLATE(D:D,""auto"",""en"")"),"#VALUE!")</f>
        <v>#VALUE!</v>
      </c>
    </row>
    <row r="13765" spans="3:3" ht="13.5" customHeight="1">
      <c r="C13765" s="4" t="str">
        <f ca="1">IFERROR(__xludf.DUMMYFUNCTION("GOOGLETRANSLATE(D:D,""auto"",""en"")"),"#VALUE!")</f>
        <v>#VALUE!</v>
      </c>
    </row>
    <row r="13766" spans="3:3" ht="13.5" customHeight="1">
      <c r="C13766" s="4" t="str">
        <f ca="1">IFERROR(__xludf.DUMMYFUNCTION("GOOGLETRANSLATE(D:D,""auto"",""en"")"),"#VALUE!")</f>
        <v>#VALUE!</v>
      </c>
    </row>
    <row r="13767" spans="3:3" ht="13.5" customHeight="1">
      <c r="C13767" s="4" t="str">
        <f ca="1">IFERROR(__xludf.DUMMYFUNCTION("GOOGLETRANSLATE(D:D,""auto"",""en"")"),"#VALUE!")</f>
        <v>#VALUE!</v>
      </c>
    </row>
    <row r="13768" spans="3:3" ht="13.5" customHeight="1">
      <c r="C13768" s="4" t="str">
        <f ca="1">IFERROR(__xludf.DUMMYFUNCTION("GOOGLETRANSLATE(D:D,""auto"",""en"")"),"#VALUE!")</f>
        <v>#VALUE!</v>
      </c>
    </row>
    <row r="13769" spans="3:3" ht="13.5" customHeight="1">
      <c r="C13769" s="4" t="str">
        <f ca="1">IFERROR(__xludf.DUMMYFUNCTION("GOOGLETRANSLATE(D:D,""auto"",""en"")"),"#VALUE!")</f>
        <v>#VALUE!</v>
      </c>
    </row>
    <row r="13770" spans="3:3" ht="13.5" customHeight="1">
      <c r="C13770" s="4" t="str">
        <f ca="1">IFERROR(__xludf.DUMMYFUNCTION("GOOGLETRANSLATE(D:D,""auto"",""en"")"),"#VALUE!")</f>
        <v>#VALUE!</v>
      </c>
    </row>
    <row r="13771" spans="3:3" ht="13.5" customHeight="1">
      <c r="C13771" s="4" t="str">
        <f ca="1">IFERROR(__xludf.DUMMYFUNCTION("GOOGLETRANSLATE(D:D,""auto"",""en"")"),"#VALUE!")</f>
        <v>#VALUE!</v>
      </c>
    </row>
    <row r="13772" spans="3:3" ht="13.5" customHeight="1">
      <c r="C13772" s="4" t="str">
        <f ca="1">IFERROR(__xludf.DUMMYFUNCTION("GOOGLETRANSLATE(D:D,""auto"",""en"")"),"#VALUE!")</f>
        <v>#VALUE!</v>
      </c>
    </row>
    <row r="13773" spans="3:3" ht="13.5" customHeight="1">
      <c r="C13773" s="4" t="str">
        <f ca="1">IFERROR(__xludf.DUMMYFUNCTION("GOOGLETRANSLATE(D:D,""auto"",""en"")"),"#VALUE!")</f>
        <v>#VALUE!</v>
      </c>
    </row>
    <row r="13774" spans="3:3" ht="13.5" customHeight="1">
      <c r="C13774" s="4" t="str">
        <f ca="1">IFERROR(__xludf.DUMMYFUNCTION("GOOGLETRANSLATE(D:D,""auto"",""en"")"),"#VALUE!")</f>
        <v>#VALUE!</v>
      </c>
    </row>
    <row r="13775" spans="3:3" ht="13.5" customHeight="1">
      <c r="C13775" s="4" t="str">
        <f ca="1">IFERROR(__xludf.DUMMYFUNCTION("GOOGLETRANSLATE(D:D,""auto"",""en"")"),"#VALUE!")</f>
        <v>#VALUE!</v>
      </c>
    </row>
    <row r="13776" spans="3:3" ht="13.5" customHeight="1">
      <c r="C13776" s="4" t="str">
        <f ca="1">IFERROR(__xludf.DUMMYFUNCTION("GOOGLETRANSLATE(D:D,""auto"",""en"")"),"#VALUE!")</f>
        <v>#VALUE!</v>
      </c>
    </row>
    <row r="13777" spans="3:3" ht="13.5" customHeight="1">
      <c r="C13777" s="4" t="str">
        <f ca="1">IFERROR(__xludf.DUMMYFUNCTION("GOOGLETRANSLATE(D:D,""auto"",""en"")"),"#VALUE!")</f>
        <v>#VALUE!</v>
      </c>
    </row>
    <row r="13778" spans="3:3" ht="13.5" customHeight="1">
      <c r="C13778" s="4" t="str">
        <f ca="1">IFERROR(__xludf.DUMMYFUNCTION("GOOGLETRANSLATE(D:D,""auto"",""en"")"),"#VALUE!")</f>
        <v>#VALUE!</v>
      </c>
    </row>
    <row r="13779" spans="3:3" ht="13.5" customHeight="1">
      <c r="C13779" s="4" t="str">
        <f ca="1">IFERROR(__xludf.DUMMYFUNCTION("GOOGLETRANSLATE(D:D,""auto"",""en"")"),"#VALUE!")</f>
        <v>#VALUE!</v>
      </c>
    </row>
    <row r="13780" spans="3:3" ht="13.5" customHeight="1">
      <c r="C13780" s="4" t="str">
        <f ca="1">IFERROR(__xludf.DUMMYFUNCTION("GOOGLETRANSLATE(D:D,""auto"",""en"")"),"#VALUE!")</f>
        <v>#VALUE!</v>
      </c>
    </row>
    <row r="13781" spans="3:3" ht="13.5" customHeight="1">
      <c r="C13781" s="4" t="str">
        <f ca="1">IFERROR(__xludf.DUMMYFUNCTION("GOOGLETRANSLATE(D:D,""auto"",""en"")"),"#VALUE!")</f>
        <v>#VALUE!</v>
      </c>
    </row>
    <row r="13782" spans="3:3" ht="13.5" customHeight="1">
      <c r="C13782" s="4" t="str">
        <f ca="1">IFERROR(__xludf.DUMMYFUNCTION("GOOGLETRANSLATE(D:D,""auto"",""en"")"),"#VALUE!")</f>
        <v>#VALUE!</v>
      </c>
    </row>
    <row r="13783" spans="3:3" ht="13.5" customHeight="1">
      <c r="C13783" s="4" t="str">
        <f ca="1">IFERROR(__xludf.DUMMYFUNCTION("GOOGLETRANSLATE(D:D,""auto"",""en"")"),"#VALUE!")</f>
        <v>#VALUE!</v>
      </c>
    </row>
    <row r="13784" spans="3:3" ht="13.5" customHeight="1">
      <c r="C13784" s="4" t="str">
        <f ca="1">IFERROR(__xludf.DUMMYFUNCTION("GOOGLETRANSLATE(D:D,""auto"",""en"")"),"#VALUE!")</f>
        <v>#VALUE!</v>
      </c>
    </row>
    <row r="13785" spans="3:3" ht="13.5" customHeight="1">
      <c r="C13785" s="4" t="str">
        <f ca="1">IFERROR(__xludf.DUMMYFUNCTION("GOOGLETRANSLATE(D:D,""auto"",""en"")"),"#VALUE!")</f>
        <v>#VALUE!</v>
      </c>
    </row>
    <row r="13786" spans="3:3" ht="13.5" customHeight="1">
      <c r="C13786" s="4" t="str">
        <f ca="1">IFERROR(__xludf.DUMMYFUNCTION("GOOGLETRANSLATE(D:D,""auto"",""en"")"),"#VALUE!")</f>
        <v>#VALUE!</v>
      </c>
    </row>
    <row r="13787" spans="3:3" ht="13.5" customHeight="1">
      <c r="C13787" s="4" t="str">
        <f ca="1">IFERROR(__xludf.DUMMYFUNCTION("GOOGLETRANSLATE(D:D,""auto"",""en"")"),"#VALUE!")</f>
        <v>#VALUE!</v>
      </c>
    </row>
    <row r="13788" spans="3:3" ht="13.5" customHeight="1">
      <c r="C13788" s="4" t="str">
        <f ca="1">IFERROR(__xludf.DUMMYFUNCTION("GOOGLETRANSLATE(D:D,""auto"",""en"")"),"#VALUE!")</f>
        <v>#VALUE!</v>
      </c>
    </row>
    <row r="13789" spans="3:3" ht="13.5" customHeight="1">
      <c r="C13789" s="4" t="str">
        <f ca="1">IFERROR(__xludf.DUMMYFUNCTION("GOOGLETRANSLATE(D:D,""auto"",""en"")"),"#VALUE!")</f>
        <v>#VALUE!</v>
      </c>
    </row>
    <row r="13790" spans="3:3" ht="13.5" customHeight="1">
      <c r="C13790" s="4" t="str">
        <f ca="1">IFERROR(__xludf.DUMMYFUNCTION("GOOGLETRANSLATE(D:D,""auto"",""en"")"),"#VALUE!")</f>
        <v>#VALUE!</v>
      </c>
    </row>
    <row r="13791" spans="3:3" ht="13.5" customHeight="1">
      <c r="C13791" s="4" t="str">
        <f ca="1">IFERROR(__xludf.DUMMYFUNCTION("GOOGLETRANSLATE(D:D,""auto"",""en"")"),"#VALUE!")</f>
        <v>#VALUE!</v>
      </c>
    </row>
    <row r="13792" spans="3:3" ht="13.5" customHeight="1">
      <c r="C13792" s="4" t="str">
        <f ca="1">IFERROR(__xludf.DUMMYFUNCTION("GOOGLETRANSLATE(D:D,""auto"",""en"")"),"#VALUE!")</f>
        <v>#VALUE!</v>
      </c>
    </row>
    <row r="13793" spans="3:3" ht="13.5" customHeight="1">
      <c r="C13793" s="4" t="str">
        <f ca="1">IFERROR(__xludf.DUMMYFUNCTION("GOOGLETRANSLATE(D:D,""auto"",""en"")"),"#VALUE!")</f>
        <v>#VALUE!</v>
      </c>
    </row>
    <row r="13794" spans="3:3" ht="13.5" customHeight="1">
      <c r="C13794" s="4" t="str">
        <f ca="1">IFERROR(__xludf.DUMMYFUNCTION("GOOGLETRANSLATE(D:D,""auto"",""en"")"),"#VALUE!")</f>
        <v>#VALUE!</v>
      </c>
    </row>
    <row r="13795" spans="3:3" ht="13.5" customHeight="1">
      <c r="C13795" s="4" t="str">
        <f ca="1">IFERROR(__xludf.DUMMYFUNCTION("GOOGLETRANSLATE(D:D,""auto"",""en"")"),"#VALUE!")</f>
        <v>#VALUE!</v>
      </c>
    </row>
    <row r="13796" spans="3:3" ht="13.5" customHeight="1">
      <c r="C13796" s="4" t="str">
        <f ca="1">IFERROR(__xludf.DUMMYFUNCTION("GOOGLETRANSLATE(D:D,""auto"",""en"")"),"#VALUE!")</f>
        <v>#VALUE!</v>
      </c>
    </row>
    <row r="13797" spans="3:3" ht="13.5" customHeight="1">
      <c r="C13797" s="4" t="str">
        <f ca="1">IFERROR(__xludf.DUMMYFUNCTION("GOOGLETRANSLATE(D:D,""auto"",""en"")"),"#VALUE!")</f>
        <v>#VALUE!</v>
      </c>
    </row>
    <row r="13798" spans="3:3" ht="13.5" customHeight="1">
      <c r="C13798" s="4" t="str">
        <f ca="1">IFERROR(__xludf.DUMMYFUNCTION("GOOGLETRANSLATE(D:D,""auto"",""en"")"),"#VALUE!")</f>
        <v>#VALUE!</v>
      </c>
    </row>
    <row r="13799" spans="3:3" ht="13.5" customHeight="1">
      <c r="C13799" s="4" t="str">
        <f ca="1">IFERROR(__xludf.DUMMYFUNCTION("GOOGLETRANSLATE(D:D,""auto"",""en"")"),"#VALUE!")</f>
        <v>#VALUE!</v>
      </c>
    </row>
    <row r="13800" spans="3:3" ht="13.5" customHeight="1">
      <c r="C13800" s="4" t="str">
        <f ca="1">IFERROR(__xludf.DUMMYFUNCTION("GOOGLETRANSLATE(D:D,""auto"",""en"")"),"#VALUE!")</f>
        <v>#VALUE!</v>
      </c>
    </row>
    <row r="13801" spans="3:3" ht="13.5" customHeight="1">
      <c r="C13801" s="4" t="str">
        <f ca="1">IFERROR(__xludf.DUMMYFUNCTION("GOOGLETRANSLATE(D:D,""auto"",""en"")"),"#VALUE!")</f>
        <v>#VALUE!</v>
      </c>
    </row>
    <row r="13802" spans="3:3" ht="13.5" customHeight="1">
      <c r="C13802" s="4" t="str">
        <f ca="1">IFERROR(__xludf.DUMMYFUNCTION("GOOGLETRANSLATE(D:D,""auto"",""en"")"),"#VALUE!")</f>
        <v>#VALUE!</v>
      </c>
    </row>
    <row r="13803" spans="3:3" ht="13.5" customHeight="1">
      <c r="C13803" s="4" t="str">
        <f ca="1">IFERROR(__xludf.DUMMYFUNCTION("GOOGLETRANSLATE(D:D,""auto"",""en"")"),"#VALUE!")</f>
        <v>#VALUE!</v>
      </c>
    </row>
    <row r="13804" spans="3:3" ht="13.5" customHeight="1">
      <c r="C13804" s="4" t="str">
        <f ca="1">IFERROR(__xludf.DUMMYFUNCTION("GOOGLETRANSLATE(D:D,""auto"",""en"")"),"#VALUE!")</f>
        <v>#VALUE!</v>
      </c>
    </row>
    <row r="13805" spans="3:3" ht="13.5" customHeight="1">
      <c r="C13805" s="4" t="str">
        <f ca="1">IFERROR(__xludf.DUMMYFUNCTION("GOOGLETRANSLATE(D:D,""auto"",""en"")"),"#VALUE!")</f>
        <v>#VALUE!</v>
      </c>
    </row>
    <row r="13806" spans="3:3" ht="13.5" customHeight="1">
      <c r="C13806" s="4" t="str">
        <f ca="1">IFERROR(__xludf.DUMMYFUNCTION("GOOGLETRANSLATE(D:D,""auto"",""en"")"),"#VALUE!")</f>
        <v>#VALUE!</v>
      </c>
    </row>
    <row r="13807" spans="3:3" ht="13.5" customHeight="1">
      <c r="C13807" s="4" t="str">
        <f ca="1">IFERROR(__xludf.DUMMYFUNCTION("GOOGLETRANSLATE(D:D,""auto"",""en"")"),"#VALUE!")</f>
        <v>#VALUE!</v>
      </c>
    </row>
    <row r="13808" spans="3:3" ht="13.5" customHeight="1">
      <c r="C13808" s="4" t="str">
        <f ca="1">IFERROR(__xludf.DUMMYFUNCTION("GOOGLETRANSLATE(D:D,""auto"",""en"")"),"#VALUE!")</f>
        <v>#VALUE!</v>
      </c>
    </row>
    <row r="13809" spans="3:3" ht="13.5" customHeight="1">
      <c r="C13809" s="4" t="str">
        <f ca="1">IFERROR(__xludf.DUMMYFUNCTION("GOOGLETRANSLATE(D:D,""auto"",""en"")"),"#VALUE!")</f>
        <v>#VALUE!</v>
      </c>
    </row>
    <row r="13810" spans="3:3" ht="13.5" customHeight="1">
      <c r="C13810" s="4" t="str">
        <f ca="1">IFERROR(__xludf.DUMMYFUNCTION("GOOGLETRANSLATE(D:D,""auto"",""en"")"),"#VALUE!")</f>
        <v>#VALUE!</v>
      </c>
    </row>
    <row r="13811" spans="3:3" ht="13.5" customHeight="1">
      <c r="C13811" s="4" t="str">
        <f ca="1">IFERROR(__xludf.DUMMYFUNCTION("GOOGLETRANSLATE(D:D,""auto"",""en"")"),"#VALUE!")</f>
        <v>#VALUE!</v>
      </c>
    </row>
    <row r="13812" spans="3:3" ht="13.5" customHeight="1">
      <c r="C13812" s="4" t="str">
        <f ca="1">IFERROR(__xludf.DUMMYFUNCTION("GOOGLETRANSLATE(D:D,""auto"",""en"")"),"#VALUE!")</f>
        <v>#VALUE!</v>
      </c>
    </row>
    <row r="13813" spans="3:3" ht="13.5" customHeight="1">
      <c r="C13813" s="4" t="str">
        <f ca="1">IFERROR(__xludf.DUMMYFUNCTION("GOOGLETRANSLATE(D:D,""auto"",""en"")"),"#VALUE!")</f>
        <v>#VALUE!</v>
      </c>
    </row>
    <row r="13814" spans="3:3" ht="13.5" customHeight="1">
      <c r="C13814" s="4" t="str">
        <f ca="1">IFERROR(__xludf.DUMMYFUNCTION("GOOGLETRANSLATE(D:D,""auto"",""en"")"),"#VALUE!")</f>
        <v>#VALUE!</v>
      </c>
    </row>
    <row r="13815" spans="3:3" ht="13.5" customHeight="1">
      <c r="C13815" s="4" t="str">
        <f ca="1">IFERROR(__xludf.DUMMYFUNCTION("GOOGLETRANSLATE(D:D,""auto"",""en"")"),"#VALUE!")</f>
        <v>#VALUE!</v>
      </c>
    </row>
    <row r="13816" spans="3:3" ht="13.5" customHeight="1">
      <c r="C13816" s="4" t="str">
        <f ca="1">IFERROR(__xludf.DUMMYFUNCTION("GOOGLETRANSLATE(D:D,""auto"",""en"")"),"#VALUE!")</f>
        <v>#VALUE!</v>
      </c>
    </row>
    <row r="13817" spans="3:3" ht="13.5" customHeight="1">
      <c r="C13817" s="4" t="str">
        <f ca="1">IFERROR(__xludf.DUMMYFUNCTION("GOOGLETRANSLATE(D:D,""auto"",""en"")"),"#VALUE!")</f>
        <v>#VALUE!</v>
      </c>
    </row>
    <row r="13818" spans="3:3" ht="13.5" customHeight="1">
      <c r="C13818" s="4" t="str">
        <f ca="1">IFERROR(__xludf.DUMMYFUNCTION("GOOGLETRANSLATE(D:D,""auto"",""en"")"),"#VALUE!")</f>
        <v>#VALUE!</v>
      </c>
    </row>
    <row r="13819" spans="3:3" ht="13.5" customHeight="1">
      <c r="C13819" s="4" t="str">
        <f ca="1">IFERROR(__xludf.DUMMYFUNCTION("GOOGLETRANSLATE(D:D,""auto"",""en"")"),"#VALUE!")</f>
        <v>#VALUE!</v>
      </c>
    </row>
    <row r="13820" spans="3:3" ht="13.5" customHeight="1">
      <c r="C13820" s="4" t="str">
        <f ca="1">IFERROR(__xludf.DUMMYFUNCTION("GOOGLETRANSLATE(D:D,""auto"",""en"")"),"#VALUE!")</f>
        <v>#VALUE!</v>
      </c>
    </row>
    <row r="13821" spans="3:3" ht="13.5" customHeight="1">
      <c r="C13821" s="4" t="str">
        <f ca="1">IFERROR(__xludf.DUMMYFUNCTION("GOOGLETRANSLATE(D:D,""auto"",""en"")"),"#VALUE!")</f>
        <v>#VALUE!</v>
      </c>
    </row>
    <row r="13822" spans="3:3" ht="13.5" customHeight="1">
      <c r="C13822" s="4" t="str">
        <f ca="1">IFERROR(__xludf.DUMMYFUNCTION("GOOGLETRANSLATE(D:D,""auto"",""en"")"),"#VALUE!")</f>
        <v>#VALUE!</v>
      </c>
    </row>
    <row r="13823" spans="3:3" ht="13.5" customHeight="1">
      <c r="C13823" s="4" t="str">
        <f ca="1">IFERROR(__xludf.DUMMYFUNCTION("GOOGLETRANSLATE(D:D,""auto"",""en"")"),"#VALUE!")</f>
        <v>#VALUE!</v>
      </c>
    </row>
    <row r="13824" spans="3:3" ht="13.5" customHeight="1">
      <c r="C13824" s="4" t="str">
        <f ca="1">IFERROR(__xludf.DUMMYFUNCTION("GOOGLETRANSLATE(D:D,""auto"",""en"")"),"#VALUE!")</f>
        <v>#VALUE!</v>
      </c>
    </row>
    <row r="13825" spans="3:3" ht="13.5" customHeight="1">
      <c r="C13825" s="4" t="str">
        <f ca="1">IFERROR(__xludf.DUMMYFUNCTION("GOOGLETRANSLATE(D:D,""auto"",""en"")"),"#VALUE!")</f>
        <v>#VALUE!</v>
      </c>
    </row>
    <row r="13826" spans="3:3" ht="13.5" customHeight="1">
      <c r="C13826" s="4" t="str">
        <f ca="1">IFERROR(__xludf.DUMMYFUNCTION("GOOGLETRANSLATE(D:D,""auto"",""en"")"),"#VALUE!")</f>
        <v>#VALUE!</v>
      </c>
    </row>
    <row r="13827" spans="3:3" ht="13.5" customHeight="1">
      <c r="C13827" s="4" t="str">
        <f ca="1">IFERROR(__xludf.DUMMYFUNCTION("GOOGLETRANSLATE(D:D,""auto"",""en"")"),"#VALUE!")</f>
        <v>#VALUE!</v>
      </c>
    </row>
    <row r="13828" spans="3:3" ht="13.5" customHeight="1">
      <c r="C13828" s="4" t="str">
        <f ca="1">IFERROR(__xludf.DUMMYFUNCTION("GOOGLETRANSLATE(D:D,""auto"",""en"")"),"#VALUE!")</f>
        <v>#VALUE!</v>
      </c>
    </row>
    <row r="13829" spans="3:3" ht="13.5" customHeight="1">
      <c r="C13829" s="4" t="str">
        <f ca="1">IFERROR(__xludf.DUMMYFUNCTION("GOOGLETRANSLATE(D:D,""auto"",""en"")"),"#VALUE!")</f>
        <v>#VALUE!</v>
      </c>
    </row>
    <row r="13830" spans="3:3" ht="13.5" customHeight="1">
      <c r="C13830" s="4" t="str">
        <f ca="1">IFERROR(__xludf.DUMMYFUNCTION("GOOGLETRANSLATE(D:D,""auto"",""en"")"),"#VALUE!")</f>
        <v>#VALUE!</v>
      </c>
    </row>
    <row r="13831" spans="3:3" ht="13.5" customHeight="1">
      <c r="C13831" s="4" t="str">
        <f ca="1">IFERROR(__xludf.DUMMYFUNCTION("GOOGLETRANSLATE(D:D,""auto"",""en"")"),"#VALUE!")</f>
        <v>#VALUE!</v>
      </c>
    </row>
    <row r="13832" spans="3:3" ht="13.5" customHeight="1">
      <c r="C13832" s="4" t="str">
        <f ca="1">IFERROR(__xludf.DUMMYFUNCTION("GOOGLETRANSLATE(D:D,""auto"",""en"")"),"#VALUE!")</f>
        <v>#VALUE!</v>
      </c>
    </row>
    <row r="13833" spans="3:3" ht="13.5" customHeight="1">
      <c r="C13833" s="4" t="str">
        <f ca="1">IFERROR(__xludf.DUMMYFUNCTION("GOOGLETRANSLATE(D:D,""auto"",""en"")"),"#VALUE!")</f>
        <v>#VALUE!</v>
      </c>
    </row>
    <row r="13834" spans="3:3" ht="13.5" customHeight="1">
      <c r="C13834" s="4" t="str">
        <f ca="1">IFERROR(__xludf.DUMMYFUNCTION("GOOGLETRANSLATE(D:D,""auto"",""en"")"),"#VALUE!")</f>
        <v>#VALUE!</v>
      </c>
    </row>
    <row r="13835" spans="3:3" ht="13.5" customHeight="1">
      <c r="C13835" s="4" t="str">
        <f ca="1">IFERROR(__xludf.DUMMYFUNCTION("GOOGLETRANSLATE(D:D,""auto"",""en"")"),"#VALUE!")</f>
        <v>#VALUE!</v>
      </c>
    </row>
    <row r="13836" spans="3:3" ht="13.5" customHeight="1">
      <c r="C13836" s="4" t="str">
        <f ca="1">IFERROR(__xludf.DUMMYFUNCTION("GOOGLETRANSLATE(D:D,""auto"",""en"")"),"#VALUE!")</f>
        <v>#VALUE!</v>
      </c>
    </row>
    <row r="13837" spans="3:3" ht="13.5" customHeight="1">
      <c r="C13837" s="4" t="str">
        <f ca="1">IFERROR(__xludf.DUMMYFUNCTION("GOOGLETRANSLATE(D:D,""auto"",""en"")"),"#VALUE!")</f>
        <v>#VALUE!</v>
      </c>
    </row>
    <row r="13838" spans="3:3" ht="13.5" customHeight="1">
      <c r="C13838" s="4" t="str">
        <f ca="1">IFERROR(__xludf.DUMMYFUNCTION("GOOGLETRANSLATE(D:D,""auto"",""en"")"),"#VALUE!")</f>
        <v>#VALUE!</v>
      </c>
    </row>
    <row r="13839" spans="3:3" ht="13.5" customHeight="1">
      <c r="C13839" s="4" t="str">
        <f ca="1">IFERROR(__xludf.DUMMYFUNCTION("GOOGLETRANSLATE(D:D,""auto"",""en"")"),"#VALUE!")</f>
        <v>#VALUE!</v>
      </c>
    </row>
    <row r="13840" spans="3:3" ht="13.5" customHeight="1">
      <c r="C13840" s="4" t="str">
        <f ca="1">IFERROR(__xludf.DUMMYFUNCTION("GOOGLETRANSLATE(D:D,""auto"",""en"")"),"#VALUE!")</f>
        <v>#VALUE!</v>
      </c>
    </row>
    <row r="13841" spans="3:3" ht="13.5" customHeight="1">
      <c r="C13841" s="4" t="str">
        <f ca="1">IFERROR(__xludf.DUMMYFUNCTION("GOOGLETRANSLATE(D:D,""auto"",""en"")"),"#VALUE!")</f>
        <v>#VALUE!</v>
      </c>
    </row>
    <row r="13842" spans="3:3" ht="13.5" customHeight="1">
      <c r="C13842" s="4" t="str">
        <f ca="1">IFERROR(__xludf.DUMMYFUNCTION("GOOGLETRANSLATE(D:D,""auto"",""en"")"),"#VALUE!")</f>
        <v>#VALUE!</v>
      </c>
    </row>
    <row r="13843" spans="3:3" ht="13.5" customHeight="1">
      <c r="C13843" s="4" t="str">
        <f ca="1">IFERROR(__xludf.DUMMYFUNCTION("GOOGLETRANSLATE(D:D,""auto"",""en"")"),"#VALUE!")</f>
        <v>#VALUE!</v>
      </c>
    </row>
    <row r="13844" spans="3:3" ht="13.5" customHeight="1">
      <c r="C13844" s="4" t="str">
        <f ca="1">IFERROR(__xludf.DUMMYFUNCTION("GOOGLETRANSLATE(D:D,""auto"",""en"")"),"#VALUE!")</f>
        <v>#VALUE!</v>
      </c>
    </row>
    <row r="13845" spans="3:3" ht="13.5" customHeight="1">
      <c r="C13845" s="4" t="str">
        <f ca="1">IFERROR(__xludf.DUMMYFUNCTION("GOOGLETRANSLATE(D:D,""auto"",""en"")"),"#VALUE!")</f>
        <v>#VALUE!</v>
      </c>
    </row>
    <row r="13846" spans="3:3" ht="13.5" customHeight="1">
      <c r="C13846" s="4" t="str">
        <f ca="1">IFERROR(__xludf.DUMMYFUNCTION("GOOGLETRANSLATE(D:D,""auto"",""en"")"),"#VALUE!")</f>
        <v>#VALUE!</v>
      </c>
    </row>
    <row r="13847" spans="3:3" ht="13.5" customHeight="1">
      <c r="C13847" s="4" t="str">
        <f ca="1">IFERROR(__xludf.DUMMYFUNCTION("GOOGLETRANSLATE(D:D,""auto"",""en"")"),"#VALUE!")</f>
        <v>#VALUE!</v>
      </c>
    </row>
    <row r="13848" spans="3:3" ht="13.5" customHeight="1">
      <c r="C13848" s="4" t="str">
        <f ca="1">IFERROR(__xludf.DUMMYFUNCTION("GOOGLETRANSLATE(D:D,""auto"",""en"")"),"#VALUE!")</f>
        <v>#VALUE!</v>
      </c>
    </row>
    <row r="13849" spans="3:3" ht="13.5" customHeight="1">
      <c r="C13849" s="4" t="str">
        <f ca="1">IFERROR(__xludf.DUMMYFUNCTION("GOOGLETRANSLATE(D:D,""auto"",""en"")"),"#VALUE!")</f>
        <v>#VALUE!</v>
      </c>
    </row>
    <row r="13850" spans="3:3" ht="13.5" customHeight="1">
      <c r="C13850" s="4" t="str">
        <f ca="1">IFERROR(__xludf.DUMMYFUNCTION("GOOGLETRANSLATE(D:D,""auto"",""en"")"),"#VALUE!")</f>
        <v>#VALUE!</v>
      </c>
    </row>
    <row r="13851" spans="3:3" ht="13.5" customHeight="1">
      <c r="C13851" s="4" t="str">
        <f ca="1">IFERROR(__xludf.DUMMYFUNCTION("GOOGLETRANSLATE(D:D,""auto"",""en"")"),"#VALUE!")</f>
        <v>#VALUE!</v>
      </c>
    </row>
    <row r="13852" spans="3:3" ht="13.5" customHeight="1">
      <c r="C13852" s="4" t="str">
        <f ca="1">IFERROR(__xludf.DUMMYFUNCTION("GOOGLETRANSLATE(D:D,""auto"",""en"")"),"#VALUE!")</f>
        <v>#VALUE!</v>
      </c>
    </row>
    <row r="13853" spans="3:3" ht="13.5" customHeight="1">
      <c r="C13853" s="4" t="str">
        <f ca="1">IFERROR(__xludf.DUMMYFUNCTION("GOOGLETRANSLATE(D:D,""auto"",""en"")"),"#VALUE!")</f>
        <v>#VALUE!</v>
      </c>
    </row>
    <row r="13854" spans="3:3" ht="13.5" customHeight="1">
      <c r="C13854" s="4" t="str">
        <f ca="1">IFERROR(__xludf.DUMMYFUNCTION("GOOGLETRANSLATE(D:D,""auto"",""en"")"),"#VALUE!")</f>
        <v>#VALUE!</v>
      </c>
    </row>
    <row r="13855" spans="3:3" ht="13.5" customHeight="1">
      <c r="C13855" s="4" t="str">
        <f ca="1">IFERROR(__xludf.DUMMYFUNCTION("GOOGLETRANSLATE(D:D,""auto"",""en"")"),"#VALUE!")</f>
        <v>#VALUE!</v>
      </c>
    </row>
    <row r="13856" spans="3:3" ht="13.5" customHeight="1">
      <c r="C13856" s="4" t="str">
        <f ca="1">IFERROR(__xludf.DUMMYFUNCTION("GOOGLETRANSLATE(D:D,""auto"",""en"")"),"#VALUE!")</f>
        <v>#VALUE!</v>
      </c>
    </row>
    <row r="13857" spans="3:3" ht="13.5" customHeight="1">
      <c r="C13857" s="4" t="str">
        <f ca="1">IFERROR(__xludf.DUMMYFUNCTION("GOOGLETRANSLATE(D:D,""auto"",""en"")"),"#VALUE!")</f>
        <v>#VALUE!</v>
      </c>
    </row>
    <row r="13858" spans="3:3" ht="13.5" customHeight="1">
      <c r="C13858" s="4" t="str">
        <f ca="1">IFERROR(__xludf.DUMMYFUNCTION("GOOGLETRANSLATE(D:D,""auto"",""en"")"),"#VALUE!")</f>
        <v>#VALUE!</v>
      </c>
    </row>
    <row r="13859" spans="3:3" ht="13.5" customHeight="1">
      <c r="C13859" s="4" t="str">
        <f ca="1">IFERROR(__xludf.DUMMYFUNCTION("GOOGLETRANSLATE(D:D,""auto"",""en"")"),"#VALUE!")</f>
        <v>#VALUE!</v>
      </c>
    </row>
    <row r="13860" spans="3:3" ht="13.5" customHeight="1">
      <c r="C13860" s="4" t="str">
        <f ca="1">IFERROR(__xludf.DUMMYFUNCTION("GOOGLETRANSLATE(D:D,""auto"",""en"")"),"#VALUE!")</f>
        <v>#VALUE!</v>
      </c>
    </row>
    <row r="13861" spans="3:3" ht="13.5" customHeight="1">
      <c r="C13861" s="4" t="str">
        <f ca="1">IFERROR(__xludf.DUMMYFUNCTION("GOOGLETRANSLATE(D:D,""auto"",""en"")"),"#VALUE!")</f>
        <v>#VALUE!</v>
      </c>
    </row>
    <row r="13862" spans="3:3" ht="13.5" customHeight="1">
      <c r="C13862" s="4" t="str">
        <f ca="1">IFERROR(__xludf.DUMMYFUNCTION("GOOGLETRANSLATE(D:D,""auto"",""en"")"),"#VALUE!")</f>
        <v>#VALUE!</v>
      </c>
    </row>
    <row r="13863" spans="3:3" ht="13.5" customHeight="1">
      <c r="C13863" s="4" t="str">
        <f ca="1">IFERROR(__xludf.DUMMYFUNCTION("GOOGLETRANSLATE(D:D,""auto"",""en"")"),"#VALUE!")</f>
        <v>#VALUE!</v>
      </c>
    </row>
    <row r="13864" spans="3:3" ht="13.5" customHeight="1">
      <c r="C13864" s="4" t="str">
        <f ca="1">IFERROR(__xludf.DUMMYFUNCTION("GOOGLETRANSLATE(D:D,""auto"",""en"")"),"#VALUE!")</f>
        <v>#VALUE!</v>
      </c>
    </row>
    <row r="13865" spans="3:3" ht="13.5" customHeight="1">
      <c r="C13865" s="4" t="str">
        <f ca="1">IFERROR(__xludf.DUMMYFUNCTION("GOOGLETRANSLATE(D:D,""auto"",""en"")"),"#VALUE!")</f>
        <v>#VALUE!</v>
      </c>
    </row>
    <row r="13866" spans="3:3" ht="13.5" customHeight="1">
      <c r="C13866" s="4" t="str">
        <f ca="1">IFERROR(__xludf.DUMMYFUNCTION("GOOGLETRANSLATE(D:D,""auto"",""en"")"),"#VALUE!")</f>
        <v>#VALUE!</v>
      </c>
    </row>
    <row r="13867" spans="3:3" ht="13.5" customHeight="1">
      <c r="C13867" s="4" t="str">
        <f ca="1">IFERROR(__xludf.DUMMYFUNCTION("GOOGLETRANSLATE(D:D,""auto"",""en"")"),"#VALUE!")</f>
        <v>#VALUE!</v>
      </c>
    </row>
    <row r="13868" spans="3:3" ht="13.5" customHeight="1">
      <c r="C13868" s="4" t="str">
        <f ca="1">IFERROR(__xludf.DUMMYFUNCTION("GOOGLETRANSLATE(D:D,""auto"",""en"")"),"#VALUE!")</f>
        <v>#VALUE!</v>
      </c>
    </row>
    <row r="13869" spans="3:3" ht="13.5" customHeight="1">
      <c r="C13869" s="4" t="str">
        <f ca="1">IFERROR(__xludf.DUMMYFUNCTION("GOOGLETRANSLATE(D:D,""auto"",""en"")"),"#VALUE!")</f>
        <v>#VALUE!</v>
      </c>
    </row>
    <row r="13870" spans="3:3" ht="13.5" customHeight="1">
      <c r="C13870" s="4" t="str">
        <f ca="1">IFERROR(__xludf.DUMMYFUNCTION("GOOGLETRANSLATE(D:D,""auto"",""en"")"),"#VALUE!")</f>
        <v>#VALUE!</v>
      </c>
    </row>
    <row r="13871" spans="3:3" ht="13.5" customHeight="1">
      <c r="C13871" s="4" t="str">
        <f ca="1">IFERROR(__xludf.DUMMYFUNCTION("GOOGLETRANSLATE(D:D,""auto"",""en"")"),"#VALUE!")</f>
        <v>#VALUE!</v>
      </c>
    </row>
    <row r="13872" spans="3:3" ht="13.5" customHeight="1">
      <c r="C13872" s="4" t="str">
        <f ca="1">IFERROR(__xludf.DUMMYFUNCTION("GOOGLETRANSLATE(D:D,""auto"",""en"")"),"#VALUE!")</f>
        <v>#VALUE!</v>
      </c>
    </row>
    <row r="13873" spans="3:3" ht="13.5" customHeight="1">
      <c r="C13873" s="4" t="str">
        <f ca="1">IFERROR(__xludf.DUMMYFUNCTION("GOOGLETRANSLATE(D:D,""auto"",""en"")"),"#VALUE!")</f>
        <v>#VALUE!</v>
      </c>
    </row>
    <row r="13874" spans="3:3" ht="13.5" customHeight="1">
      <c r="C13874" s="4" t="str">
        <f ca="1">IFERROR(__xludf.DUMMYFUNCTION("GOOGLETRANSLATE(D:D,""auto"",""en"")"),"#VALUE!")</f>
        <v>#VALUE!</v>
      </c>
    </row>
    <row r="13875" spans="3:3" ht="13.5" customHeight="1">
      <c r="C13875" s="4" t="str">
        <f ca="1">IFERROR(__xludf.DUMMYFUNCTION("GOOGLETRANSLATE(D:D,""auto"",""en"")"),"#VALUE!")</f>
        <v>#VALUE!</v>
      </c>
    </row>
    <row r="13876" spans="3:3" ht="13.5" customHeight="1">
      <c r="C13876" s="4" t="str">
        <f ca="1">IFERROR(__xludf.DUMMYFUNCTION("GOOGLETRANSLATE(D:D,""auto"",""en"")"),"#VALUE!")</f>
        <v>#VALUE!</v>
      </c>
    </row>
    <row r="13877" spans="3:3" ht="13.5" customHeight="1">
      <c r="C13877" s="4" t="str">
        <f ca="1">IFERROR(__xludf.DUMMYFUNCTION("GOOGLETRANSLATE(D:D,""auto"",""en"")"),"#VALUE!")</f>
        <v>#VALUE!</v>
      </c>
    </row>
    <row r="13878" spans="3:3" ht="13.5" customHeight="1">
      <c r="C13878" s="4" t="str">
        <f ca="1">IFERROR(__xludf.DUMMYFUNCTION("GOOGLETRANSLATE(D:D,""auto"",""en"")"),"#VALUE!")</f>
        <v>#VALUE!</v>
      </c>
    </row>
    <row r="13879" spans="3:3" ht="13.5" customHeight="1">
      <c r="C13879" s="4" t="str">
        <f ca="1">IFERROR(__xludf.DUMMYFUNCTION("GOOGLETRANSLATE(D:D,""auto"",""en"")"),"#VALUE!")</f>
        <v>#VALUE!</v>
      </c>
    </row>
    <row r="13880" spans="3:3" ht="13.5" customHeight="1">
      <c r="C13880" s="4" t="str">
        <f ca="1">IFERROR(__xludf.DUMMYFUNCTION("GOOGLETRANSLATE(D:D,""auto"",""en"")"),"#VALUE!")</f>
        <v>#VALUE!</v>
      </c>
    </row>
    <row r="13881" spans="3:3" ht="13.5" customHeight="1">
      <c r="C13881" s="4" t="str">
        <f ca="1">IFERROR(__xludf.DUMMYFUNCTION("GOOGLETRANSLATE(D:D,""auto"",""en"")"),"#VALUE!")</f>
        <v>#VALUE!</v>
      </c>
    </row>
    <row r="13882" spans="3:3" ht="13.5" customHeight="1">
      <c r="C13882" s="4" t="str">
        <f ca="1">IFERROR(__xludf.DUMMYFUNCTION("GOOGLETRANSLATE(D:D,""auto"",""en"")"),"#VALUE!")</f>
        <v>#VALUE!</v>
      </c>
    </row>
    <row r="13883" spans="3:3" ht="13.5" customHeight="1">
      <c r="C13883" s="4" t="str">
        <f ca="1">IFERROR(__xludf.DUMMYFUNCTION("GOOGLETRANSLATE(D:D,""auto"",""en"")"),"#VALUE!")</f>
        <v>#VALUE!</v>
      </c>
    </row>
    <row r="13884" spans="3:3" ht="13.5" customHeight="1">
      <c r="C13884" s="4" t="str">
        <f ca="1">IFERROR(__xludf.DUMMYFUNCTION("GOOGLETRANSLATE(D:D,""auto"",""en"")"),"#VALUE!")</f>
        <v>#VALUE!</v>
      </c>
    </row>
    <row r="13885" spans="3:3" ht="13.5" customHeight="1">
      <c r="C13885" s="4" t="str">
        <f ca="1">IFERROR(__xludf.DUMMYFUNCTION("GOOGLETRANSLATE(D:D,""auto"",""en"")"),"#VALUE!")</f>
        <v>#VALUE!</v>
      </c>
    </row>
    <row r="13886" spans="3:3" ht="13.5" customHeight="1">
      <c r="C13886" s="4" t="str">
        <f ca="1">IFERROR(__xludf.DUMMYFUNCTION("GOOGLETRANSLATE(D:D,""auto"",""en"")"),"#VALUE!")</f>
        <v>#VALUE!</v>
      </c>
    </row>
    <row r="13887" spans="3:3" ht="13.5" customHeight="1">
      <c r="C13887" s="4" t="str">
        <f ca="1">IFERROR(__xludf.DUMMYFUNCTION("GOOGLETRANSLATE(D:D,""auto"",""en"")"),"#VALUE!")</f>
        <v>#VALUE!</v>
      </c>
    </row>
    <row r="13888" spans="3:3" ht="13.5" customHeight="1">
      <c r="C13888" s="4" t="str">
        <f ca="1">IFERROR(__xludf.DUMMYFUNCTION("GOOGLETRANSLATE(D:D,""auto"",""en"")"),"#VALUE!")</f>
        <v>#VALUE!</v>
      </c>
    </row>
    <row r="13889" spans="3:3" ht="13.5" customHeight="1">
      <c r="C13889" s="4" t="str">
        <f ca="1">IFERROR(__xludf.DUMMYFUNCTION("GOOGLETRANSLATE(D:D,""auto"",""en"")"),"#VALUE!")</f>
        <v>#VALUE!</v>
      </c>
    </row>
    <row r="13890" spans="3:3" ht="13.5" customHeight="1">
      <c r="C13890" s="4" t="str">
        <f ca="1">IFERROR(__xludf.DUMMYFUNCTION("GOOGLETRANSLATE(D:D,""auto"",""en"")"),"#VALUE!")</f>
        <v>#VALUE!</v>
      </c>
    </row>
    <row r="13891" spans="3:3" ht="13.5" customHeight="1">
      <c r="C13891" s="4" t="str">
        <f ca="1">IFERROR(__xludf.DUMMYFUNCTION("GOOGLETRANSLATE(D:D,""auto"",""en"")"),"#VALUE!")</f>
        <v>#VALUE!</v>
      </c>
    </row>
    <row r="13892" spans="3:3" ht="13.5" customHeight="1">
      <c r="C13892" s="4" t="str">
        <f ca="1">IFERROR(__xludf.DUMMYFUNCTION("GOOGLETRANSLATE(D:D,""auto"",""en"")"),"#VALUE!")</f>
        <v>#VALUE!</v>
      </c>
    </row>
    <row r="13893" spans="3:3" ht="13.5" customHeight="1">
      <c r="C13893" s="4" t="str">
        <f ca="1">IFERROR(__xludf.DUMMYFUNCTION("GOOGLETRANSLATE(D:D,""auto"",""en"")"),"#VALUE!")</f>
        <v>#VALUE!</v>
      </c>
    </row>
    <row r="13894" spans="3:3" ht="13.5" customHeight="1">
      <c r="C13894" s="4" t="str">
        <f ca="1">IFERROR(__xludf.DUMMYFUNCTION("GOOGLETRANSLATE(D:D,""auto"",""en"")"),"#VALUE!")</f>
        <v>#VALUE!</v>
      </c>
    </row>
    <row r="13895" spans="3:3" ht="13.5" customHeight="1">
      <c r="C13895" s="4" t="str">
        <f ca="1">IFERROR(__xludf.DUMMYFUNCTION("GOOGLETRANSLATE(D:D,""auto"",""en"")"),"#VALUE!")</f>
        <v>#VALUE!</v>
      </c>
    </row>
    <row r="13896" spans="3:3" ht="13.5" customHeight="1">
      <c r="C13896" s="4" t="str">
        <f ca="1">IFERROR(__xludf.DUMMYFUNCTION("GOOGLETRANSLATE(D:D,""auto"",""en"")"),"#VALUE!")</f>
        <v>#VALUE!</v>
      </c>
    </row>
    <row r="13897" spans="3:3" ht="13.5" customHeight="1">
      <c r="C13897" s="4" t="str">
        <f ca="1">IFERROR(__xludf.DUMMYFUNCTION("GOOGLETRANSLATE(D:D,""auto"",""en"")"),"#VALUE!")</f>
        <v>#VALUE!</v>
      </c>
    </row>
    <row r="13898" spans="3:3" ht="13.5" customHeight="1">
      <c r="C13898" s="4" t="str">
        <f ca="1">IFERROR(__xludf.DUMMYFUNCTION("GOOGLETRANSLATE(D:D,""auto"",""en"")"),"#VALUE!")</f>
        <v>#VALUE!</v>
      </c>
    </row>
    <row r="13899" spans="3:3" ht="13.5" customHeight="1">
      <c r="C13899" s="4" t="str">
        <f ca="1">IFERROR(__xludf.DUMMYFUNCTION("GOOGLETRANSLATE(D:D,""auto"",""en"")"),"#VALUE!")</f>
        <v>#VALUE!</v>
      </c>
    </row>
    <row r="13900" spans="3:3" ht="13.5" customHeight="1">
      <c r="C13900" s="4" t="str">
        <f ca="1">IFERROR(__xludf.DUMMYFUNCTION("GOOGLETRANSLATE(D:D,""auto"",""en"")"),"#VALUE!")</f>
        <v>#VALUE!</v>
      </c>
    </row>
    <row r="13901" spans="3:3" ht="13.5" customHeight="1">
      <c r="C13901" s="4" t="str">
        <f ca="1">IFERROR(__xludf.DUMMYFUNCTION("GOOGLETRANSLATE(D:D,""auto"",""en"")"),"#VALUE!")</f>
        <v>#VALUE!</v>
      </c>
    </row>
    <row r="13902" spans="3:3" ht="13.5" customHeight="1">
      <c r="C13902" s="4" t="str">
        <f ca="1">IFERROR(__xludf.DUMMYFUNCTION("GOOGLETRANSLATE(D:D,""auto"",""en"")"),"#VALUE!")</f>
        <v>#VALUE!</v>
      </c>
    </row>
    <row r="13903" spans="3:3" ht="13.5" customHeight="1">
      <c r="C13903" s="4" t="str">
        <f ca="1">IFERROR(__xludf.DUMMYFUNCTION("GOOGLETRANSLATE(D:D,""auto"",""en"")"),"#VALUE!")</f>
        <v>#VALUE!</v>
      </c>
    </row>
    <row r="13904" spans="3:3" ht="13.5" customHeight="1">
      <c r="C13904" s="4" t="str">
        <f ca="1">IFERROR(__xludf.DUMMYFUNCTION("GOOGLETRANSLATE(D:D,""auto"",""en"")"),"#VALUE!")</f>
        <v>#VALUE!</v>
      </c>
    </row>
    <row r="13905" spans="3:3" ht="13.5" customHeight="1">
      <c r="C13905" s="4" t="str">
        <f ca="1">IFERROR(__xludf.DUMMYFUNCTION("GOOGLETRANSLATE(D:D,""auto"",""en"")"),"#VALUE!")</f>
        <v>#VALUE!</v>
      </c>
    </row>
    <row r="13906" spans="3:3" ht="13.5" customHeight="1">
      <c r="C13906" s="4" t="str">
        <f ca="1">IFERROR(__xludf.DUMMYFUNCTION("GOOGLETRANSLATE(D:D,""auto"",""en"")"),"#VALUE!")</f>
        <v>#VALUE!</v>
      </c>
    </row>
    <row r="13907" spans="3:3" ht="13.5" customHeight="1">
      <c r="C13907" s="4" t="str">
        <f ca="1">IFERROR(__xludf.DUMMYFUNCTION("GOOGLETRANSLATE(D:D,""auto"",""en"")"),"#VALUE!")</f>
        <v>#VALUE!</v>
      </c>
    </row>
    <row r="13908" spans="3:3" ht="13.5" customHeight="1">
      <c r="C13908" s="4" t="str">
        <f ca="1">IFERROR(__xludf.DUMMYFUNCTION("GOOGLETRANSLATE(D:D,""auto"",""en"")"),"#VALUE!")</f>
        <v>#VALUE!</v>
      </c>
    </row>
    <row r="13909" spans="3:3" ht="13.5" customHeight="1">
      <c r="C13909" s="4" t="str">
        <f ca="1">IFERROR(__xludf.DUMMYFUNCTION("GOOGLETRANSLATE(D:D,""auto"",""en"")"),"#VALUE!")</f>
        <v>#VALUE!</v>
      </c>
    </row>
    <row r="13910" spans="3:3" ht="13.5" customHeight="1">
      <c r="C13910" s="4" t="str">
        <f ca="1">IFERROR(__xludf.DUMMYFUNCTION("GOOGLETRANSLATE(D:D,""auto"",""en"")"),"#VALUE!")</f>
        <v>#VALUE!</v>
      </c>
    </row>
    <row r="13911" spans="3:3" ht="13.5" customHeight="1">
      <c r="C13911" s="4" t="str">
        <f ca="1">IFERROR(__xludf.DUMMYFUNCTION("GOOGLETRANSLATE(D:D,""auto"",""en"")"),"#VALUE!")</f>
        <v>#VALUE!</v>
      </c>
    </row>
    <row r="13912" spans="3:3" ht="13.5" customHeight="1">
      <c r="C13912" s="4" t="str">
        <f ca="1">IFERROR(__xludf.DUMMYFUNCTION("GOOGLETRANSLATE(D:D,""auto"",""en"")"),"#VALUE!")</f>
        <v>#VALUE!</v>
      </c>
    </row>
    <row r="13913" spans="3:3" ht="13.5" customHeight="1">
      <c r="C13913" s="4" t="str">
        <f ca="1">IFERROR(__xludf.DUMMYFUNCTION("GOOGLETRANSLATE(D:D,""auto"",""en"")"),"#VALUE!")</f>
        <v>#VALUE!</v>
      </c>
    </row>
    <row r="13914" spans="3:3" ht="13.5" customHeight="1">
      <c r="C13914" s="4" t="str">
        <f ca="1">IFERROR(__xludf.DUMMYFUNCTION("GOOGLETRANSLATE(D:D,""auto"",""en"")"),"#VALUE!")</f>
        <v>#VALUE!</v>
      </c>
    </row>
    <row r="13915" spans="3:3" ht="13.5" customHeight="1">
      <c r="C13915" s="4" t="str">
        <f ca="1">IFERROR(__xludf.DUMMYFUNCTION("GOOGLETRANSLATE(D:D,""auto"",""en"")"),"#VALUE!")</f>
        <v>#VALUE!</v>
      </c>
    </row>
    <row r="13916" spans="3:3" ht="13.5" customHeight="1">
      <c r="C13916" s="4" t="str">
        <f ca="1">IFERROR(__xludf.DUMMYFUNCTION("GOOGLETRANSLATE(D:D,""auto"",""en"")"),"#VALUE!")</f>
        <v>#VALUE!</v>
      </c>
    </row>
    <row r="13917" spans="3:3" ht="13.5" customHeight="1">
      <c r="C13917" s="4" t="str">
        <f ca="1">IFERROR(__xludf.DUMMYFUNCTION("GOOGLETRANSLATE(D:D,""auto"",""en"")"),"#VALUE!")</f>
        <v>#VALUE!</v>
      </c>
    </row>
    <row r="13918" spans="3:3" ht="13.5" customHeight="1">
      <c r="C13918" s="4" t="str">
        <f ca="1">IFERROR(__xludf.DUMMYFUNCTION("GOOGLETRANSLATE(D:D,""auto"",""en"")"),"#VALUE!")</f>
        <v>#VALUE!</v>
      </c>
    </row>
    <row r="13919" spans="3:3" ht="13.5" customHeight="1">
      <c r="C13919" s="4" t="str">
        <f ca="1">IFERROR(__xludf.DUMMYFUNCTION("GOOGLETRANSLATE(D:D,""auto"",""en"")"),"#VALUE!")</f>
        <v>#VALUE!</v>
      </c>
    </row>
    <row r="13920" spans="3:3" ht="13.5" customHeight="1">
      <c r="C13920" s="4" t="str">
        <f ca="1">IFERROR(__xludf.DUMMYFUNCTION("GOOGLETRANSLATE(D:D,""auto"",""en"")"),"#VALUE!")</f>
        <v>#VALUE!</v>
      </c>
    </row>
    <row r="13921" spans="3:3" ht="13.5" customHeight="1">
      <c r="C13921" s="4" t="str">
        <f ca="1">IFERROR(__xludf.DUMMYFUNCTION("GOOGLETRANSLATE(D:D,""auto"",""en"")"),"#VALUE!")</f>
        <v>#VALUE!</v>
      </c>
    </row>
    <row r="13922" spans="3:3" ht="13.5" customHeight="1">
      <c r="C13922" s="4" t="str">
        <f ca="1">IFERROR(__xludf.DUMMYFUNCTION("GOOGLETRANSLATE(D:D,""auto"",""en"")"),"#VALUE!")</f>
        <v>#VALUE!</v>
      </c>
    </row>
    <row r="13923" spans="3:3" ht="13.5" customHeight="1">
      <c r="C13923" s="4" t="str">
        <f ca="1">IFERROR(__xludf.DUMMYFUNCTION("GOOGLETRANSLATE(D:D,""auto"",""en"")"),"#VALUE!")</f>
        <v>#VALUE!</v>
      </c>
    </row>
    <row r="13924" spans="3:3" ht="13.5" customHeight="1">
      <c r="C13924" s="4" t="str">
        <f ca="1">IFERROR(__xludf.DUMMYFUNCTION("GOOGLETRANSLATE(D:D,""auto"",""en"")"),"#VALUE!")</f>
        <v>#VALUE!</v>
      </c>
    </row>
    <row r="13925" spans="3:3" ht="13.5" customHeight="1">
      <c r="C13925" s="4" t="str">
        <f ca="1">IFERROR(__xludf.DUMMYFUNCTION("GOOGLETRANSLATE(D:D,""auto"",""en"")"),"#VALUE!")</f>
        <v>#VALUE!</v>
      </c>
    </row>
    <row r="13926" spans="3:3" ht="13.5" customHeight="1">
      <c r="C13926" s="4" t="str">
        <f ca="1">IFERROR(__xludf.DUMMYFUNCTION("GOOGLETRANSLATE(D:D,""auto"",""en"")"),"#VALUE!")</f>
        <v>#VALUE!</v>
      </c>
    </row>
    <row r="13927" spans="3:3" ht="13.5" customHeight="1">
      <c r="C13927" s="4" t="str">
        <f ca="1">IFERROR(__xludf.DUMMYFUNCTION("GOOGLETRANSLATE(D:D,""auto"",""en"")"),"#VALUE!")</f>
        <v>#VALUE!</v>
      </c>
    </row>
    <row r="13928" spans="3:3" ht="13.5" customHeight="1">
      <c r="C13928" s="4" t="str">
        <f ca="1">IFERROR(__xludf.DUMMYFUNCTION("GOOGLETRANSLATE(D:D,""auto"",""en"")"),"#VALUE!")</f>
        <v>#VALUE!</v>
      </c>
    </row>
    <row r="13929" spans="3:3" ht="13.5" customHeight="1">
      <c r="C13929" s="4" t="str">
        <f ca="1">IFERROR(__xludf.DUMMYFUNCTION("GOOGLETRANSLATE(D:D,""auto"",""en"")"),"#VALUE!")</f>
        <v>#VALUE!</v>
      </c>
    </row>
    <row r="13930" spans="3:3" ht="13.5" customHeight="1">
      <c r="C13930" s="4" t="str">
        <f ca="1">IFERROR(__xludf.DUMMYFUNCTION("GOOGLETRANSLATE(D:D,""auto"",""en"")"),"#VALUE!")</f>
        <v>#VALUE!</v>
      </c>
    </row>
    <row r="13931" spans="3:3" ht="13.5" customHeight="1">
      <c r="C13931" s="4" t="str">
        <f ca="1">IFERROR(__xludf.DUMMYFUNCTION("GOOGLETRANSLATE(D:D,""auto"",""en"")"),"#VALUE!")</f>
        <v>#VALUE!</v>
      </c>
    </row>
    <row r="13932" spans="3:3" ht="13.5" customHeight="1">
      <c r="C13932" s="4" t="str">
        <f ca="1">IFERROR(__xludf.DUMMYFUNCTION("GOOGLETRANSLATE(D:D,""auto"",""en"")"),"#VALUE!")</f>
        <v>#VALUE!</v>
      </c>
    </row>
    <row r="13933" spans="3:3" ht="13.5" customHeight="1">
      <c r="C13933" s="4" t="str">
        <f ca="1">IFERROR(__xludf.DUMMYFUNCTION("GOOGLETRANSLATE(D:D,""auto"",""en"")"),"#VALUE!")</f>
        <v>#VALUE!</v>
      </c>
    </row>
    <row r="13934" spans="3:3" ht="13.5" customHeight="1">
      <c r="C13934" s="4" t="str">
        <f ca="1">IFERROR(__xludf.DUMMYFUNCTION("GOOGLETRANSLATE(D:D,""auto"",""en"")"),"#VALUE!")</f>
        <v>#VALUE!</v>
      </c>
    </row>
    <row r="13935" spans="3:3" ht="13.5" customHeight="1">
      <c r="C13935" s="4" t="str">
        <f ca="1">IFERROR(__xludf.DUMMYFUNCTION("GOOGLETRANSLATE(D:D,""auto"",""en"")"),"#VALUE!")</f>
        <v>#VALUE!</v>
      </c>
    </row>
    <row r="13936" spans="3:3" ht="13.5" customHeight="1">
      <c r="C13936" s="4" t="str">
        <f ca="1">IFERROR(__xludf.DUMMYFUNCTION("GOOGLETRANSLATE(D:D,""auto"",""en"")"),"#VALUE!")</f>
        <v>#VALUE!</v>
      </c>
    </row>
    <row r="13937" spans="3:3" ht="13.5" customHeight="1">
      <c r="C13937" s="4" t="str">
        <f ca="1">IFERROR(__xludf.DUMMYFUNCTION("GOOGLETRANSLATE(D:D,""auto"",""en"")"),"#VALUE!")</f>
        <v>#VALUE!</v>
      </c>
    </row>
    <row r="13938" spans="3:3" ht="13.5" customHeight="1">
      <c r="C13938" s="4" t="str">
        <f ca="1">IFERROR(__xludf.DUMMYFUNCTION("GOOGLETRANSLATE(D:D,""auto"",""en"")"),"#VALUE!")</f>
        <v>#VALUE!</v>
      </c>
    </row>
    <row r="13939" spans="3:3" ht="13.5" customHeight="1">
      <c r="C13939" s="4" t="str">
        <f ca="1">IFERROR(__xludf.DUMMYFUNCTION("GOOGLETRANSLATE(D:D,""auto"",""en"")"),"#VALUE!")</f>
        <v>#VALUE!</v>
      </c>
    </row>
    <row r="13940" spans="3:3" ht="13.5" customHeight="1">
      <c r="C13940" s="4" t="str">
        <f ca="1">IFERROR(__xludf.DUMMYFUNCTION("GOOGLETRANSLATE(D:D,""auto"",""en"")"),"#VALUE!")</f>
        <v>#VALUE!</v>
      </c>
    </row>
    <row r="13941" spans="3:3" ht="13.5" customHeight="1">
      <c r="C13941" s="4" t="str">
        <f ca="1">IFERROR(__xludf.DUMMYFUNCTION("GOOGLETRANSLATE(D:D,""auto"",""en"")"),"#VALUE!")</f>
        <v>#VALUE!</v>
      </c>
    </row>
    <row r="13942" spans="3:3" ht="13.5" customHeight="1">
      <c r="C13942" s="4" t="str">
        <f ca="1">IFERROR(__xludf.DUMMYFUNCTION("GOOGLETRANSLATE(D:D,""auto"",""en"")"),"#VALUE!")</f>
        <v>#VALUE!</v>
      </c>
    </row>
    <row r="13943" spans="3:3" ht="13.5" customHeight="1">
      <c r="C13943" s="4" t="str">
        <f ca="1">IFERROR(__xludf.DUMMYFUNCTION("GOOGLETRANSLATE(D:D,""auto"",""en"")"),"#VALUE!")</f>
        <v>#VALUE!</v>
      </c>
    </row>
    <row r="13944" spans="3:3" ht="13.5" customHeight="1">
      <c r="C13944" s="4" t="str">
        <f ca="1">IFERROR(__xludf.DUMMYFUNCTION("GOOGLETRANSLATE(D:D,""auto"",""en"")"),"#VALUE!")</f>
        <v>#VALUE!</v>
      </c>
    </row>
    <row r="13945" spans="3:3" ht="13.5" customHeight="1">
      <c r="C13945" s="4" t="str">
        <f ca="1">IFERROR(__xludf.DUMMYFUNCTION("GOOGLETRANSLATE(D:D,""auto"",""en"")"),"#VALUE!")</f>
        <v>#VALUE!</v>
      </c>
    </row>
    <row r="13946" spans="3:3" ht="13.5" customHeight="1">
      <c r="C13946" s="4" t="str">
        <f ca="1">IFERROR(__xludf.DUMMYFUNCTION("GOOGLETRANSLATE(D:D,""auto"",""en"")"),"#VALUE!")</f>
        <v>#VALUE!</v>
      </c>
    </row>
    <row r="13947" spans="3:3" ht="13.5" customHeight="1">
      <c r="C13947" s="4" t="str">
        <f ca="1">IFERROR(__xludf.DUMMYFUNCTION("GOOGLETRANSLATE(D:D,""auto"",""en"")"),"#VALUE!")</f>
        <v>#VALUE!</v>
      </c>
    </row>
    <row r="13948" spans="3:3" ht="13.5" customHeight="1">
      <c r="C13948" s="4" t="str">
        <f ca="1">IFERROR(__xludf.DUMMYFUNCTION("GOOGLETRANSLATE(D:D,""auto"",""en"")"),"#VALUE!")</f>
        <v>#VALUE!</v>
      </c>
    </row>
    <row r="13949" spans="3:3" ht="13.5" customHeight="1">
      <c r="C13949" s="4" t="str">
        <f ca="1">IFERROR(__xludf.DUMMYFUNCTION("GOOGLETRANSLATE(D:D,""auto"",""en"")"),"#VALUE!")</f>
        <v>#VALUE!</v>
      </c>
    </row>
    <row r="13950" spans="3:3" ht="13.5" customHeight="1">
      <c r="C13950" s="4" t="str">
        <f ca="1">IFERROR(__xludf.DUMMYFUNCTION("GOOGLETRANSLATE(D:D,""auto"",""en"")"),"#VALUE!")</f>
        <v>#VALUE!</v>
      </c>
    </row>
    <row r="13951" spans="3:3" ht="13.5" customHeight="1">
      <c r="C13951" s="4" t="str">
        <f ca="1">IFERROR(__xludf.DUMMYFUNCTION("GOOGLETRANSLATE(D:D,""auto"",""en"")"),"#VALUE!")</f>
        <v>#VALUE!</v>
      </c>
    </row>
    <row r="13952" spans="3:3" ht="13.5" customHeight="1">
      <c r="C13952" s="4" t="str">
        <f ca="1">IFERROR(__xludf.DUMMYFUNCTION("GOOGLETRANSLATE(D:D,""auto"",""en"")"),"#VALUE!")</f>
        <v>#VALUE!</v>
      </c>
    </row>
    <row r="13953" spans="3:3" ht="13.5" customHeight="1">
      <c r="C13953" s="4" t="str">
        <f ca="1">IFERROR(__xludf.DUMMYFUNCTION("GOOGLETRANSLATE(D:D,""auto"",""en"")"),"#VALUE!")</f>
        <v>#VALUE!</v>
      </c>
    </row>
    <row r="13954" spans="3:3" ht="13.5" customHeight="1">
      <c r="C13954" s="4" t="str">
        <f ca="1">IFERROR(__xludf.DUMMYFUNCTION("GOOGLETRANSLATE(D:D,""auto"",""en"")"),"#VALUE!")</f>
        <v>#VALUE!</v>
      </c>
    </row>
    <row r="13955" spans="3:3" ht="13.5" customHeight="1">
      <c r="C13955" s="4" t="str">
        <f ca="1">IFERROR(__xludf.DUMMYFUNCTION("GOOGLETRANSLATE(D:D,""auto"",""en"")"),"#VALUE!")</f>
        <v>#VALUE!</v>
      </c>
    </row>
    <row r="13956" spans="3:3" ht="13.5" customHeight="1">
      <c r="C13956" s="4" t="str">
        <f ca="1">IFERROR(__xludf.DUMMYFUNCTION("GOOGLETRANSLATE(D:D,""auto"",""en"")"),"#VALUE!")</f>
        <v>#VALUE!</v>
      </c>
    </row>
    <row r="13957" spans="3:3" ht="13.5" customHeight="1">
      <c r="C13957" s="4" t="str">
        <f ca="1">IFERROR(__xludf.DUMMYFUNCTION("GOOGLETRANSLATE(D:D,""auto"",""en"")"),"#VALUE!")</f>
        <v>#VALUE!</v>
      </c>
    </row>
    <row r="13958" spans="3:3" ht="13.5" customHeight="1">
      <c r="C13958" s="4" t="str">
        <f ca="1">IFERROR(__xludf.DUMMYFUNCTION("GOOGLETRANSLATE(D:D,""auto"",""en"")"),"#VALUE!")</f>
        <v>#VALUE!</v>
      </c>
    </row>
    <row r="13959" spans="3:3" ht="13.5" customHeight="1">
      <c r="C13959" s="4" t="str">
        <f ca="1">IFERROR(__xludf.DUMMYFUNCTION("GOOGLETRANSLATE(D:D,""auto"",""en"")"),"#VALUE!")</f>
        <v>#VALUE!</v>
      </c>
    </row>
    <row r="13960" spans="3:3" ht="13.5" customHeight="1">
      <c r="C13960" s="4" t="str">
        <f ca="1">IFERROR(__xludf.DUMMYFUNCTION("GOOGLETRANSLATE(D:D,""auto"",""en"")"),"#VALUE!")</f>
        <v>#VALUE!</v>
      </c>
    </row>
    <row r="13961" spans="3:3" ht="13.5" customHeight="1">
      <c r="C13961" s="4" t="str">
        <f ca="1">IFERROR(__xludf.DUMMYFUNCTION("GOOGLETRANSLATE(D:D,""auto"",""en"")"),"#VALUE!")</f>
        <v>#VALUE!</v>
      </c>
    </row>
    <row r="13962" spans="3:3" ht="13.5" customHeight="1">
      <c r="C13962" s="4" t="str">
        <f ca="1">IFERROR(__xludf.DUMMYFUNCTION("GOOGLETRANSLATE(D:D,""auto"",""en"")"),"#VALUE!")</f>
        <v>#VALUE!</v>
      </c>
    </row>
    <row r="13963" spans="3:3" ht="13.5" customHeight="1">
      <c r="C13963" s="4" t="str">
        <f ca="1">IFERROR(__xludf.DUMMYFUNCTION("GOOGLETRANSLATE(D:D,""auto"",""en"")"),"#VALUE!")</f>
        <v>#VALUE!</v>
      </c>
    </row>
    <row r="13964" spans="3:3" ht="13.5" customHeight="1">
      <c r="C13964" s="4" t="str">
        <f ca="1">IFERROR(__xludf.DUMMYFUNCTION("GOOGLETRANSLATE(D:D,""auto"",""en"")"),"#VALUE!")</f>
        <v>#VALUE!</v>
      </c>
    </row>
    <row r="13965" spans="3:3" ht="13.5" customHeight="1">
      <c r="C13965" s="4" t="str">
        <f ca="1">IFERROR(__xludf.DUMMYFUNCTION("GOOGLETRANSLATE(D:D,""auto"",""en"")"),"#VALUE!")</f>
        <v>#VALUE!</v>
      </c>
    </row>
    <row r="13966" spans="3:3" ht="13.5" customHeight="1">
      <c r="C13966" s="4" t="str">
        <f ca="1">IFERROR(__xludf.DUMMYFUNCTION("GOOGLETRANSLATE(D:D,""auto"",""en"")"),"#VALUE!")</f>
        <v>#VALUE!</v>
      </c>
    </row>
    <row r="13967" spans="3:3" ht="13.5" customHeight="1">
      <c r="C13967" s="4" t="str">
        <f ca="1">IFERROR(__xludf.DUMMYFUNCTION("GOOGLETRANSLATE(D:D,""auto"",""en"")"),"#VALUE!")</f>
        <v>#VALUE!</v>
      </c>
    </row>
    <row r="13968" spans="3:3" ht="13.5" customHeight="1">
      <c r="C13968" s="4" t="str">
        <f ca="1">IFERROR(__xludf.DUMMYFUNCTION("GOOGLETRANSLATE(D:D,""auto"",""en"")"),"#VALUE!")</f>
        <v>#VALUE!</v>
      </c>
    </row>
    <row r="13969" spans="3:3" ht="13.5" customHeight="1">
      <c r="C13969" s="4" t="str">
        <f ca="1">IFERROR(__xludf.DUMMYFUNCTION("GOOGLETRANSLATE(D:D,""auto"",""en"")"),"#VALUE!")</f>
        <v>#VALUE!</v>
      </c>
    </row>
    <row r="13970" spans="3:3" ht="13.5" customHeight="1">
      <c r="C13970" s="4" t="str">
        <f ca="1">IFERROR(__xludf.DUMMYFUNCTION("GOOGLETRANSLATE(D:D,""auto"",""en"")"),"#VALUE!")</f>
        <v>#VALUE!</v>
      </c>
    </row>
    <row r="13971" spans="3:3" ht="13.5" customHeight="1">
      <c r="C13971" s="4" t="str">
        <f ca="1">IFERROR(__xludf.DUMMYFUNCTION("GOOGLETRANSLATE(D:D,""auto"",""en"")"),"#VALUE!")</f>
        <v>#VALUE!</v>
      </c>
    </row>
    <row r="13972" spans="3:3" ht="13.5" customHeight="1">
      <c r="C13972" s="4" t="str">
        <f ca="1">IFERROR(__xludf.DUMMYFUNCTION("GOOGLETRANSLATE(D:D,""auto"",""en"")"),"#VALUE!")</f>
        <v>#VALUE!</v>
      </c>
    </row>
    <row r="13973" spans="3:3" ht="13.5" customHeight="1">
      <c r="C13973" s="4" t="str">
        <f ca="1">IFERROR(__xludf.DUMMYFUNCTION("GOOGLETRANSLATE(D:D,""auto"",""en"")"),"#VALUE!")</f>
        <v>#VALUE!</v>
      </c>
    </row>
    <row r="13974" spans="3:3" ht="13.5" customHeight="1">
      <c r="C13974" s="4" t="str">
        <f ca="1">IFERROR(__xludf.DUMMYFUNCTION("GOOGLETRANSLATE(D:D,""auto"",""en"")"),"#VALUE!")</f>
        <v>#VALUE!</v>
      </c>
    </row>
    <row r="13975" spans="3:3" ht="13.5" customHeight="1">
      <c r="C13975" s="4" t="str">
        <f ca="1">IFERROR(__xludf.DUMMYFUNCTION("GOOGLETRANSLATE(D:D,""auto"",""en"")"),"#VALUE!")</f>
        <v>#VALUE!</v>
      </c>
    </row>
    <row r="13976" spans="3:3" ht="13.5" customHeight="1">
      <c r="C13976" s="4" t="str">
        <f ca="1">IFERROR(__xludf.DUMMYFUNCTION("GOOGLETRANSLATE(D:D,""auto"",""en"")"),"#VALUE!")</f>
        <v>#VALUE!</v>
      </c>
    </row>
    <row r="13977" spans="3:3" ht="13.5" customHeight="1">
      <c r="C13977" s="4" t="str">
        <f ca="1">IFERROR(__xludf.DUMMYFUNCTION("GOOGLETRANSLATE(D:D,""auto"",""en"")"),"#VALUE!")</f>
        <v>#VALUE!</v>
      </c>
    </row>
    <row r="13978" spans="3:3" ht="13.5" customHeight="1">
      <c r="C13978" s="4" t="str">
        <f ca="1">IFERROR(__xludf.DUMMYFUNCTION("GOOGLETRANSLATE(D:D,""auto"",""en"")"),"#VALUE!")</f>
        <v>#VALUE!</v>
      </c>
    </row>
    <row r="13979" spans="3:3" ht="13.5" customHeight="1">
      <c r="C13979" s="4" t="str">
        <f ca="1">IFERROR(__xludf.DUMMYFUNCTION("GOOGLETRANSLATE(D:D,""auto"",""en"")"),"#VALUE!")</f>
        <v>#VALUE!</v>
      </c>
    </row>
    <row r="13980" spans="3:3" ht="13.5" customHeight="1">
      <c r="C13980" s="4" t="str">
        <f ca="1">IFERROR(__xludf.DUMMYFUNCTION("GOOGLETRANSLATE(D:D,""auto"",""en"")"),"#VALUE!")</f>
        <v>#VALUE!</v>
      </c>
    </row>
    <row r="13981" spans="3:3" ht="13.5" customHeight="1">
      <c r="C13981" s="4" t="str">
        <f ca="1">IFERROR(__xludf.DUMMYFUNCTION("GOOGLETRANSLATE(D:D,""auto"",""en"")"),"#VALUE!")</f>
        <v>#VALUE!</v>
      </c>
    </row>
    <row r="13982" spans="3:3" ht="13.5" customHeight="1">
      <c r="C13982" s="4" t="str">
        <f ca="1">IFERROR(__xludf.DUMMYFUNCTION("GOOGLETRANSLATE(D:D,""auto"",""en"")"),"#VALUE!")</f>
        <v>#VALUE!</v>
      </c>
    </row>
    <row r="13983" spans="3:3" ht="13.5" customHeight="1">
      <c r="C13983" s="4" t="str">
        <f ca="1">IFERROR(__xludf.DUMMYFUNCTION("GOOGLETRANSLATE(D:D,""auto"",""en"")"),"#VALUE!")</f>
        <v>#VALUE!</v>
      </c>
    </row>
    <row r="13984" spans="3:3" ht="13.5" customHeight="1">
      <c r="C13984" s="4" t="str">
        <f ca="1">IFERROR(__xludf.DUMMYFUNCTION("GOOGLETRANSLATE(D:D,""auto"",""en"")"),"#VALUE!")</f>
        <v>#VALUE!</v>
      </c>
    </row>
    <row r="13985" spans="3:3" ht="13.5" customHeight="1">
      <c r="C13985" s="4" t="str">
        <f ca="1">IFERROR(__xludf.DUMMYFUNCTION("GOOGLETRANSLATE(D:D,""auto"",""en"")"),"#VALUE!")</f>
        <v>#VALUE!</v>
      </c>
    </row>
    <row r="13986" spans="3:3" ht="13.5" customHeight="1">
      <c r="C13986" s="4" t="str">
        <f ca="1">IFERROR(__xludf.DUMMYFUNCTION("GOOGLETRANSLATE(D:D,""auto"",""en"")"),"#VALUE!")</f>
        <v>#VALUE!</v>
      </c>
    </row>
    <row r="13987" spans="3:3" ht="13.5" customHeight="1">
      <c r="C13987" s="4" t="str">
        <f ca="1">IFERROR(__xludf.DUMMYFUNCTION("GOOGLETRANSLATE(D:D,""auto"",""en"")"),"#VALUE!")</f>
        <v>#VALUE!</v>
      </c>
    </row>
    <row r="13988" spans="3:3" ht="13.5" customHeight="1">
      <c r="C13988" s="4" t="str">
        <f ca="1">IFERROR(__xludf.DUMMYFUNCTION("GOOGLETRANSLATE(D:D,""auto"",""en"")"),"#VALUE!")</f>
        <v>#VALUE!</v>
      </c>
    </row>
    <row r="13989" spans="3:3" ht="13.5" customHeight="1">
      <c r="C13989" s="4" t="str">
        <f ca="1">IFERROR(__xludf.DUMMYFUNCTION("GOOGLETRANSLATE(D:D,""auto"",""en"")"),"#VALUE!")</f>
        <v>#VALUE!</v>
      </c>
    </row>
    <row r="13990" spans="3:3" ht="13.5" customHeight="1">
      <c r="C13990" s="4" t="str">
        <f ca="1">IFERROR(__xludf.DUMMYFUNCTION("GOOGLETRANSLATE(D:D,""auto"",""en"")"),"#VALUE!")</f>
        <v>#VALUE!</v>
      </c>
    </row>
    <row r="13991" spans="3:3" ht="13.5" customHeight="1">
      <c r="C13991" s="4" t="str">
        <f ca="1">IFERROR(__xludf.DUMMYFUNCTION("GOOGLETRANSLATE(D:D,""auto"",""en"")"),"#VALUE!")</f>
        <v>#VALUE!</v>
      </c>
    </row>
    <row r="13992" spans="3:3" ht="13.5" customHeight="1">
      <c r="C13992" s="4" t="str">
        <f ca="1">IFERROR(__xludf.DUMMYFUNCTION("GOOGLETRANSLATE(D:D,""auto"",""en"")"),"#VALUE!")</f>
        <v>#VALUE!</v>
      </c>
    </row>
    <row r="13993" spans="3:3" ht="13.5" customHeight="1">
      <c r="C13993" s="4" t="str">
        <f ca="1">IFERROR(__xludf.DUMMYFUNCTION("GOOGLETRANSLATE(D:D,""auto"",""en"")"),"#VALUE!")</f>
        <v>#VALUE!</v>
      </c>
    </row>
    <row r="13994" spans="3:3" ht="13.5" customHeight="1">
      <c r="C13994" s="4" t="str">
        <f ca="1">IFERROR(__xludf.DUMMYFUNCTION("GOOGLETRANSLATE(D:D,""auto"",""en"")"),"#VALUE!")</f>
        <v>#VALUE!</v>
      </c>
    </row>
    <row r="13995" spans="3:3" ht="13.5" customHeight="1">
      <c r="C13995" s="4" t="str">
        <f ca="1">IFERROR(__xludf.DUMMYFUNCTION("GOOGLETRANSLATE(D:D,""auto"",""en"")"),"#VALUE!")</f>
        <v>#VALUE!</v>
      </c>
    </row>
    <row r="13996" spans="3:3" ht="13.5" customHeight="1">
      <c r="C13996" s="4" t="str">
        <f ca="1">IFERROR(__xludf.DUMMYFUNCTION("GOOGLETRANSLATE(D:D,""auto"",""en"")"),"#VALUE!")</f>
        <v>#VALUE!</v>
      </c>
    </row>
    <row r="13997" spans="3:3" ht="13.5" customHeight="1">
      <c r="C13997" s="4" t="str">
        <f ca="1">IFERROR(__xludf.DUMMYFUNCTION("GOOGLETRANSLATE(D:D,""auto"",""en"")"),"#VALUE!")</f>
        <v>#VALUE!</v>
      </c>
    </row>
    <row r="13998" spans="3:3" ht="13.5" customHeight="1">
      <c r="C13998" s="4" t="str">
        <f ca="1">IFERROR(__xludf.DUMMYFUNCTION("GOOGLETRANSLATE(D:D,""auto"",""en"")"),"#VALUE!")</f>
        <v>#VALUE!</v>
      </c>
    </row>
    <row r="13999" spans="3:3" ht="13.5" customHeight="1">
      <c r="C13999" s="4" t="str">
        <f ca="1">IFERROR(__xludf.DUMMYFUNCTION("GOOGLETRANSLATE(D:D,""auto"",""en"")"),"#VALUE!")</f>
        <v>#VALUE!</v>
      </c>
    </row>
    <row r="14000" spans="3:3" ht="13.5" customHeight="1">
      <c r="C14000" s="4" t="str">
        <f ca="1">IFERROR(__xludf.DUMMYFUNCTION("GOOGLETRANSLATE(D:D,""auto"",""en"")"),"#VALUE!")</f>
        <v>#VALUE!</v>
      </c>
    </row>
    <row r="14001" spans="3:3" ht="13.5" customHeight="1">
      <c r="C14001" s="4" t="str">
        <f ca="1">IFERROR(__xludf.DUMMYFUNCTION("GOOGLETRANSLATE(D:D,""auto"",""en"")"),"#VALUE!")</f>
        <v>#VALUE!</v>
      </c>
    </row>
    <row r="14002" spans="3:3" ht="13.5" customHeight="1">
      <c r="C14002" s="4" t="str">
        <f ca="1">IFERROR(__xludf.DUMMYFUNCTION("GOOGLETRANSLATE(D:D,""auto"",""en"")"),"#VALUE!")</f>
        <v>#VALUE!</v>
      </c>
    </row>
    <row r="14003" spans="3:3" ht="13.5" customHeight="1">
      <c r="C14003" s="4" t="str">
        <f ca="1">IFERROR(__xludf.DUMMYFUNCTION("GOOGLETRANSLATE(D:D,""auto"",""en"")"),"#VALUE!")</f>
        <v>#VALUE!</v>
      </c>
    </row>
    <row r="14004" spans="3:3" ht="13.5" customHeight="1">
      <c r="C14004" s="4" t="str">
        <f ca="1">IFERROR(__xludf.DUMMYFUNCTION("GOOGLETRANSLATE(D:D,""auto"",""en"")"),"#VALUE!")</f>
        <v>#VALUE!</v>
      </c>
    </row>
    <row r="14005" spans="3:3" ht="13.5" customHeight="1">
      <c r="C14005" s="4" t="str">
        <f ca="1">IFERROR(__xludf.DUMMYFUNCTION("GOOGLETRANSLATE(D:D,""auto"",""en"")"),"#VALUE!")</f>
        <v>#VALUE!</v>
      </c>
    </row>
    <row r="14006" spans="3:3" ht="13.5" customHeight="1">
      <c r="C14006" s="4" t="str">
        <f ca="1">IFERROR(__xludf.DUMMYFUNCTION("GOOGLETRANSLATE(D:D,""auto"",""en"")"),"#VALUE!")</f>
        <v>#VALUE!</v>
      </c>
    </row>
    <row r="14007" spans="3:3" ht="13.5" customHeight="1">
      <c r="C14007" s="4" t="str">
        <f ca="1">IFERROR(__xludf.DUMMYFUNCTION("GOOGLETRANSLATE(D:D,""auto"",""en"")"),"#VALUE!")</f>
        <v>#VALUE!</v>
      </c>
    </row>
    <row r="14008" spans="3:3" ht="13.5" customHeight="1">
      <c r="C14008" s="4" t="str">
        <f ca="1">IFERROR(__xludf.DUMMYFUNCTION("GOOGLETRANSLATE(D:D,""auto"",""en"")"),"#VALUE!")</f>
        <v>#VALUE!</v>
      </c>
    </row>
    <row r="14009" spans="3:3" ht="13.5" customHeight="1">
      <c r="C14009" s="4" t="str">
        <f ca="1">IFERROR(__xludf.DUMMYFUNCTION("GOOGLETRANSLATE(D:D,""auto"",""en"")"),"#VALUE!")</f>
        <v>#VALUE!</v>
      </c>
    </row>
    <row r="14010" spans="3:3" ht="13.5" customHeight="1">
      <c r="C14010" s="4" t="str">
        <f ca="1">IFERROR(__xludf.DUMMYFUNCTION("GOOGLETRANSLATE(D:D,""auto"",""en"")"),"#VALUE!")</f>
        <v>#VALUE!</v>
      </c>
    </row>
    <row r="14011" spans="3:3" ht="13.5" customHeight="1">
      <c r="C14011" s="4" t="str">
        <f ca="1">IFERROR(__xludf.DUMMYFUNCTION("GOOGLETRANSLATE(D:D,""auto"",""en"")"),"#VALUE!")</f>
        <v>#VALUE!</v>
      </c>
    </row>
    <row r="14012" spans="3:3" ht="13.5" customHeight="1">
      <c r="C14012" s="4" t="str">
        <f ca="1">IFERROR(__xludf.DUMMYFUNCTION("GOOGLETRANSLATE(D:D,""auto"",""en"")"),"#VALUE!")</f>
        <v>#VALUE!</v>
      </c>
    </row>
    <row r="14013" spans="3:3" ht="13.5" customHeight="1">
      <c r="C14013" s="4" t="str">
        <f ca="1">IFERROR(__xludf.DUMMYFUNCTION("GOOGLETRANSLATE(D:D,""auto"",""en"")"),"#VALUE!")</f>
        <v>#VALUE!</v>
      </c>
    </row>
    <row r="14014" spans="3:3" ht="13.5" customHeight="1">
      <c r="C14014" s="4" t="str">
        <f ca="1">IFERROR(__xludf.DUMMYFUNCTION("GOOGLETRANSLATE(D:D,""auto"",""en"")"),"#VALUE!")</f>
        <v>#VALUE!</v>
      </c>
    </row>
    <row r="14015" spans="3:3" ht="13.5" customHeight="1">
      <c r="C14015" s="4" t="str">
        <f ca="1">IFERROR(__xludf.DUMMYFUNCTION("GOOGLETRANSLATE(D:D,""auto"",""en"")"),"#VALUE!")</f>
        <v>#VALUE!</v>
      </c>
    </row>
    <row r="14016" spans="3:3" ht="13.5" customHeight="1">
      <c r="C14016" s="4" t="str">
        <f ca="1">IFERROR(__xludf.DUMMYFUNCTION("GOOGLETRANSLATE(D:D,""auto"",""en"")"),"#VALUE!")</f>
        <v>#VALUE!</v>
      </c>
    </row>
    <row r="14017" spans="3:3" ht="13.5" customHeight="1">
      <c r="C14017" s="4" t="str">
        <f ca="1">IFERROR(__xludf.DUMMYFUNCTION("GOOGLETRANSLATE(D:D,""auto"",""en"")"),"#VALUE!")</f>
        <v>#VALUE!</v>
      </c>
    </row>
    <row r="14018" spans="3:3" ht="13.5" customHeight="1">
      <c r="C14018" s="4" t="str">
        <f ca="1">IFERROR(__xludf.DUMMYFUNCTION("GOOGLETRANSLATE(D:D,""auto"",""en"")"),"#VALUE!")</f>
        <v>#VALUE!</v>
      </c>
    </row>
    <row r="14019" spans="3:3" ht="13.5" customHeight="1">
      <c r="C14019" s="4" t="str">
        <f ca="1">IFERROR(__xludf.DUMMYFUNCTION("GOOGLETRANSLATE(D:D,""auto"",""en"")"),"#VALUE!")</f>
        <v>#VALUE!</v>
      </c>
    </row>
    <row r="14020" spans="3:3" ht="13.5" customHeight="1">
      <c r="C14020" s="4" t="str">
        <f ca="1">IFERROR(__xludf.DUMMYFUNCTION("GOOGLETRANSLATE(D:D,""auto"",""en"")"),"#VALUE!")</f>
        <v>#VALUE!</v>
      </c>
    </row>
    <row r="14021" spans="3:3" ht="13.5" customHeight="1">
      <c r="C14021" s="4" t="str">
        <f ca="1">IFERROR(__xludf.DUMMYFUNCTION("GOOGLETRANSLATE(D:D,""auto"",""en"")"),"#VALUE!")</f>
        <v>#VALUE!</v>
      </c>
    </row>
    <row r="14022" spans="3:3" ht="13.5" customHeight="1">
      <c r="C14022" s="4" t="str">
        <f ca="1">IFERROR(__xludf.DUMMYFUNCTION("GOOGLETRANSLATE(D:D,""auto"",""en"")"),"#VALUE!")</f>
        <v>#VALUE!</v>
      </c>
    </row>
    <row r="14023" spans="3:3" ht="13.5" customHeight="1">
      <c r="C14023" s="4" t="str">
        <f ca="1">IFERROR(__xludf.DUMMYFUNCTION("GOOGLETRANSLATE(D:D,""auto"",""en"")"),"#VALUE!")</f>
        <v>#VALUE!</v>
      </c>
    </row>
    <row r="14024" spans="3:3" ht="13.5" customHeight="1">
      <c r="C14024" s="4" t="str">
        <f ca="1">IFERROR(__xludf.DUMMYFUNCTION("GOOGLETRANSLATE(D:D,""auto"",""en"")"),"#VALUE!")</f>
        <v>#VALUE!</v>
      </c>
    </row>
    <row r="14025" spans="3:3" ht="13.5" customHeight="1">
      <c r="C14025" s="4" t="str">
        <f ca="1">IFERROR(__xludf.DUMMYFUNCTION("GOOGLETRANSLATE(D:D,""auto"",""en"")"),"#VALUE!")</f>
        <v>#VALUE!</v>
      </c>
    </row>
    <row r="14026" spans="3:3" ht="13.5" customHeight="1">
      <c r="C14026" s="4" t="str">
        <f ca="1">IFERROR(__xludf.DUMMYFUNCTION("GOOGLETRANSLATE(D:D,""auto"",""en"")"),"#VALUE!")</f>
        <v>#VALUE!</v>
      </c>
    </row>
    <row r="14027" spans="3:3" ht="13.5" customHeight="1">
      <c r="C14027" s="4" t="str">
        <f ca="1">IFERROR(__xludf.DUMMYFUNCTION("GOOGLETRANSLATE(D:D,""auto"",""en"")"),"#VALUE!")</f>
        <v>#VALUE!</v>
      </c>
    </row>
    <row r="14028" spans="3:3" ht="13.5" customHeight="1">
      <c r="C14028" s="4" t="str">
        <f ca="1">IFERROR(__xludf.DUMMYFUNCTION("GOOGLETRANSLATE(D:D,""auto"",""en"")"),"#VALUE!")</f>
        <v>#VALUE!</v>
      </c>
    </row>
    <row r="14029" spans="3:3" ht="13.5" customHeight="1">
      <c r="C14029" s="4" t="str">
        <f ca="1">IFERROR(__xludf.DUMMYFUNCTION("GOOGLETRANSLATE(D:D,""auto"",""en"")"),"#VALUE!")</f>
        <v>#VALUE!</v>
      </c>
    </row>
    <row r="14030" spans="3:3" ht="13.5" customHeight="1">
      <c r="C14030" s="4" t="str">
        <f ca="1">IFERROR(__xludf.DUMMYFUNCTION("GOOGLETRANSLATE(D:D,""auto"",""en"")"),"#VALUE!")</f>
        <v>#VALUE!</v>
      </c>
    </row>
    <row r="14031" spans="3:3" ht="13.5" customHeight="1">
      <c r="C14031" s="4" t="str">
        <f ca="1">IFERROR(__xludf.DUMMYFUNCTION("GOOGLETRANSLATE(D:D,""auto"",""en"")"),"#VALUE!")</f>
        <v>#VALUE!</v>
      </c>
    </row>
    <row r="14032" spans="3:3" ht="13.5" customHeight="1">
      <c r="C14032" s="4" t="str">
        <f ca="1">IFERROR(__xludf.DUMMYFUNCTION("GOOGLETRANSLATE(D:D,""auto"",""en"")"),"#VALUE!")</f>
        <v>#VALUE!</v>
      </c>
    </row>
    <row r="14033" spans="3:3" ht="13.5" customHeight="1">
      <c r="C14033" s="4" t="str">
        <f ca="1">IFERROR(__xludf.DUMMYFUNCTION("GOOGLETRANSLATE(D:D,""auto"",""en"")"),"#VALUE!")</f>
        <v>#VALUE!</v>
      </c>
    </row>
    <row r="14034" spans="3:3" ht="13.5" customHeight="1">
      <c r="C14034" s="4" t="str">
        <f ca="1">IFERROR(__xludf.DUMMYFUNCTION("GOOGLETRANSLATE(D:D,""auto"",""en"")"),"#VALUE!")</f>
        <v>#VALUE!</v>
      </c>
    </row>
    <row r="14035" spans="3:3" ht="13.5" customHeight="1">
      <c r="C14035" s="4" t="str">
        <f ca="1">IFERROR(__xludf.DUMMYFUNCTION("GOOGLETRANSLATE(D:D,""auto"",""en"")"),"#VALUE!")</f>
        <v>#VALUE!</v>
      </c>
    </row>
    <row r="14036" spans="3:3" ht="13.5" customHeight="1">
      <c r="C14036" s="4" t="str">
        <f ca="1">IFERROR(__xludf.DUMMYFUNCTION("GOOGLETRANSLATE(D:D,""auto"",""en"")"),"#VALUE!")</f>
        <v>#VALUE!</v>
      </c>
    </row>
    <row r="14037" spans="3:3" ht="13.5" customHeight="1">
      <c r="C14037" s="4" t="str">
        <f ca="1">IFERROR(__xludf.DUMMYFUNCTION("GOOGLETRANSLATE(D:D,""auto"",""en"")"),"#VALUE!")</f>
        <v>#VALUE!</v>
      </c>
    </row>
    <row r="14038" spans="3:3" ht="13.5" customHeight="1">
      <c r="C14038" s="4" t="str">
        <f ca="1">IFERROR(__xludf.DUMMYFUNCTION("GOOGLETRANSLATE(D:D,""auto"",""en"")"),"#VALUE!")</f>
        <v>#VALUE!</v>
      </c>
    </row>
    <row r="14039" spans="3:3" ht="13.5" customHeight="1">
      <c r="C14039" s="4" t="str">
        <f ca="1">IFERROR(__xludf.DUMMYFUNCTION("GOOGLETRANSLATE(D:D,""auto"",""en"")"),"#VALUE!")</f>
        <v>#VALUE!</v>
      </c>
    </row>
    <row r="14040" spans="3:3" ht="13.5" customHeight="1">
      <c r="C14040" s="4" t="str">
        <f ca="1">IFERROR(__xludf.DUMMYFUNCTION("GOOGLETRANSLATE(D:D,""auto"",""en"")"),"#VALUE!")</f>
        <v>#VALUE!</v>
      </c>
    </row>
    <row r="14041" spans="3:3" ht="13.5" customHeight="1">
      <c r="C14041" s="4" t="str">
        <f ca="1">IFERROR(__xludf.DUMMYFUNCTION("GOOGLETRANSLATE(D:D,""auto"",""en"")"),"#VALUE!")</f>
        <v>#VALUE!</v>
      </c>
    </row>
    <row r="14042" spans="3:3" ht="13.5" customHeight="1">
      <c r="C14042" s="4" t="str">
        <f ca="1">IFERROR(__xludf.DUMMYFUNCTION("GOOGLETRANSLATE(D:D,""auto"",""en"")"),"#VALUE!")</f>
        <v>#VALUE!</v>
      </c>
    </row>
    <row r="14043" spans="3:3" ht="13.5" customHeight="1">
      <c r="C14043" s="4" t="str">
        <f ca="1">IFERROR(__xludf.DUMMYFUNCTION("GOOGLETRANSLATE(D:D,""auto"",""en"")"),"#VALUE!")</f>
        <v>#VALUE!</v>
      </c>
    </row>
    <row r="14044" spans="3:3" ht="13.5" customHeight="1">
      <c r="C14044" s="4" t="str">
        <f ca="1">IFERROR(__xludf.DUMMYFUNCTION("GOOGLETRANSLATE(D:D,""auto"",""en"")"),"#VALUE!")</f>
        <v>#VALUE!</v>
      </c>
    </row>
    <row r="14045" spans="3:3" ht="13.5" customHeight="1">
      <c r="C14045" s="4" t="str">
        <f ca="1">IFERROR(__xludf.DUMMYFUNCTION("GOOGLETRANSLATE(D:D,""auto"",""en"")"),"#VALUE!")</f>
        <v>#VALUE!</v>
      </c>
    </row>
    <row r="14046" spans="3:3" ht="13.5" customHeight="1">
      <c r="C14046" s="4" t="str">
        <f ca="1">IFERROR(__xludf.DUMMYFUNCTION("GOOGLETRANSLATE(D:D,""auto"",""en"")"),"#VALUE!")</f>
        <v>#VALUE!</v>
      </c>
    </row>
    <row r="14047" spans="3:3" ht="13.5" customHeight="1">
      <c r="C14047" s="4" t="str">
        <f ca="1">IFERROR(__xludf.DUMMYFUNCTION("GOOGLETRANSLATE(D:D,""auto"",""en"")"),"#VALUE!")</f>
        <v>#VALUE!</v>
      </c>
    </row>
    <row r="14048" spans="3:3" ht="13.5" customHeight="1">
      <c r="C14048" s="4" t="str">
        <f ca="1">IFERROR(__xludf.DUMMYFUNCTION("GOOGLETRANSLATE(D:D,""auto"",""en"")"),"#VALUE!")</f>
        <v>#VALUE!</v>
      </c>
    </row>
    <row r="14049" spans="3:3" ht="13.5" customHeight="1">
      <c r="C14049" s="4" t="str">
        <f ca="1">IFERROR(__xludf.DUMMYFUNCTION("GOOGLETRANSLATE(D:D,""auto"",""en"")"),"#VALUE!")</f>
        <v>#VALUE!</v>
      </c>
    </row>
    <row r="14050" spans="3:3" ht="13.5" customHeight="1">
      <c r="C14050" s="4" t="str">
        <f ca="1">IFERROR(__xludf.DUMMYFUNCTION("GOOGLETRANSLATE(D:D,""auto"",""en"")"),"#VALUE!")</f>
        <v>#VALUE!</v>
      </c>
    </row>
    <row r="14051" spans="3:3" ht="13.5" customHeight="1">
      <c r="C14051" s="4" t="str">
        <f ca="1">IFERROR(__xludf.DUMMYFUNCTION("GOOGLETRANSLATE(D:D,""auto"",""en"")"),"#VALUE!")</f>
        <v>#VALUE!</v>
      </c>
    </row>
    <row r="14052" spans="3:3" ht="13.5" customHeight="1">
      <c r="C14052" s="4" t="str">
        <f ca="1">IFERROR(__xludf.DUMMYFUNCTION("GOOGLETRANSLATE(D:D,""auto"",""en"")"),"#VALUE!")</f>
        <v>#VALUE!</v>
      </c>
    </row>
    <row r="14053" spans="3:3" ht="13.5" customHeight="1">
      <c r="C14053" s="4" t="str">
        <f ca="1">IFERROR(__xludf.DUMMYFUNCTION("GOOGLETRANSLATE(D:D,""auto"",""en"")"),"#VALUE!")</f>
        <v>#VALUE!</v>
      </c>
    </row>
    <row r="14054" spans="3:3" ht="13.5" customHeight="1">
      <c r="C14054" s="4" t="str">
        <f ca="1">IFERROR(__xludf.DUMMYFUNCTION("GOOGLETRANSLATE(D:D,""auto"",""en"")"),"#VALUE!")</f>
        <v>#VALUE!</v>
      </c>
    </row>
    <row r="14055" spans="3:3" ht="13.5" customHeight="1">
      <c r="C14055" s="4" t="str">
        <f ca="1">IFERROR(__xludf.DUMMYFUNCTION("GOOGLETRANSLATE(D:D,""auto"",""en"")"),"#VALUE!")</f>
        <v>#VALUE!</v>
      </c>
    </row>
    <row r="14056" spans="3:3" ht="13.5" customHeight="1">
      <c r="C14056" s="4" t="str">
        <f ca="1">IFERROR(__xludf.DUMMYFUNCTION("GOOGLETRANSLATE(D:D,""auto"",""en"")"),"#VALUE!")</f>
        <v>#VALUE!</v>
      </c>
    </row>
    <row r="14057" spans="3:3" ht="13.5" customHeight="1">
      <c r="C14057" s="4" t="str">
        <f ca="1">IFERROR(__xludf.DUMMYFUNCTION("GOOGLETRANSLATE(D:D,""auto"",""en"")"),"#VALUE!")</f>
        <v>#VALUE!</v>
      </c>
    </row>
    <row r="14058" spans="3:3" ht="13.5" customHeight="1">
      <c r="C14058" s="4" t="str">
        <f ca="1">IFERROR(__xludf.DUMMYFUNCTION("GOOGLETRANSLATE(D:D,""auto"",""en"")"),"#VALUE!")</f>
        <v>#VALUE!</v>
      </c>
    </row>
    <row r="14059" spans="3:3" ht="13.5" customHeight="1">
      <c r="C14059" s="4" t="str">
        <f ca="1">IFERROR(__xludf.DUMMYFUNCTION("GOOGLETRANSLATE(D:D,""auto"",""en"")"),"#VALUE!")</f>
        <v>#VALUE!</v>
      </c>
    </row>
    <row r="14060" spans="3:3" ht="13.5" customHeight="1">
      <c r="C14060" s="4" t="str">
        <f ca="1">IFERROR(__xludf.DUMMYFUNCTION("GOOGLETRANSLATE(D:D,""auto"",""en"")"),"#VALUE!")</f>
        <v>#VALUE!</v>
      </c>
    </row>
    <row r="14061" spans="3:3" ht="13.5" customHeight="1">
      <c r="C14061" s="4" t="str">
        <f ca="1">IFERROR(__xludf.DUMMYFUNCTION("GOOGLETRANSLATE(D:D,""auto"",""en"")"),"#VALUE!")</f>
        <v>#VALUE!</v>
      </c>
    </row>
    <row r="14062" spans="3:3" ht="13.5" customHeight="1">
      <c r="C14062" s="4" t="str">
        <f ca="1">IFERROR(__xludf.DUMMYFUNCTION("GOOGLETRANSLATE(D:D,""auto"",""en"")"),"#VALUE!")</f>
        <v>#VALUE!</v>
      </c>
    </row>
    <row r="14063" spans="3:3" ht="13.5" customHeight="1">
      <c r="C14063" s="4" t="str">
        <f ca="1">IFERROR(__xludf.DUMMYFUNCTION("GOOGLETRANSLATE(D:D,""auto"",""en"")"),"#VALUE!")</f>
        <v>#VALUE!</v>
      </c>
    </row>
    <row r="14064" spans="3:3" ht="13.5" customHeight="1">
      <c r="C14064" s="4" t="str">
        <f ca="1">IFERROR(__xludf.DUMMYFUNCTION("GOOGLETRANSLATE(D:D,""auto"",""en"")"),"#VALUE!")</f>
        <v>#VALUE!</v>
      </c>
    </row>
    <row r="14065" spans="3:3" ht="13.5" customHeight="1">
      <c r="C14065" s="4" t="str">
        <f ca="1">IFERROR(__xludf.DUMMYFUNCTION("GOOGLETRANSLATE(D:D,""auto"",""en"")"),"#VALUE!")</f>
        <v>#VALUE!</v>
      </c>
    </row>
    <row r="14066" spans="3:3" ht="13.5" customHeight="1">
      <c r="C14066" s="4" t="str">
        <f ca="1">IFERROR(__xludf.DUMMYFUNCTION("GOOGLETRANSLATE(D:D,""auto"",""en"")"),"#VALUE!")</f>
        <v>#VALUE!</v>
      </c>
    </row>
    <row r="14067" spans="3:3" ht="13.5" customHeight="1">
      <c r="C14067" s="4" t="str">
        <f ca="1">IFERROR(__xludf.DUMMYFUNCTION("GOOGLETRANSLATE(D:D,""auto"",""en"")"),"#VALUE!")</f>
        <v>#VALUE!</v>
      </c>
    </row>
    <row r="14068" spans="3:3" ht="13.5" customHeight="1">
      <c r="C14068" s="4" t="str">
        <f ca="1">IFERROR(__xludf.DUMMYFUNCTION("GOOGLETRANSLATE(D:D,""auto"",""en"")"),"#VALUE!")</f>
        <v>#VALUE!</v>
      </c>
    </row>
    <row r="14069" spans="3:3" ht="13.5" customHeight="1">
      <c r="C14069" s="4" t="str">
        <f ca="1">IFERROR(__xludf.DUMMYFUNCTION("GOOGLETRANSLATE(D:D,""auto"",""en"")"),"#VALUE!")</f>
        <v>#VALUE!</v>
      </c>
    </row>
    <row r="14070" spans="3:3" ht="13.5" customHeight="1">
      <c r="C14070" s="4" t="str">
        <f ca="1">IFERROR(__xludf.DUMMYFUNCTION("GOOGLETRANSLATE(D:D,""auto"",""en"")"),"#VALUE!")</f>
        <v>#VALUE!</v>
      </c>
    </row>
    <row r="14071" spans="3:3" ht="13.5" customHeight="1">
      <c r="C14071" s="4" t="str">
        <f ca="1">IFERROR(__xludf.DUMMYFUNCTION("GOOGLETRANSLATE(D:D,""auto"",""en"")"),"#VALUE!")</f>
        <v>#VALUE!</v>
      </c>
    </row>
    <row r="14072" spans="3:3" ht="13.5" customHeight="1">
      <c r="C14072" s="4" t="str">
        <f ca="1">IFERROR(__xludf.DUMMYFUNCTION("GOOGLETRANSLATE(D:D,""auto"",""en"")"),"#VALUE!")</f>
        <v>#VALUE!</v>
      </c>
    </row>
    <row r="14073" spans="3:3" ht="13.5" customHeight="1">
      <c r="C14073" s="4" t="str">
        <f ca="1">IFERROR(__xludf.DUMMYFUNCTION("GOOGLETRANSLATE(D:D,""auto"",""en"")"),"#VALUE!")</f>
        <v>#VALUE!</v>
      </c>
    </row>
    <row r="14074" spans="3:3" ht="13.5" customHeight="1">
      <c r="C14074" s="4" t="str">
        <f ca="1">IFERROR(__xludf.DUMMYFUNCTION("GOOGLETRANSLATE(D:D,""auto"",""en"")"),"#VALUE!")</f>
        <v>#VALUE!</v>
      </c>
    </row>
    <row r="14075" spans="3:3" ht="13.5" customHeight="1">
      <c r="C14075" s="4" t="str">
        <f ca="1">IFERROR(__xludf.DUMMYFUNCTION("GOOGLETRANSLATE(D:D,""auto"",""en"")"),"#VALUE!")</f>
        <v>#VALUE!</v>
      </c>
    </row>
    <row r="14076" spans="3:3" ht="13.5" customHeight="1">
      <c r="C14076" s="4" t="str">
        <f ca="1">IFERROR(__xludf.DUMMYFUNCTION("GOOGLETRANSLATE(D:D,""auto"",""en"")"),"#VALUE!")</f>
        <v>#VALUE!</v>
      </c>
    </row>
    <row r="14077" spans="3:3" ht="13.5" customHeight="1">
      <c r="C14077" s="4" t="str">
        <f ca="1">IFERROR(__xludf.DUMMYFUNCTION("GOOGLETRANSLATE(D:D,""auto"",""en"")"),"#VALUE!")</f>
        <v>#VALUE!</v>
      </c>
    </row>
    <row r="14078" spans="3:3" ht="13.5" customHeight="1">
      <c r="C14078" s="4" t="str">
        <f ca="1">IFERROR(__xludf.DUMMYFUNCTION("GOOGLETRANSLATE(D:D,""auto"",""en"")"),"#VALUE!")</f>
        <v>#VALUE!</v>
      </c>
    </row>
    <row r="14079" spans="3:3" ht="13.5" customHeight="1">
      <c r="C14079" s="4" t="str">
        <f ca="1">IFERROR(__xludf.DUMMYFUNCTION("GOOGLETRANSLATE(D:D,""auto"",""en"")"),"#VALUE!")</f>
        <v>#VALUE!</v>
      </c>
    </row>
    <row r="14080" spans="3:3" ht="13.5" customHeight="1">
      <c r="C14080" s="4" t="str">
        <f ca="1">IFERROR(__xludf.DUMMYFUNCTION("GOOGLETRANSLATE(D:D,""auto"",""en"")"),"#VALUE!")</f>
        <v>#VALUE!</v>
      </c>
    </row>
    <row r="14081" spans="3:3" ht="13.5" customHeight="1">
      <c r="C14081" s="4" t="str">
        <f ca="1">IFERROR(__xludf.DUMMYFUNCTION("GOOGLETRANSLATE(D:D,""auto"",""en"")"),"#VALUE!")</f>
        <v>#VALUE!</v>
      </c>
    </row>
    <row r="14082" spans="3:3" ht="13.5" customHeight="1">
      <c r="C14082" s="4" t="str">
        <f ca="1">IFERROR(__xludf.DUMMYFUNCTION("GOOGLETRANSLATE(D:D,""auto"",""en"")"),"#VALUE!")</f>
        <v>#VALUE!</v>
      </c>
    </row>
    <row r="14083" spans="3:3" ht="13.5" customHeight="1">
      <c r="C14083" s="4" t="str">
        <f ca="1">IFERROR(__xludf.DUMMYFUNCTION("GOOGLETRANSLATE(D:D,""auto"",""en"")"),"#VALUE!")</f>
        <v>#VALUE!</v>
      </c>
    </row>
    <row r="14084" spans="3:3" ht="13.5" customHeight="1">
      <c r="C14084" s="4" t="str">
        <f ca="1">IFERROR(__xludf.DUMMYFUNCTION("GOOGLETRANSLATE(D:D,""auto"",""en"")"),"#VALUE!")</f>
        <v>#VALUE!</v>
      </c>
    </row>
    <row r="14085" spans="3:3" ht="13.5" customHeight="1">
      <c r="C14085" s="4" t="str">
        <f ca="1">IFERROR(__xludf.DUMMYFUNCTION("GOOGLETRANSLATE(D:D,""auto"",""en"")"),"#VALUE!")</f>
        <v>#VALUE!</v>
      </c>
    </row>
    <row r="14086" spans="3:3" ht="13.5" customHeight="1">
      <c r="C14086" s="4" t="str">
        <f ca="1">IFERROR(__xludf.DUMMYFUNCTION("GOOGLETRANSLATE(D:D,""auto"",""en"")"),"#VALUE!")</f>
        <v>#VALUE!</v>
      </c>
    </row>
    <row r="14087" spans="3:3" ht="13.5" customHeight="1">
      <c r="C14087" s="4" t="str">
        <f ca="1">IFERROR(__xludf.DUMMYFUNCTION("GOOGLETRANSLATE(D:D,""auto"",""en"")"),"#VALUE!")</f>
        <v>#VALUE!</v>
      </c>
    </row>
    <row r="14088" spans="3:3" ht="13.5" customHeight="1">
      <c r="C14088" s="4" t="str">
        <f ca="1">IFERROR(__xludf.DUMMYFUNCTION("GOOGLETRANSLATE(D:D,""auto"",""en"")"),"#VALUE!")</f>
        <v>#VALUE!</v>
      </c>
    </row>
    <row r="14089" spans="3:3" ht="13.5" customHeight="1">
      <c r="C14089" s="4" t="str">
        <f ca="1">IFERROR(__xludf.DUMMYFUNCTION("GOOGLETRANSLATE(D:D,""auto"",""en"")"),"#VALUE!")</f>
        <v>#VALUE!</v>
      </c>
    </row>
    <row r="14090" spans="3:3" ht="13.5" customHeight="1">
      <c r="C14090" s="4" t="str">
        <f ca="1">IFERROR(__xludf.DUMMYFUNCTION("GOOGLETRANSLATE(D:D,""auto"",""en"")"),"#VALUE!")</f>
        <v>#VALUE!</v>
      </c>
    </row>
    <row r="14091" spans="3:3" ht="13.5" customHeight="1">
      <c r="C14091" s="4" t="str">
        <f ca="1">IFERROR(__xludf.DUMMYFUNCTION("GOOGLETRANSLATE(D:D,""auto"",""en"")"),"#VALUE!")</f>
        <v>#VALUE!</v>
      </c>
    </row>
    <row r="14092" spans="3:3" ht="13.5" customHeight="1">
      <c r="C14092" s="4" t="str">
        <f ca="1">IFERROR(__xludf.DUMMYFUNCTION("GOOGLETRANSLATE(D:D,""auto"",""en"")"),"#VALUE!")</f>
        <v>#VALUE!</v>
      </c>
    </row>
    <row r="14093" spans="3:3" ht="13.5" customHeight="1">
      <c r="C14093" s="4" t="str">
        <f ca="1">IFERROR(__xludf.DUMMYFUNCTION("GOOGLETRANSLATE(D:D,""auto"",""en"")"),"#VALUE!")</f>
        <v>#VALUE!</v>
      </c>
    </row>
    <row r="14094" spans="3:3" ht="13.5" customHeight="1">
      <c r="C14094" s="4" t="str">
        <f ca="1">IFERROR(__xludf.DUMMYFUNCTION("GOOGLETRANSLATE(D:D,""auto"",""en"")"),"#VALUE!")</f>
        <v>#VALUE!</v>
      </c>
    </row>
    <row r="14095" spans="3:3" ht="13.5" customHeight="1">
      <c r="C14095" s="4" t="str">
        <f ca="1">IFERROR(__xludf.DUMMYFUNCTION("GOOGLETRANSLATE(D:D,""auto"",""en"")"),"#VALUE!")</f>
        <v>#VALUE!</v>
      </c>
    </row>
    <row r="14096" spans="3:3" ht="13.5" customHeight="1">
      <c r="C14096" s="4" t="str">
        <f ca="1">IFERROR(__xludf.DUMMYFUNCTION("GOOGLETRANSLATE(D:D,""auto"",""en"")"),"#VALUE!")</f>
        <v>#VALUE!</v>
      </c>
    </row>
    <row r="14097" spans="3:3" ht="13.5" customHeight="1">
      <c r="C14097" s="4" t="str">
        <f ca="1">IFERROR(__xludf.DUMMYFUNCTION("GOOGLETRANSLATE(D:D,""auto"",""en"")"),"#VALUE!")</f>
        <v>#VALUE!</v>
      </c>
    </row>
    <row r="14098" spans="3:3" ht="13.5" customHeight="1">
      <c r="C14098" s="4" t="str">
        <f ca="1">IFERROR(__xludf.DUMMYFUNCTION("GOOGLETRANSLATE(D:D,""auto"",""en"")"),"#VALUE!")</f>
        <v>#VALUE!</v>
      </c>
    </row>
    <row r="14099" spans="3:3" ht="13.5" customHeight="1">
      <c r="C14099" s="4" t="str">
        <f ca="1">IFERROR(__xludf.DUMMYFUNCTION("GOOGLETRANSLATE(D:D,""auto"",""en"")"),"#VALUE!")</f>
        <v>#VALUE!</v>
      </c>
    </row>
    <row r="14100" spans="3:3" ht="13.5" customHeight="1">
      <c r="C14100" s="4" t="str">
        <f ca="1">IFERROR(__xludf.DUMMYFUNCTION("GOOGLETRANSLATE(D:D,""auto"",""en"")"),"#VALUE!")</f>
        <v>#VALUE!</v>
      </c>
    </row>
    <row r="14101" spans="3:3" ht="13.5" customHeight="1">
      <c r="C14101" s="4" t="str">
        <f ca="1">IFERROR(__xludf.DUMMYFUNCTION("GOOGLETRANSLATE(D:D,""auto"",""en"")"),"#VALUE!")</f>
        <v>#VALUE!</v>
      </c>
    </row>
    <row r="14102" spans="3:3" ht="13.5" customHeight="1">
      <c r="C14102" s="4" t="str">
        <f ca="1">IFERROR(__xludf.DUMMYFUNCTION("GOOGLETRANSLATE(D:D,""auto"",""en"")"),"#VALUE!")</f>
        <v>#VALUE!</v>
      </c>
    </row>
    <row r="14103" spans="3:3" ht="13.5" customHeight="1">
      <c r="C14103" s="4" t="str">
        <f ca="1">IFERROR(__xludf.DUMMYFUNCTION("GOOGLETRANSLATE(D:D,""auto"",""en"")"),"#VALUE!")</f>
        <v>#VALUE!</v>
      </c>
    </row>
    <row r="14104" spans="3:3" ht="13.5" customHeight="1">
      <c r="C14104" s="4" t="str">
        <f ca="1">IFERROR(__xludf.DUMMYFUNCTION("GOOGLETRANSLATE(D:D,""auto"",""en"")"),"#VALUE!")</f>
        <v>#VALUE!</v>
      </c>
    </row>
    <row r="14105" spans="3:3" ht="13.5" customHeight="1">
      <c r="C14105" s="4" t="str">
        <f ca="1">IFERROR(__xludf.DUMMYFUNCTION("GOOGLETRANSLATE(D:D,""auto"",""en"")"),"#VALUE!")</f>
        <v>#VALUE!</v>
      </c>
    </row>
    <row r="14106" spans="3:3" ht="13.5" customHeight="1">
      <c r="C14106" s="4" t="str">
        <f ca="1">IFERROR(__xludf.DUMMYFUNCTION("GOOGLETRANSLATE(D:D,""auto"",""en"")"),"#VALUE!")</f>
        <v>#VALUE!</v>
      </c>
    </row>
    <row r="14107" spans="3:3" ht="13.5" customHeight="1">
      <c r="C14107" s="4" t="str">
        <f ca="1">IFERROR(__xludf.DUMMYFUNCTION("GOOGLETRANSLATE(D:D,""auto"",""en"")"),"#VALUE!")</f>
        <v>#VALUE!</v>
      </c>
    </row>
    <row r="14108" spans="3:3" ht="13.5" customHeight="1">
      <c r="C14108" s="4" t="str">
        <f ca="1">IFERROR(__xludf.DUMMYFUNCTION("GOOGLETRANSLATE(D:D,""auto"",""en"")"),"#VALUE!")</f>
        <v>#VALUE!</v>
      </c>
    </row>
    <row r="14109" spans="3:3" ht="13.5" customHeight="1">
      <c r="C14109" s="4" t="str">
        <f ca="1">IFERROR(__xludf.DUMMYFUNCTION("GOOGLETRANSLATE(D:D,""auto"",""en"")"),"#VALUE!")</f>
        <v>#VALUE!</v>
      </c>
    </row>
    <row r="14110" spans="3:3" ht="13.5" customHeight="1">
      <c r="C14110" s="4" t="str">
        <f ca="1">IFERROR(__xludf.DUMMYFUNCTION("GOOGLETRANSLATE(D:D,""auto"",""en"")"),"#VALUE!")</f>
        <v>#VALUE!</v>
      </c>
    </row>
    <row r="14111" spans="3:3" ht="13.5" customHeight="1">
      <c r="C14111" s="4" t="str">
        <f ca="1">IFERROR(__xludf.DUMMYFUNCTION("GOOGLETRANSLATE(D:D,""auto"",""en"")"),"#VALUE!")</f>
        <v>#VALUE!</v>
      </c>
    </row>
    <row r="14112" spans="3:3" ht="13.5" customHeight="1">
      <c r="C14112" s="4" t="str">
        <f ca="1">IFERROR(__xludf.DUMMYFUNCTION("GOOGLETRANSLATE(D:D,""auto"",""en"")"),"#VALUE!")</f>
        <v>#VALUE!</v>
      </c>
    </row>
    <row r="14113" spans="3:3" ht="13.5" customHeight="1">
      <c r="C14113" s="4" t="str">
        <f ca="1">IFERROR(__xludf.DUMMYFUNCTION("GOOGLETRANSLATE(D:D,""auto"",""en"")"),"#VALUE!")</f>
        <v>#VALUE!</v>
      </c>
    </row>
    <row r="14114" spans="3:3" ht="13.5" customHeight="1">
      <c r="C14114" s="4" t="str">
        <f ca="1">IFERROR(__xludf.DUMMYFUNCTION("GOOGLETRANSLATE(D:D,""auto"",""en"")"),"#VALUE!")</f>
        <v>#VALUE!</v>
      </c>
    </row>
    <row r="14115" spans="3:3" ht="13.5" customHeight="1">
      <c r="C14115" s="4" t="str">
        <f ca="1">IFERROR(__xludf.DUMMYFUNCTION("GOOGLETRANSLATE(D:D,""auto"",""en"")"),"#VALUE!")</f>
        <v>#VALUE!</v>
      </c>
    </row>
    <row r="14116" spans="3:3" ht="13.5" customHeight="1">
      <c r="C14116" s="4" t="str">
        <f ca="1">IFERROR(__xludf.DUMMYFUNCTION("GOOGLETRANSLATE(D:D,""auto"",""en"")"),"#VALUE!")</f>
        <v>#VALUE!</v>
      </c>
    </row>
    <row r="14117" spans="3:3" ht="13.5" customHeight="1">
      <c r="C14117" s="4" t="str">
        <f ca="1">IFERROR(__xludf.DUMMYFUNCTION("GOOGLETRANSLATE(D:D,""auto"",""en"")"),"#VALUE!")</f>
        <v>#VALUE!</v>
      </c>
    </row>
    <row r="14118" spans="3:3" ht="13.5" customHeight="1">
      <c r="C14118" s="4" t="str">
        <f ca="1">IFERROR(__xludf.DUMMYFUNCTION("GOOGLETRANSLATE(D:D,""auto"",""en"")"),"#VALUE!")</f>
        <v>#VALUE!</v>
      </c>
    </row>
    <row r="14119" spans="3:3" ht="13.5" customHeight="1">
      <c r="C14119" s="4" t="str">
        <f ca="1">IFERROR(__xludf.DUMMYFUNCTION("GOOGLETRANSLATE(D:D,""auto"",""en"")"),"#VALUE!")</f>
        <v>#VALUE!</v>
      </c>
    </row>
    <row r="14120" spans="3:3" ht="13.5" customHeight="1">
      <c r="C14120" s="4" t="str">
        <f ca="1">IFERROR(__xludf.DUMMYFUNCTION("GOOGLETRANSLATE(D:D,""auto"",""en"")"),"#VALUE!")</f>
        <v>#VALUE!</v>
      </c>
    </row>
    <row r="14121" spans="3:3" ht="13.5" customHeight="1">
      <c r="C14121" s="4" t="str">
        <f ca="1">IFERROR(__xludf.DUMMYFUNCTION("GOOGLETRANSLATE(D:D,""auto"",""en"")"),"#VALUE!")</f>
        <v>#VALUE!</v>
      </c>
    </row>
    <row r="14122" spans="3:3" ht="13.5" customHeight="1">
      <c r="C14122" s="4" t="str">
        <f ca="1">IFERROR(__xludf.DUMMYFUNCTION("GOOGLETRANSLATE(D:D,""auto"",""en"")"),"#VALUE!")</f>
        <v>#VALUE!</v>
      </c>
    </row>
    <row r="14123" spans="3:3" ht="13.5" customHeight="1">
      <c r="C14123" s="4" t="str">
        <f ca="1">IFERROR(__xludf.DUMMYFUNCTION("GOOGLETRANSLATE(D:D,""auto"",""en"")"),"#VALUE!")</f>
        <v>#VALUE!</v>
      </c>
    </row>
    <row r="14124" spans="3:3" ht="13.5" customHeight="1">
      <c r="C14124" s="4" t="str">
        <f ca="1">IFERROR(__xludf.DUMMYFUNCTION("GOOGLETRANSLATE(D:D,""auto"",""en"")"),"#VALUE!")</f>
        <v>#VALUE!</v>
      </c>
    </row>
    <row r="14125" spans="3:3" ht="13.5" customHeight="1">
      <c r="C14125" s="4" t="str">
        <f ca="1">IFERROR(__xludf.DUMMYFUNCTION("GOOGLETRANSLATE(D:D,""auto"",""en"")"),"#VALUE!")</f>
        <v>#VALUE!</v>
      </c>
    </row>
    <row r="14126" spans="3:3" ht="13.5" customHeight="1">
      <c r="C14126" s="4" t="str">
        <f ca="1">IFERROR(__xludf.DUMMYFUNCTION("GOOGLETRANSLATE(D:D,""auto"",""en"")"),"#VALUE!")</f>
        <v>#VALUE!</v>
      </c>
    </row>
    <row r="14127" spans="3:3" ht="13.5" customHeight="1">
      <c r="C14127" s="4" t="str">
        <f ca="1">IFERROR(__xludf.DUMMYFUNCTION("GOOGLETRANSLATE(D:D,""auto"",""en"")"),"#VALUE!")</f>
        <v>#VALUE!</v>
      </c>
    </row>
    <row r="14128" spans="3:3" ht="13.5" customHeight="1">
      <c r="C14128" s="4" t="str">
        <f ca="1">IFERROR(__xludf.DUMMYFUNCTION("GOOGLETRANSLATE(D:D,""auto"",""en"")"),"#VALUE!")</f>
        <v>#VALUE!</v>
      </c>
    </row>
    <row r="14129" spans="3:3" ht="13.5" customHeight="1">
      <c r="C14129" s="4" t="str">
        <f ca="1">IFERROR(__xludf.DUMMYFUNCTION("GOOGLETRANSLATE(D:D,""auto"",""en"")"),"#VALUE!")</f>
        <v>#VALUE!</v>
      </c>
    </row>
    <row r="14130" spans="3:3" ht="13.5" customHeight="1">
      <c r="C14130" s="4" t="str">
        <f ca="1">IFERROR(__xludf.DUMMYFUNCTION("GOOGLETRANSLATE(D:D,""auto"",""en"")"),"#VALUE!")</f>
        <v>#VALUE!</v>
      </c>
    </row>
    <row r="14131" spans="3:3" ht="13.5" customHeight="1">
      <c r="C14131" s="4" t="str">
        <f ca="1">IFERROR(__xludf.DUMMYFUNCTION("GOOGLETRANSLATE(D:D,""auto"",""en"")"),"#VALUE!")</f>
        <v>#VALUE!</v>
      </c>
    </row>
    <row r="14132" spans="3:3" ht="13.5" customHeight="1">
      <c r="C14132" s="4" t="str">
        <f ca="1">IFERROR(__xludf.DUMMYFUNCTION("GOOGLETRANSLATE(D:D,""auto"",""en"")"),"#VALUE!")</f>
        <v>#VALUE!</v>
      </c>
    </row>
    <row r="14133" spans="3:3" ht="13.5" customHeight="1">
      <c r="C14133" s="4" t="str">
        <f ca="1">IFERROR(__xludf.DUMMYFUNCTION("GOOGLETRANSLATE(D:D,""auto"",""en"")"),"#VALUE!")</f>
        <v>#VALUE!</v>
      </c>
    </row>
    <row r="14134" spans="3:3" ht="13.5" customHeight="1">
      <c r="C14134" s="4" t="str">
        <f ca="1">IFERROR(__xludf.DUMMYFUNCTION("GOOGLETRANSLATE(D:D,""auto"",""en"")"),"#VALUE!")</f>
        <v>#VALUE!</v>
      </c>
    </row>
    <row r="14135" spans="3:3" ht="13.5" customHeight="1">
      <c r="C14135" s="4" t="str">
        <f ca="1">IFERROR(__xludf.DUMMYFUNCTION("GOOGLETRANSLATE(D:D,""auto"",""en"")"),"#VALUE!")</f>
        <v>#VALUE!</v>
      </c>
    </row>
    <row r="14136" spans="3:3" ht="13.5" customHeight="1">
      <c r="C14136" s="4" t="str">
        <f ca="1">IFERROR(__xludf.DUMMYFUNCTION("GOOGLETRANSLATE(D:D,""auto"",""en"")"),"#VALUE!")</f>
        <v>#VALUE!</v>
      </c>
    </row>
    <row r="14137" spans="3:3" ht="13.5" customHeight="1">
      <c r="C14137" s="4" t="str">
        <f ca="1">IFERROR(__xludf.DUMMYFUNCTION("GOOGLETRANSLATE(D:D,""auto"",""en"")"),"#VALUE!")</f>
        <v>#VALUE!</v>
      </c>
    </row>
    <row r="14138" spans="3:3" ht="13.5" customHeight="1">
      <c r="C14138" s="4" t="str">
        <f ca="1">IFERROR(__xludf.DUMMYFUNCTION("GOOGLETRANSLATE(D:D,""auto"",""en"")"),"#VALUE!")</f>
        <v>#VALUE!</v>
      </c>
    </row>
    <row r="14139" spans="3:3" ht="13.5" customHeight="1">
      <c r="C14139" s="4" t="str">
        <f ca="1">IFERROR(__xludf.DUMMYFUNCTION("GOOGLETRANSLATE(D:D,""auto"",""en"")"),"#VALUE!")</f>
        <v>#VALUE!</v>
      </c>
    </row>
    <row r="14140" spans="3:3" ht="13.5" customHeight="1">
      <c r="C14140" s="4" t="str">
        <f ca="1">IFERROR(__xludf.DUMMYFUNCTION("GOOGLETRANSLATE(D:D,""auto"",""en"")"),"#VALUE!")</f>
        <v>#VALUE!</v>
      </c>
    </row>
    <row r="14141" spans="3:3" ht="13.5" customHeight="1">
      <c r="C14141" s="4" t="str">
        <f ca="1">IFERROR(__xludf.DUMMYFUNCTION("GOOGLETRANSLATE(D:D,""auto"",""en"")"),"#VALUE!")</f>
        <v>#VALUE!</v>
      </c>
    </row>
    <row r="14142" spans="3:3" ht="13.5" customHeight="1">
      <c r="C14142" s="4" t="str">
        <f ca="1">IFERROR(__xludf.DUMMYFUNCTION("GOOGLETRANSLATE(D:D,""auto"",""en"")"),"#VALUE!")</f>
        <v>#VALUE!</v>
      </c>
    </row>
    <row r="14143" spans="3:3" ht="13.5" customHeight="1">
      <c r="C14143" s="4" t="str">
        <f ca="1">IFERROR(__xludf.DUMMYFUNCTION("GOOGLETRANSLATE(D:D,""auto"",""en"")"),"#VALUE!")</f>
        <v>#VALUE!</v>
      </c>
    </row>
    <row r="14144" spans="3:3" ht="13.5" customHeight="1">
      <c r="C14144" s="4" t="str">
        <f ca="1">IFERROR(__xludf.DUMMYFUNCTION("GOOGLETRANSLATE(D:D,""auto"",""en"")"),"#VALUE!")</f>
        <v>#VALUE!</v>
      </c>
    </row>
    <row r="14145" spans="3:3" ht="13.5" customHeight="1">
      <c r="C14145" s="4" t="str">
        <f ca="1">IFERROR(__xludf.DUMMYFUNCTION("GOOGLETRANSLATE(D:D,""auto"",""en"")"),"#VALUE!")</f>
        <v>#VALUE!</v>
      </c>
    </row>
    <row r="14146" spans="3:3" ht="13.5" customHeight="1">
      <c r="C14146" s="4" t="str">
        <f ca="1">IFERROR(__xludf.DUMMYFUNCTION("GOOGLETRANSLATE(D:D,""auto"",""en"")"),"#VALUE!")</f>
        <v>#VALUE!</v>
      </c>
    </row>
    <row r="14147" spans="3:3" ht="13.5" customHeight="1">
      <c r="C14147" s="4" t="str">
        <f ca="1">IFERROR(__xludf.DUMMYFUNCTION("GOOGLETRANSLATE(D:D,""auto"",""en"")"),"#VALUE!")</f>
        <v>#VALUE!</v>
      </c>
    </row>
    <row r="14148" spans="3:3" ht="13.5" customHeight="1">
      <c r="C14148" s="4" t="str">
        <f ca="1">IFERROR(__xludf.DUMMYFUNCTION("GOOGLETRANSLATE(D:D,""auto"",""en"")"),"#VALUE!")</f>
        <v>#VALUE!</v>
      </c>
    </row>
    <row r="14149" spans="3:3" ht="13.5" customHeight="1">
      <c r="C14149" s="4" t="str">
        <f ca="1">IFERROR(__xludf.DUMMYFUNCTION("GOOGLETRANSLATE(D:D,""auto"",""en"")"),"#VALUE!")</f>
        <v>#VALUE!</v>
      </c>
    </row>
    <row r="14150" spans="3:3" ht="13.5" customHeight="1">
      <c r="C14150" s="4" t="str">
        <f ca="1">IFERROR(__xludf.DUMMYFUNCTION("GOOGLETRANSLATE(D:D,""auto"",""en"")"),"#VALUE!")</f>
        <v>#VALUE!</v>
      </c>
    </row>
    <row r="14151" spans="3:3" ht="13.5" customHeight="1">
      <c r="C14151" s="4" t="str">
        <f ca="1">IFERROR(__xludf.DUMMYFUNCTION("GOOGLETRANSLATE(D:D,""auto"",""en"")"),"#VALUE!")</f>
        <v>#VALUE!</v>
      </c>
    </row>
    <row r="14152" spans="3:3" ht="13.5" customHeight="1">
      <c r="C14152" s="4" t="str">
        <f ca="1">IFERROR(__xludf.DUMMYFUNCTION("GOOGLETRANSLATE(D:D,""auto"",""en"")"),"#VALUE!")</f>
        <v>#VALUE!</v>
      </c>
    </row>
    <row r="14153" spans="3:3" ht="13.5" customHeight="1">
      <c r="C14153" s="4" t="str">
        <f ca="1">IFERROR(__xludf.DUMMYFUNCTION("GOOGLETRANSLATE(D:D,""auto"",""en"")"),"#VALUE!")</f>
        <v>#VALUE!</v>
      </c>
    </row>
    <row r="14154" spans="3:3" ht="13.5" customHeight="1">
      <c r="C14154" s="4" t="str">
        <f ca="1">IFERROR(__xludf.DUMMYFUNCTION("GOOGLETRANSLATE(D:D,""auto"",""en"")"),"#VALUE!")</f>
        <v>#VALUE!</v>
      </c>
    </row>
    <row r="14155" spans="3:3" ht="13.5" customHeight="1">
      <c r="C14155" s="4" t="str">
        <f ca="1">IFERROR(__xludf.DUMMYFUNCTION("GOOGLETRANSLATE(D:D,""auto"",""en"")"),"#VALUE!")</f>
        <v>#VALUE!</v>
      </c>
    </row>
    <row r="14156" spans="3:3" ht="13.5" customHeight="1">
      <c r="C14156" s="4" t="str">
        <f ca="1">IFERROR(__xludf.DUMMYFUNCTION("GOOGLETRANSLATE(D:D,""auto"",""en"")"),"#VALUE!")</f>
        <v>#VALUE!</v>
      </c>
    </row>
    <row r="14157" spans="3:3" ht="13.5" customHeight="1">
      <c r="C14157" s="4" t="str">
        <f ca="1">IFERROR(__xludf.DUMMYFUNCTION("GOOGLETRANSLATE(D:D,""auto"",""en"")"),"#VALUE!")</f>
        <v>#VALUE!</v>
      </c>
    </row>
    <row r="14158" spans="3:3" ht="13.5" customHeight="1">
      <c r="C14158" s="4" t="str">
        <f ca="1">IFERROR(__xludf.DUMMYFUNCTION("GOOGLETRANSLATE(D:D,""auto"",""en"")"),"#VALUE!")</f>
        <v>#VALUE!</v>
      </c>
    </row>
    <row r="14159" spans="3:3" ht="13.5" customHeight="1">
      <c r="C14159" s="4" t="str">
        <f ca="1">IFERROR(__xludf.DUMMYFUNCTION("GOOGLETRANSLATE(D:D,""auto"",""en"")"),"#VALUE!")</f>
        <v>#VALUE!</v>
      </c>
    </row>
    <row r="14160" spans="3:3" ht="13.5" customHeight="1">
      <c r="C14160" s="4" t="str">
        <f ca="1">IFERROR(__xludf.DUMMYFUNCTION("GOOGLETRANSLATE(D:D,""auto"",""en"")"),"#VALUE!")</f>
        <v>#VALUE!</v>
      </c>
    </row>
    <row r="14161" spans="3:3" ht="13.5" customHeight="1">
      <c r="C14161" s="4" t="str">
        <f ca="1">IFERROR(__xludf.DUMMYFUNCTION("GOOGLETRANSLATE(D:D,""auto"",""en"")"),"#VALUE!")</f>
        <v>#VALUE!</v>
      </c>
    </row>
    <row r="14162" spans="3:3" ht="13.5" customHeight="1">
      <c r="C14162" s="4" t="str">
        <f ca="1">IFERROR(__xludf.DUMMYFUNCTION("GOOGLETRANSLATE(D:D,""auto"",""en"")"),"#VALUE!")</f>
        <v>#VALUE!</v>
      </c>
    </row>
    <row r="14163" spans="3:3" ht="13.5" customHeight="1">
      <c r="C14163" s="4" t="str">
        <f ca="1">IFERROR(__xludf.DUMMYFUNCTION("GOOGLETRANSLATE(D:D,""auto"",""en"")"),"#VALUE!")</f>
        <v>#VALUE!</v>
      </c>
    </row>
    <row r="14164" spans="3:3" ht="13.5" customHeight="1">
      <c r="C14164" s="4" t="str">
        <f ca="1">IFERROR(__xludf.DUMMYFUNCTION("GOOGLETRANSLATE(D:D,""auto"",""en"")"),"#VALUE!")</f>
        <v>#VALUE!</v>
      </c>
    </row>
    <row r="14165" spans="3:3" ht="13.5" customHeight="1">
      <c r="C14165" s="4" t="str">
        <f ca="1">IFERROR(__xludf.DUMMYFUNCTION("GOOGLETRANSLATE(D:D,""auto"",""en"")"),"#VALUE!")</f>
        <v>#VALUE!</v>
      </c>
    </row>
    <row r="14166" spans="3:3" ht="13.5" customHeight="1">
      <c r="C14166" s="4" t="str">
        <f ca="1">IFERROR(__xludf.DUMMYFUNCTION("GOOGLETRANSLATE(D:D,""auto"",""en"")"),"#VALUE!")</f>
        <v>#VALUE!</v>
      </c>
    </row>
    <row r="14167" spans="3:3" ht="13.5" customHeight="1">
      <c r="C14167" s="4" t="str">
        <f ca="1">IFERROR(__xludf.DUMMYFUNCTION("GOOGLETRANSLATE(D:D,""auto"",""en"")"),"#VALUE!")</f>
        <v>#VALUE!</v>
      </c>
    </row>
    <row r="14168" spans="3:3" ht="13.5" customHeight="1">
      <c r="C14168" s="4" t="str">
        <f ca="1">IFERROR(__xludf.DUMMYFUNCTION("GOOGLETRANSLATE(D:D,""auto"",""en"")"),"#VALUE!")</f>
        <v>#VALUE!</v>
      </c>
    </row>
    <row r="14169" spans="3:3" ht="13.5" customHeight="1">
      <c r="C14169" s="4" t="str">
        <f ca="1">IFERROR(__xludf.DUMMYFUNCTION("GOOGLETRANSLATE(D:D,""auto"",""en"")"),"#VALUE!")</f>
        <v>#VALUE!</v>
      </c>
    </row>
    <row r="14170" spans="3:3" ht="13.5" customHeight="1">
      <c r="C14170" s="4" t="str">
        <f ca="1">IFERROR(__xludf.DUMMYFUNCTION("GOOGLETRANSLATE(D:D,""auto"",""en"")"),"#VALUE!")</f>
        <v>#VALUE!</v>
      </c>
    </row>
    <row r="14171" spans="3:3" ht="13.5" customHeight="1">
      <c r="C14171" s="4" t="str">
        <f ca="1">IFERROR(__xludf.DUMMYFUNCTION("GOOGLETRANSLATE(D:D,""auto"",""en"")"),"#VALUE!")</f>
        <v>#VALUE!</v>
      </c>
    </row>
    <row r="14172" spans="3:3" ht="13.5" customHeight="1">
      <c r="C14172" s="4" t="str">
        <f ca="1">IFERROR(__xludf.DUMMYFUNCTION("GOOGLETRANSLATE(D:D,""auto"",""en"")"),"#VALUE!")</f>
        <v>#VALUE!</v>
      </c>
    </row>
    <row r="14173" spans="3:3" ht="13.5" customHeight="1">
      <c r="C14173" s="4" t="str">
        <f ca="1">IFERROR(__xludf.DUMMYFUNCTION("GOOGLETRANSLATE(D:D,""auto"",""en"")"),"#VALUE!")</f>
        <v>#VALUE!</v>
      </c>
    </row>
    <row r="14174" spans="3:3" ht="13.5" customHeight="1">
      <c r="C14174" s="4" t="str">
        <f ca="1">IFERROR(__xludf.DUMMYFUNCTION("GOOGLETRANSLATE(D:D,""auto"",""en"")"),"#VALUE!")</f>
        <v>#VALUE!</v>
      </c>
    </row>
    <row r="14175" spans="3:3" ht="13.5" customHeight="1">
      <c r="C14175" s="4" t="str">
        <f ca="1">IFERROR(__xludf.DUMMYFUNCTION("GOOGLETRANSLATE(D:D,""auto"",""en"")"),"#VALUE!")</f>
        <v>#VALUE!</v>
      </c>
    </row>
    <row r="14176" spans="3:3" ht="13.5" customHeight="1">
      <c r="C14176" s="4" t="str">
        <f ca="1">IFERROR(__xludf.DUMMYFUNCTION("GOOGLETRANSLATE(D:D,""auto"",""en"")"),"#VALUE!")</f>
        <v>#VALUE!</v>
      </c>
    </row>
    <row r="14177" spans="3:3" ht="13.5" customHeight="1">
      <c r="C14177" s="4" t="str">
        <f ca="1">IFERROR(__xludf.DUMMYFUNCTION("GOOGLETRANSLATE(D:D,""auto"",""en"")"),"#VALUE!")</f>
        <v>#VALUE!</v>
      </c>
    </row>
    <row r="14178" spans="3:3" ht="13.5" customHeight="1">
      <c r="C14178" s="4" t="str">
        <f ca="1">IFERROR(__xludf.DUMMYFUNCTION("GOOGLETRANSLATE(D:D,""auto"",""en"")"),"#VALUE!")</f>
        <v>#VALUE!</v>
      </c>
    </row>
    <row r="14179" spans="3:3" ht="13.5" customHeight="1">
      <c r="C14179" s="4" t="str">
        <f ca="1">IFERROR(__xludf.DUMMYFUNCTION("GOOGLETRANSLATE(D:D,""auto"",""en"")"),"#VALUE!")</f>
        <v>#VALUE!</v>
      </c>
    </row>
    <row r="14180" spans="3:3" ht="13.5" customHeight="1">
      <c r="C14180" s="4" t="str">
        <f ca="1">IFERROR(__xludf.DUMMYFUNCTION("GOOGLETRANSLATE(D:D,""auto"",""en"")"),"#VALUE!")</f>
        <v>#VALUE!</v>
      </c>
    </row>
    <row r="14181" spans="3:3" ht="13.5" customHeight="1">
      <c r="C14181" s="4" t="str">
        <f ca="1">IFERROR(__xludf.DUMMYFUNCTION("GOOGLETRANSLATE(D:D,""auto"",""en"")"),"#VALUE!")</f>
        <v>#VALUE!</v>
      </c>
    </row>
    <row r="14182" spans="3:3" ht="13.5" customHeight="1">
      <c r="C14182" s="4" t="str">
        <f ca="1">IFERROR(__xludf.DUMMYFUNCTION("GOOGLETRANSLATE(D:D,""auto"",""en"")"),"#VALUE!")</f>
        <v>#VALUE!</v>
      </c>
    </row>
    <row r="14183" spans="3:3" ht="13.5" customHeight="1">
      <c r="C14183" s="4" t="str">
        <f ca="1">IFERROR(__xludf.DUMMYFUNCTION("GOOGLETRANSLATE(D:D,""auto"",""en"")"),"#VALUE!")</f>
        <v>#VALUE!</v>
      </c>
    </row>
    <row r="14184" spans="3:3" ht="13.5" customHeight="1">
      <c r="C14184" s="4" t="str">
        <f ca="1">IFERROR(__xludf.DUMMYFUNCTION("GOOGLETRANSLATE(D:D,""auto"",""en"")"),"#VALUE!")</f>
        <v>#VALUE!</v>
      </c>
    </row>
    <row r="14185" spans="3:3" ht="13.5" customHeight="1">
      <c r="C14185" s="4" t="str">
        <f ca="1">IFERROR(__xludf.DUMMYFUNCTION("GOOGLETRANSLATE(D:D,""auto"",""en"")"),"#VALUE!")</f>
        <v>#VALUE!</v>
      </c>
    </row>
    <row r="14186" spans="3:3" ht="13.5" customHeight="1">
      <c r="C14186" s="4" t="str">
        <f ca="1">IFERROR(__xludf.DUMMYFUNCTION("GOOGLETRANSLATE(D:D,""auto"",""en"")"),"#VALUE!")</f>
        <v>#VALUE!</v>
      </c>
    </row>
    <row r="14187" spans="3:3" ht="13.5" customHeight="1">
      <c r="C14187" s="4" t="str">
        <f ca="1">IFERROR(__xludf.DUMMYFUNCTION("GOOGLETRANSLATE(D:D,""auto"",""en"")"),"#VALUE!")</f>
        <v>#VALUE!</v>
      </c>
    </row>
    <row r="14188" spans="3:3" ht="13.5" customHeight="1">
      <c r="C14188" s="4" t="str">
        <f ca="1">IFERROR(__xludf.DUMMYFUNCTION("GOOGLETRANSLATE(D:D,""auto"",""en"")"),"#VALUE!")</f>
        <v>#VALUE!</v>
      </c>
    </row>
    <row r="14189" spans="3:3" ht="13.5" customHeight="1">
      <c r="C14189" s="4" t="str">
        <f ca="1">IFERROR(__xludf.DUMMYFUNCTION("GOOGLETRANSLATE(D:D,""auto"",""en"")"),"#VALUE!")</f>
        <v>#VALUE!</v>
      </c>
    </row>
    <row r="14190" spans="3:3" ht="13.5" customHeight="1">
      <c r="C14190" s="4" t="str">
        <f ca="1">IFERROR(__xludf.DUMMYFUNCTION("GOOGLETRANSLATE(D:D,""auto"",""en"")"),"#VALUE!")</f>
        <v>#VALUE!</v>
      </c>
    </row>
    <row r="14191" spans="3:3" ht="13.5" customHeight="1">
      <c r="C14191" s="4" t="str">
        <f ca="1">IFERROR(__xludf.DUMMYFUNCTION("GOOGLETRANSLATE(D:D,""auto"",""en"")"),"#VALUE!")</f>
        <v>#VALUE!</v>
      </c>
    </row>
    <row r="14192" spans="3:3" ht="13.5" customHeight="1">
      <c r="C14192" s="4" t="str">
        <f ca="1">IFERROR(__xludf.DUMMYFUNCTION("GOOGLETRANSLATE(D:D,""auto"",""en"")"),"#VALUE!")</f>
        <v>#VALUE!</v>
      </c>
    </row>
    <row r="14193" spans="3:3" ht="13.5" customHeight="1">
      <c r="C14193" s="4" t="str">
        <f ca="1">IFERROR(__xludf.DUMMYFUNCTION("GOOGLETRANSLATE(D:D,""auto"",""en"")"),"#VALUE!")</f>
        <v>#VALUE!</v>
      </c>
    </row>
    <row r="14194" spans="3:3" ht="13.5" customHeight="1">
      <c r="C14194" s="4" t="str">
        <f ca="1">IFERROR(__xludf.DUMMYFUNCTION("GOOGLETRANSLATE(D:D,""auto"",""en"")"),"#VALUE!")</f>
        <v>#VALUE!</v>
      </c>
    </row>
    <row r="14195" spans="3:3" ht="13.5" customHeight="1">
      <c r="C14195" s="4" t="str">
        <f ca="1">IFERROR(__xludf.DUMMYFUNCTION("GOOGLETRANSLATE(D:D,""auto"",""en"")"),"#VALUE!")</f>
        <v>#VALUE!</v>
      </c>
    </row>
    <row r="14196" spans="3:3" ht="13.5" customHeight="1">
      <c r="C14196" s="4" t="str">
        <f ca="1">IFERROR(__xludf.DUMMYFUNCTION("GOOGLETRANSLATE(D:D,""auto"",""en"")"),"#VALUE!")</f>
        <v>#VALUE!</v>
      </c>
    </row>
    <row r="14197" spans="3:3" ht="13.5" customHeight="1">
      <c r="C14197" s="4" t="str">
        <f ca="1">IFERROR(__xludf.DUMMYFUNCTION("GOOGLETRANSLATE(D:D,""auto"",""en"")"),"#VALUE!")</f>
        <v>#VALUE!</v>
      </c>
    </row>
    <row r="14198" spans="3:3" ht="13.5" customHeight="1">
      <c r="C14198" s="4" t="str">
        <f ca="1">IFERROR(__xludf.DUMMYFUNCTION("GOOGLETRANSLATE(D:D,""auto"",""en"")"),"#VALUE!")</f>
        <v>#VALUE!</v>
      </c>
    </row>
    <row r="14199" spans="3:3" ht="13.5" customHeight="1">
      <c r="C14199" s="4" t="str">
        <f ca="1">IFERROR(__xludf.DUMMYFUNCTION("GOOGLETRANSLATE(D:D,""auto"",""en"")"),"#VALUE!")</f>
        <v>#VALUE!</v>
      </c>
    </row>
    <row r="14200" spans="3:3" ht="13.5" customHeight="1">
      <c r="C14200" s="4" t="str">
        <f ca="1">IFERROR(__xludf.DUMMYFUNCTION("GOOGLETRANSLATE(D:D,""auto"",""en"")"),"#VALUE!")</f>
        <v>#VALUE!</v>
      </c>
    </row>
    <row r="14201" spans="3:3" ht="13.5" customHeight="1">
      <c r="C14201" s="4" t="str">
        <f ca="1">IFERROR(__xludf.DUMMYFUNCTION("GOOGLETRANSLATE(D:D,""auto"",""en"")"),"#VALUE!")</f>
        <v>#VALUE!</v>
      </c>
    </row>
    <row r="14202" spans="3:3" ht="13.5" customHeight="1">
      <c r="C14202" s="4" t="str">
        <f ca="1">IFERROR(__xludf.DUMMYFUNCTION("GOOGLETRANSLATE(D:D,""auto"",""en"")"),"#VALUE!")</f>
        <v>#VALUE!</v>
      </c>
    </row>
    <row r="14203" spans="3:3" ht="13.5" customHeight="1">
      <c r="C14203" s="4" t="str">
        <f ca="1">IFERROR(__xludf.DUMMYFUNCTION("GOOGLETRANSLATE(D:D,""auto"",""en"")"),"#VALUE!")</f>
        <v>#VALUE!</v>
      </c>
    </row>
    <row r="14204" spans="3:3" ht="13.5" customHeight="1">
      <c r="C14204" s="4" t="str">
        <f ca="1">IFERROR(__xludf.DUMMYFUNCTION("GOOGLETRANSLATE(D:D,""auto"",""en"")"),"#VALUE!")</f>
        <v>#VALUE!</v>
      </c>
    </row>
    <row r="14205" spans="3:3" ht="13.5" customHeight="1">
      <c r="C14205" s="4" t="str">
        <f ca="1">IFERROR(__xludf.DUMMYFUNCTION("GOOGLETRANSLATE(D:D,""auto"",""en"")"),"#VALUE!")</f>
        <v>#VALUE!</v>
      </c>
    </row>
    <row r="14206" spans="3:3" ht="13.5" customHeight="1">
      <c r="C14206" s="4" t="str">
        <f ca="1">IFERROR(__xludf.DUMMYFUNCTION("GOOGLETRANSLATE(D:D,""auto"",""en"")"),"#VALUE!")</f>
        <v>#VALUE!</v>
      </c>
    </row>
    <row r="14207" spans="3:3" ht="13.5" customHeight="1">
      <c r="C14207" s="4" t="str">
        <f ca="1">IFERROR(__xludf.DUMMYFUNCTION("GOOGLETRANSLATE(D:D,""auto"",""en"")"),"#VALUE!")</f>
        <v>#VALUE!</v>
      </c>
    </row>
    <row r="14208" spans="3:3" ht="13.5" customHeight="1">
      <c r="C14208" s="4" t="str">
        <f ca="1">IFERROR(__xludf.DUMMYFUNCTION("GOOGLETRANSLATE(D:D,""auto"",""en"")"),"#VALUE!")</f>
        <v>#VALUE!</v>
      </c>
    </row>
    <row r="14209" spans="3:3" ht="13.5" customHeight="1">
      <c r="C14209" s="4" t="str">
        <f ca="1">IFERROR(__xludf.DUMMYFUNCTION("GOOGLETRANSLATE(D:D,""auto"",""en"")"),"#VALUE!")</f>
        <v>#VALUE!</v>
      </c>
    </row>
    <row r="14210" spans="3:3" ht="13.5" customHeight="1">
      <c r="C14210" s="4" t="str">
        <f ca="1">IFERROR(__xludf.DUMMYFUNCTION("GOOGLETRANSLATE(D:D,""auto"",""en"")"),"#VALUE!")</f>
        <v>#VALUE!</v>
      </c>
    </row>
    <row r="14211" spans="3:3" ht="13.5" customHeight="1">
      <c r="C14211" s="4" t="str">
        <f ca="1">IFERROR(__xludf.DUMMYFUNCTION("GOOGLETRANSLATE(D:D,""auto"",""en"")"),"#VALUE!")</f>
        <v>#VALUE!</v>
      </c>
    </row>
    <row r="14212" spans="3:3" ht="13.5" customHeight="1">
      <c r="C14212" s="4" t="str">
        <f ca="1">IFERROR(__xludf.DUMMYFUNCTION("GOOGLETRANSLATE(D:D,""auto"",""en"")"),"#VALUE!")</f>
        <v>#VALUE!</v>
      </c>
    </row>
    <row r="14213" spans="3:3" ht="13.5" customHeight="1">
      <c r="C14213" s="4" t="str">
        <f ca="1">IFERROR(__xludf.DUMMYFUNCTION("GOOGLETRANSLATE(D:D,""auto"",""en"")"),"#VALUE!")</f>
        <v>#VALUE!</v>
      </c>
    </row>
    <row r="14214" spans="3:3" ht="13.5" customHeight="1">
      <c r="C14214" s="4" t="str">
        <f ca="1">IFERROR(__xludf.DUMMYFUNCTION("GOOGLETRANSLATE(D:D,""auto"",""en"")"),"#VALUE!")</f>
        <v>#VALUE!</v>
      </c>
    </row>
    <row r="14215" spans="3:3" ht="13.5" customHeight="1">
      <c r="C14215" s="4" t="str">
        <f ca="1">IFERROR(__xludf.DUMMYFUNCTION("GOOGLETRANSLATE(D:D,""auto"",""en"")"),"#VALUE!")</f>
        <v>#VALUE!</v>
      </c>
    </row>
    <row r="14216" spans="3:3" ht="13.5" customHeight="1">
      <c r="C14216" s="4" t="str">
        <f ca="1">IFERROR(__xludf.DUMMYFUNCTION("GOOGLETRANSLATE(D:D,""auto"",""en"")"),"#VALUE!")</f>
        <v>#VALUE!</v>
      </c>
    </row>
    <row r="14217" spans="3:3" ht="13.5" customHeight="1">
      <c r="C14217" s="4" t="str">
        <f ca="1">IFERROR(__xludf.DUMMYFUNCTION("GOOGLETRANSLATE(D:D,""auto"",""en"")"),"#VALUE!")</f>
        <v>#VALUE!</v>
      </c>
    </row>
    <row r="14218" spans="3:3" ht="13.5" customHeight="1">
      <c r="C14218" s="4" t="str">
        <f ca="1">IFERROR(__xludf.DUMMYFUNCTION("GOOGLETRANSLATE(D:D,""auto"",""en"")"),"#VALUE!")</f>
        <v>#VALUE!</v>
      </c>
    </row>
    <row r="14219" spans="3:3" ht="13.5" customHeight="1">
      <c r="C14219" s="4" t="str">
        <f ca="1">IFERROR(__xludf.DUMMYFUNCTION("GOOGLETRANSLATE(D:D,""auto"",""en"")"),"#VALUE!")</f>
        <v>#VALUE!</v>
      </c>
    </row>
    <row r="14220" spans="3:3" ht="13.5" customHeight="1">
      <c r="C14220" s="4" t="str">
        <f ca="1">IFERROR(__xludf.DUMMYFUNCTION("GOOGLETRANSLATE(D:D,""auto"",""en"")"),"#VALUE!")</f>
        <v>#VALUE!</v>
      </c>
    </row>
    <row r="14221" spans="3:3" ht="13.5" customHeight="1">
      <c r="C14221" s="4" t="str">
        <f ca="1">IFERROR(__xludf.DUMMYFUNCTION("GOOGLETRANSLATE(D:D,""auto"",""en"")"),"#VALUE!")</f>
        <v>#VALUE!</v>
      </c>
    </row>
    <row r="14222" spans="3:3" ht="13.5" customHeight="1">
      <c r="C14222" s="4" t="str">
        <f ca="1">IFERROR(__xludf.DUMMYFUNCTION("GOOGLETRANSLATE(D:D,""auto"",""en"")"),"#VALUE!")</f>
        <v>#VALUE!</v>
      </c>
    </row>
    <row r="14223" spans="3:3" ht="13.5" customHeight="1">
      <c r="C14223" s="4" t="str">
        <f ca="1">IFERROR(__xludf.DUMMYFUNCTION("GOOGLETRANSLATE(D:D,""auto"",""en"")"),"#VALUE!")</f>
        <v>#VALUE!</v>
      </c>
    </row>
    <row r="14224" spans="3:3" ht="13.5" customHeight="1">
      <c r="C14224" s="4" t="str">
        <f ca="1">IFERROR(__xludf.DUMMYFUNCTION("GOOGLETRANSLATE(D:D,""auto"",""en"")"),"#VALUE!")</f>
        <v>#VALUE!</v>
      </c>
    </row>
    <row r="14225" spans="3:3" ht="13.5" customHeight="1">
      <c r="C14225" s="4" t="str">
        <f ca="1">IFERROR(__xludf.DUMMYFUNCTION("GOOGLETRANSLATE(D:D,""auto"",""en"")"),"#VALUE!")</f>
        <v>#VALUE!</v>
      </c>
    </row>
    <row r="14226" spans="3:3" ht="13.5" customHeight="1">
      <c r="C14226" s="4" t="str">
        <f ca="1">IFERROR(__xludf.DUMMYFUNCTION("GOOGLETRANSLATE(D:D,""auto"",""en"")"),"#VALUE!")</f>
        <v>#VALUE!</v>
      </c>
    </row>
    <row r="14227" spans="3:3" ht="13.5" customHeight="1">
      <c r="C14227" s="4" t="str">
        <f ca="1">IFERROR(__xludf.DUMMYFUNCTION("GOOGLETRANSLATE(D:D,""auto"",""en"")"),"#VALUE!")</f>
        <v>#VALUE!</v>
      </c>
    </row>
    <row r="14228" spans="3:3" ht="13.5" customHeight="1">
      <c r="C14228" s="4" t="str">
        <f ca="1">IFERROR(__xludf.DUMMYFUNCTION("GOOGLETRANSLATE(D:D,""auto"",""en"")"),"#VALUE!")</f>
        <v>#VALUE!</v>
      </c>
    </row>
    <row r="14229" spans="3:3" ht="13.5" customHeight="1">
      <c r="C14229" s="4" t="str">
        <f ca="1">IFERROR(__xludf.DUMMYFUNCTION("GOOGLETRANSLATE(D:D,""auto"",""en"")"),"#VALUE!")</f>
        <v>#VALUE!</v>
      </c>
    </row>
    <row r="14230" spans="3:3" ht="13.5" customHeight="1">
      <c r="C14230" s="4" t="str">
        <f ca="1">IFERROR(__xludf.DUMMYFUNCTION("GOOGLETRANSLATE(D:D,""auto"",""en"")"),"#VALUE!")</f>
        <v>#VALUE!</v>
      </c>
    </row>
    <row r="14231" spans="3:3" ht="13.5" customHeight="1">
      <c r="C14231" s="4" t="str">
        <f ca="1">IFERROR(__xludf.DUMMYFUNCTION("GOOGLETRANSLATE(D:D,""auto"",""en"")"),"#VALUE!")</f>
        <v>#VALUE!</v>
      </c>
    </row>
    <row r="14232" spans="3:3" ht="13.5" customHeight="1">
      <c r="C14232" s="4" t="str">
        <f ca="1">IFERROR(__xludf.DUMMYFUNCTION("GOOGLETRANSLATE(D:D,""auto"",""en"")"),"#VALUE!")</f>
        <v>#VALUE!</v>
      </c>
    </row>
    <row r="14233" spans="3:3" ht="13.5" customHeight="1">
      <c r="C14233" s="4" t="str">
        <f ca="1">IFERROR(__xludf.DUMMYFUNCTION("GOOGLETRANSLATE(D:D,""auto"",""en"")"),"#VALUE!")</f>
        <v>#VALUE!</v>
      </c>
    </row>
    <row r="14234" spans="3:3" ht="13.5" customHeight="1">
      <c r="C14234" s="4" t="str">
        <f ca="1">IFERROR(__xludf.DUMMYFUNCTION("GOOGLETRANSLATE(D:D,""auto"",""en"")"),"#VALUE!")</f>
        <v>#VALUE!</v>
      </c>
    </row>
    <row r="14235" spans="3:3" ht="13.5" customHeight="1">
      <c r="C14235" s="4" t="str">
        <f ca="1">IFERROR(__xludf.DUMMYFUNCTION("GOOGLETRANSLATE(D:D,""auto"",""en"")"),"#VALUE!")</f>
        <v>#VALUE!</v>
      </c>
    </row>
    <row r="14236" spans="3:3" ht="13.5" customHeight="1">
      <c r="C14236" s="4" t="str">
        <f ca="1">IFERROR(__xludf.DUMMYFUNCTION("GOOGLETRANSLATE(D:D,""auto"",""en"")"),"#VALUE!")</f>
        <v>#VALUE!</v>
      </c>
    </row>
    <row r="14237" spans="3:3" ht="13.5" customHeight="1">
      <c r="C14237" s="4" t="str">
        <f ca="1">IFERROR(__xludf.DUMMYFUNCTION("GOOGLETRANSLATE(D:D,""auto"",""en"")"),"#VALUE!")</f>
        <v>#VALUE!</v>
      </c>
    </row>
    <row r="14238" spans="3:3" ht="13.5" customHeight="1">
      <c r="C14238" s="4" t="str">
        <f ca="1">IFERROR(__xludf.DUMMYFUNCTION("GOOGLETRANSLATE(D:D,""auto"",""en"")"),"#VALUE!")</f>
        <v>#VALUE!</v>
      </c>
    </row>
    <row r="14239" spans="3:3" ht="13.5" customHeight="1">
      <c r="C14239" s="4" t="str">
        <f ca="1">IFERROR(__xludf.DUMMYFUNCTION("GOOGLETRANSLATE(D:D,""auto"",""en"")"),"#VALUE!")</f>
        <v>#VALUE!</v>
      </c>
    </row>
    <row r="14240" spans="3:3" ht="13.5" customHeight="1">
      <c r="C14240" s="4" t="str">
        <f ca="1">IFERROR(__xludf.DUMMYFUNCTION("GOOGLETRANSLATE(D:D,""auto"",""en"")"),"#VALUE!")</f>
        <v>#VALUE!</v>
      </c>
    </row>
    <row r="14241" spans="3:3" ht="13.5" customHeight="1">
      <c r="C14241" s="4" t="str">
        <f ca="1">IFERROR(__xludf.DUMMYFUNCTION("GOOGLETRANSLATE(D:D,""auto"",""en"")"),"#VALUE!")</f>
        <v>#VALUE!</v>
      </c>
    </row>
    <row r="14242" spans="3:3" ht="13.5" customHeight="1">
      <c r="C14242" s="4" t="str">
        <f ca="1">IFERROR(__xludf.DUMMYFUNCTION("GOOGLETRANSLATE(D:D,""auto"",""en"")"),"#VALUE!")</f>
        <v>#VALUE!</v>
      </c>
    </row>
    <row r="14243" spans="3:3" ht="13.5" customHeight="1">
      <c r="C14243" s="4" t="str">
        <f ca="1">IFERROR(__xludf.DUMMYFUNCTION("GOOGLETRANSLATE(D:D,""auto"",""en"")"),"#VALUE!")</f>
        <v>#VALUE!</v>
      </c>
    </row>
    <row r="14244" spans="3:3" ht="13.5" customHeight="1">
      <c r="C14244" s="4" t="str">
        <f ca="1">IFERROR(__xludf.DUMMYFUNCTION("GOOGLETRANSLATE(D:D,""auto"",""en"")"),"#VALUE!")</f>
        <v>#VALUE!</v>
      </c>
    </row>
    <row r="14245" spans="3:3" ht="13.5" customHeight="1">
      <c r="C14245" s="4" t="str">
        <f ca="1">IFERROR(__xludf.DUMMYFUNCTION("GOOGLETRANSLATE(D:D,""auto"",""en"")"),"#VALUE!")</f>
        <v>#VALUE!</v>
      </c>
    </row>
    <row r="14246" spans="3:3" ht="13.5" customHeight="1">
      <c r="C14246" s="4" t="str">
        <f ca="1">IFERROR(__xludf.DUMMYFUNCTION("GOOGLETRANSLATE(D:D,""auto"",""en"")"),"#VALUE!")</f>
        <v>#VALUE!</v>
      </c>
    </row>
    <row r="14247" spans="3:3" ht="13.5" customHeight="1">
      <c r="C14247" s="4" t="str">
        <f ca="1">IFERROR(__xludf.DUMMYFUNCTION("GOOGLETRANSLATE(D:D,""auto"",""en"")"),"#VALUE!")</f>
        <v>#VALUE!</v>
      </c>
    </row>
    <row r="14248" spans="3:3" ht="13.5" customHeight="1">
      <c r="C14248" s="4" t="str">
        <f ca="1">IFERROR(__xludf.DUMMYFUNCTION("GOOGLETRANSLATE(D:D,""auto"",""en"")"),"#VALUE!")</f>
        <v>#VALUE!</v>
      </c>
    </row>
    <row r="14249" spans="3:3" ht="13.5" customHeight="1">
      <c r="C14249" s="4" t="str">
        <f ca="1">IFERROR(__xludf.DUMMYFUNCTION("GOOGLETRANSLATE(D:D,""auto"",""en"")"),"#VALUE!")</f>
        <v>#VALUE!</v>
      </c>
    </row>
    <row r="14250" spans="3:3" ht="13.5" customHeight="1">
      <c r="C14250" s="4" t="str">
        <f ca="1">IFERROR(__xludf.DUMMYFUNCTION("GOOGLETRANSLATE(D:D,""auto"",""en"")"),"#VALUE!")</f>
        <v>#VALUE!</v>
      </c>
    </row>
    <row r="14251" spans="3:3" ht="13.5" customHeight="1">
      <c r="C14251" s="4" t="str">
        <f ca="1">IFERROR(__xludf.DUMMYFUNCTION("GOOGLETRANSLATE(D:D,""auto"",""en"")"),"#VALUE!")</f>
        <v>#VALUE!</v>
      </c>
    </row>
    <row r="14252" spans="3:3" ht="13.5" customHeight="1">
      <c r="C14252" s="4" t="str">
        <f ca="1">IFERROR(__xludf.DUMMYFUNCTION("GOOGLETRANSLATE(D:D,""auto"",""en"")"),"#VALUE!")</f>
        <v>#VALUE!</v>
      </c>
    </row>
    <row r="14253" spans="3:3" ht="13.5" customHeight="1">
      <c r="C14253" s="4" t="str">
        <f ca="1">IFERROR(__xludf.DUMMYFUNCTION("GOOGLETRANSLATE(D:D,""auto"",""en"")"),"#VALUE!")</f>
        <v>#VALUE!</v>
      </c>
    </row>
    <row r="14254" spans="3:3" ht="13.5" customHeight="1">
      <c r="C14254" s="4" t="str">
        <f ca="1">IFERROR(__xludf.DUMMYFUNCTION("GOOGLETRANSLATE(D:D,""auto"",""en"")"),"#VALUE!")</f>
        <v>#VALUE!</v>
      </c>
    </row>
    <row r="14255" spans="3:3" ht="13.5" customHeight="1">
      <c r="C14255" s="4" t="str">
        <f ca="1">IFERROR(__xludf.DUMMYFUNCTION("GOOGLETRANSLATE(D:D,""auto"",""en"")"),"#VALUE!")</f>
        <v>#VALUE!</v>
      </c>
    </row>
    <row r="14256" spans="3:3" ht="13.5" customHeight="1">
      <c r="C14256" s="4" t="str">
        <f ca="1">IFERROR(__xludf.DUMMYFUNCTION("GOOGLETRANSLATE(D:D,""auto"",""en"")"),"#VALUE!")</f>
        <v>#VALUE!</v>
      </c>
    </row>
    <row r="14257" spans="3:3" ht="13.5" customHeight="1">
      <c r="C14257" s="4" t="str">
        <f ca="1">IFERROR(__xludf.DUMMYFUNCTION("GOOGLETRANSLATE(D:D,""auto"",""en"")"),"#VALUE!")</f>
        <v>#VALUE!</v>
      </c>
    </row>
    <row r="14258" spans="3:3" ht="13.5" customHeight="1">
      <c r="C14258" s="4" t="str">
        <f ca="1">IFERROR(__xludf.DUMMYFUNCTION("GOOGLETRANSLATE(D:D,""auto"",""en"")"),"#VALUE!")</f>
        <v>#VALUE!</v>
      </c>
    </row>
    <row r="14259" spans="3:3" ht="13.5" customHeight="1">
      <c r="C14259" s="4" t="str">
        <f ca="1">IFERROR(__xludf.DUMMYFUNCTION("GOOGLETRANSLATE(D:D,""auto"",""en"")"),"#VALUE!")</f>
        <v>#VALUE!</v>
      </c>
    </row>
    <row r="14260" spans="3:3" ht="13.5" customHeight="1">
      <c r="C14260" s="4" t="str">
        <f ca="1">IFERROR(__xludf.DUMMYFUNCTION("GOOGLETRANSLATE(D:D,""auto"",""en"")"),"#VALUE!")</f>
        <v>#VALUE!</v>
      </c>
    </row>
    <row r="14261" spans="3:3" ht="13.5" customHeight="1">
      <c r="C14261" s="4" t="str">
        <f ca="1">IFERROR(__xludf.DUMMYFUNCTION("GOOGLETRANSLATE(D:D,""auto"",""en"")"),"#VALUE!")</f>
        <v>#VALUE!</v>
      </c>
    </row>
    <row r="14262" spans="3:3" ht="13.5" customHeight="1">
      <c r="C14262" s="4" t="str">
        <f ca="1">IFERROR(__xludf.DUMMYFUNCTION("GOOGLETRANSLATE(D:D,""auto"",""en"")"),"#VALUE!")</f>
        <v>#VALUE!</v>
      </c>
    </row>
    <row r="14263" spans="3:3" ht="13.5" customHeight="1">
      <c r="C14263" s="4" t="str">
        <f ca="1">IFERROR(__xludf.DUMMYFUNCTION("GOOGLETRANSLATE(D:D,""auto"",""en"")"),"#VALUE!")</f>
        <v>#VALUE!</v>
      </c>
    </row>
    <row r="14264" spans="3:3" ht="13.5" customHeight="1">
      <c r="C14264" s="4" t="str">
        <f ca="1">IFERROR(__xludf.DUMMYFUNCTION("GOOGLETRANSLATE(D:D,""auto"",""en"")"),"#VALUE!")</f>
        <v>#VALUE!</v>
      </c>
    </row>
    <row r="14265" spans="3:3" ht="13.5" customHeight="1">
      <c r="C14265" s="4" t="str">
        <f ca="1">IFERROR(__xludf.DUMMYFUNCTION("GOOGLETRANSLATE(D:D,""auto"",""en"")"),"#VALUE!")</f>
        <v>#VALUE!</v>
      </c>
    </row>
    <row r="14266" spans="3:3" ht="13.5" customHeight="1">
      <c r="C14266" s="4" t="str">
        <f ca="1">IFERROR(__xludf.DUMMYFUNCTION("GOOGLETRANSLATE(D:D,""auto"",""en"")"),"#VALUE!")</f>
        <v>#VALUE!</v>
      </c>
    </row>
    <row r="14267" spans="3:3" ht="13.5" customHeight="1">
      <c r="C14267" s="4" t="str">
        <f ca="1">IFERROR(__xludf.DUMMYFUNCTION("GOOGLETRANSLATE(D:D,""auto"",""en"")"),"#VALUE!")</f>
        <v>#VALUE!</v>
      </c>
    </row>
    <row r="14268" spans="3:3" ht="13.5" customHeight="1">
      <c r="C14268" s="4" t="str">
        <f ca="1">IFERROR(__xludf.DUMMYFUNCTION("GOOGLETRANSLATE(D:D,""auto"",""en"")"),"#VALUE!")</f>
        <v>#VALUE!</v>
      </c>
    </row>
    <row r="14269" spans="3:3" ht="13.5" customHeight="1">
      <c r="C14269" s="4" t="str">
        <f ca="1">IFERROR(__xludf.DUMMYFUNCTION("GOOGLETRANSLATE(D:D,""auto"",""en"")"),"#VALUE!")</f>
        <v>#VALUE!</v>
      </c>
    </row>
    <row r="14270" spans="3:3" ht="13.5" customHeight="1">
      <c r="C14270" s="4" t="str">
        <f ca="1">IFERROR(__xludf.DUMMYFUNCTION("GOOGLETRANSLATE(D:D,""auto"",""en"")"),"#VALUE!")</f>
        <v>#VALUE!</v>
      </c>
    </row>
    <row r="14271" spans="3:3" ht="13.5" customHeight="1">
      <c r="C14271" s="4" t="str">
        <f ca="1">IFERROR(__xludf.DUMMYFUNCTION("GOOGLETRANSLATE(D:D,""auto"",""en"")"),"#VALUE!")</f>
        <v>#VALUE!</v>
      </c>
    </row>
    <row r="14272" spans="3:3" ht="13.5" customHeight="1">
      <c r="C14272" s="4" t="str">
        <f ca="1">IFERROR(__xludf.DUMMYFUNCTION("GOOGLETRANSLATE(D:D,""auto"",""en"")"),"#VALUE!")</f>
        <v>#VALUE!</v>
      </c>
    </row>
    <row r="14273" spans="3:3" ht="13.5" customHeight="1">
      <c r="C14273" s="4" t="str">
        <f ca="1">IFERROR(__xludf.DUMMYFUNCTION("GOOGLETRANSLATE(D:D,""auto"",""en"")"),"#VALUE!")</f>
        <v>#VALUE!</v>
      </c>
    </row>
    <row r="14274" spans="3:3" ht="13.5" customHeight="1">
      <c r="C14274" s="4" t="str">
        <f ca="1">IFERROR(__xludf.DUMMYFUNCTION("GOOGLETRANSLATE(D:D,""auto"",""en"")"),"#VALUE!")</f>
        <v>#VALUE!</v>
      </c>
    </row>
    <row r="14275" spans="3:3" ht="13.5" customHeight="1">
      <c r="C14275" s="4" t="str">
        <f ca="1">IFERROR(__xludf.DUMMYFUNCTION("GOOGLETRANSLATE(D:D,""auto"",""en"")"),"#VALUE!")</f>
        <v>#VALUE!</v>
      </c>
    </row>
    <row r="14276" spans="3:3" ht="13.5" customHeight="1">
      <c r="C14276" s="4" t="str">
        <f ca="1">IFERROR(__xludf.DUMMYFUNCTION("GOOGLETRANSLATE(D:D,""auto"",""en"")"),"#VALUE!")</f>
        <v>#VALUE!</v>
      </c>
    </row>
    <row r="14277" spans="3:3" ht="13.5" customHeight="1">
      <c r="C14277" s="4" t="str">
        <f ca="1">IFERROR(__xludf.DUMMYFUNCTION("GOOGLETRANSLATE(D:D,""auto"",""en"")"),"#VALUE!")</f>
        <v>#VALUE!</v>
      </c>
    </row>
    <row r="14278" spans="3:3" ht="13.5" customHeight="1">
      <c r="C14278" s="4" t="str">
        <f ca="1">IFERROR(__xludf.DUMMYFUNCTION("GOOGLETRANSLATE(D:D,""auto"",""en"")"),"#VALUE!")</f>
        <v>#VALUE!</v>
      </c>
    </row>
    <row r="14279" spans="3:3" ht="13.5" customHeight="1">
      <c r="C14279" s="4" t="str">
        <f ca="1">IFERROR(__xludf.DUMMYFUNCTION("GOOGLETRANSLATE(D:D,""auto"",""en"")"),"#VALUE!")</f>
        <v>#VALUE!</v>
      </c>
    </row>
    <row r="14280" spans="3:3" ht="13.5" customHeight="1">
      <c r="C14280" s="4" t="str">
        <f ca="1">IFERROR(__xludf.DUMMYFUNCTION("GOOGLETRANSLATE(D:D,""auto"",""en"")"),"#VALUE!")</f>
        <v>#VALUE!</v>
      </c>
    </row>
    <row r="14281" spans="3:3" ht="13.5" customHeight="1">
      <c r="C14281" s="4" t="str">
        <f ca="1">IFERROR(__xludf.DUMMYFUNCTION("GOOGLETRANSLATE(D:D,""auto"",""en"")"),"#VALUE!")</f>
        <v>#VALUE!</v>
      </c>
    </row>
    <row r="14282" spans="3:3" ht="13.5" customHeight="1">
      <c r="C14282" s="4" t="str">
        <f ca="1">IFERROR(__xludf.DUMMYFUNCTION("GOOGLETRANSLATE(D:D,""auto"",""en"")"),"#VALUE!")</f>
        <v>#VALUE!</v>
      </c>
    </row>
    <row r="14283" spans="3:3" ht="13.5" customHeight="1">
      <c r="C14283" s="4" t="str">
        <f ca="1">IFERROR(__xludf.DUMMYFUNCTION("GOOGLETRANSLATE(D:D,""auto"",""en"")"),"#VALUE!")</f>
        <v>#VALUE!</v>
      </c>
    </row>
    <row r="14284" spans="3:3" ht="13.5" customHeight="1">
      <c r="C14284" s="4" t="str">
        <f ca="1">IFERROR(__xludf.DUMMYFUNCTION("GOOGLETRANSLATE(D:D,""auto"",""en"")"),"#VALUE!")</f>
        <v>#VALUE!</v>
      </c>
    </row>
    <row r="14285" spans="3:3" ht="13.5" customHeight="1">
      <c r="C14285" s="4" t="str">
        <f ca="1">IFERROR(__xludf.DUMMYFUNCTION("GOOGLETRANSLATE(D:D,""auto"",""en"")"),"#VALUE!")</f>
        <v>#VALUE!</v>
      </c>
    </row>
    <row r="14286" spans="3:3" ht="13.5" customHeight="1">
      <c r="C14286" s="4" t="str">
        <f ca="1">IFERROR(__xludf.DUMMYFUNCTION("GOOGLETRANSLATE(D:D,""auto"",""en"")"),"#VALUE!")</f>
        <v>#VALUE!</v>
      </c>
    </row>
    <row r="14287" spans="3:3" ht="13.5" customHeight="1">
      <c r="C14287" s="4" t="str">
        <f ca="1">IFERROR(__xludf.DUMMYFUNCTION("GOOGLETRANSLATE(D:D,""auto"",""en"")"),"#VALUE!")</f>
        <v>#VALUE!</v>
      </c>
    </row>
    <row r="14288" spans="3:3" ht="13.5" customHeight="1">
      <c r="C14288" s="4" t="str">
        <f ca="1">IFERROR(__xludf.DUMMYFUNCTION("GOOGLETRANSLATE(D:D,""auto"",""en"")"),"#VALUE!")</f>
        <v>#VALUE!</v>
      </c>
    </row>
    <row r="14289" spans="3:3" ht="13.5" customHeight="1">
      <c r="C14289" s="4" t="str">
        <f ca="1">IFERROR(__xludf.DUMMYFUNCTION("GOOGLETRANSLATE(D:D,""auto"",""en"")"),"#VALUE!")</f>
        <v>#VALUE!</v>
      </c>
    </row>
    <row r="14290" spans="3:3" ht="13.5" customHeight="1">
      <c r="C14290" s="4" t="str">
        <f ca="1">IFERROR(__xludf.DUMMYFUNCTION("GOOGLETRANSLATE(D:D,""auto"",""en"")"),"#VALUE!")</f>
        <v>#VALUE!</v>
      </c>
    </row>
    <row r="14291" spans="3:3" ht="13.5" customHeight="1">
      <c r="C14291" s="4" t="str">
        <f ca="1">IFERROR(__xludf.DUMMYFUNCTION("GOOGLETRANSLATE(D:D,""auto"",""en"")"),"#VALUE!")</f>
        <v>#VALUE!</v>
      </c>
    </row>
    <row r="14292" spans="3:3" ht="13.5" customHeight="1">
      <c r="C14292" s="4" t="str">
        <f ca="1">IFERROR(__xludf.DUMMYFUNCTION("GOOGLETRANSLATE(D:D,""auto"",""en"")"),"#VALUE!")</f>
        <v>#VALUE!</v>
      </c>
    </row>
    <row r="14293" spans="3:3" ht="13.5" customHeight="1">
      <c r="C14293" s="4" t="str">
        <f ca="1">IFERROR(__xludf.DUMMYFUNCTION("GOOGLETRANSLATE(D:D,""auto"",""en"")"),"#VALUE!")</f>
        <v>#VALUE!</v>
      </c>
    </row>
    <row r="14294" spans="3:3" ht="13.5" customHeight="1">
      <c r="C14294" s="4" t="str">
        <f ca="1">IFERROR(__xludf.DUMMYFUNCTION("GOOGLETRANSLATE(D:D,""auto"",""en"")"),"#VALUE!")</f>
        <v>#VALUE!</v>
      </c>
    </row>
    <row r="14295" spans="3:3" ht="13.5" customHeight="1">
      <c r="C14295" s="4" t="str">
        <f ca="1">IFERROR(__xludf.DUMMYFUNCTION("GOOGLETRANSLATE(D:D,""auto"",""en"")"),"#VALUE!")</f>
        <v>#VALUE!</v>
      </c>
    </row>
    <row r="14296" spans="3:3" ht="13.5" customHeight="1">
      <c r="C14296" s="4" t="str">
        <f ca="1">IFERROR(__xludf.DUMMYFUNCTION("GOOGLETRANSLATE(D:D,""auto"",""en"")"),"#VALUE!")</f>
        <v>#VALUE!</v>
      </c>
    </row>
    <row r="14297" spans="3:3" ht="13.5" customHeight="1">
      <c r="C14297" s="4" t="str">
        <f ca="1">IFERROR(__xludf.DUMMYFUNCTION("GOOGLETRANSLATE(D:D,""auto"",""en"")"),"#VALUE!")</f>
        <v>#VALUE!</v>
      </c>
    </row>
    <row r="14298" spans="3:3" ht="13.5" customHeight="1">
      <c r="C14298" s="4" t="str">
        <f ca="1">IFERROR(__xludf.DUMMYFUNCTION("GOOGLETRANSLATE(D:D,""auto"",""en"")"),"#VALUE!")</f>
        <v>#VALUE!</v>
      </c>
    </row>
    <row r="14299" spans="3:3" ht="13.5" customHeight="1">
      <c r="C14299" s="4" t="str">
        <f ca="1">IFERROR(__xludf.DUMMYFUNCTION("GOOGLETRANSLATE(D:D,""auto"",""en"")"),"#VALUE!")</f>
        <v>#VALUE!</v>
      </c>
    </row>
    <row r="14300" spans="3:3" ht="13.5" customHeight="1">
      <c r="C14300" s="4" t="str">
        <f ca="1">IFERROR(__xludf.DUMMYFUNCTION("GOOGLETRANSLATE(D:D,""auto"",""en"")"),"#VALUE!")</f>
        <v>#VALUE!</v>
      </c>
    </row>
    <row r="14301" spans="3:3" ht="13.5" customHeight="1">
      <c r="C14301" s="4" t="str">
        <f ca="1">IFERROR(__xludf.DUMMYFUNCTION("GOOGLETRANSLATE(D:D,""auto"",""en"")"),"#VALUE!")</f>
        <v>#VALUE!</v>
      </c>
    </row>
    <row r="14302" spans="3:3" ht="13.5" customHeight="1">
      <c r="C14302" s="4" t="str">
        <f ca="1">IFERROR(__xludf.DUMMYFUNCTION("GOOGLETRANSLATE(D:D,""auto"",""en"")"),"#VALUE!")</f>
        <v>#VALUE!</v>
      </c>
    </row>
    <row r="14303" spans="3:3" ht="13.5" customHeight="1">
      <c r="C14303" s="4" t="str">
        <f ca="1">IFERROR(__xludf.DUMMYFUNCTION("GOOGLETRANSLATE(D:D,""auto"",""en"")"),"#VALUE!")</f>
        <v>#VALUE!</v>
      </c>
    </row>
    <row r="14304" spans="3:3" ht="13.5" customHeight="1">
      <c r="C14304" s="4" t="str">
        <f ca="1">IFERROR(__xludf.DUMMYFUNCTION("GOOGLETRANSLATE(D:D,""auto"",""en"")"),"#VALUE!")</f>
        <v>#VALUE!</v>
      </c>
    </row>
    <row r="14305" spans="3:3" ht="13.5" customHeight="1">
      <c r="C14305" s="4" t="str">
        <f ca="1">IFERROR(__xludf.DUMMYFUNCTION("GOOGLETRANSLATE(D:D,""auto"",""en"")"),"#VALUE!")</f>
        <v>#VALUE!</v>
      </c>
    </row>
    <row r="14306" spans="3:3" ht="13.5" customHeight="1">
      <c r="C14306" s="4" t="str">
        <f ca="1">IFERROR(__xludf.DUMMYFUNCTION("GOOGLETRANSLATE(D:D,""auto"",""en"")"),"#VALUE!")</f>
        <v>#VALUE!</v>
      </c>
    </row>
    <row r="14307" spans="3:3" ht="13.5" customHeight="1">
      <c r="C14307" s="4" t="str">
        <f ca="1">IFERROR(__xludf.DUMMYFUNCTION("GOOGLETRANSLATE(D:D,""auto"",""en"")"),"#VALUE!")</f>
        <v>#VALUE!</v>
      </c>
    </row>
    <row r="14308" spans="3:3" ht="13.5" customHeight="1">
      <c r="C14308" s="4" t="str">
        <f ca="1">IFERROR(__xludf.DUMMYFUNCTION("GOOGLETRANSLATE(D:D,""auto"",""en"")"),"#VALUE!")</f>
        <v>#VALUE!</v>
      </c>
    </row>
    <row r="14309" spans="3:3" ht="13.5" customHeight="1">
      <c r="C14309" s="4" t="str">
        <f ca="1">IFERROR(__xludf.DUMMYFUNCTION("GOOGLETRANSLATE(D:D,""auto"",""en"")"),"#VALUE!")</f>
        <v>#VALUE!</v>
      </c>
    </row>
    <row r="14310" spans="3:3" ht="13.5" customHeight="1">
      <c r="C14310" s="4" t="str">
        <f ca="1">IFERROR(__xludf.DUMMYFUNCTION("GOOGLETRANSLATE(D:D,""auto"",""en"")"),"#VALUE!")</f>
        <v>#VALUE!</v>
      </c>
    </row>
    <row r="14311" spans="3:3" ht="13.5" customHeight="1">
      <c r="C14311" s="4" t="str">
        <f ca="1">IFERROR(__xludf.DUMMYFUNCTION("GOOGLETRANSLATE(D:D,""auto"",""en"")"),"#VALUE!")</f>
        <v>#VALUE!</v>
      </c>
    </row>
    <row r="14312" spans="3:3" ht="13.5" customHeight="1">
      <c r="C14312" s="4" t="str">
        <f ca="1">IFERROR(__xludf.DUMMYFUNCTION("GOOGLETRANSLATE(D:D,""auto"",""en"")"),"#VALUE!")</f>
        <v>#VALUE!</v>
      </c>
    </row>
    <row r="14313" spans="3:3" ht="13.5" customHeight="1">
      <c r="C14313" s="4" t="str">
        <f ca="1">IFERROR(__xludf.DUMMYFUNCTION("GOOGLETRANSLATE(D:D,""auto"",""en"")"),"#VALUE!")</f>
        <v>#VALUE!</v>
      </c>
    </row>
    <row r="14314" spans="3:3" ht="13.5" customHeight="1">
      <c r="C14314" s="4" t="str">
        <f ca="1">IFERROR(__xludf.DUMMYFUNCTION("GOOGLETRANSLATE(D:D,""auto"",""en"")"),"#VALUE!")</f>
        <v>#VALUE!</v>
      </c>
    </row>
    <row r="14315" spans="3:3" ht="13.5" customHeight="1">
      <c r="C14315" s="4" t="str">
        <f ca="1">IFERROR(__xludf.DUMMYFUNCTION("GOOGLETRANSLATE(D:D,""auto"",""en"")"),"#VALUE!")</f>
        <v>#VALUE!</v>
      </c>
    </row>
    <row r="14316" spans="3:3" ht="13.5" customHeight="1">
      <c r="C14316" s="4" t="str">
        <f ca="1">IFERROR(__xludf.DUMMYFUNCTION("GOOGLETRANSLATE(D:D,""auto"",""en"")"),"#VALUE!")</f>
        <v>#VALUE!</v>
      </c>
    </row>
    <row r="14317" spans="3:3" ht="13.5" customHeight="1">
      <c r="C14317" s="4" t="str">
        <f ca="1">IFERROR(__xludf.DUMMYFUNCTION("GOOGLETRANSLATE(D:D,""auto"",""en"")"),"#VALUE!")</f>
        <v>#VALUE!</v>
      </c>
    </row>
    <row r="14318" spans="3:3" ht="13.5" customHeight="1">
      <c r="C14318" s="4" t="str">
        <f ca="1">IFERROR(__xludf.DUMMYFUNCTION("GOOGLETRANSLATE(D:D,""auto"",""en"")"),"#VALUE!")</f>
        <v>#VALUE!</v>
      </c>
    </row>
    <row r="14319" spans="3:3" ht="13.5" customHeight="1">
      <c r="C14319" s="4" t="str">
        <f ca="1">IFERROR(__xludf.DUMMYFUNCTION("GOOGLETRANSLATE(D:D,""auto"",""en"")"),"#VALUE!")</f>
        <v>#VALUE!</v>
      </c>
    </row>
    <row r="14320" spans="3:3" ht="13.5" customHeight="1">
      <c r="C14320" s="4" t="str">
        <f ca="1">IFERROR(__xludf.DUMMYFUNCTION("GOOGLETRANSLATE(D:D,""auto"",""en"")"),"#VALUE!")</f>
        <v>#VALUE!</v>
      </c>
    </row>
    <row r="14321" spans="3:3" ht="13.5" customHeight="1">
      <c r="C14321" s="4" t="str">
        <f ca="1">IFERROR(__xludf.DUMMYFUNCTION("GOOGLETRANSLATE(D:D,""auto"",""en"")"),"#VALUE!")</f>
        <v>#VALUE!</v>
      </c>
    </row>
    <row r="14322" spans="3:3" ht="13.5" customHeight="1">
      <c r="C14322" s="4" t="str">
        <f ca="1">IFERROR(__xludf.DUMMYFUNCTION("GOOGLETRANSLATE(D:D,""auto"",""en"")"),"#VALUE!")</f>
        <v>#VALUE!</v>
      </c>
    </row>
    <row r="14323" spans="3:3" ht="13.5" customHeight="1">
      <c r="C14323" s="4" t="str">
        <f ca="1">IFERROR(__xludf.DUMMYFUNCTION("GOOGLETRANSLATE(D:D,""auto"",""en"")"),"#VALUE!")</f>
        <v>#VALUE!</v>
      </c>
    </row>
    <row r="14324" spans="3:3" ht="13.5" customHeight="1">
      <c r="C14324" s="4" t="str">
        <f ca="1">IFERROR(__xludf.DUMMYFUNCTION("GOOGLETRANSLATE(D:D,""auto"",""en"")"),"#VALUE!")</f>
        <v>#VALUE!</v>
      </c>
    </row>
    <row r="14325" spans="3:3" ht="13.5" customHeight="1">
      <c r="C14325" s="4" t="str">
        <f ca="1">IFERROR(__xludf.DUMMYFUNCTION("GOOGLETRANSLATE(D:D,""auto"",""en"")"),"#VALUE!")</f>
        <v>#VALUE!</v>
      </c>
    </row>
    <row r="14326" spans="3:3" ht="13.5" customHeight="1">
      <c r="C14326" s="4" t="str">
        <f ca="1">IFERROR(__xludf.DUMMYFUNCTION("GOOGLETRANSLATE(D:D,""auto"",""en"")"),"#VALUE!")</f>
        <v>#VALUE!</v>
      </c>
    </row>
    <row r="14327" spans="3:3" ht="13.5" customHeight="1">
      <c r="C14327" s="4" t="str">
        <f ca="1">IFERROR(__xludf.DUMMYFUNCTION("GOOGLETRANSLATE(D:D,""auto"",""en"")"),"#VALUE!")</f>
        <v>#VALUE!</v>
      </c>
    </row>
    <row r="14328" spans="3:3" ht="13.5" customHeight="1">
      <c r="C14328" s="4" t="str">
        <f ca="1">IFERROR(__xludf.DUMMYFUNCTION("GOOGLETRANSLATE(D:D,""auto"",""en"")"),"#VALUE!")</f>
        <v>#VALUE!</v>
      </c>
    </row>
    <row r="14329" spans="3:3" ht="13.5" customHeight="1">
      <c r="C14329" s="4" t="str">
        <f ca="1">IFERROR(__xludf.DUMMYFUNCTION("GOOGLETRANSLATE(D:D,""auto"",""en"")"),"#VALUE!")</f>
        <v>#VALUE!</v>
      </c>
    </row>
    <row r="14330" spans="3:3" ht="13.5" customHeight="1">
      <c r="C14330" s="4" t="str">
        <f ca="1">IFERROR(__xludf.DUMMYFUNCTION("GOOGLETRANSLATE(D:D,""auto"",""en"")"),"#VALUE!")</f>
        <v>#VALUE!</v>
      </c>
    </row>
    <row r="14331" spans="3:3" ht="13.5" customHeight="1">
      <c r="C14331" s="4" t="str">
        <f ca="1">IFERROR(__xludf.DUMMYFUNCTION("GOOGLETRANSLATE(D:D,""auto"",""en"")"),"#VALUE!")</f>
        <v>#VALUE!</v>
      </c>
    </row>
    <row r="14332" spans="3:3" ht="13.5" customHeight="1">
      <c r="C14332" s="4" t="str">
        <f ca="1">IFERROR(__xludf.DUMMYFUNCTION("GOOGLETRANSLATE(D:D,""auto"",""en"")"),"#VALUE!")</f>
        <v>#VALUE!</v>
      </c>
    </row>
    <row r="14333" spans="3:3" ht="13.5" customHeight="1">
      <c r="C14333" s="4" t="str">
        <f ca="1">IFERROR(__xludf.DUMMYFUNCTION("GOOGLETRANSLATE(D:D,""auto"",""en"")"),"#VALUE!")</f>
        <v>#VALUE!</v>
      </c>
    </row>
    <row r="14334" spans="3:3" ht="13.5" customHeight="1">
      <c r="C14334" s="4" t="str">
        <f ca="1">IFERROR(__xludf.DUMMYFUNCTION("GOOGLETRANSLATE(D:D,""auto"",""en"")"),"#VALUE!")</f>
        <v>#VALUE!</v>
      </c>
    </row>
    <row r="14335" spans="3:3" ht="13.5" customHeight="1">
      <c r="C14335" s="4" t="str">
        <f ca="1">IFERROR(__xludf.DUMMYFUNCTION("GOOGLETRANSLATE(D:D,""auto"",""en"")"),"#VALUE!")</f>
        <v>#VALUE!</v>
      </c>
    </row>
    <row r="14336" spans="3:3" ht="13.5" customHeight="1">
      <c r="C14336" s="4" t="str">
        <f ca="1">IFERROR(__xludf.DUMMYFUNCTION("GOOGLETRANSLATE(D:D,""auto"",""en"")"),"#VALUE!")</f>
        <v>#VALUE!</v>
      </c>
    </row>
    <row r="14337" spans="3:3" ht="13.5" customHeight="1">
      <c r="C14337" s="4" t="str">
        <f ca="1">IFERROR(__xludf.DUMMYFUNCTION("GOOGLETRANSLATE(D:D,""auto"",""en"")"),"#VALUE!")</f>
        <v>#VALUE!</v>
      </c>
    </row>
    <row r="14338" spans="3:3" ht="13.5" customHeight="1">
      <c r="C14338" s="4" t="str">
        <f ca="1">IFERROR(__xludf.DUMMYFUNCTION("GOOGLETRANSLATE(D:D,""auto"",""en"")"),"#VALUE!")</f>
        <v>#VALUE!</v>
      </c>
    </row>
    <row r="14339" spans="3:3" ht="13.5" customHeight="1">
      <c r="C14339" s="4" t="str">
        <f ca="1">IFERROR(__xludf.DUMMYFUNCTION("GOOGLETRANSLATE(D:D,""auto"",""en"")"),"#VALUE!")</f>
        <v>#VALUE!</v>
      </c>
    </row>
    <row r="14340" spans="3:3" ht="13.5" customHeight="1">
      <c r="C14340" s="4" t="str">
        <f ca="1">IFERROR(__xludf.DUMMYFUNCTION("GOOGLETRANSLATE(D:D,""auto"",""en"")"),"#VALUE!")</f>
        <v>#VALUE!</v>
      </c>
    </row>
    <row r="14341" spans="3:3" ht="13.5" customHeight="1">
      <c r="C14341" s="4" t="str">
        <f ca="1">IFERROR(__xludf.DUMMYFUNCTION("GOOGLETRANSLATE(D:D,""auto"",""en"")"),"#VALUE!")</f>
        <v>#VALUE!</v>
      </c>
    </row>
    <row r="14342" spans="3:3" ht="13.5" customHeight="1">
      <c r="C14342" s="4" t="str">
        <f ca="1">IFERROR(__xludf.DUMMYFUNCTION("GOOGLETRANSLATE(D:D,""auto"",""en"")"),"#VALUE!")</f>
        <v>#VALUE!</v>
      </c>
    </row>
    <row r="14343" spans="3:3" ht="13.5" customHeight="1">
      <c r="C14343" s="4" t="str">
        <f ca="1">IFERROR(__xludf.DUMMYFUNCTION("GOOGLETRANSLATE(D:D,""auto"",""en"")"),"#VALUE!")</f>
        <v>#VALUE!</v>
      </c>
    </row>
    <row r="14344" spans="3:3" ht="13.5" customHeight="1">
      <c r="C14344" s="4" t="str">
        <f ca="1">IFERROR(__xludf.DUMMYFUNCTION("GOOGLETRANSLATE(D:D,""auto"",""en"")"),"#VALUE!")</f>
        <v>#VALUE!</v>
      </c>
    </row>
    <row r="14345" spans="3:3" ht="13.5" customHeight="1">
      <c r="C14345" s="4" t="str">
        <f ca="1">IFERROR(__xludf.DUMMYFUNCTION("GOOGLETRANSLATE(D:D,""auto"",""en"")"),"#VALUE!")</f>
        <v>#VALUE!</v>
      </c>
    </row>
    <row r="14346" spans="3:3" ht="13.5" customHeight="1">
      <c r="C14346" s="4" t="str">
        <f ca="1">IFERROR(__xludf.DUMMYFUNCTION("GOOGLETRANSLATE(D:D,""auto"",""en"")"),"#VALUE!")</f>
        <v>#VALUE!</v>
      </c>
    </row>
    <row r="14347" spans="3:3" ht="13.5" customHeight="1">
      <c r="C14347" s="4" t="str">
        <f ca="1">IFERROR(__xludf.DUMMYFUNCTION("GOOGLETRANSLATE(D:D,""auto"",""en"")"),"#VALUE!")</f>
        <v>#VALUE!</v>
      </c>
    </row>
    <row r="14348" spans="3:3" ht="13.5" customHeight="1">
      <c r="C14348" s="4" t="str">
        <f ca="1">IFERROR(__xludf.DUMMYFUNCTION("GOOGLETRANSLATE(D:D,""auto"",""en"")"),"#VALUE!")</f>
        <v>#VALUE!</v>
      </c>
    </row>
    <row r="14349" spans="3:3" ht="13.5" customHeight="1">
      <c r="C14349" s="4" t="str">
        <f ca="1">IFERROR(__xludf.DUMMYFUNCTION("GOOGLETRANSLATE(D:D,""auto"",""en"")"),"#VALUE!")</f>
        <v>#VALUE!</v>
      </c>
    </row>
    <row r="14350" spans="3:3" ht="13.5" customHeight="1">
      <c r="C14350" s="4" t="str">
        <f ca="1">IFERROR(__xludf.DUMMYFUNCTION("GOOGLETRANSLATE(D:D,""auto"",""en"")"),"#VALUE!")</f>
        <v>#VALUE!</v>
      </c>
    </row>
    <row r="14351" spans="3:3" ht="13.5" customHeight="1">
      <c r="C14351" s="4" t="str">
        <f ca="1">IFERROR(__xludf.DUMMYFUNCTION("GOOGLETRANSLATE(D:D,""auto"",""en"")"),"#VALUE!")</f>
        <v>#VALUE!</v>
      </c>
    </row>
    <row r="14352" spans="3:3" ht="13.5" customHeight="1">
      <c r="C14352" s="4" t="str">
        <f ca="1">IFERROR(__xludf.DUMMYFUNCTION("GOOGLETRANSLATE(D:D,""auto"",""en"")"),"#VALUE!")</f>
        <v>#VALUE!</v>
      </c>
    </row>
    <row r="14353" spans="3:3" ht="13.5" customHeight="1">
      <c r="C14353" s="4" t="str">
        <f ca="1">IFERROR(__xludf.DUMMYFUNCTION("GOOGLETRANSLATE(D:D,""auto"",""en"")"),"#VALUE!")</f>
        <v>#VALUE!</v>
      </c>
    </row>
    <row r="14354" spans="3:3" ht="13.5" customHeight="1">
      <c r="C14354" s="4" t="str">
        <f ca="1">IFERROR(__xludf.DUMMYFUNCTION("GOOGLETRANSLATE(D:D,""auto"",""en"")"),"#VALUE!")</f>
        <v>#VALUE!</v>
      </c>
    </row>
    <row r="14355" spans="3:3" ht="13.5" customHeight="1">
      <c r="C14355" s="4" t="str">
        <f ca="1">IFERROR(__xludf.DUMMYFUNCTION("GOOGLETRANSLATE(D:D,""auto"",""en"")"),"#VALUE!")</f>
        <v>#VALUE!</v>
      </c>
    </row>
    <row r="14356" spans="3:3" ht="13.5" customHeight="1">
      <c r="C14356" s="4" t="str">
        <f ca="1">IFERROR(__xludf.DUMMYFUNCTION("GOOGLETRANSLATE(D:D,""auto"",""en"")"),"#VALUE!")</f>
        <v>#VALUE!</v>
      </c>
    </row>
    <row r="14357" spans="3:3" ht="13.5" customHeight="1">
      <c r="C14357" s="4" t="str">
        <f ca="1">IFERROR(__xludf.DUMMYFUNCTION("GOOGLETRANSLATE(D:D,""auto"",""en"")"),"#VALUE!")</f>
        <v>#VALUE!</v>
      </c>
    </row>
    <row r="14358" spans="3:3" ht="13.5" customHeight="1">
      <c r="C14358" s="4" t="str">
        <f ca="1">IFERROR(__xludf.DUMMYFUNCTION("GOOGLETRANSLATE(D:D,""auto"",""en"")"),"#VALUE!")</f>
        <v>#VALUE!</v>
      </c>
    </row>
    <row r="14359" spans="3:3" ht="13.5" customHeight="1">
      <c r="C14359" s="4" t="str">
        <f ca="1">IFERROR(__xludf.DUMMYFUNCTION("GOOGLETRANSLATE(D:D,""auto"",""en"")"),"#VALUE!")</f>
        <v>#VALUE!</v>
      </c>
    </row>
    <row r="14360" spans="3:3" ht="13.5" customHeight="1">
      <c r="C14360" s="4" t="str">
        <f ca="1">IFERROR(__xludf.DUMMYFUNCTION("GOOGLETRANSLATE(D:D,""auto"",""en"")"),"#VALUE!")</f>
        <v>#VALUE!</v>
      </c>
    </row>
    <row r="14361" spans="3:3" ht="13.5" customHeight="1">
      <c r="C14361" s="4" t="str">
        <f ca="1">IFERROR(__xludf.DUMMYFUNCTION("GOOGLETRANSLATE(D:D,""auto"",""en"")"),"#VALUE!")</f>
        <v>#VALUE!</v>
      </c>
    </row>
    <row r="14362" spans="3:3" ht="13.5" customHeight="1">
      <c r="C14362" s="4" t="str">
        <f ca="1">IFERROR(__xludf.DUMMYFUNCTION("GOOGLETRANSLATE(D:D,""auto"",""en"")"),"#VALUE!")</f>
        <v>#VALUE!</v>
      </c>
    </row>
    <row r="14363" spans="3:3" ht="13.5" customHeight="1">
      <c r="C14363" s="4" t="str">
        <f ca="1">IFERROR(__xludf.DUMMYFUNCTION("GOOGLETRANSLATE(D:D,""auto"",""en"")"),"#VALUE!")</f>
        <v>#VALUE!</v>
      </c>
    </row>
    <row r="14364" spans="3:3" ht="13.5" customHeight="1">
      <c r="C14364" s="4" t="str">
        <f ca="1">IFERROR(__xludf.DUMMYFUNCTION("GOOGLETRANSLATE(D:D,""auto"",""en"")"),"#VALUE!")</f>
        <v>#VALUE!</v>
      </c>
    </row>
    <row r="14365" spans="3:3" ht="13.5" customHeight="1">
      <c r="C14365" s="4" t="str">
        <f ca="1">IFERROR(__xludf.DUMMYFUNCTION("GOOGLETRANSLATE(D:D,""auto"",""en"")"),"#VALUE!")</f>
        <v>#VALUE!</v>
      </c>
    </row>
    <row r="14366" spans="3:3" ht="13.5" customHeight="1">
      <c r="C14366" s="4" t="str">
        <f ca="1">IFERROR(__xludf.DUMMYFUNCTION("GOOGLETRANSLATE(D:D,""auto"",""en"")"),"#VALUE!")</f>
        <v>#VALUE!</v>
      </c>
    </row>
    <row r="14367" spans="3:3" ht="13.5" customHeight="1">
      <c r="C14367" s="4" t="str">
        <f ca="1">IFERROR(__xludf.DUMMYFUNCTION("GOOGLETRANSLATE(D:D,""auto"",""en"")"),"#VALUE!")</f>
        <v>#VALUE!</v>
      </c>
    </row>
    <row r="14368" spans="3:3" ht="13.5" customHeight="1">
      <c r="C14368" s="4" t="str">
        <f ca="1">IFERROR(__xludf.DUMMYFUNCTION("GOOGLETRANSLATE(D:D,""auto"",""en"")"),"#VALUE!")</f>
        <v>#VALUE!</v>
      </c>
    </row>
    <row r="14369" spans="3:3" ht="13.5" customHeight="1">
      <c r="C14369" s="4" t="str">
        <f ca="1">IFERROR(__xludf.DUMMYFUNCTION("GOOGLETRANSLATE(D:D,""auto"",""en"")"),"#VALUE!")</f>
        <v>#VALUE!</v>
      </c>
    </row>
    <row r="14370" spans="3:3" ht="13.5" customHeight="1">
      <c r="C14370" s="4" t="str">
        <f ca="1">IFERROR(__xludf.DUMMYFUNCTION("GOOGLETRANSLATE(D:D,""auto"",""en"")"),"#VALUE!")</f>
        <v>#VALUE!</v>
      </c>
    </row>
    <row r="14371" spans="3:3" ht="13.5" customHeight="1">
      <c r="C14371" s="4" t="str">
        <f ca="1">IFERROR(__xludf.DUMMYFUNCTION("GOOGLETRANSLATE(D:D,""auto"",""en"")"),"#VALUE!")</f>
        <v>#VALUE!</v>
      </c>
    </row>
    <row r="14372" spans="3:3" ht="13.5" customHeight="1">
      <c r="C14372" s="4" t="str">
        <f ca="1">IFERROR(__xludf.DUMMYFUNCTION("GOOGLETRANSLATE(D:D,""auto"",""en"")"),"#VALUE!")</f>
        <v>#VALUE!</v>
      </c>
    </row>
    <row r="14373" spans="3:3" ht="13.5" customHeight="1">
      <c r="C14373" s="4" t="str">
        <f ca="1">IFERROR(__xludf.DUMMYFUNCTION("GOOGLETRANSLATE(D:D,""auto"",""en"")"),"#VALUE!")</f>
        <v>#VALUE!</v>
      </c>
    </row>
    <row r="14374" spans="3:3" ht="13.5" customHeight="1">
      <c r="C14374" s="4" t="str">
        <f ca="1">IFERROR(__xludf.DUMMYFUNCTION("GOOGLETRANSLATE(D:D,""auto"",""en"")"),"#VALUE!")</f>
        <v>#VALUE!</v>
      </c>
    </row>
    <row r="14375" spans="3:3" ht="13.5" customHeight="1">
      <c r="C14375" s="4" t="str">
        <f ca="1">IFERROR(__xludf.DUMMYFUNCTION("GOOGLETRANSLATE(D:D,""auto"",""en"")"),"#VALUE!")</f>
        <v>#VALUE!</v>
      </c>
    </row>
    <row r="14376" spans="3:3" ht="13.5" customHeight="1">
      <c r="C14376" s="4" t="str">
        <f ca="1">IFERROR(__xludf.DUMMYFUNCTION("GOOGLETRANSLATE(D:D,""auto"",""en"")"),"#VALUE!")</f>
        <v>#VALUE!</v>
      </c>
    </row>
    <row r="14377" spans="3:3" ht="13.5" customHeight="1">
      <c r="C14377" s="4" t="str">
        <f ca="1">IFERROR(__xludf.DUMMYFUNCTION("GOOGLETRANSLATE(D:D,""auto"",""en"")"),"#VALUE!")</f>
        <v>#VALUE!</v>
      </c>
    </row>
    <row r="14378" spans="3:3" ht="13.5" customHeight="1">
      <c r="C14378" s="4" t="str">
        <f ca="1">IFERROR(__xludf.DUMMYFUNCTION("GOOGLETRANSLATE(D:D,""auto"",""en"")"),"#VALUE!")</f>
        <v>#VALUE!</v>
      </c>
    </row>
    <row r="14379" spans="3:3" ht="13.5" customHeight="1">
      <c r="C14379" s="4" t="str">
        <f ca="1">IFERROR(__xludf.DUMMYFUNCTION("GOOGLETRANSLATE(D:D,""auto"",""en"")"),"#VALUE!")</f>
        <v>#VALUE!</v>
      </c>
    </row>
    <row r="14380" spans="3:3" ht="13.5" customHeight="1">
      <c r="C14380" s="4" t="str">
        <f ca="1">IFERROR(__xludf.DUMMYFUNCTION("GOOGLETRANSLATE(D:D,""auto"",""en"")"),"#VALUE!")</f>
        <v>#VALUE!</v>
      </c>
    </row>
    <row r="14381" spans="3:3" ht="13.5" customHeight="1">
      <c r="C14381" s="4" t="str">
        <f ca="1">IFERROR(__xludf.DUMMYFUNCTION("GOOGLETRANSLATE(D:D,""auto"",""en"")"),"#VALUE!")</f>
        <v>#VALUE!</v>
      </c>
    </row>
    <row r="14382" spans="3:3" ht="13.5" customHeight="1">
      <c r="C14382" s="4" t="str">
        <f ca="1">IFERROR(__xludf.DUMMYFUNCTION("GOOGLETRANSLATE(D:D,""auto"",""en"")"),"#VALUE!")</f>
        <v>#VALUE!</v>
      </c>
    </row>
    <row r="14383" spans="3:3" ht="13.5" customHeight="1">
      <c r="C14383" s="4" t="str">
        <f ca="1">IFERROR(__xludf.DUMMYFUNCTION("GOOGLETRANSLATE(D:D,""auto"",""en"")"),"#VALUE!")</f>
        <v>#VALUE!</v>
      </c>
    </row>
    <row r="14384" spans="3:3" ht="13.5" customHeight="1">
      <c r="C14384" s="4" t="str">
        <f ca="1">IFERROR(__xludf.DUMMYFUNCTION("GOOGLETRANSLATE(D:D,""auto"",""en"")"),"#VALUE!")</f>
        <v>#VALUE!</v>
      </c>
    </row>
    <row r="14385" spans="3:3" ht="13.5" customHeight="1">
      <c r="C14385" s="4" t="str">
        <f ca="1">IFERROR(__xludf.DUMMYFUNCTION("GOOGLETRANSLATE(D:D,""auto"",""en"")"),"#VALUE!")</f>
        <v>#VALUE!</v>
      </c>
    </row>
    <row r="14386" spans="3:3" ht="13.5" customHeight="1">
      <c r="C14386" s="4" t="str">
        <f ca="1">IFERROR(__xludf.DUMMYFUNCTION("GOOGLETRANSLATE(D:D,""auto"",""en"")"),"#VALUE!")</f>
        <v>#VALUE!</v>
      </c>
    </row>
    <row r="14387" spans="3:3" ht="13.5" customHeight="1">
      <c r="C14387" s="4" t="str">
        <f ca="1">IFERROR(__xludf.DUMMYFUNCTION("GOOGLETRANSLATE(D:D,""auto"",""en"")"),"#VALUE!")</f>
        <v>#VALUE!</v>
      </c>
    </row>
    <row r="14388" spans="3:3" ht="13.5" customHeight="1">
      <c r="C14388" s="4" t="str">
        <f ca="1">IFERROR(__xludf.DUMMYFUNCTION("GOOGLETRANSLATE(D:D,""auto"",""en"")"),"#VALUE!")</f>
        <v>#VALUE!</v>
      </c>
    </row>
    <row r="14389" spans="3:3" ht="13.5" customHeight="1">
      <c r="C14389" s="4" t="str">
        <f ca="1">IFERROR(__xludf.DUMMYFUNCTION("GOOGLETRANSLATE(D:D,""auto"",""en"")"),"#VALUE!")</f>
        <v>#VALUE!</v>
      </c>
    </row>
    <row r="14390" spans="3:3" ht="13.5" customHeight="1">
      <c r="C14390" s="4" t="str">
        <f ca="1">IFERROR(__xludf.DUMMYFUNCTION("GOOGLETRANSLATE(D:D,""auto"",""en"")"),"#VALUE!")</f>
        <v>#VALUE!</v>
      </c>
    </row>
    <row r="14391" spans="3:3" ht="13.5" customHeight="1">
      <c r="C14391" s="4" t="str">
        <f ca="1">IFERROR(__xludf.DUMMYFUNCTION("GOOGLETRANSLATE(D:D,""auto"",""en"")"),"#VALUE!")</f>
        <v>#VALUE!</v>
      </c>
    </row>
    <row r="14392" spans="3:3" ht="13.5" customHeight="1">
      <c r="C14392" s="4" t="str">
        <f ca="1">IFERROR(__xludf.DUMMYFUNCTION("GOOGLETRANSLATE(D:D,""auto"",""en"")"),"#VALUE!")</f>
        <v>#VALUE!</v>
      </c>
    </row>
    <row r="14393" spans="3:3" ht="13.5" customHeight="1">
      <c r="C14393" s="4" t="str">
        <f ca="1">IFERROR(__xludf.DUMMYFUNCTION("GOOGLETRANSLATE(D:D,""auto"",""en"")"),"#VALUE!")</f>
        <v>#VALUE!</v>
      </c>
    </row>
    <row r="14394" spans="3:3" ht="13.5" customHeight="1">
      <c r="C14394" s="4" t="str">
        <f ca="1">IFERROR(__xludf.DUMMYFUNCTION("GOOGLETRANSLATE(D:D,""auto"",""en"")"),"#VALUE!")</f>
        <v>#VALUE!</v>
      </c>
    </row>
    <row r="14395" spans="3:3" ht="13.5" customHeight="1">
      <c r="C14395" s="4" t="str">
        <f ca="1">IFERROR(__xludf.DUMMYFUNCTION("GOOGLETRANSLATE(D:D,""auto"",""en"")"),"#VALUE!")</f>
        <v>#VALUE!</v>
      </c>
    </row>
    <row r="14396" spans="3:3" ht="13.5" customHeight="1">
      <c r="C14396" s="4" t="str">
        <f ca="1">IFERROR(__xludf.DUMMYFUNCTION("GOOGLETRANSLATE(D:D,""auto"",""en"")"),"#VALUE!")</f>
        <v>#VALUE!</v>
      </c>
    </row>
    <row r="14397" spans="3:3" ht="13.5" customHeight="1">
      <c r="C14397" s="4" t="str">
        <f ca="1">IFERROR(__xludf.DUMMYFUNCTION("GOOGLETRANSLATE(D:D,""auto"",""en"")"),"#VALUE!")</f>
        <v>#VALUE!</v>
      </c>
    </row>
    <row r="14398" spans="3:3" ht="13.5" customHeight="1">
      <c r="C14398" s="4" t="str">
        <f ca="1">IFERROR(__xludf.DUMMYFUNCTION("GOOGLETRANSLATE(D:D,""auto"",""en"")"),"#VALUE!")</f>
        <v>#VALUE!</v>
      </c>
    </row>
    <row r="14399" spans="3:3" ht="13.5" customHeight="1">
      <c r="C14399" s="4" t="str">
        <f ca="1">IFERROR(__xludf.DUMMYFUNCTION("GOOGLETRANSLATE(D:D,""auto"",""en"")"),"#VALUE!")</f>
        <v>#VALUE!</v>
      </c>
    </row>
    <row r="14400" spans="3:3" ht="13.5" customHeight="1">
      <c r="C14400" s="4" t="str">
        <f ca="1">IFERROR(__xludf.DUMMYFUNCTION("GOOGLETRANSLATE(D:D,""auto"",""en"")"),"#VALUE!")</f>
        <v>#VALUE!</v>
      </c>
    </row>
    <row r="14401" spans="3:3" ht="13.5" customHeight="1">
      <c r="C14401" s="4" t="str">
        <f ca="1">IFERROR(__xludf.DUMMYFUNCTION("GOOGLETRANSLATE(D:D,""auto"",""en"")"),"#VALUE!")</f>
        <v>#VALUE!</v>
      </c>
    </row>
    <row r="14402" spans="3:3" ht="13.5" customHeight="1">
      <c r="C14402" s="4" t="str">
        <f ca="1">IFERROR(__xludf.DUMMYFUNCTION("GOOGLETRANSLATE(D:D,""auto"",""en"")"),"#VALUE!")</f>
        <v>#VALUE!</v>
      </c>
    </row>
    <row r="14403" spans="3:3" ht="13.5" customHeight="1">
      <c r="C14403" s="4" t="str">
        <f ca="1">IFERROR(__xludf.DUMMYFUNCTION("GOOGLETRANSLATE(D:D,""auto"",""en"")"),"#VALUE!")</f>
        <v>#VALUE!</v>
      </c>
    </row>
    <row r="14404" spans="3:3" ht="13.5" customHeight="1">
      <c r="C14404" s="4" t="str">
        <f ca="1">IFERROR(__xludf.DUMMYFUNCTION("GOOGLETRANSLATE(D:D,""auto"",""en"")"),"#VALUE!")</f>
        <v>#VALUE!</v>
      </c>
    </row>
    <row r="14405" spans="3:3" ht="13.5" customHeight="1">
      <c r="C14405" s="4" t="str">
        <f ca="1">IFERROR(__xludf.DUMMYFUNCTION("GOOGLETRANSLATE(D:D,""auto"",""en"")"),"#VALUE!")</f>
        <v>#VALUE!</v>
      </c>
    </row>
    <row r="14406" spans="3:3" ht="13.5" customHeight="1">
      <c r="C14406" s="4" t="str">
        <f ca="1">IFERROR(__xludf.DUMMYFUNCTION("GOOGLETRANSLATE(D:D,""auto"",""en"")"),"#VALUE!")</f>
        <v>#VALUE!</v>
      </c>
    </row>
    <row r="14407" spans="3:3" ht="13.5" customHeight="1">
      <c r="C14407" s="4" t="str">
        <f ca="1">IFERROR(__xludf.DUMMYFUNCTION("GOOGLETRANSLATE(D:D,""auto"",""en"")"),"#VALUE!")</f>
        <v>#VALUE!</v>
      </c>
    </row>
    <row r="14408" spans="3:3" ht="13.5" customHeight="1">
      <c r="C14408" s="4" t="str">
        <f ca="1">IFERROR(__xludf.DUMMYFUNCTION("GOOGLETRANSLATE(D:D,""auto"",""en"")"),"#VALUE!")</f>
        <v>#VALUE!</v>
      </c>
    </row>
    <row r="14409" spans="3:3" ht="13.5" customHeight="1">
      <c r="C14409" s="4" t="str">
        <f ca="1">IFERROR(__xludf.DUMMYFUNCTION("GOOGLETRANSLATE(D:D,""auto"",""en"")"),"#VALUE!")</f>
        <v>#VALUE!</v>
      </c>
    </row>
    <row r="14410" spans="3:3" ht="13.5" customHeight="1">
      <c r="C14410" s="4" t="str">
        <f ca="1">IFERROR(__xludf.DUMMYFUNCTION("GOOGLETRANSLATE(D:D,""auto"",""en"")"),"#VALUE!")</f>
        <v>#VALUE!</v>
      </c>
    </row>
    <row r="14411" spans="3:3" ht="13.5" customHeight="1">
      <c r="C14411" s="4" t="str">
        <f ca="1">IFERROR(__xludf.DUMMYFUNCTION("GOOGLETRANSLATE(D:D,""auto"",""en"")"),"#VALUE!")</f>
        <v>#VALUE!</v>
      </c>
    </row>
    <row r="14412" spans="3:3" ht="13.5" customHeight="1">
      <c r="C14412" s="4" t="str">
        <f ca="1">IFERROR(__xludf.DUMMYFUNCTION("GOOGLETRANSLATE(D:D,""auto"",""en"")"),"#VALUE!")</f>
        <v>#VALUE!</v>
      </c>
    </row>
    <row r="14413" spans="3:3" ht="13.5" customHeight="1">
      <c r="C14413" s="4" t="str">
        <f ca="1">IFERROR(__xludf.DUMMYFUNCTION("GOOGLETRANSLATE(D:D,""auto"",""en"")"),"#VALUE!")</f>
        <v>#VALUE!</v>
      </c>
    </row>
    <row r="14414" spans="3:3" ht="13.5" customHeight="1">
      <c r="C14414" s="4" t="str">
        <f ca="1">IFERROR(__xludf.DUMMYFUNCTION("GOOGLETRANSLATE(D:D,""auto"",""en"")"),"#VALUE!")</f>
        <v>#VALUE!</v>
      </c>
    </row>
    <row r="14415" spans="3:3" ht="13.5" customHeight="1">
      <c r="C14415" s="4" t="str">
        <f ca="1">IFERROR(__xludf.DUMMYFUNCTION("GOOGLETRANSLATE(D:D,""auto"",""en"")"),"#VALUE!")</f>
        <v>#VALUE!</v>
      </c>
    </row>
    <row r="14416" spans="3:3" ht="13.5" customHeight="1">
      <c r="C14416" s="4" t="str">
        <f ca="1">IFERROR(__xludf.DUMMYFUNCTION("GOOGLETRANSLATE(D:D,""auto"",""en"")"),"#VALUE!")</f>
        <v>#VALUE!</v>
      </c>
    </row>
    <row r="14417" spans="3:3" ht="13.5" customHeight="1">
      <c r="C14417" s="4" t="str">
        <f ca="1">IFERROR(__xludf.DUMMYFUNCTION("GOOGLETRANSLATE(D:D,""auto"",""en"")"),"#VALUE!")</f>
        <v>#VALUE!</v>
      </c>
    </row>
    <row r="14418" spans="3:3" ht="13.5" customHeight="1">
      <c r="C14418" s="4" t="str">
        <f ca="1">IFERROR(__xludf.DUMMYFUNCTION("GOOGLETRANSLATE(D:D,""auto"",""en"")"),"#VALUE!")</f>
        <v>#VALUE!</v>
      </c>
    </row>
    <row r="14419" spans="3:3" ht="13.5" customHeight="1">
      <c r="C14419" s="4" t="str">
        <f ca="1">IFERROR(__xludf.DUMMYFUNCTION("GOOGLETRANSLATE(D:D,""auto"",""en"")"),"#VALUE!")</f>
        <v>#VALUE!</v>
      </c>
    </row>
    <row r="14420" spans="3:3" ht="13.5" customHeight="1">
      <c r="C14420" s="4" t="str">
        <f ca="1">IFERROR(__xludf.DUMMYFUNCTION("GOOGLETRANSLATE(D:D,""auto"",""en"")"),"#VALUE!")</f>
        <v>#VALUE!</v>
      </c>
    </row>
    <row r="14421" spans="3:3" ht="13.5" customHeight="1">
      <c r="C14421" s="4" t="str">
        <f ca="1">IFERROR(__xludf.DUMMYFUNCTION("GOOGLETRANSLATE(D:D,""auto"",""en"")"),"#VALUE!")</f>
        <v>#VALUE!</v>
      </c>
    </row>
    <row r="14422" spans="3:3" ht="13.5" customHeight="1">
      <c r="C14422" s="4" t="str">
        <f ca="1">IFERROR(__xludf.DUMMYFUNCTION("GOOGLETRANSLATE(D:D,""auto"",""en"")"),"#VALUE!")</f>
        <v>#VALUE!</v>
      </c>
    </row>
    <row r="14423" spans="3:3" ht="13.5" customHeight="1">
      <c r="C14423" s="4" t="str">
        <f ca="1">IFERROR(__xludf.DUMMYFUNCTION("GOOGLETRANSLATE(D:D,""auto"",""en"")"),"#VALUE!")</f>
        <v>#VALUE!</v>
      </c>
    </row>
    <row r="14424" spans="3:3" ht="13.5" customHeight="1">
      <c r="C14424" s="4" t="str">
        <f ca="1">IFERROR(__xludf.DUMMYFUNCTION("GOOGLETRANSLATE(D:D,""auto"",""en"")"),"#VALUE!")</f>
        <v>#VALUE!</v>
      </c>
    </row>
    <row r="14425" spans="3:3" ht="13.5" customHeight="1">
      <c r="C14425" s="4" t="str">
        <f ca="1">IFERROR(__xludf.DUMMYFUNCTION("GOOGLETRANSLATE(D:D,""auto"",""en"")"),"#VALUE!")</f>
        <v>#VALUE!</v>
      </c>
    </row>
    <row r="14426" spans="3:3" ht="13.5" customHeight="1">
      <c r="C14426" s="4" t="str">
        <f ca="1">IFERROR(__xludf.DUMMYFUNCTION("GOOGLETRANSLATE(D:D,""auto"",""en"")"),"#VALUE!")</f>
        <v>#VALUE!</v>
      </c>
    </row>
    <row r="14427" spans="3:3" ht="13.5" customHeight="1">
      <c r="C14427" s="4" t="str">
        <f ca="1">IFERROR(__xludf.DUMMYFUNCTION("GOOGLETRANSLATE(D:D,""auto"",""en"")"),"#VALUE!")</f>
        <v>#VALUE!</v>
      </c>
    </row>
    <row r="14428" spans="3:3" ht="13.5" customHeight="1">
      <c r="C14428" s="4" t="str">
        <f ca="1">IFERROR(__xludf.DUMMYFUNCTION("GOOGLETRANSLATE(D:D,""auto"",""en"")"),"#VALUE!")</f>
        <v>#VALUE!</v>
      </c>
    </row>
    <row r="14429" spans="3:3" ht="13.5" customHeight="1">
      <c r="C14429" s="4" t="str">
        <f ca="1">IFERROR(__xludf.DUMMYFUNCTION("GOOGLETRANSLATE(D:D,""auto"",""en"")"),"#VALUE!")</f>
        <v>#VALUE!</v>
      </c>
    </row>
    <row r="14430" spans="3:3" ht="13.5" customHeight="1">
      <c r="C14430" s="4" t="str">
        <f ca="1">IFERROR(__xludf.DUMMYFUNCTION("GOOGLETRANSLATE(D:D,""auto"",""en"")"),"#VALUE!")</f>
        <v>#VALUE!</v>
      </c>
    </row>
    <row r="14431" spans="3:3" ht="13.5" customHeight="1">
      <c r="C14431" s="4" t="str">
        <f ca="1">IFERROR(__xludf.DUMMYFUNCTION("GOOGLETRANSLATE(D:D,""auto"",""en"")"),"#VALUE!")</f>
        <v>#VALUE!</v>
      </c>
    </row>
    <row r="14432" spans="3:3" ht="13.5" customHeight="1">
      <c r="C14432" s="4" t="str">
        <f ca="1">IFERROR(__xludf.DUMMYFUNCTION("GOOGLETRANSLATE(D:D,""auto"",""en"")"),"#VALUE!")</f>
        <v>#VALUE!</v>
      </c>
    </row>
    <row r="14433" spans="3:3" ht="13.5" customHeight="1">
      <c r="C14433" s="4" t="str">
        <f ca="1">IFERROR(__xludf.DUMMYFUNCTION("GOOGLETRANSLATE(D:D,""auto"",""en"")"),"#VALUE!")</f>
        <v>#VALUE!</v>
      </c>
    </row>
    <row r="14434" spans="3:3" ht="13.5" customHeight="1">
      <c r="C14434" s="4" t="str">
        <f ca="1">IFERROR(__xludf.DUMMYFUNCTION("GOOGLETRANSLATE(D:D,""auto"",""en"")"),"#VALUE!")</f>
        <v>#VALUE!</v>
      </c>
    </row>
    <row r="14435" spans="3:3" ht="13.5" customHeight="1">
      <c r="C14435" s="4" t="str">
        <f ca="1">IFERROR(__xludf.DUMMYFUNCTION("GOOGLETRANSLATE(D:D,""auto"",""en"")"),"#VALUE!")</f>
        <v>#VALUE!</v>
      </c>
    </row>
    <row r="14436" spans="3:3" ht="13.5" customHeight="1">
      <c r="C14436" s="4" t="str">
        <f ca="1">IFERROR(__xludf.DUMMYFUNCTION("GOOGLETRANSLATE(D:D,""auto"",""en"")"),"#VALUE!")</f>
        <v>#VALUE!</v>
      </c>
    </row>
    <row r="14437" spans="3:3" ht="13.5" customHeight="1">
      <c r="C14437" s="4" t="str">
        <f ca="1">IFERROR(__xludf.DUMMYFUNCTION("GOOGLETRANSLATE(D:D,""auto"",""en"")"),"#VALUE!")</f>
        <v>#VALUE!</v>
      </c>
    </row>
    <row r="14438" spans="3:3" ht="13.5" customHeight="1">
      <c r="C14438" s="4" t="str">
        <f ca="1">IFERROR(__xludf.DUMMYFUNCTION("GOOGLETRANSLATE(D:D,""auto"",""en"")"),"#VALUE!")</f>
        <v>#VALUE!</v>
      </c>
    </row>
    <row r="14439" spans="3:3" ht="13.5" customHeight="1">
      <c r="C14439" s="4" t="str">
        <f ca="1">IFERROR(__xludf.DUMMYFUNCTION("GOOGLETRANSLATE(D:D,""auto"",""en"")"),"#VALUE!")</f>
        <v>#VALUE!</v>
      </c>
    </row>
    <row r="14440" spans="3:3" ht="13.5" customHeight="1">
      <c r="C14440" s="4" t="str">
        <f ca="1">IFERROR(__xludf.DUMMYFUNCTION("GOOGLETRANSLATE(D:D,""auto"",""en"")"),"#VALUE!")</f>
        <v>#VALUE!</v>
      </c>
    </row>
    <row r="14441" spans="3:3" ht="13.5" customHeight="1">
      <c r="C14441" s="4" t="str">
        <f ca="1">IFERROR(__xludf.DUMMYFUNCTION("GOOGLETRANSLATE(D:D,""auto"",""en"")"),"#VALUE!")</f>
        <v>#VALUE!</v>
      </c>
    </row>
    <row r="14442" spans="3:3" ht="13.5" customHeight="1">
      <c r="C14442" s="4" t="str">
        <f ca="1">IFERROR(__xludf.DUMMYFUNCTION("GOOGLETRANSLATE(D:D,""auto"",""en"")"),"#VALUE!")</f>
        <v>#VALUE!</v>
      </c>
    </row>
    <row r="14443" spans="3:3" ht="13.5" customHeight="1">
      <c r="C14443" s="4" t="str">
        <f ca="1">IFERROR(__xludf.DUMMYFUNCTION("GOOGLETRANSLATE(D:D,""auto"",""en"")"),"#VALUE!")</f>
        <v>#VALUE!</v>
      </c>
    </row>
    <row r="14444" spans="3:3" ht="13.5" customHeight="1">
      <c r="C14444" s="4" t="str">
        <f ca="1">IFERROR(__xludf.DUMMYFUNCTION("GOOGLETRANSLATE(D:D,""auto"",""en"")"),"#VALUE!")</f>
        <v>#VALUE!</v>
      </c>
    </row>
    <row r="14445" spans="3:3" ht="13.5" customHeight="1">
      <c r="C14445" s="4" t="str">
        <f ca="1">IFERROR(__xludf.DUMMYFUNCTION("GOOGLETRANSLATE(D:D,""auto"",""en"")"),"#VALUE!")</f>
        <v>#VALUE!</v>
      </c>
    </row>
    <row r="14446" spans="3:3" ht="13.5" customHeight="1">
      <c r="C14446" s="4" t="str">
        <f ca="1">IFERROR(__xludf.DUMMYFUNCTION("GOOGLETRANSLATE(D:D,""auto"",""en"")"),"#VALUE!")</f>
        <v>#VALUE!</v>
      </c>
    </row>
    <row r="14447" spans="3:3" ht="13.5" customHeight="1">
      <c r="C14447" s="4" t="str">
        <f ca="1">IFERROR(__xludf.DUMMYFUNCTION("GOOGLETRANSLATE(D:D,""auto"",""en"")"),"#VALUE!")</f>
        <v>#VALUE!</v>
      </c>
    </row>
    <row r="14448" spans="3:3" ht="13.5" customHeight="1">
      <c r="C14448" s="4" t="str">
        <f ca="1">IFERROR(__xludf.DUMMYFUNCTION("GOOGLETRANSLATE(D:D,""auto"",""en"")"),"#VALUE!")</f>
        <v>#VALUE!</v>
      </c>
    </row>
    <row r="14449" spans="3:3" ht="13.5" customHeight="1">
      <c r="C14449" s="4" t="str">
        <f ca="1">IFERROR(__xludf.DUMMYFUNCTION("GOOGLETRANSLATE(D:D,""auto"",""en"")"),"#VALUE!")</f>
        <v>#VALUE!</v>
      </c>
    </row>
    <row r="14450" spans="3:3" ht="13.5" customHeight="1">
      <c r="C14450" s="4" t="str">
        <f ca="1">IFERROR(__xludf.DUMMYFUNCTION("GOOGLETRANSLATE(D:D,""auto"",""en"")"),"#VALUE!")</f>
        <v>#VALUE!</v>
      </c>
    </row>
    <row r="14451" spans="3:3" ht="13.5" customHeight="1">
      <c r="C14451" s="4" t="str">
        <f ca="1">IFERROR(__xludf.DUMMYFUNCTION("GOOGLETRANSLATE(D:D,""auto"",""en"")"),"#VALUE!")</f>
        <v>#VALUE!</v>
      </c>
    </row>
    <row r="14452" spans="3:3" ht="13.5" customHeight="1">
      <c r="C14452" s="4" t="str">
        <f ca="1">IFERROR(__xludf.DUMMYFUNCTION("GOOGLETRANSLATE(D:D,""auto"",""en"")"),"#VALUE!")</f>
        <v>#VALUE!</v>
      </c>
    </row>
    <row r="14453" spans="3:3" ht="13.5" customHeight="1">
      <c r="C14453" s="4" t="str">
        <f ca="1">IFERROR(__xludf.DUMMYFUNCTION("GOOGLETRANSLATE(D:D,""auto"",""en"")"),"#VALUE!")</f>
        <v>#VALUE!</v>
      </c>
    </row>
    <row r="14454" spans="3:3" ht="13.5" customHeight="1">
      <c r="C14454" s="4" t="str">
        <f ca="1">IFERROR(__xludf.DUMMYFUNCTION("GOOGLETRANSLATE(D:D,""auto"",""en"")"),"#VALUE!")</f>
        <v>#VALUE!</v>
      </c>
    </row>
    <row r="14455" spans="3:3" ht="13.5" customHeight="1">
      <c r="C14455" s="4" t="str">
        <f ca="1">IFERROR(__xludf.DUMMYFUNCTION("GOOGLETRANSLATE(D:D,""auto"",""en"")"),"#VALUE!")</f>
        <v>#VALUE!</v>
      </c>
    </row>
    <row r="14456" spans="3:3" ht="13.5" customHeight="1">
      <c r="C14456" s="4" t="str">
        <f ca="1">IFERROR(__xludf.DUMMYFUNCTION("GOOGLETRANSLATE(D:D,""auto"",""en"")"),"#VALUE!")</f>
        <v>#VALUE!</v>
      </c>
    </row>
    <row r="14457" spans="3:3" ht="13.5" customHeight="1">
      <c r="C14457" s="4" t="str">
        <f ca="1">IFERROR(__xludf.DUMMYFUNCTION("GOOGLETRANSLATE(D:D,""auto"",""en"")"),"#VALUE!")</f>
        <v>#VALUE!</v>
      </c>
    </row>
    <row r="14458" spans="3:3" ht="13.5" customHeight="1">
      <c r="C14458" s="4" t="str">
        <f ca="1">IFERROR(__xludf.DUMMYFUNCTION("GOOGLETRANSLATE(D:D,""auto"",""en"")"),"#VALUE!")</f>
        <v>#VALUE!</v>
      </c>
    </row>
    <row r="14459" spans="3:3" ht="13.5" customHeight="1">
      <c r="C14459" s="4" t="str">
        <f ca="1">IFERROR(__xludf.DUMMYFUNCTION("GOOGLETRANSLATE(D:D,""auto"",""en"")"),"#VALUE!")</f>
        <v>#VALUE!</v>
      </c>
    </row>
    <row r="14460" spans="3:3" ht="13.5" customHeight="1">
      <c r="C14460" s="4" t="str">
        <f ca="1">IFERROR(__xludf.DUMMYFUNCTION("GOOGLETRANSLATE(D:D,""auto"",""en"")"),"#VALUE!")</f>
        <v>#VALUE!</v>
      </c>
    </row>
    <row r="14461" spans="3:3" ht="13.5" customHeight="1">
      <c r="C14461" s="4" t="str">
        <f ca="1">IFERROR(__xludf.DUMMYFUNCTION("GOOGLETRANSLATE(D:D,""auto"",""en"")"),"#VALUE!")</f>
        <v>#VALUE!</v>
      </c>
    </row>
    <row r="14462" spans="3:3" ht="13.5" customHeight="1">
      <c r="C14462" s="4" t="str">
        <f ca="1">IFERROR(__xludf.DUMMYFUNCTION("GOOGLETRANSLATE(D:D,""auto"",""en"")"),"#VALUE!")</f>
        <v>#VALUE!</v>
      </c>
    </row>
    <row r="14463" spans="3:3" ht="13.5" customHeight="1">
      <c r="C14463" s="4" t="str">
        <f ca="1">IFERROR(__xludf.DUMMYFUNCTION("GOOGLETRANSLATE(D:D,""auto"",""en"")"),"#VALUE!")</f>
        <v>#VALUE!</v>
      </c>
    </row>
    <row r="14464" spans="3:3" ht="13.5" customHeight="1">
      <c r="C14464" s="4" t="str">
        <f ca="1">IFERROR(__xludf.DUMMYFUNCTION("GOOGLETRANSLATE(D:D,""auto"",""en"")"),"#VALUE!")</f>
        <v>#VALUE!</v>
      </c>
    </row>
    <row r="14465" spans="3:3" ht="13.5" customHeight="1">
      <c r="C14465" s="4" t="str">
        <f ca="1">IFERROR(__xludf.DUMMYFUNCTION("GOOGLETRANSLATE(D:D,""auto"",""en"")"),"#VALUE!")</f>
        <v>#VALUE!</v>
      </c>
    </row>
    <row r="14466" spans="3:3" ht="13.5" customHeight="1">
      <c r="C14466" s="4" t="str">
        <f ca="1">IFERROR(__xludf.DUMMYFUNCTION("GOOGLETRANSLATE(D:D,""auto"",""en"")"),"#VALUE!")</f>
        <v>#VALUE!</v>
      </c>
    </row>
    <row r="14467" spans="3:3" ht="13.5" customHeight="1">
      <c r="C14467" s="4" t="str">
        <f ca="1">IFERROR(__xludf.DUMMYFUNCTION("GOOGLETRANSLATE(D:D,""auto"",""en"")"),"#VALUE!")</f>
        <v>#VALUE!</v>
      </c>
    </row>
    <row r="14468" spans="3:3" ht="13.5" customHeight="1">
      <c r="C14468" s="4" t="str">
        <f ca="1">IFERROR(__xludf.DUMMYFUNCTION("GOOGLETRANSLATE(D:D,""auto"",""en"")"),"#VALUE!")</f>
        <v>#VALUE!</v>
      </c>
    </row>
    <row r="14469" spans="3:3" ht="13.5" customHeight="1">
      <c r="C14469" s="4" t="str">
        <f ca="1">IFERROR(__xludf.DUMMYFUNCTION("GOOGLETRANSLATE(D:D,""auto"",""en"")"),"#VALUE!")</f>
        <v>#VALUE!</v>
      </c>
    </row>
    <row r="14470" spans="3:3" ht="13.5" customHeight="1">
      <c r="C14470" s="4" t="str">
        <f ca="1">IFERROR(__xludf.DUMMYFUNCTION("GOOGLETRANSLATE(D:D,""auto"",""en"")"),"#VALUE!")</f>
        <v>#VALUE!</v>
      </c>
    </row>
    <row r="14471" spans="3:3" ht="13.5" customHeight="1">
      <c r="C14471" s="4" t="str">
        <f ca="1">IFERROR(__xludf.DUMMYFUNCTION("GOOGLETRANSLATE(D:D,""auto"",""en"")"),"#VALUE!")</f>
        <v>#VALUE!</v>
      </c>
    </row>
    <row r="14472" spans="3:3" ht="13.5" customHeight="1">
      <c r="C14472" s="4" t="str">
        <f ca="1">IFERROR(__xludf.DUMMYFUNCTION("GOOGLETRANSLATE(D:D,""auto"",""en"")"),"#VALUE!")</f>
        <v>#VALUE!</v>
      </c>
    </row>
    <row r="14473" spans="3:3" ht="13.5" customHeight="1">
      <c r="C14473" s="4" t="str">
        <f ca="1">IFERROR(__xludf.DUMMYFUNCTION("GOOGLETRANSLATE(D:D,""auto"",""en"")"),"#VALUE!")</f>
        <v>#VALUE!</v>
      </c>
    </row>
    <row r="14474" spans="3:3" ht="13.5" customHeight="1">
      <c r="C14474" s="4" t="str">
        <f ca="1">IFERROR(__xludf.DUMMYFUNCTION("GOOGLETRANSLATE(D:D,""auto"",""en"")"),"#VALUE!")</f>
        <v>#VALUE!</v>
      </c>
    </row>
    <row r="14475" spans="3:3" ht="13.5" customHeight="1">
      <c r="C14475" s="4" t="str">
        <f ca="1">IFERROR(__xludf.DUMMYFUNCTION("GOOGLETRANSLATE(D:D,""auto"",""en"")"),"#VALUE!")</f>
        <v>#VALUE!</v>
      </c>
    </row>
    <row r="14476" spans="3:3" ht="13.5" customHeight="1">
      <c r="C14476" s="4" t="str">
        <f ca="1">IFERROR(__xludf.DUMMYFUNCTION("GOOGLETRANSLATE(D:D,""auto"",""en"")"),"#VALUE!")</f>
        <v>#VALUE!</v>
      </c>
    </row>
    <row r="14477" spans="3:3" ht="13.5" customHeight="1">
      <c r="C14477" s="4" t="str">
        <f ca="1">IFERROR(__xludf.DUMMYFUNCTION("GOOGLETRANSLATE(D:D,""auto"",""en"")"),"#VALUE!")</f>
        <v>#VALUE!</v>
      </c>
    </row>
    <row r="14478" spans="3:3" ht="13.5" customHeight="1">
      <c r="C14478" s="4" t="str">
        <f ca="1">IFERROR(__xludf.DUMMYFUNCTION("GOOGLETRANSLATE(D:D,""auto"",""en"")"),"#VALUE!")</f>
        <v>#VALUE!</v>
      </c>
    </row>
    <row r="14479" spans="3:3" ht="13.5" customHeight="1">
      <c r="C14479" s="4" t="str">
        <f ca="1">IFERROR(__xludf.DUMMYFUNCTION("GOOGLETRANSLATE(D:D,""auto"",""en"")"),"#VALUE!")</f>
        <v>#VALUE!</v>
      </c>
    </row>
    <row r="14480" spans="3:3" ht="13.5" customHeight="1">
      <c r="C14480" s="4" t="str">
        <f ca="1">IFERROR(__xludf.DUMMYFUNCTION("GOOGLETRANSLATE(D:D,""auto"",""en"")"),"#VALUE!")</f>
        <v>#VALUE!</v>
      </c>
    </row>
    <row r="14481" spans="3:3" ht="13.5" customHeight="1">
      <c r="C14481" s="4" t="str">
        <f ca="1">IFERROR(__xludf.DUMMYFUNCTION("GOOGLETRANSLATE(D:D,""auto"",""en"")"),"#VALUE!")</f>
        <v>#VALUE!</v>
      </c>
    </row>
    <row r="14482" spans="3:3" ht="13.5" customHeight="1">
      <c r="C14482" s="4" t="str">
        <f ca="1">IFERROR(__xludf.DUMMYFUNCTION("GOOGLETRANSLATE(D:D,""auto"",""en"")"),"#VALUE!")</f>
        <v>#VALUE!</v>
      </c>
    </row>
    <row r="14483" spans="3:3" ht="13.5" customHeight="1">
      <c r="C14483" s="4" t="str">
        <f ca="1">IFERROR(__xludf.DUMMYFUNCTION("GOOGLETRANSLATE(D:D,""auto"",""en"")"),"#VALUE!")</f>
        <v>#VALUE!</v>
      </c>
    </row>
    <row r="14484" spans="3:3" ht="13.5" customHeight="1">
      <c r="C14484" s="4" t="str">
        <f ca="1">IFERROR(__xludf.DUMMYFUNCTION("GOOGLETRANSLATE(D:D,""auto"",""en"")"),"#VALUE!")</f>
        <v>#VALUE!</v>
      </c>
    </row>
    <row r="14485" spans="3:3" ht="13.5" customHeight="1">
      <c r="C14485" s="4" t="str">
        <f ca="1">IFERROR(__xludf.DUMMYFUNCTION("GOOGLETRANSLATE(D:D,""auto"",""en"")"),"#VALUE!")</f>
        <v>#VALUE!</v>
      </c>
    </row>
    <row r="14486" spans="3:3" ht="13.5" customHeight="1">
      <c r="C14486" s="4" t="str">
        <f ca="1">IFERROR(__xludf.DUMMYFUNCTION("GOOGLETRANSLATE(D:D,""auto"",""en"")"),"#VALUE!")</f>
        <v>#VALUE!</v>
      </c>
    </row>
    <row r="14487" spans="3:3" ht="13.5" customHeight="1">
      <c r="C14487" s="4" t="str">
        <f ca="1">IFERROR(__xludf.DUMMYFUNCTION("GOOGLETRANSLATE(D:D,""auto"",""en"")"),"#VALUE!")</f>
        <v>#VALUE!</v>
      </c>
    </row>
    <row r="14488" spans="3:3" ht="13.5" customHeight="1">
      <c r="C14488" s="4" t="str">
        <f ca="1">IFERROR(__xludf.DUMMYFUNCTION("GOOGLETRANSLATE(D:D,""auto"",""en"")"),"#VALUE!")</f>
        <v>#VALUE!</v>
      </c>
    </row>
    <row r="14489" spans="3:3" ht="13.5" customHeight="1">
      <c r="C14489" s="4" t="str">
        <f ca="1">IFERROR(__xludf.DUMMYFUNCTION("GOOGLETRANSLATE(D:D,""auto"",""en"")"),"#VALUE!")</f>
        <v>#VALUE!</v>
      </c>
    </row>
    <row r="14490" spans="3:3" ht="13.5" customHeight="1">
      <c r="C14490" s="4" t="str">
        <f ca="1">IFERROR(__xludf.DUMMYFUNCTION("GOOGLETRANSLATE(D:D,""auto"",""en"")"),"#VALUE!")</f>
        <v>#VALUE!</v>
      </c>
    </row>
    <row r="14491" spans="3:3" ht="13.5" customHeight="1">
      <c r="C14491" s="4" t="str">
        <f ca="1">IFERROR(__xludf.DUMMYFUNCTION("GOOGLETRANSLATE(D:D,""auto"",""en"")"),"#VALUE!")</f>
        <v>#VALUE!</v>
      </c>
    </row>
    <row r="14492" spans="3:3" ht="13.5" customHeight="1">
      <c r="C14492" s="4" t="str">
        <f ca="1">IFERROR(__xludf.DUMMYFUNCTION("GOOGLETRANSLATE(D:D,""auto"",""en"")"),"#VALUE!")</f>
        <v>#VALUE!</v>
      </c>
    </row>
    <row r="14493" spans="3:3" ht="13.5" customHeight="1">
      <c r="C14493" s="4" t="str">
        <f ca="1">IFERROR(__xludf.DUMMYFUNCTION("GOOGLETRANSLATE(D:D,""auto"",""en"")"),"#VALUE!")</f>
        <v>#VALUE!</v>
      </c>
    </row>
    <row r="14494" spans="3:3" ht="13.5" customHeight="1">
      <c r="C14494" s="4" t="str">
        <f ca="1">IFERROR(__xludf.DUMMYFUNCTION("GOOGLETRANSLATE(D:D,""auto"",""en"")"),"#VALUE!")</f>
        <v>#VALUE!</v>
      </c>
    </row>
    <row r="14495" spans="3:3" ht="13.5" customHeight="1">
      <c r="C14495" s="4" t="str">
        <f ca="1">IFERROR(__xludf.DUMMYFUNCTION("GOOGLETRANSLATE(D:D,""auto"",""en"")"),"#VALUE!")</f>
        <v>#VALUE!</v>
      </c>
    </row>
    <row r="14496" spans="3:3" ht="13.5" customHeight="1">
      <c r="C14496" s="4" t="str">
        <f ca="1">IFERROR(__xludf.DUMMYFUNCTION("GOOGLETRANSLATE(D:D,""auto"",""en"")"),"#VALUE!")</f>
        <v>#VALUE!</v>
      </c>
    </row>
    <row r="14497" spans="3:3" ht="13.5" customHeight="1">
      <c r="C14497" s="4" t="str">
        <f ca="1">IFERROR(__xludf.DUMMYFUNCTION("GOOGLETRANSLATE(D:D,""auto"",""en"")"),"#VALUE!")</f>
        <v>#VALUE!</v>
      </c>
    </row>
    <row r="14498" spans="3:3" ht="13.5" customHeight="1">
      <c r="C14498" s="4" t="str">
        <f ca="1">IFERROR(__xludf.DUMMYFUNCTION("GOOGLETRANSLATE(D:D,""auto"",""en"")"),"#VALUE!")</f>
        <v>#VALUE!</v>
      </c>
    </row>
    <row r="14499" spans="3:3" ht="13.5" customHeight="1">
      <c r="C14499" s="4" t="str">
        <f ca="1">IFERROR(__xludf.DUMMYFUNCTION("GOOGLETRANSLATE(D:D,""auto"",""en"")"),"#VALUE!")</f>
        <v>#VALUE!</v>
      </c>
    </row>
    <row r="14500" spans="3:3" ht="13.5" customHeight="1">
      <c r="C14500" s="4" t="str">
        <f ca="1">IFERROR(__xludf.DUMMYFUNCTION("GOOGLETRANSLATE(D:D,""auto"",""en"")"),"#VALUE!")</f>
        <v>#VALUE!</v>
      </c>
    </row>
    <row r="14501" spans="3:3" ht="13.5" customHeight="1">
      <c r="C14501" s="4" t="str">
        <f ca="1">IFERROR(__xludf.DUMMYFUNCTION("GOOGLETRANSLATE(D:D,""auto"",""en"")"),"#VALUE!")</f>
        <v>#VALUE!</v>
      </c>
    </row>
    <row r="14502" spans="3:3" ht="13.5" customHeight="1">
      <c r="C14502" s="4" t="str">
        <f ca="1">IFERROR(__xludf.DUMMYFUNCTION("GOOGLETRANSLATE(D:D,""auto"",""en"")"),"#VALUE!")</f>
        <v>#VALUE!</v>
      </c>
    </row>
    <row r="14503" spans="3:3" ht="13.5" customHeight="1">
      <c r="C14503" s="4" t="str">
        <f ca="1">IFERROR(__xludf.DUMMYFUNCTION("GOOGLETRANSLATE(D:D,""auto"",""en"")"),"#VALUE!")</f>
        <v>#VALUE!</v>
      </c>
    </row>
    <row r="14504" spans="3:3" ht="13.5" customHeight="1">
      <c r="C14504" s="4" t="str">
        <f ca="1">IFERROR(__xludf.DUMMYFUNCTION("GOOGLETRANSLATE(D:D,""auto"",""en"")"),"#VALUE!")</f>
        <v>#VALUE!</v>
      </c>
    </row>
    <row r="14505" spans="3:3" ht="13.5" customHeight="1">
      <c r="C14505" s="4" t="str">
        <f ca="1">IFERROR(__xludf.DUMMYFUNCTION("GOOGLETRANSLATE(D:D,""auto"",""en"")"),"#VALUE!")</f>
        <v>#VALUE!</v>
      </c>
    </row>
    <row r="14506" spans="3:3" ht="13.5" customHeight="1">
      <c r="C14506" s="4" t="str">
        <f ca="1">IFERROR(__xludf.DUMMYFUNCTION("GOOGLETRANSLATE(D:D,""auto"",""en"")"),"#VALUE!")</f>
        <v>#VALUE!</v>
      </c>
    </row>
    <row r="14507" spans="3:3" ht="13.5" customHeight="1">
      <c r="C14507" s="4" t="str">
        <f ca="1">IFERROR(__xludf.DUMMYFUNCTION("GOOGLETRANSLATE(D:D,""auto"",""en"")"),"#VALUE!")</f>
        <v>#VALUE!</v>
      </c>
    </row>
    <row r="14508" spans="3:3" ht="13.5" customHeight="1">
      <c r="C14508" s="4" t="str">
        <f ca="1">IFERROR(__xludf.DUMMYFUNCTION("GOOGLETRANSLATE(D:D,""auto"",""en"")"),"#VALUE!")</f>
        <v>#VALUE!</v>
      </c>
    </row>
    <row r="14509" spans="3:3" ht="13.5" customHeight="1">
      <c r="C14509" s="4" t="str">
        <f ca="1">IFERROR(__xludf.DUMMYFUNCTION("GOOGLETRANSLATE(D:D,""auto"",""en"")"),"#VALUE!")</f>
        <v>#VALUE!</v>
      </c>
    </row>
    <row r="14510" spans="3:3" ht="13.5" customHeight="1">
      <c r="C14510" s="4" t="str">
        <f ca="1">IFERROR(__xludf.DUMMYFUNCTION("GOOGLETRANSLATE(D:D,""auto"",""en"")"),"#VALUE!")</f>
        <v>#VALUE!</v>
      </c>
    </row>
    <row r="14511" spans="3:3" ht="13.5" customHeight="1">
      <c r="C14511" s="4" t="str">
        <f ca="1">IFERROR(__xludf.DUMMYFUNCTION("GOOGLETRANSLATE(D:D,""auto"",""en"")"),"#VALUE!")</f>
        <v>#VALUE!</v>
      </c>
    </row>
    <row r="14512" spans="3:3" ht="13.5" customHeight="1">
      <c r="C14512" s="4" t="str">
        <f ca="1">IFERROR(__xludf.DUMMYFUNCTION("GOOGLETRANSLATE(D:D,""auto"",""en"")"),"#VALUE!")</f>
        <v>#VALUE!</v>
      </c>
    </row>
    <row r="14513" spans="3:3" ht="13.5" customHeight="1">
      <c r="C14513" s="4" t="str">
        <f ca="1">IFERROR(__xludf.DUMMYFUNCTION("GOOGLETRANSLATE(D:D,""auto"",""en"")"),"#VALUE!")</f>
        <v>#VALUE!</v>
      </c>
    </row>
    <row r="14514" spans="3:3" ht="13.5" customHeight="1">
      <c r="C14514" s="4" t="str">
        <f ca="1">IFERROR(__xludf.DUMMYFUNCTION("GOOGLETRANSLATE(D:D,""auto"",""en"")"),"#VALUE!")</f>
        <v>#VALUE!</v>
      </c>
    </row>
    <row r="14515" spans="3:3" ht="13.5" customHeight="1">
      <c r="C14515" s="4" t="str">
        <f ca="1">IFERROR(__xludf.DUMMYFUNCTION("GOOGLETRANSLATE(D:D,""auto"",""en"")"),"#VALUE!")</f>
        <v>#VALUE!</v>
      </c>
    </row>
    <row r="14516" spans="3:3" ht="13.5" customHeight="1">
      <c r="C14516" s="4" t="str">
        <f ca="1">IFERROR(__xludf.DUMMYFUNCTION("GOOGLETRANSLATE(D:D,""auto"",""en"")"),"#VALUE!")</f>
        <v>#VALUE!</v>
      </c>
    </row>
    <row r="14517" spans="3:3" ht="13.5" customHeight="1">
      <c r="C14517" s="4" t="str">
        <f ca="1">IFERROR(__xludf.DUMMYFUNCTION("GOOGLETRANSLATE(D:D,""auto"",""en"")"),"#VALUE!")</f>
        <v>#VALUE!</v>
      </c>
    </row>
    <row r="14518" spans="3:3" ht="13.5" customHeight="1">
      <c r="C14518" s="4" t="str">
        <f ca="1">IFERROR(__xludf.DUMMYFUNCTION("GOOGLETRANSLATE(D:D,""auto"",""en"")"),"#VALUE!")</f>
        <v>#VALUE!</v>
      </c>
    </row>
    <row r="14519" spans="3:3" ht="13.5" customHeight="1">
      <c r="C14519" s="4" t="str">
        <f ca="1">IFERROR(__xludf.DUMMYFUNCTION("GOOGLETRANSLATE(D:D,""auto"",""en"")"),"#VALUE!")</f>
        <v>#VALUE!</v>
      </c>
    </row>
    <row r="14520" spans="3:3" ht="13.5" customHeight="1">
      <c r="C14520" s="4" t="str">
        <f ca="1">IFERROR(__xludf.DUMMYFUNCTION("GOOGLETRANSLATE(D:D,""auto"",""en"")"),"#VALUE!")</f>
        <v>#VALUE!</v>
      </c>
    </row>
    <row r="14521" spans="3:3" ht="13.5" customHeight="1">
      <c r="C14521" s="4" t="str">
        <f ca="1">IFERROR(__xludf.DUMMYFUNCTION("GOOGLETRANSLATE(D:D,""auto"",""en"")"),"#VALUE!")</f>
        <v>#VALUE!</v>
      </c>
    </row>
    <row r="14522" spans="3:3" ht="13.5" customHeight="1">
      <c r="C14522" s="4" t="str">
        <f ca="1">IFERROR(__xludf.DUMMYFUNCTION("GOOGLETRANSLATE(D:D,""auto"",""en"")"),"#VALUE!")</f>
        <v>#VALUE!</v>
      </c>
    </row>
    <row r="14523" spans="3:3" ht="13.5" customHeight="1">
      <c r="C14523" s="4" t="str">
        <f ca="1">IFERROR(__xludf.DUMMYFUNCTION("GOOGLETRANSLATE(D:D,""auto"",""en"")"),"#VALUE!")</f>
        <v>#VALUE!</v>
      </c>
    </row>
    <row r="14524" spans="3:3" ht="13.5" customHeight="1">
      <c r="C14524" s="4" t="str">
        <f ca="1">IFERROR(__xludf.DUMMYFUNCTION("GOOGLETRANSLATE(D:D,""auto"",""en"")"),"#VALUE!")</f>
        <v>#VALUE!</v>
      </c>
    </row>
    <row r="14525" spans="3:3" ht="13.5" customHeight="1">
      <c r="C14525" s="4" t="str">
        <f ca="1">IFERROR(__xludf.DUMMYFUNCTION("GOOGLETRANSLATE(D:D,""auto"",""en"")"),"#VALUE!")</f>
        <v>#VALUE!</v>
      </c>
    </row>
    <row r="14526" spans="3:3" ht="13.5" customHeight="1">
      <c r="C14526" s="4" t="str">
        <f ca="1">IFERROR(__xludf.DUMMYFUNCTION("GOOGLETRANSLATE(D:D,""auto"",""en"")"),"#VALUE!")</f>
        <v>#VALUE!</v>
      </c>
    </row>
    <row r="14527" spans="3:3" ht="13.5" customHeight="1">
      <c r="C14527" s="4" t="str">
        <f ca="1">IFERROR(__xludf.DUMMYFUNCTION("GOOGLETRANSLATE(D:D,""auto"",""en"")"),"#VALUE!")</f>
        <v>#VALUE!</v>
      </c>
    </row>
    <row r="14528" spans="3:3" ht="13.5" customHeight="1">
      <c r="C14528" s="4" t="str">
        <f ca="1">IFERROR(__xludf.DUMMYFUNCTION("GOOGLETRANSLATE(D:D,""auto"",""en"")"),"#VALUE!")</f>
        <v>#VALUE!</v>
      </c>
    </row>
    <row r="14529" spans="3:3" ht="13.5" customHeight="1">
      <c r="C14529" s="4" t="str">
        <f ca="1">IFERROR(__xludf.DUMMYFUNCTION("GOOGLETRANSLATE(D:D,""auto"",""en"")"),"#VALUE!")</f>
        <v>#VALUE!</v>
      </c>
    </row>
    <row r="14530" spans="3:3" ht="13.5" customHeight="1">
      <c r="C14530" s="4" t="str">
        <f ca="1">IFERROR(__xludf.DUMMYFUNCTION("GOOGLETRANSLATE(D:D,""auto"",""en"")"),"#VALUE!")</f>
        <v>#VALUE!</v>
      </c>
    </row>
    <row r="14531" spans="3:3" ht="13.5" customHeight="1">
      <c r="C14531" s="4" t="str">
        <f ca="1">IFERROR(__xludf.DUMMYFUNCTION("GOOGLETRANSLATE(D:D,""auto"",""en"")"),"#VALUE!")</f>
        <v>#VALUE!</v>
      </c>
    </row>
    <row r="14532" spans="3:3" ht="13.5" customHeight="1">
      <c r="C14532" s="4" t="str">
        <f ca="1">IFERROR(__xludf.DUMMYFUNCTION("GOOGLETRANSLATE(D:D,""auto"",""en"")"),"#VALUE!")</f>
        <v>#VALUE!</v>
      </c>
    </row>
    <row r="14533" spans="3:3" ht="13.5" customHeight="1">
      <c r="C14533" s="4" t="str">
        <f ca="1">IFERROR(__xludf.DUMMYFUNCTION("GOOGLETRANSLATE(D:D,""auto"",""en"")"),"#VALUE!")</f>
        <v>#VALUE!</v>
      </c>
    </row>
    <row r="14534" spans="3:3" ht="13.5" customHeight="1">
      <c r="C14534" s="4" t="str">
        <f ca="1">IFERROR(__xludf.DUMMYFUNCTION("GOOGLETRANSLATE(D:D,""auto"",""en"")"),"#VALUE!")</f>
        <v>#VALUE!</v>
      </c>
    </row>
    <row r="14535" spans="3:3" ht="13.5" customHeight="1">
      <c r="C14535" s="4" t="str">
        <f ca="1">IFERROR(__xludf.DUMMYFUNCTION("GOOGLETRANSLATE(D:D,""auto"",""en"")"),"#VALUE!")</f>
        <v>#VALUE!</v>
      </c>
    </row>
    <row r="14536" spans="3:3" ht="13.5" customHeight="1">
      <c r="C14536" s="4" t="str">
        <f ca="1">IFERROR(__xludf.DUMMYFUNCTION("GOOGLETRANSLATE(D:D,""auto"",""en"")"),"#VALUE!")</f>
        <v>#VALUE!</v>
      </c>
    </row>
    <row r="14537" spans="3:3" ht="13.5" customHeight="1">
      <c r="C14537" s="4" t="str">
        <f ca="1">IFERROR(__xludf.DUMMYFUNCTION("GOOGLETRANSLATE(D:D,""auto"",""en"")"),"#VALUE!")</f>
        <v>#VALUE!</v>
      </c>
    </row>
    <row r="14538" spans="3:3" ht="13.5" customHeight="1">
      <c r="C14538" s="4" t="str">
        <f ca="1">IFERROR(__xludf.DUMMYFUNCTION("GOOGLETRANSLATE(D:D,""auto"",""en"")"),"#VALUE!")</f>
        <v>#VALUE!</v>
      </c>
    </row>
    <row r="14539" spans="3:3" ht="13.5" customHeight="1">
      <c r="C14539" s="4" t="str">
        <f ca="1">IFERROR(__xludf.DUMMYFUNCTION("GOOGLETRANSLATE(D:D,""auto"",""en"")"),"#VALUE!")</f>
        <v>#VALUE!</v>
      </c>
    </row>
    <row r="14540" spans="3:3" ht="13.5" customHeight="1">
      <c r="C14540" s="4" t="str">
        <f ca="1">IFERROR(__xludf.DUMMYFUNCTION("GOOGLETRANSLATE(D:D,""auto"",""en"")"),"#VALUE!")</f>
        <v>#VALUE!</v>
      </c>
    </row>
    <row r="14541" spans="3:3" ht="13.5" customHeight="1">
      <c r="C14541" s="4" t="str">
        <f ca="1">IFERROR(__xludf.DUMMYFUNCTION("GOOGLETRANSLATE(D:D,""auto"",""en"")"),"#VALUE!")</f>
        <v>#VALUE!</v>
      </c>
    </row>
    <row r="14542" spans="3:3" ht="13.5" customHeight="1">
      <c r="C14542" s="4" t="str">
        <f ca="1">IFERROR(__xludf.DUMMYFUNCTION("GOOGLETRANSLATE(D:D,""auto"",""en"")"),"#VALUE!")</f>
        <v>#VALUE!</v>
      </c>
    </row>
    <row r="14543" spans="3:3" ht="13.5" customHeight="1">
      <c r="C14543" s="4" t="str">
        <f ca="1">IFERROR(__xludf.DUMMYFUNCTION("GOOGLETRANSLATE(D:D,""auto"",""en"")"),"#VALUE!")</f>
        <v>#VALUE!</v>
      </c>
    </row>
    <row r="14544" spans="3:3" ht="13.5" customHeight="1">
      <c r="C14544" s="4" t="str">
        <f ca="1">IFERROR(__xludf.DUMMYFUNCTION("GOOGLETRANSLATE(D:D,""auto"",""en"")"),"#VALUE!")</f>
        <v>#VALUE!</v>
      </c>
    </row>
    <row r="14545" spans="3:3" ht="13.5" customHeight="1">
      <c r="C14545" s="4" t="str">
        <f ca="1">IFERROR(__xludf.DUMMYFUNCTION("GOOGLETRANSLATE(D:D,""auto"",""en"")"),"#VALUE!")</f>
        <v>#VALUE!</v>
      </c>
    </row>
    <row r="14546" spans="3:3" ht="13.5" customHeight="1">
      <c r="C14546" s="4" t="str">
        <f ca="1">IFERROR(__xludf.DUMMYFUNCTION("GOOGLETRANSLATE(D:D,""auto"",""en"")"),"#VALUE!")</f>
        <v>#VALUE!</v>
      </c>
    </row>
    <row r="14547" spans="3:3" ht="13.5" customHeight="1">
      <c r="C14547" s="4" t="str">
        <f ca="1">IFERROR(__xludf.DUMMYFUNCTION("GOOGLETRANSLATE(D:D,""auto"",""en"")"),"#VALUE!")</f>
        <v>#VALUE!</v>
      </c>
    </row>
    <row r="14548" spans="3:3" ht="13.5" customHeight="1">
      <c r="C14548" s="4" t="str">
        <f ca="1">IFERROR(__xludf.DUMMYFUNCTION("GOOGLETRANSLATE(D:D,""auto"",""en"")"),"#VALUE!")</f>
        <v>#VALUE!</v>
      </c>
    </row>
    <row r="14549" spans="3:3" ht="13.5" customHeight="1">
      <c r="C14549" s="4" t="str">
        <f ca="1">IFERROR(__xludf.DUMMYFUNCTION("GOOGLETRANSLATE(D:D,""auto"",""en"")"),"#VALUE!")</f>
        <v>#VALUE!</v>
      </c>
    </row>
    <row r="14550" spans="3:3" ht="13.5" customHeight="1">
      <c r="C14550" s="4" t="str">
        <f ca="1">IFERROR(__xludf.DUMMYFUNCTION("GOOGLETRANSLATE(D:D,""auto"",""en"")"),"#VALUE!")</f>
        <v>#VALUE!</v>
      </c>
    </row>
    <row r="14551" spans="3:3" ht="13.5" customHeight="1">
      <c r="C14551" s="4" t="str">
        <f ca="1">IFERROR(__xludf.DUMMYFUNCTION("GOOGLETRANSLATE(D:D,""auto"",""en"")"),"#VALUE!")</f>
        <v>#VALUE!</v>
      </c>
    </row>
    <row r="14552" spans="3:3" ht="13.5" customHeight="1">
      <c r="C14552" s="4" t="str">
        <f ca="1">IFERROR(__xludf.DUMMYFUNCTION("GOOGLETRANSLATE(D:D,""auto"",""en"")"),"#VALUE!")</f>
        <v>#VALUE!</v>
      </c>
    </row>
    <row r="14553" spans="3:3" ht="13.5" customHeight="1">
      <c r="C14553" s="4" t="str">
        <f ca="1">IFERROR(__xludf.DUMMYFUNCTION("GOOGLETRANSLATE(D:D,""auto"",""en"")"),"#VALUE!")</f>
        <v>#VALUE!</v>
      </c>
    </row>
    <row r="14554" spans="3:3" ht="13.5" customHeight="1">
      <c r="C14554" s="4" t="str">
        <f ca="1">IFERROR(__xludf.DUMMYFUNCTION("GOOGLETRANSLATE(D:D,""auto"",""en"")"),"#VALUE!")</f>
        <v>#VALUE!</v>
      </c>
    </row>
    <row r="14555" spans="3:3" ht="13.5" customHeight="1">
      <c r="C14555" s="4" t="str">
        <f ca="1">IFERROR(__xludf.DUMMYFUNCTION("GOOGLETRANSLATE(D:D,""auto"",""en"")"),"#VALUE!")</f>
        <v>#VALUE!</v>
      </c>
    </row>
    <row r="14556" spans="3:3" ht="13.5" customHeight="1">
      <c r="C14556" s="4" t="str">
        <f ca="1">IFERROR(__xludf.DUMMYFUNCTION("GOOGLETRANSLATE(D:D,""auto"",""en"")"),"#VALUE!")</f>
        <v>#VALUE!</v>
      </c>
    </row>
    <row r="14557" spans="3:3" ht="13.5" customHeight="1">
      <c r="C14557" s="4" t="str">
        <f ca="1">IFERROR(__xludf.DUMMYFUNCTION("GOOGLETRANSLATE(D:D,""auto"",""en"")"),"#VALUE!")</f>
        <v>#VALUE!</v>
      </c>
    </row>
    <row r="14558" spans="3:3" ht="13.5" customHeight="1">
      <c r="C14558" s="4" t="str">
        <f ca="1">IFERROR(__xludf.DUMMYFUNCTION("GOOGLETRANSLATE(D:D,""auto"",""en"")"),"#VALUE!")</f>
        <v>#VALUE!</v>
      </c>
    </row>
    <row r="14559" spans="3:3" ht="13.5" customHeight="1">
      <c r="C14559" s="4" t="str">
        <f ca="1">IFERROR(__xludf.DUMMYFUNCTION("GOOGLETRANSLATE(D:D,""auto"",""en"")"),"#VALUE!")</f>
        <v>#VALUE!</v>
      </c>
    </row>
    <row r="14560" spans="3:3" ht="13.5" customHeight="1">
      <c r="C14560" s="4" t="str">
        <f ca="1">IFERROR(__xludf.DUMMYFUNCTION("GOOGLETRANSLATE(D:D,""auto"",""en"")"),"#VALUE!")</f>
        <v>#VALUE!</v>
      </c>
    </row>
    <row r="14561" spans="3:3" ht="13.5" customHeight="1">
      <c r="C14561" s="4" t="str">
        <f ca="1">IFERROR(__xludf.DUMMYFUNCTION("GOOGLETRANSLATE(D:D,""auto"",""en"")"),"#VALUE!")</f>
        <v>#VALUE!</v>
      </c>
    </row>
    <row r="14562" spans="3:3" ht="13.5" customHeight="1">
      <c r="C14562" s="4" t="str">
        <f ca="1">IFERROR(__xludf.DUMMYFUNCTION("GOOGLETRANSLATE(D:D,""auto"",""en"")"),"#VALUE!")</f>
        <v>#VALUE!</v>
      </c>
    </row>
    <row r="14563" spans="3:3" ht="13.5" customHeight="1">
      <c r="C14563" s="4" t="str">
        <f ca="1">IFERROR(__xludf.DUMMYFUNCTION("GOOGLETRANSLATE(D:D,""auto"",""en"")"),"#VALUE!")</f>
        <v>#VALUE!</v>
      </c>
    </row>
    <row r="14564" spans="3:3" ht="13.5" customHeight="1">
      <c r="C14564" s="4" t="str">
        <f ca="1">IFERROR(__xludf.DUMMYFUNCTION("GOOGLETRANSLATE(D:D,""auto"",""en"")"),"#VALUE!")</f>
        <v>#VALUE!</v>
      </c>
    </row>
    <row r="14565" spans="3:3" ht="13.5" customHeight="1">
      <c r="C14565" s="4" t="str">
        <f ca="1">IFERROR(__xludf.DUMMYFUNCTION("GOOGLETRANSLATE(D:D,""auto"",""en"")"),"#VALUE!")</f>
        <v>#VALUE!</v>
      </c>
    </row>
    <row r="14566" spans="3:3" ht="13.5" customHeight="1">
      <c r="C14566" s="4" t="str">
        <f ca="1">IFERROR(__xludf.DUMMYFUNCTION("GOOGLETRANSLATE(D:D,""auto"",""en"")"),"#VALUE!")</f>
        <v>#VALUE!</v>
      </c>
    </row>
    <row r="14567" spans="3:3" ht="13.5" customHeight="1">
      <c r="C14567" s="4" t="str">
        <f ca="1">IFERROR(__xludf.DUMMYFUNCTION("GOOGLETRANSLATE(D:D,""auto"",""en"")"),"#VALUE!")</f>
        <v>#VALUE!</v>
      </c>
    </row>
    <row r="14568" spans="3:3" ht="13.5" customHeight="1">
      <c r="C14568" s="4" t="str">
        <f ca="1">IFERROR(__xludf.DUMMYFUNCTION("GOOGLETRANSLATE(D:D,""auto"",""en"")"),"#VALUE!")</f>
        <v>#VALUE!</v>
      </c>
    </row>
    <row r="14569" spans="3:3" ht="13.5" customHeight="1">
      <c r="C14569" s="4" t="str">
        <f ca="1">IFERROR(__xludf.DUMMYFUNCTION("GOOGLETRANSLATE(D:D,""auto"",""en"")"),"#VALUE!")</f>
        <v>#VALUE!</v>
      </c>
    </row>
    <row r="14570" spans="3:3" ht="13.5" customHeight="1">
      <c r="C14570" s="4" t="str">
        <f ca="1">IFERROR(__xludf.DUMMYFUNCTION("GOOGLETRANSLATE(D:D,""auto"",""en"")"),"#VALUE!")</f>
        <v>#VALUE!</v>
      </c>
    </row>
    <row r="14571" spans="3:3" ht="13.5" customHeight="1">
      <c r="C14571" s="4" t="str">
        <f ca="1">IFERROR(__xludf.DUMMYFUNCTION("GOOGLETRANSLATE(D:D,""auto"",""en"")"),"#VALUE!")</f>
        <v>#VALUE!</v>
      </c>
    </row>
    <row r="14572" spans="3:3" ht="13.5" customHeight="1">
      <c r="C14572" s="4" t="str">
        <f ca="1">IFERROR(__xludf.DUMMYFUNCTION("GOOGLETRANSLATE(D:D,""auto"",""en"")"),"#VALUE!")</f>
        <v>#VALUE!</v>
      </c>
    </row>
    <row r="14573" spans="3:3" ht="13.5" customHeight="1">
      <c r="C14573" s="4" t="str">
        <f ca="1">IFERROR(__xludf.DUMMYFUNCTION("GOOGLETRANSLATE(D:D,""auto"",""en"")"),"#VALUE!")</f>
        <v>#VALUE!</v>
      </c>
    </row>
    <row r="14574" spans="3:3" ht="13.5" customHeight="1">
      <c r="C14574" s="4" t="str">
        <f ca="1">IFERROR(__xludf.DUMMYFUNCTION("GOOGLETRANSLATE(D:D,""auto"",""en"")"),"#VALUE!")</f>
        <v>#VALUE!</v>
      </c>
    </row>
    <row r="14575" spans="3:3" ht="13.5" customHeight="1">
      <c r="C14575" s="4" t="str">
        <f ca="1">IFERROR(__xludf.DUMMYFUNCTION("GOOGLETRANSLATE(D:D,""auto"",""en"")"),"#VALUE!")</f>
        <v>#VALUE!</v>
      </c>
    </row>
    <row r="14576" spans="3:3" ht="13.5" customHeight="1">
      <c r="C14576" s="4" t="str">
        <f ca="1">IFERROR(__xludf.DUMMYFUNCTION("GOOGLETRANSLATE(D:D,""auto"",""en"")"),"#VALUE!")</f>
        <v>#VALUE!</v>
      </c>
    </row>
    <row r="14577" spans="3:3" ht="13.5" customHeight="1">
      <c r="C14577" s="4" t="str">
        <f ca="1">IFERROR(__xludf.DUMMYFUNCTION("GOOGLETRANSLATE(D:D,""auto"",""en"")"),"#VALUE!")</f>
        <v>#VALUE!</v>
      </c>
    </row>
    <row r="14578" spans="3:3" ht="13.5" customHeight="1">
      <c r="C14578" s="4" t="str">
        <f ca="1">IFERROR(__xludf.DUMMYFUNCTION("GOOGLETRANSLATE(D:D,""auto"",""en"")"),"#VALUE!")</f>
        <v>#VALUE!</v>
      </c>
    </row>
    <row r="14579" spans="3:3" ht="13.5" customHeight="1">
      <c r="C14579" s="4" t="str">
        <f ca="1">IFERROR(__xludf.DUMMYFUNCTION("GOOGLETRANSLATE(D:D,""auto"",""en"")"),"#VALUE!")</f>
        <v>#VALUE!</v>
      </c>
    </row>
    <row r="14580" spans="3:3" ht="13.5" customHeight="1">
      <c r="C14580" s="4" t="str">
        <f ca="1">IFERROR(__xludf.DUMMYFUNCTION("GOOGLETRANSLATE(D:D,""auto"",""en"")"),"#VALUE!")</f>
        <v>#VALUE!</v>
      </c>
    </row>
    <row r="14581" spans="3:3" ht="13.5" customHeight="1">
      <c r="C14581" s="4" t="str">
        <f ca="1">IFERROR(__xludf.DUMMYFUNCTION("GOOGLETRANSLATE(D:D,""auto"",""en"")"),"#VALUE!")</f>
        <v>#VALUE!</v>
      </c>
    </row>
    <row r="14582" spans="3:3" ht="13.5" customHeight="1">
      <c r="C14582" s="4" t="str">
        <f ca="1">IFERROR(__xludf.DUMMYFUNCTION("GOOGLETRANSLATE(D:D,""auto"",""en"")"),"#VALUE!")</f>
        <v>#VALUE!</v>
      </c>
    </row>
    <row r="14583" spans="3:3" ht="13.5" customHeight="1">
      <c r="C14583" s="4" t="str">
        <f ca="1">IFERROR(__xludf.DUMMYFUNCTION("GOOGLETRANSLATE(D:D,""auto"",""en"")"),"#VALUE!")</f>
        <v>#VALUE!</v>
      </c>
    </row>
    <row r="14584" spans="3:3" ht="13.5" customHeight="1">
      <c r="C14584" s="4" t="str">
        <f ca="1">IFERROR(__xludf.DUMMYFUNCTION("GOOGLETRANSLATE(D:D,""auto"",""en"")"),"#VALUE!")</f>
        <v>#VALUE!</v>
      </c>
    </row>
    <row r="14585" spans="3:3" ht="13.5" customHeight="1">
      <c r="C14585" s="4" t="str">
        <f ca="1">IFERROR(__xludf.DUMMYFUNCTION("GOOGLETRANSLATE(D:D,""auto"",""en"")"),"#VALUE!")</f>
        <v>#VALUE!</v>
      </c>
    </row>
    <row r="14586" spans="3:3" ht="13.5" customHeight="1">
      <c r="C14586" s="4" t="str">
        <f ca="1">IFERROR(__xludf.DUMMYFUNCTION("GOOGLETRANSLATE(D:D,""auto"",""en"")"),"#VALUE!")</f>
        <v>#VALUE!</v>
      </c>
    </row>
    <row r="14587" spans="3:3" ht="13.5" customHeight="1">
      <c r="C14587" s="4" t="str">
        <f ca="1">IFERROR(__xludf.DUMMYFUNCTION("GOOGLETRANSLATE(D:D,""auto"",""en"")"),"#VALUE!")</f>
        <v>#VALUE!</v>
      </c>
    </row>
    <row r="14588" spans="3:3" ht="13.5" customHeight="1">
      <c r="C14588" s="4" t="str">
        <f ca="1">IFERROR(__xludf.DUMMYFUNCTION("GOOGLETRANSLATE(D:D,""auto"",""en"")"),"#VALUE!")</f>
        <v>#VALUE!</v>
      </c>
    </row>
    <row r="14589" spans="3:3" ht="13.5" customHeight="1">
      <c r="C14589" s="4" t="str">
        <f ca="1">IFERROR(__xludf.DUMMYFUNCTION("GOOGLETRANSLATE(D:D,""auto"",""en"")"),"#VALUE!")</f>
        <v>#VALUE!</v>
      </c>
    </row>
    <row r="14590" spans="3:3" ht="13.5" customHeight="1">
      <c r="C14590" s="4" t="str">
        <f ca="1">IFERROR(__xludf.DUMMYFUNCTION("GOOGLETRANSLATE(D:D,""auto"",""en"")"),"#VALUE!")</f>
        <v>#VALUE!</v>
      </c>
    </row>
    <row r="14591" spans="3:3" ht="13.5" customHeight="1">
      <c r="C14591" s="4" t="str">
        <f ca="1">IFERROR(__xludf.DUMMYFUNCTION("GOOGLETRANSLATE(D:D,""auto"",""en"")"),"#VALUE!")</f>
        <v>#VALUE!</v>
      </c>
    </row>
    <row r="14592" spans="3:3" ht="13.5" customHeight="1">
      <c r="C14592" s="4" t="str">
        <f ca="1">IFERROR(__xludf.DUMMYFUNCTION("GOOGLETRANSLATE(D:D,""auto"",""en"")"),"#VALUE!")</f>
        <v>#VALUE!</v>
      </c>
    </row>
    <row r="14593" spans="3:3" ht="13.5" customHeight="1">
      <c r="C14593" s="4" t="str">
        <f ca="1">IFERROR(__xludf.DUMMYFUNCTION("GOOGLETRANSLATE(D:D,""auto"",""en"")"),"#VALUE!")</f>
        <v>#VALUE!</v>
      </c>
    </row>
    <row r="14594" spans="3:3" ht="13.5" customHeight="1">
      <c r="C14594" s="4" t="str">
        <f ca="1">IFERROR(__xludf.DUMMYFUNCTION("GOOGLETRANSLATE(D:D,""auto"",""en"")"),"#VALUE!")</f>
        <v>#VALUE!</v>
      </c>
    </row>
    <row r="14595" spans="3:3" ht="13.5" customHeight="1">
      <c r="C14595" s="4" t="str">
        <f ca="1">IFERROR(__xludf.DUMMYFUNCTION("GOOGLETRANSLATE(D:D,""auto"",""en"")"),"#VALUE!")</f>
        <v>#VALUE!</v>
      </c>
    </row>
    <row r="14596" spans="3:3" ht="13.5" customHeight="1">
      <c r="C14596" s="4" t="str">
        <f ca="1">IFERROR(__xludf.DUMMYFUNCTION("GOOGLETRANSLATE(D:D,""auto"",""en"")"),"#VALUE!")</f>
        <v>#VALUE!</v>
      </c>
    </row>
    <row r="14597" spans="3:3" ht="13.5" customHeight="1">
      <c r="C14597" s="4" t="str">
        <f ca="1">IFERROR(__xludf.DUMMYFUNCTION("GOOGLETRANSLATE(D:D,""auto"",""en"")"),"#VALUE!")</f>
        <v>#VALUE!</v>
      </c>
    </row>
    <row r="14598" spans="3:3" ht="13.5" customHeight="1">
      <c r="C14598" s="4" t="str">
        <f ca="1">IFERROR(__xludf.DUMMYFUNCTION("GOOGLETRANSLATE(D:D,""auto"",""en"")"),"#VALUE!")</f>
        <v>#VALUE!</v>
      </c>
    </row>
    <row r="14599" spans="3:3" ht="13.5" customHeight="1">
      <c r="C14599" s="4" t="str">
        <f ca="1">IFERROR(__xludf.DUMMYFUNCTION("GOOGLETRANSLATE(D:D,""auto"",""en"")"),"#VALUE!")</f>
        <v>#VALUE!</v>
      </c>
    </row>
    <row r="14600" spans="3:3" ht="13.5" customHeight="1">
      <c r="C14600" s="4" t="str">
        <f ca="1">IFERROR(__xludf.DUMMYFUNCTION("GOOGLETRANSLATE(D:D,""auto"",""en"")"),"#VALUE!")</f>
        <v>#VALUE!</v>
      </c>
    </row>
    <row r="14601" spans="3:3" ht="13.5" customHeight="1">
      <c r="C14601" s="4" t="str">
        <f ca="1">IFERROR(__xludf.DUMMYFUNCTION("GOOGLETRANSLATE(D:D,""auto"",""en"")"),"#VALUE!")</f>
        <v>#VALUE!</v>
      </c>
    </row>
    <row r="14602" spans="3:3" ht="13.5" customHeight="1">
      <c r="C14602" s="4" t="str">
        <f ca="1">IFERROR(__xludf.DUMMYFUNCTION("GOOGLETRANSLATE(D:D,""auto"",""en"")"),"#VALUE!")</f>
        <v>#VALUE!</v>
      </c>
    </row>
    <row r="14603" spans="3:3" ht="13.5" customHeight="1">
      <c r="C14603" s="4" t="str">
        <f ca="1">IFERROR(__xludf.DUMMYFUNCTION("GOOGLETRANSLATE(D:D,""auto"",""en"")"),"#VALUE!")</f>
        <v>#VALUE!</v>
      </c>
    </row>
    <row r="14604" spans="3:3" ht="13.5" customHeight="1">
      <c r="C14604" s="4" t="str">
        <f ca="1">IFERROR(__xludf.DUMMYFUNCTION("GOOGLETRANSLATE(D:D,""auto"",""en"")"),"#VALUE!")</f>
        <v>#VALUE!</v>
      </c>
    </row>
    <row r="14605" spans="3:3" ht="13.5" customHeight="1">
      <c r="C14605" s="4" t="str">
        <f ca="1">IFERROR(__xludf.DUMMYFUNCTION("GOOGLETRANSLATE(D:D,""auto"",""en"")"),"#VALUE!")</f>
        <v>#VALUE!</v>
      </c>
    </row>
    <row r="14606" spans="3:3" ht="13.5" customHeight="1">
      <c r="C14606" s="4" t="str">
        <f ca="1">IFERROR(__xludf.DUMMYFUNCTION("GOOGLETRANSLATE(D:D,""auto"",""en"")"),"#VALUE!")</f>
        <v>#VALUE!</v>
      </c>
    </row>
    <row r="14607" spans="3:3" ht="13.5" customHeight="1">
      <c r="C14607" s="4" t="str">
        <f ca="1">IFERROR(__xludf.DUMMYFUNCTION("GOOGLETRANSLATE(D:D,""auto"",""en"")"),"#VALUE!")</f>
        <v>#VALUE!</v>
      </c>
    </row>
    <row r="14608" spans="3:3" ht="13.5" customHeight="1">
      <c r="C14608" s="4" t="str">
        <f ca="1">IFERROR(__xludf.DUMMYFUNCTION("GOOGLETRANSLATE(D:D,""auto"",""en"")"),"#VALUE!")</f>
        <v>#VALUE!</v>
      </c>
    </row>
    <row r="14609" spans="3:3" ht="13.5" customHeight="1">
      <c r="C14609" s="4" t="str">
        <f ca="1">IFERROR(__xludf.DUMMYFUNCTION("GOOGLETRANSLATE(D:D,""auto"",""en"")"),"#VALUE!")</f>
        <v>#VALUE!</v>
      </c>
    </row>
    <row r="14610" spans="3:3" ht="13.5" customHeight="1">
      <c r="C14610" s="4" t="str">
        <f ca="1">IFERROR(__xludf.DUMMYFUNCTION("GOOGLETRANSLATE(D:D,""auto"",""en"")"),"#VALUE!")</f>
        <v>#VALUE!</v>
      </c>
    </row>
    <row r="14611" spans="3:3" ht="13.5" customHeight="1">
      <c r="C14611" s="4" t="str">
        <f ca="1">IFERROR(__xludf.DUMMYFUNCTION("GOOGLETRANSLATE(D:D,""auto"",""en"")"),"#VALUE!")</f>
        <v>#VALUE!</v>
      </c>
    </row>
    <row r="14612" spans="3:3" ht="13.5" customHeight="1">
      <c r="C14612" s="4" t="str">
        <f ca="1">IFERROR(__xludf.DUMMYFUNCTION("GOOGLETRANSLATE(D:D,""auto"",""en"")"),"#VALUE!")</f>
        <v>#VALUE!</v>
      </c>
    </row>
    <row r="14613" spans="3:3" ht="13.5" customHeight="1">
      <c r="C14613" s="4" t="str">
        <f ca="1">IFERROR(__xludf.DUMMYFUNCTION("GOOGLETRANSLATE(D:D,""auto"",""en"")"),"#VALUE!")</f>
        <v>#VALUE!</v>
      </c>
    </row>
    <row r="14614" spans="3:3" ht="13.5" customHeight="1">
      <c r="C14614" s="4" t="str">
        <f ca="1">IFERROR(__xludf.DUMMYFUNCTION("GOOGLETRANSLATE(D:D,""auto"",""en"")"),"#VALUE!")</f>
        <v>#VALUE!</v>
      </c>
    </row>
    <row r="14615" spans="3:3" ht="13.5" customHeight="1">
      <c r="C14615" s="4" t="str">
        <f ca="1">IFERROR(__xludf.DUMMYFUNCTION("GOOGLETRANSLATE(D:D,""auto"",""en"")"),"#VALUE!")</f>
        <v>#VALUE!</v>
      </c>
    </row>
    <row r="14616" spans="3:3" ht="13.5" customHeight="1">
      <c r="C14616" s="4" t="str">
        <f ca="1">IFERROR(__xludf.DUMMYFUNCTION("GOOGLETRANSLATE(D:D,""auto"",""en"")"),"#VALUE!")</f>
        <v>#VALUE!</v>
      </c>
    </row>
    <row r="14617" spans="3:3" ht="13.5" customHeight="1">
      <c r="C14617" s="4" t="str">
        <f ca="1">IFERROR(__xludf.DUMMYFUNCTION("GOOGLETRANSLATE(D:D,""auto"",""en"")"),"#VALUE!")</f>
        <v>#VALUE!</v>
      </c>
    </row>
    <row r="14618" spans="3:3" ht="13.5" customHeight="1">
      <c r="C14618" s="4" t="str">
        <f ca="1">IFERROR(__xludf.DUMMYFUNCTION("GOOGLETRANSLATE(D:D,""auto"",""en"")"),"#VALUE!")</f>
        <v>#VALUE!</v>
      </c>
    </row>
    <row r="14619" spans="3:3" ht="13.5" customHeight="1">
      <c r="C14619" s="4" t="str">
        <f ca="1">IFERROR(__xludf.DUMMYFUNCTION("GOOGLETRANSLATE(D:D,""auto"",""en"")"),"#VALUE!")</f>
        <v>#VALUE!</v>
      </c>
    </row>
    <row r="14620" spans="3:3" ht="13.5" customHeight="1">
      <c r="C14620" s="4" t="str">
        <f ca="1">IFERROR(__xludf.DUMMYFUNCTION("GOOGLETRANSLATE(D:D,""auto"",""en"")"),"#VALUE!")</f>
        <v>#VALUE!</v>
      </c>
    </row>
    <row r="14621" spans="3:3" ht="13.5" customHeight="1">
      <c r="C14621" s="4" t="str">
        <f ca="1">IFERROR(__xludf.DUMMYFUNCTION("GOOGLETRANSLATE(D:D,""auto"",""en"")"),"#VALUE!")</f>
        <v>#VALUE!</v>
      </c>
    </row>
    <row r="14622" spans="3:3" ht="13.5" customHeight="1">
      <c r="C14622" s="4" t="str">
        <f ca="1">IFERROR(__xludf.DUMMYFUNCTION("GOOGLETRANSLATE(D:D,""auto"",""en"")"),"#VALUE!")</f>
        <v>#VALUE!</v>
      </c>
    </row>
    <row r="14623" spans="3:3" ht="13.5" customHeight="1">
      <c r="C14623" s="4" t="str">
        <f ca="1">IFERROR(__xludf.DUMMYFUNCTION("GOOGLETRANSLATE(D:D,""auto"",""en"")"),"#VALUE!")</f>
        <v>#VALUE!</v>
      </c>
    </row>
    <row r="14624" spans="3:3" ht="13.5" customHeight="1">
      <c r="C14624" s="4" t="str">
        <f ca="1">IFERROR(__xludf.DUMMYFUNCTION("GOOGLETRANSLATE(D:D,""auto"",""en"")"),"#VALUE!")</f>
        <v>#VALUE!</v>
      </c>
    </row>
    <row r="14625" spans="3:3" ht="13.5" customHeight="1">
      <c r="C14625" s="4" t="str">
        <f ca="1">IFERROR(__xludf.DUMMYFUNCTION("GOOGLETRANSLATE(D:D,""auto"",""en"")"),"#VALUE!")</f>
        <v>#VALUE!</v>
      </c>
    </row>
    <row r="14626" spans="3:3" ht="13.5" customHeight="1">
      <c r="C14626" s="4" t="str">
        <f ca="1">IFERROR(__xludf.DUMMYFUNCTION("GOOGLETRANSLATE(D:D,""auto"",""en"")"),"#VALUE!")</f>
        <v>#VALUE!</v>
      </c>
    </row>
    <row r="14627" spans="3:3" ht="13.5" customHeight="1">
      <c r="C14627" s="4" t="str">
        <f ca="1">IFERROR(__xludf.DUMMYFUNCTION("GOOGLETRANSLATE(D:D,""auto"",""en"")"),"#VALUE!")</f>
        <v>#VALUE!</v>
      </c>
    </row>
    <row r="14628" spans="3:3" ht="13.5" customHeight="1">
      <c r="C14628" s="4" t="str">
        <f ca="1">IFERROR(__xludf.DUMMYFUNCTION("GOOGLETRANSLATE(D:D,""auto"",""en"")"),"#VALUE!")</f>
        <v>#VALUE!</v>
      </c>
    </row>
    <row r="14629" spans="3:3" ht="13.5" customHeight="1">
      <c r="C14629" s="4" t="str">
        <f ca="1">IFERROR(__xludf.DUMMYFUNCTION("GOOGLETRANSLATE(D:D,""auto"",""en"")"),"#VALUE!")</f>
        <v>#VALUE!</v>
      </c>
    </row>
    <row r="14630" spans="3:3" ht="13.5" customHeight="1">
      <c r="C14630" s="4" t="str">
        <f ca="1">IFERROR(__xludf.DUMMYFUNCTION("GOOGLETRANSLATE(D:D,""auto"",""en"")"),"#VALUE!")</f>
        <v>#VALUE!</v>
      </c>
    </row>
    <row r="14631" spans="3:3" ht="13.5" customHeight="1">
      <c r="C14631" s="4" t="str">
        <f ca="1">IFERROR(__xludf.DUMMYFUNCTION("GOOGLETRANSLATE(D:D,""auto"",""en"")"),"#VALUE!")</f>
        <v>#VALUE!</v>
      </c>
    </row>
    <row r="14632" spans="3:3" ht="13.5" customHeight="1">
      <c r="C14632" s="4" t="str">
        <f ca="1">IFERROR(__xludf.DUMMYFUNCTION("GOOGLETRANSLATE(D:D,""auto"",""en"")"),"#VALUE!")</f>
        <v>#VALUE!</v>
      </c>
    </row>
    <row r="14633" spans="3:3" ht="13.5" customHeight="1">
      <c r="C14633" s="4" t="str">
        <f ca="1">IFERROR(__xludf.DUMMYFUNCTION("GOOGLETRANSLATE(D:D,""auto"",""en"")"),"#VALUE!")</f>
        <v>#VALUE!</v>
      </c>
    </row>
    <row r="14634" spans="3:3" ht="13.5" customHeight="1">
      <c r="C14634" s="4" t="str">
        <f ca="1">IFERROR(__xludf.DUMMYFUNCTION("GOOGLETRANSLATE(D:D,""auto"",""en"")"),"#VALUE!")</f>
        <v>#VALUE!</v>
      </c>
    </row>
    <row r="14635" spans="3:3" ht="13.5" customHeight="1">
      <c r="C14635" s="4" t="str">
        <f ca="1">IFERROR(__xludf.DUMMYFUNCTION("GOOGLETRANSLATE(D:D,""auto"",""en"")"),"#VALUE!")</f>
        <v>#VALUE!</v>
      </c>
    </row>
    <row r="14636" spans="3:3" ht="13.5" customHeight="1">
      <c r="C14636" s="4" t="str">
        <f ca="1">IFERROR(__xludf.DUMMYFUNCTION("GOOGLETRANSLATE(D:D,""auto"",""en"")"),"#VALUE!")</f>
        <v>#VALUE!</v>
      </c>
    </row>
    <row r="14637" spans="3:3" ht="13.5" customHeight="1">
      <c r="C14637" s="4" t="str">
        <f ca="1">IFERROR(__xludf.DUMMYFUNCTION("GOOGLETRANSLATE(D:D,""auto"",""en"")"),"#VALUE!")</f>
        <v>#VALUE!</v>
      </c>
    </row>
    <row r="14638" spans="3:3" ht="13.5" customHeight="1">
      <c r="C14638" s="4" t="str">
        <f ca="1">IFERROR(__xludf.DUMMYFUNCTION("GOOGLETRANSLATE(D:D,""auto"",""en"")"),"#VALUE!")</f>
        <v>#VALUE!</v>
      </c>
    </row>
    <row r="14639" spans="3:3" ht="13.5" customHeight="1">
      <c r="C14639" s="4" t="str">
        <f ca="1">IFERROR(__xludf.DUMMYFUNCTION("GOOGLETRANSLATE(D:D,""auto"",""en"")"),"#VALUE!")</f>
        <v>#VALUE!</v>
      </c>
    </row>
    <row r="14640" spans="3:3" ht="13.5" customHeight="1">
      <c r="C14640" s="4" t="str">
        <f ca="1">IFERROR(__xludf.DUMMYFUNCTION("GOOGLETRANSLATE(D:D,""auto"",""en"")"),"#VALUE!")</f>
        <v>#VALUE!</v>
      </c>
    </row>
    <row r="14641" spans="3:3" ht="13.5" customHeight="1">
      <c r="C14641" s="4" t="str">
        <f ca="1">IFERROR(__xludf.DUMMYFUNCTION("GOOGLETRANSLATE(D:D,""auto"",""en"")"),"#VALUE!")</f>
        <v>#VALUE!</v>
      </c>
    </row>
    <row r="14642" spans="3:3" ht="13.5" customHeight="1">
      <c r="C14642" s="4" t="str">
        <f ca="1">IFERROR(__xludf.DUMMYFUNCTION("GOOGLETRANSLATE(D:D,""auto"",""en"")"),"#VALUE!")</f>
        <v>#VALUE!</v>
      </c>
    </row>
    <row r="14643" spans="3:3" ht="13.5" customHeight="1">
      <c r="C14643" s="4" t="str">
        <f ca="1">IFERROR(__xludf.DUMMYFUNCTION("GOOGLETRANSLATE(D:D,""auto"",""en"")"),"#VALUE!")</f>
        <v>#VALUE!</v>
      </c>
    </row>
    <row r="14644" spans="3:3" ht="13.5" customHeight="1">
      <c r="C14644" s="4" t="str">
        <f ca="1">IFERROR(__xludf.DUMMYFUNCTION("GOOGLETRANSLATE(D:D,""auto"",""en"")"),"#VALUE!")</f>
        <v>#VALUE!</v>
      </c>
    </row>
    <row r="14645" spans="3:3" ht="13.5" customHeight="1">
      <c r="C14645" s="4" t="str">
        <f ca="1">IFERROR(__xludf.DUMMYFUNCTION("GOOGLETRANSLATE(D:D,""auto"",""en"")"),"#VALUE!")</f>
        <v>#VALUE!</v>
      </c>
    </row>
    <row r="14646" spans="3:3" ht="13.5" customHeight="1">
      <c r="C14646" s="4" t="str">
        <f ca="1">IFERROR(__xludf.DUMMYFUNCTION("GOOGLETRANSLATE(D:D,""auto"",""en"")"),"#VALUE!")</f>
        <v>#VALUE!</v>
      </c>
    </row>
    <row r="14647" spans="3:3" ht="13.5" customHeight="1">
      <c r="C14647" s="4" t="str">
        <f ca="1">IFERROR(__xludf.DUMMYFUNCTION("GOOGLETRANSLATE(D:D,""auto"",""en"")"),"#VALUE!")</f>
        <v>#VALUE!</v>
      </c>
    </row>
    <row r="14648" spans="3:3" ht="13.5" customHeight="1">
      <c r="C14648" s="4" t="str">
        <f ca="1">IFERROR(__xludf.DUMMYFUNCTION("GOOGLETRANSLATE(D:D,""auto"",""en"")"),"#VALUE!")</f>
        <v>#VALUE!</v>
      </c>
    </row>
    <row r="14649" spans="3:3" ht="13.5" customHeight="1">
      <c r="C14649" s="4" t="str">
        <f ca="1">IFERROR(__xludf.DUMMYFUNCTION("GOOGLETRANSLATE(D:D,""auto"",""en"")"),"#VALUE!")</f>
        <v>#VALUE!</v>
      </c>
    </row>
    <row r="14650" spans="3:3" ht="13.5" customHeight="1">
      <c r="C14650" s="4" t="str">
        <f ca="1">IFERROR(__xludf.DUMMYFUNCTION("GOOGLETRANSLATE(D:D,""auto"",""en"")"),"#VALUE!")</f>
        <v>#VALUE!</v>
      </c>
    </row>
    <row r="14651" spans="3:3" ht="13.5" customHeight="1">
      <c r="C14651" s="4" t="str">
        <f ca="1">IFERROR(__xludf.DUMMYFUNCTION("GOOGLETRANSLATE(D:D,""auto"",""en"")"),"#VALUE!")</f>
        <v>#VALUE!</v>
      </c>
    </row>
    <row r="14652" spans="3:3" ht="13.5" customHeight="1">
      <c r="C14652" s="4" t="str">
        <f ca="1">IFERROR(__xludf.DUMMYFUNCTION("GOOGLETRANSLATE(D:D,""auto"",""en"")"),"#VALUE!")</f>
        <v>#VALUE!</v>
      </c>
    </row>
    <row r="14653" spans="3:3" ht="13.5" customHeight="1">
      <c r="C14653" s="4" t="str">
        <f ca="1">IFERROR(__xludf.DUMMYFUNCTION("GOOGLETRANSLATE(D:D,""auto"",""en"")"),"#VALUE!")</f>
        <v>#VALUE!</v>
      </c>
    </row>
    <row r="14654" spans="3:3" ht="13.5" customHeight="1">
      <c r="C14654" s="4" t="str">
        <f ca="1">IFERROR(__xludf.DUMMYFUNCTION("GOOGLETRANSLATE(D:D,""auto"",""en"")"),"#VALUE!")</f>
        <v>#VALUE!</v>
      </c>
    </row>
    <row r="14655" spans="3:3" ht="13.5" customHeight="1">
      <c r="C14655" s="4" t="str">
        <f ca="1">IFERROR(__xludf.DUMMYFUNCTION("GOOGLETRANSLATE(D:D,""auto"",""en"")"),"#VALUE!")</f>
        <v>#VALUE!</v>
      </c>
    </row>
    <row r="14656" spans="3:3" ht="13.5" customHeight="1">
      <c r="C14656" s="4" t="str">
        <f ca="1">IFERROR(__xludf.DUMMYFUNCTION("GOOGLETRANSLATE(D:D,""auto"",""en"")"),"#VALUE!")</f>
        <v>#VALUE!</v>
      </c>
    </row>
    <row r="14657" spans="3:3" ht="13.5" customHeight="1">
      <c r="C14657" s="4" t="str">
        <f ca="1">IFERROR(__xludf.DUMMYFUNCTION("GOOGLETRANSLATE(D:D,""auto"",""en"")"),"#VALUE!")</f>
        <v>#VALUE!</v>
      </c>
    </row>
    <row r="14658" spans="3:3" ht="13.5" customHeight="1">
      <c r="C14658" s="4" t="str">
        <f ca="1">IFERROR(__xludf.DUMMYFUNCTION("GOOGLETRANSLATE(D:D,""auto"",""en"")"),"#VALUE!")</f>
        <v>#VALUE!</v>
      </c>
    </row>
    <row r="14659" spans="3:3" ht="13.5" customHeight="1">
      <c r="C14659" s="4" t="str">
        <f ca="1">IFERROR(__xludf.DUMMYFUNCTION("GOOGLETRANSLATE(D:D,""auto"",""en"")"),"#VALUE!")</f>
        <v>#VALUE!</v>
      </c>
    </row>
    <row r="14660" spans="3:3" ht="13.5" customHeight="1">
      <c r="C14660" s="4" t="str">
        <f ca="1">IFERROR(__xludf.DUMMYFUNCTION("GOOGLETRANSLATE(D:D,""auto"",""en"")"),"#VALUE!")</f>
        <v>#VALUE!</v>
      </c>
    </row>
    <row r="14661" spans="3:3" ht="13.5" customHeight="1">
      <c r="C14661" s="4" t="str">
        <f ca="1">IFERROR(__xludf.DUMMYFUNCTION("GOOGLETRANSLATE(D:D,""auto"",""en"")"),"#VALUE!")</f>
        <v>#VALUE!</v>
      </c>
    </row>
    <row r="14662" spans="3:3" ht="13.5" customHeight="1">
      <c r="C14662" s="4" t="str">
        <f ca="1">IFERROR(__xludf.DUMMYFUNCTION("GOOGLETRANSLATE(D:D,""auto"",""en"")"),"#VALUE!")</f>
        <v>#VALUE!</v>
      </c>
    </row>
    <row r="14663" spans="3:3" ht="13.5" customHeight="1">
      <c r="C14663" s="4" t="str">
        <f ca="1">IFERROR(__xludf.DUMMYFUNCTION("GOOGLETRANSLATE(D:D,""auto"",""en"")"),"#VALUE!")</f>
        <v>#VALUE!</v>
      </c>
    </row>
    <row r="14664" spans="3:3" ht="13.5" customHeight="1">
      <c r="C14664" s="4" t="str">
        <f ca="1">IFERROR(__xludf.DUMMYFUNCTION("GOOGLETRANSLATE(D:D,""auto"",""en"")"),"#VALUE!")</f>
        <v>#VALUE!</v>
      </c>
    </row>
    <row r="14665" spans="3:3" ht="13.5" customHeight="1">
      <c r="C14665" s="4" t="str">
        <f ca="1">IFERROR(__xludf.DUMMYFUNCTION("GOOGLETRANSLATE(D:D,""auto"",""en"")"),"#VALUE!")</f>
        <v>#VALUE!</v>
      </c>
    </row>
    <row r="14666" spans="3:3" ht="13.5" customHeight="1">
      <c r="C14666" s="4" t="str">
        <f ca="1">IFERROR(__xludf.DUMMYFUNCTION("GOOGLETRANSLATE(D:D,""auto"",""en"")"),"#VALUE!")</f>
        <v>#VALUE!</v>
      </c>
    </row>
    <row r="14667" spans="3:3" ht="13.5" customHeight="1">
      <c r="C14667" s="4" t="str">
        <f ca="1">IFERROR(__xludf.DUMMYFUNCTION("GOOGLETRANSLATE(D:D,""auto"",""en"")"),"#VALUE!")</f>
        <v>#VALUE!</v>
      </c>
    </row>
    <row r="14668" spans="3:3" ht="13.5" customHeight="1">
      <c r="C14668" s="4" t="str">
        <f ca="1">IFERROR(__xludf.DUMMYFUNCTION("GOOGLETRANSLATE(D:D,""auto"",""en"")"),"#VALUE!")</f>
        <v>#VALUE!</v>
      </c>
    </row>
    <row r="14669" spans="3:3" ht="13.5" customHeight="1">
      <c r="C14669" s="4" t="str">
        <f ca="1">IFERROR(__xludf.DUMMYFUNCTION("GOOGLETRANSLATE(D:D,""auto"",""en"")"),"#VALUE!")</f>
        <v>#VALUE!</v>
      </c>
    </row>
    <row r="14670" spans="3:3" ht="13.5" customHeight="1">
      <c r="C14670" s="4" t="str">
        <f ca="1">IFERROR(__xludf.DUMMYFUNCTION("GOOGLETRANSLATE(D:D,""auto"",""en"")"),"#VALUE!")</f>
        <v>#VALUE!</v>
      </c>
    </row>
    <row r="14671" spans="3:3" ht="13.5" customHeight="1">
      <c r="C14671" s="4" t="str">
        <f ca="1">IFERROR(__xludf.DUMMYFUNCTION("GOOGLETRANSLATE(D:D,""auto"",""en"")"),"#VALUE!")</f>
        <v>#VALUE!</v>
      </c>
    </row>
    <row r="14672" spans="3:3" ht="13.5" customHeight="1">
      <c r="C14672" s="4" t="str">
        <f ca="1">IFERROR(__xludf.DUMMYFUNCTION("GOOGLETRANSLATE(D:D,""auto"",""en"")"),"#VALUE!")</f>
        <v>#VALUE!</v>
      </c>
    </row>
    <row r="14673" spans="3:3" ht="13.5" customHeight="1">
      <c r="C14673" s="4" t="str">
        <f ca="1">IFERROR(__xludf.DUMMYFUNCTION("GOOGLETRANSLATE(D:D,""auto"",""en"")"),"#VALUE!")</f>
        <v>#VALUE!</v>
      </c>
    </row>
    <row r="14674" spans="3:3" ht="13.5" customHeight="1">
      <c r="C14674" s="4" t="str">
        <f ca="1">IFERROR(__xludf.DUMMYFUNCTION("GOOGLETRANSLATE(D:D,""auto"",""en"")"),"#VALUE!")</f>
        <v>#VALUE!</v>
      </c>
    </row>
    <row r="14675" spans="3:3" ht="13.5" customHeight="1">
      <c r="C14675" s="4" t="str">
        <f ca="1">IFERROR(__xludf.DUMMYFUNCTION("GOOGLETRANSLATE(D:D,""auto"",""en"")"),"#VALUE!")</f>
        <v>#VALUE!</v>
      </c>
    </row>
    <row r="14676" spans="3:3" ht="13.5" customHeight="1">
      <c r="C14676" s="4" t="str">
        <f ca="1">IFERROR(__xludf.DUMMYFUNCTION("GOOGLETRANSLATE(D:D,""auto"",""en"")"),"#VALUE!")</f>
        <v>#VALUE!</v>
      </c>
    </row>
    <row r="14677" spans="3:3" ht="13.5" customHeight="1">
      <c r="C14677" s="4" t="str">
        <f ca="1">IFERROR(__xludf.DUMMYFUNCTION("GOOGLETRANSLATE(D:D,""auto"",""en"")"),"#VALUE!")</f>
        <v>#VALUE!</v>
      </c>
    </row>
    <row r="14678" spans="3:3" ht="13.5" customHeight="1">
      <c r="C14678" s="4" t="str">
        <f ca="1">IFERROR(__xludf.DUMMYFUNCTION("GOOGLETRANSLATE(D:D,""auto"",""en"")"),"#VALUE!")</f>
        <v>#VALUE!</v>
      </c>
    </row>
    <row r="14679" spans="3:3" ht="13.5" customHeight="1">
      <c r="C14679" s="4" t="str">
        <f ca="1">IFERROR(__xludf.DUMMYFUNCTION("GOOGLETRANSLATE(D:D,""auto"",""en"")"),"#VALUE!")</f>
        <v>#VALUE!</v>
      </c>
    </row>
    <row r="14680" spans="3:3" ht="13.5" customHeight="1">
      <c r="C14680" s="4" t="str">
        <f ca="1">IFERROR(__xludf.DUMMYFUNCTION("GOOGLETRANSLATE(D:D,""auto"",""en"")"),"#VALUE!")</f>
        <v>#VALUE!</v>
      </c>
    </row>
    <row r="14681" spans="3:3" ht="13.5" customHeight="1">
      <c r="C14681" s="4" t="str">
        <f ca="1">IFERROR(__xludf.DUMMYFUNCTION("GOOGLETRANSLATE(D:D,""auto"",""en"")"),"#VALUE!")</f>
        <v>#VALUE!</v>
      </c>
    </row>
    <row r="14682" spans="3:3" ht="13.5" customHeight="1">
      <c r="C14682" s="4" t="str">
        <f ca="1">IFERROR(__xludf.DUMMYFUNCTION("GOOGLETRANSLATE(D:D,""auto"",""en"")"),"#VALUE!")</f>
        <v>#VALUE!</v>
      </c>
    </row>
    <row r="14683" spans="3:3" ht="13.5" customHeight="1">
      <c r="C14683" s="4" t="str">
        <f ca="1">IFERROR(__xludf.DUMMYFUNCTION("GOOGLETRANSLATE(D:D,""auto"",""en"")"),"#VALUE!")</f>
        <v>#VALUE!</v>
      </c>
    </row>
    <row r="14684" spans="3:3" ht="13.5" customHeight="1">
      <c r="C14684" s="4" t="str">
        <f ca="1">IFERROR(__xludf.DUMMYFUNCTION("GOOGLETRANSLATE(D:D,""auto"",""en"")"),"#VALUE!")</f>
        <v>#VALUE!</v>
      </c>
    </row>
    <row r="14685" spans="3:3" ht="13.5" customHeight="1">
      <c r="C14685" s="4" t="str">
        <f ca="1">IFERROR(__xludf.DUMMYFUNCTION("GOOGLETRANSLATE(D:D,""auto"",""en"")"),"#VALUE!")</f>
        <v>#VALUE!</v>
      </c>
    </row>
    <row r="14686" spans="3:3" ht="13.5" customHeight="1">
      <c r="C14686" s="4" t="str">
        <f ca="1">IFERROR(__xludf.DUMMYFUNCTION("GOOGLETRANSLATE(D:D,""auto"",""en"")"),"#VALUE!")</f>
        <v>#VALUE!</v>
      </c>
    </row>
    <row r="14687" spans="3:3" ht="13.5" customHeight="1">
      <c r="C14687" s="4" t="str">
        <f ca="1">IFERROR(__xludf.DUMMYFUNCTION("GOOGLETRANSLATE(D:D,""auto"",""en"")"),"#VALUE!")</f>
        <v>#VALUE!</v>
      </c>
    </row>
    <row r="14688" spans="3:3" ht="13.5" customHeight="1">
      <c r="C14688" s="4" t="str">
        <f ca="1">IFERROR(__xludf.DUMMYFUNCTION("GOOGLETRANSLATE(D:D,""auto"",""en"")"),"#VALUE!")</f>
        <v>#VALUE!</v>
      </c>
    </row>
    <row r="14689" spans="3:3" ht="13.5" customHeight="1">
      <c r="C14689" s="4" t="str">
        <f ca="1">IFERROR(__xludf.DUMMYFUNCTION("GOOGLETRANSLATE(D:D,""auto"",""en"")"),"#VALUE!")</f>
        <v>#VALUE!</v>
      </c>
    </row>
    <row r="14690" spans="3:3" ht="13.5" customHeight="1">
      <c r="C14690" s="4" t="str">
        <f ca="1">IFERROR(__xludf.DUMMYFUNCTION("GOOGLETRANSLATE(D:D,""auto"",""en"")"),"#VALUE!")</f>
        <v>#VALUE!</v>
      </c>
    </row>
    <row r="14691" spans="3:3" ht="13.5" customHeight="1">
      <c r="C14691" s="4" t="str">
        <f ca="1">IFERROR(__xludf.DUMMYFUNCTION("GOOGLETRANSLATE(D:D,""auto"",""en"")"),"#VALUE!")</f>
        <v>#VALUE!</v>
      </c>
    </row>
    <row r="14692" spans="3:3" ht="13.5" customHeight="1">
      <c r="C14692" s="4" t="str">
        <f ca="1">IFERROR(__xludf.DUMMYFUNCTION("GOOGLETRANSLATE(D:D,""auto"",""en"")"),"#VALUE!")</f>
        <v>#VALUE!</v>
      </c>
    </row>
    <row r="14693" spans="3:3" ht="13.5" customHeight="1">
      <c r="C14693" s="4" t="str">
        <f ca="1">IFERROR(__xludf.DUMMYFUNCTION("GOOGLETRANSLATE(D:D,""auto"",""en"")"),"#VALUE!")</f>
        <v>#VALUE!</v>
      </c>
    </row>
    <row r="14694" spans="3:3" ht="13.5" customHeight="1">
      <c r="C14694" s="4" t="str">
        <f ca="1">IFERROR(__xludf.DUMMYFUNCTION("GOOGLETRANSLATE(D:D,""auto"",""en"")"),"#VALUE!")</f>
        <v>#VALUE!</v>
      </c>
    </row>
    <row r="14695" spans="3:3" ht="13.5" customHeight="1">
      <c r="C14695" s="4" t="str">
        <f ca="1">IFERROR(__xludf.DUMMYFUNCTION("GOOGLETRANSLATE(D:D,""auto"",""en"")"),"#VALUE!")</f>
        <v>#VALUE!</v>
      </c>
    </row>
    <row r="14696" spans="3:3" ht="13.5" customHeight="1">
      <c r="C14696" s="4" t="str">
        <f ca="1">IFERROR(__xludf.DUMMYFUNCTION("GOOGLETRANSLATE(D:D,""auto"",""en"")"),"#VALUE!")</f>
        <v>#VALUE!</v>
      </c>
    </row>
    <row r="14697" spans="3:3" ht="13.5" customHeight="1">
      <c r="C14697" s="4" t="str">
        <f ca="1">IFERROR(__xludf.DUMMYFUNCTION("GOOGLETRANSLATE(D:D,""auto"",""en"")"),"#VALUE!")</f>
        <v>#VALUE!</v>
      </c>
    </row>
    <row r="14698" spans="3:3" ht="13.5" customHeight="1">
      <c r="C14698" s="4" t="str">
        <f ca="1">IFERROR(__xludf.DUMMYFUNCTION("GOOGLETRANSLATE(D:D,""auto"",""en"")"),"#VALUE!")</f>
        <v>#VALUE!</v>
      </c>
    </row>
    <row r="14699" spans="3:3" ht="13.5" customHeight="1">
      <c r="C14699" s="4" t="str">
        <f ca="1">IFERROR(__xludf.DUMMYFUNCTION("GOOGLETRANSLATE(D:D,""auto"",""en"")"),"#VALUE!")</f>
        <v>#VALUE!</v>
      </c>
    </row>
    <row r="14700" spans="3:3" ht="13.5" customHeight="1">
      <c r="C14700" s="4" t="str">
        <f ca="1">IFERROR(__xludf.DUMMYFUNCTION("GOOGLETRANSLATE(D:D,""auto"",""en"")"),"#VALUE!")</f>
        <v>#VALUE!</v>
      </c>
    </row>
    <row r="14701" spans="3:3" ht="13.5" customHeight="1">
      <c r="C14701" s="4" t="str">
        <f ca="1">IFERROR(__xludf.DUMMYFUNCTION("GOOGLETRANSLATE(D:D,""auto"",""en"")"),"#VALUE!")</f>
        <v>#VALUE!</v>
      </c>
    </row>
    <row r="14702" spans="3:3" ht="13.5" customHeight="1">
      <c r="C14702" s="4" t="str">
        <f ca="1">IFERROR(__xludf.DUMMYFUNCTION("GOOGLETRANSLATE(D:D,""auto"",""en"")"),"#VALUE!")</f>
        <v>#VALUE!</v>
      </c>
    </row>
    <row r="14703" spans="3:3" ht="13.5" customHeight="1">
      <c r="C14703" s="4" t="str">
        <f ca="1">IFERROR(__xludf.DUMMYFUNCTION("GOOGLETRANSLATE(D:D,""auto"",""en"")"),"#VALUE!")</f>
        <v>#VALUE!</v>
      </c>
    </row>
    <row r="14704" spans="3:3" ht="13.5" customHeight="1">
      <c r="C14704" s="4" t="str">
        <f ca="1">IFERROR(__xludf.DUMMYFUNCTION("GOOGLETRANSLATE(D:D,""auto"",""en"")"),"#VALUE!")</f>
        <v>#VALUE!</v>
      </c>
    </row>
    <row r="14705" spans="3:3" ht="13.5" customHeight="1">
      <c r="C14705" s="4" t="str">
        <f ca="1">IFERROR(__xludf.DUMMYFUNCTION("GOOGLETRANSLATE(D:D,""auto"",""en"")"),"#VALUE!")</f>
        <v>#VALUE!</v>
      </c>
    </row>
    <row r="14706" spans="3:3" ht="13.5" customHeight="1">
      <c r="C14706" s="4" t="str">
        <f ca="1">IFERROR(__xludf.DUMMYFUNCTION("GOOGLETRANSLATE(D:D,""auto"",""en"")"),"#VALUE!")</f>
        <v>#VALUE!</v>
      </c>
    </row>
    <row r="14707" spans="3:3" ht="13.5" customHeight="1">
      <c r="C14707" s="4" t="str">
        <f ca="1">IFERROR(__xludf.DUMMYFUNCTION("GOOGLETRANSLATE(D:D,""auto"",""en"")"),"#VALUE!")</f>
        <v>#VALUE!</v>
      </c>
    </row>
    <row r="14708" spans="3:3" ht="13.5" customHeight="1">
      <c r="C14708" s="4" t="str">
        <f ca="1">IFERROR(__xludf.DUMMYFUNCTION("GOOGLETRANSLATE(D:D,""auto"",""en"")"),"#VALUE!")</f>
        <v>#VALUE!</v>
      </c>
    </row>
    <row r="14709" spans="3:3" ht="13.5" customHeight="1">
      <c r="C14709" s="4" t="str">
        <f ca="1">IFERROR(__xludf.DUMMYFUNCTION("GOOGLETRANSLATE(D:D,""auto"",""en"")"),"#VALUE!")</f>
        <v>#VALUE!</v>
      </c>
    </row>
    <row r="14710" spans="3:3" ht="13.5" customHeight="1">
      <c r="C14710" s="4" t="str">
        <f ca="1">IFERROR(__xludf.DUMMYFUNCTION("GOOGLETRANSLATE(D:D,""auto"",""en"")"),"#VALUE!")</f>
        <v>#VALUE!</v>
      </c>
    </row>
    <row r="14711" spans="3:3" ht="13.5" customHeight="1">
      <c r="C14711" s="4" t="str">
        <f ca="1">IFERROR(__xludf.DUMMYFUNCTION("GOOGLETRANSLATE(D:D,""auto"",""en"")"),"#VALUE!")</f>
        <v>#VALUE!</v>
      </c>
    </row>
    <row r="14712" spans="3:3" ht="13.5" customHeight="1">
      <c r="C14712" s="4" t="str">
        <f ca="1">IFERROR(__xludf.DUMMYFUNCTION("GOOGLETRANSLATE(D:D,""auto"",""en"")"),"#VALUE!")</f>
        <v>#VALUE!</v>
      </c>
    </row>
    <row r="14713" spans="3:3" ht="13.5" customHeight="1">
      <c r="C14713" s="4" t="str">
        <f ca="1">IFERROR(__xludf.DUMMYFUNCTION("GOOGLETRANSLATE(D:D,""auto"",""en"")"),"#VALUE!")</f>
        <v>#VALUE!</v>
      </c>
    </row>
    <row r="14714" spans="3:3" ht="13.5" customHeight="1">
      <c r="C14714" s="4" t="str">
        <f ca="1">IFERROR(__xludf.DUMMYFUNCTION("GOOGLETRANSLATE(D:D,""auto"",""en"")"),"#VALUE!")</f>
        <v>#VALUE!</v>
      </c>
    </row>
    <row r="14715" spans="3:3" ht="13.5" customHeight="1">
      <c r="C14715" s="4" t="str">
        <f ca="1">IFERROR(__xludf.DUMMYFUNCTION("GOOGLETRANSLATE(D:D,""auto"",""en"")"),"#VALUE!")</f>
        <v>#VALUE!</v>
      </c>
    </row>
    <row r="14716" spans="3:3" ht="13.5" customHeight="1">
      <c r="C14716" s="4" t="str">
        <f ca="1">IFERROR(__xludf.DUMMYFUNCTION("GOOGLETRANSLATE(D:D,""auto"",""en"")"),"#VALUE!")</f>
        <v>#VALUE!</v>
      </c>
    </row>
    <row r="14717" spans="3:3" ht="13.5" customHeight="1">
      <c r="C14717" s="4" t="str">
        <f ca="1">IFERROR(__xludf.DUMMYFUNCTION("GOOGLETRANSLATE(D:D,""auto"",""en"")"),"#VALUE!")</f>
        <v>#VALUE!</v>
      </c>
    </row>
    <row r="14718" spans="3:3" ht="13.5" customHeight="1">
      <c r="C14718" s="4" t="str">
        <f ca="1">IFERROR(__xludf.DUMMYFUNCTION("GOOGLETRANSLATE(D:D,""auto"",""en"")"),"#VALUE!")</f>
        <v>#VALUE!</v>
      </c>
    </row>
    <row r="14719" spans="3:3" ht="13.5" customHeight="1">
      <c r="C14719" s="4" t="str">
        <f ca="1">IFERROR(__xludf.DUMMYFUNCTION("GOOGLETRANSLATE(D:D,""auto"",""en"")"),"#VALUE!")</f>
        <v>#VALUE!</v>
      </c>
    </row>
    <row r="14720" spans="3:3" ht="13.5" customHeight="1">
      <c r="C14720" s="4" t="str">
        <f ca="1">IFERROR(__xludf.DUMMYFUNCTION("GOOGLETRANSLATE(D:D,""auto"",""en"")"),"#VALUE!")</f>
        <v>#VALUE!</v>
      </c>
    </row>
    <row r="14721" spans="3:3" ht="13.5" customHeight="1">
      <c r="C14721" s="4" t="str">
        <f ca="1">IFERROR(__xludf.DUMMYFUNCTION("GOOGLETRANSLATE(D:D,""auto"",""en"")"),"#VALUE!")</f>
        <v>#VALUE!</v>
      </c>
    </row>
    <row r="14722" spans="3:3" ht="13.5" customHeight="1">
      <c r="C14722" s="4" t="str">
        <f ca="1">IFERROR(__xludf.DUMMYFUNCTION("GOOGLETRANSLATE(D:D,""auto"",""en"")"),"#VALUE!")</f>
        <v>#VALUE!</v>
      </c>
    </row>
    <row r="14723" spans="3:3" ht="13.5" customHeight="1">
      <c r="C14723" s="4" t="str">
        <f ca="1">IFERROR(__xludf.DUMMYFUNCTION("GOOGLETRANSLATE(D:D,""auto"",""en"")"),"#VALUE!")</f>
        <v>#VALUE!</v>
      </c>
    </row>
    <row r="14724" spans="3:3" ht="13.5" customHeight="1">
      <c r="C14724" s="4" t="str">
        <f ca="1">IFERROR(__xludf.DUMMYFUNCTION("GOOGLETRANSLATE(D:D,""auto"",""en"")"),"#VALUE!")</f>
        <v>#VALUE!</v>
      </c>
    </row>
    <row r="14725" spans="3:3" ht="13.5" customHeight="1">
      <c r="C14725" s="4" t="str">
        <f ca="1">IFERROR(__xludf.DUMMYFUNCTION("GOOGLETRANSLATE(D:D,""auto"",""en"")"),"#VALUE!")</f>
        <v>#VALUE!</v>
      </c>
    </row>
    <row r="14726" spans="3:3" ht="13.5" customHeight="1">
      <c r="C14726" s="4" t="str">
        <f ca="1">IFERROR(__xludf.DUMMYFUNCTION("GOOGLETRANSLATE(D:D,""auto"",""en"")"),"#VALUE!")</f>
        <v>#VALUE!</v>
      </c>
    </row>
    <row r="14727" spans="3:3" ht="13.5" customHeight="1">
      <c r="C14727" s="4" t="str">
        <f ca="1">IFERROR(__xludf.DUMMYFUNCTION("GOOGLETRANSLATE(D:D,""auto"",""en"")"),"#VALUE!")</f>
        <v>#VALUE!</v>
      </c>
    </row>
    <row r="14728" spans="3:3" ht="13.5" customHeight="1">
      <c r="C14728" s="4" t="str">
        <f ca="1">IFERROR(__xludf.DUMMYFUNCTION("GOOGLETRANSLATE(D:D,""auto"",""en"")"),"#VALUE!")</f>
        <v>#VALUE!</v>
      </c>
    </row>
    <row r="14729" spans="3:3" ht="13.5" customHeight="1">
      <c r="C14729" s="4" t="str">
        <f ca="1">IFERROR(__xludf.DUMMYFUNCTION("GOOGLETRANSLATE(D:D,""auto"",""en"")"),"#VALUE!")</f>
        <v>#VALUE!</v>
      </c>
    </row>
    <row r="14730" spans="3:3" ht="13.5" customHeight="1">
      <c r="C14730" s="4" t="str">
        <f ca="1">IFERROR(__xludf.DUMMYFUNCTION("GOOGLETRANSLATE(D:D,""auto"",""en"")"),"#VALUE!")</f>
        <v>#VALUE!</v>
      </c>
    </row>
    <row r="14731" spans="3:3" ht="13.5" customHeight="1">
      <c r="C14731" s="4" t="str">
        <f ca="1">IFERROR(__xludf.DUMMYFUNCTION("GOOGLETRANSLATE(D:D,""auto"",""en"")"),"#VALUE!")</f>
        <v>#VALUE!</v>
      </c>
    </row>
    <row r="14732" spans="3:3" ht="13.5" customHeight="1">
      <c r="C14732" s="4" t="str">
        <f ca="1">IFERROR(__xludf.DUMMYFUNCTION("GOOGLETRANSLATE(D:D,""auto"",""en"")"),"#VALUE!")</f>
        <v>#VALUE!</v>
      </c>
    </row>
    <row r="14733" spans="3:3" ht="13.5" customHeight="1">
      <c r="C14733" s="4" t="str">
        <f ca="1">IFERROR(__xludf.DUMMYFUNCTION("GOOGLETRANSLATE(D:D,""auto"",""en"")"),"#VALUE!")</f>
        <v>#VALUE!</v>
      </c>
    </row>
    <row r="14734" spans="3:3" ht="13.5" customHeight="1">
      <c r="C14734" s="4" t="str">
        <f ca="1">IFERROR(__xludf.DUMMYFUNCTION("GOOGLETRANSLATE(D:D,""auto"",""en"")"),"#VALUE!")</f>
        <v>#VALUE!</v>
      </c>
    </row>
    <row r="14735" spans="3:3" ht="13.5" customHeight="1">
      <c r="C14735" s="4" t="str">
        <f ca="1">IFERROR(__xludf.DUMMYFUNCTION("GOOGLETRANSLATE(D:D,""auto"",""en"")"),"#VALUE!")</f>
        <v>#VALUE!</v>
      </c>
    </row>
    <row r="14736" spans="3:3" ht="13.5" customHeight="1">
      <c r="C14736" s="4" t="str">
        <f ca="1">IFERROR(__xludf.DUMMYFUNCTION("GOOGLETRANSLATE(D:D,""auto"",""en"")"),"#VALUE!")</f>
        <v>#VALUE!</v>
      </c>
    </row>
    <row r="14737" spans="3:3" ht="13.5" customHeight="1">
      <c r="C14737" s="4" t="str">
        <f ca="1">IFERROR(__xludf.DUMMYFUNCTION("GOOGLETRANSLATE(D:D,""auto"",""en"")"),"#VALUE!")</f>
        <v>#VALUE!</v>
      </c>
    </row>
    <row r="14738" spans="3:3" ht="13.5" customHeight="1">
      <c r="C14738" s="4" t="str">
        <f ca="1">IFERROR(__xludf.DUMMYFUNCTION("GOOGLETRANSLATE(D:D,""auto"",""en"")"),"#VALUE!")</f>
        <v>#VALUE!</v>
      </c>
    </row>
    <row r="14739" spans="3:3" ht="13.5" customHeight="1">
      <c r="C14739" s="4" t="str">
        <f ca="1">IFERROR(__xludf.DUMMYFUNCTION("GOOGLETRANSLATE(D:D,""auto"",""en"")"),"#VALUE!")</f>
        <v>#VALUE!</v>
      </c>
    </row>
    <row r="14740" spans="3:3" ht="13.5" customHeight="1">
      <c r="C14740" s="4" t="str">
        <f ca="1">IFERROR(__xludf.DUMMYFUNCTION("GOOGLETRANSLATE(D:D,""auto"",""en"")"),"#VALUE!")</f>
        <v>#VALUE!</v>
      </c>
    </row>
    <row r="14741" spans="3:3" ht="13.5" customHeight="1">
      <c r="C14741" s="4" t="str">
        <f ca="1">IFERROR(__xludf.DUMMYFUNCTION("GOOGLETRANSLATE(D:D,""auto"",""en"")"),"#VALUE!")</f>
        <v>#VALUE!</v>
      </c>
    </row>
    <row r="14742" spans="3:3" ht="13.5" customHeight="1">
      <c r="C14742" s="4" t="str">
        <f ca="1">IFERROR(__xludf.DUMMYFUNCTION("GOOGLETRANSLATE(D:D,""auto"",""en"")"),"#VALUE!")</f>
        <v>#VALUE!</v>
      </c>
    </row>
    <row r="14743" spans="3:3" ht="13.5" customHeight="1">
      <c r="C14743" s="4" t="str">
        <f ca="1">IFERROR(__xludf.DUMMYFUNCTION("GOOGLETRANSLATE(D:D,""auto"",""en"")"),"#VALUE!")</f>
        <v>#VALUE!</v>
      </c>
    </row>
    <row r="14744" spans="3:3" ht="13.5" customHeight="1">
      <c r="C14744" s="4" t="str">
        <f ca="1">IFERROR(__xludf.DUMMYFUNCTION("GOOGLETRANSLATE(D:D,""auto"",""en"")"),"#VALUE!")</f>
        <v>#VALUE!</v>
      </c>
    </row>
    <row r="14745" spans="3:3" ht="13.5" customHeight="1">
      <c r="C14745" s="4" t="str">
        <f ca="1">IFERROR(__xludf.DUMMYFUNCTION("GOOGLETRANSLATE(D:D,""auto"",""en"")"),"#VALUE!")</f>
        <v>#VALUE!</v>
      </c>
    </row>
    <row r="14746" spans="3:3" ht="13.5" customHeight="1">
      <c r="C14746" s="4" t="str">
        <f ca="1">IFERROR(__xludf.DUMMYFUNCTION("GOOGLETRANSLATE(D:D,""auto"",""en"")"),"#VALUE!")</f>
        <v>#VALUE!</v>
      </c>
    </row>
    <row r="14747" spans="3:3" ht="13.5" customHeight="1">
      <c r="C14747" s="4" t="str">
        <f ca="1">IFERROR(__xludf.DUMMYFUNCTION("GOOGLETRANSLATE(D:D,""auto"",""en"")"),"#VALUE!")</f>
        <v>#VALUE!</v>
      </c>
    </row>
    <row r="14748" spans="3:3" ht="13.5" customHeight="1">
      <c r="C14748" s="4" t="str">
        <f ca="1">IFERROR(__xludf.DUMMYFUNCTION("GOOGLETRANSLATE(D:D,""auto"",""en"")"),"#VALUE!")</f>
        <v>#VALUE!</v>
      </c>
    </row>
    <row r="14749" spans="3:3" ht="13.5" customHeight="1">
      <c r="C14749" s="4" t="str">
        <f ca="1">IFERROR(__xludf.DUMMYFUNCTION("GOOGLETRANSLATE(D:D,""auto"",""en"")"),"#VALUE!")</f>
        <v>#VALUE!</v>
      </c>
    </row>
    <row r="14750" spans="3:3" ht="13.5" customHeight="1">
      <c r="C14750" s="4" t="str">
        <f ca="1">IFERROR(__xludf.DUMMYFUNCTION("GOOGLETRANSLATE(D:D,""auto"",""en"")"),"#VALUE!")</f>
        <v>#VALUE!</v>
      </c>
    </row>
    <row r="14751" spans="3:3" ht="13.5" customHeight="1">
      <c r="C14751" s="4" t="str">
        <f ca="1">IFERROR(__xludf.DUMMYFUNCTION("GOOGLETRANSLATE(D:D,""auto"",""en"")"),"#VALUE!")</f>
        <v>#VALUE!</v>
      </c>
    </row>
    <row r="14752" spans="3:3" ht="13.5" customHeight="1">
      <c r="C14752" s="4" t="str">
        <f ca="1">IFERROR(__xludf.DUMMYFUNCTION("GOOGLETRANSLATE(D:D,""auto"",""en"")"),"#VALUE!")</f>
        <v>#VALUE!</v>
      </c>
    </row>
    <row r="14753" spans="3:3" ht="13.5" customHeight="1">
      <c r="C14753" s="4" t="str">
        <f ca="1">IFERROR(__xludf.DUMMYFUNCTION("GOOGLETRANSLATE(D:D,""auto"",""en"")"),"#VALUE!")</f>
        <v>#VALUE!</v>
      </c>
    </row>
    <row r="14754" spans="3:3" ht="13.5" customHeight="1">
      <c r="C14754" s="4" t="str">
        <f ca="1">IFERROR(__xludf.DUMMYFUNCTION("GOOGLETRANSLATE(D:D,""auto"",""en"")"),"#VALUE!")</f>
        <v>#VALUE!</v>
      </c>
    </row>
    <row r="14755" spans="3:3" ht="13.5" customHeight="1">
      <c r="C14755" s="4" t="str">
        <f ca="1">IFERROR(__xludf.DUMMYFUNCTION("GOOGLETRANSLATE(D:D,""auto"",""en"")"),"#VALUE!")</f>
        <v>#VALUE!</v>
      </c>
    </row>
    <row r="14756" spans="3:3" ht="13.5" customHeight="1">
      <c r="C14756" s="4" t="str">
        <f ca="1">IFERROR(__xludf.DUMMYFUNCTION("GOOGLETRANSLATE(D:D,""auto"",""en"")"),"#VALUE!")</f>
        <v>#VALUE!</v>
      </c>
    </row>
    <row r="14757" spans="3:3" ht="13.5" customHeight="1">
      <c r="C14757" s="4" t="str">
        <f ca="1">IFERROR(__xludf.DUMMYFUNCTION("GOOGLETRANSLATE(D:D,""auto"",""en"")"),"#VALUE!")</f>
        <v>#VALUE!</v>
      </c>
    </row>
    <row r="14758" spans="3:3" ht="13.5" customHeight="1">
      <c r="C14758" s="4" t="str">
        <f ca="1">IFERROR(__xludf.DUMMYFUNCTION("GOOGLETRANSLATE(D:D,""auto"",""en"")"),"#VALUE!")</f>
        <v>#VALUE!</v>
      </c>
    </row>
    <row r="14759" spans="3:3" ht="13.5" customHeight="1">
      <c r="C14759" s="4" t="str">
        <f ca="1">IFERROR(__xludf.DUMMYFUNCTION("GOOGLETRANSLATE(D:D,""auto"",""en"")"),"#VALUE!")</f>
        <v>#VALUE!</v>
      </c>
    </row>
    <row r="14760" spans="3:3" ht="13.5" customHeight="1">
      <c r="C14760" s="4" t="str">
        <f ca="1">IFERROR(__xludf.DUMMYFUNCTION("GOOGLETRANSLATE(D:D,""auto"",""en"")"),"#VALUE!")</f>
        <v>#VALUE!</v>
      </c>
    </row>
    <row r="14761" spans="3:3" ht="13.5" customHeight="1">
      <c r="C14761" s="4" t="str">
        <f ca="1">IFERROR(__xludf.DUMMYFUNCTION("GOOGLETRANSLATE(D:D,""auto"",""en"")"),"#VALUE!")</f>
        <v>#VALUE!</v>
      </c>
    </row>
    <row r="14762" spans="3:3" ht="13.5" customHeight="1">
      <c r="C14762" s="4" t="str">
        <f ca="1">IFERROR(__xludf.DUMMYFUNCTION("GOOGLETRANSLATE(D:D,""auto"",""en"")"),"#VALUE!")</f>
        <v>#VALUE!</v>
      </c>
    </row>
    <row r="14763" spans="3:3" ht="13.5" customHeight="1">
      <c r="C14763" s="4" t="str">
        <f ca="1">IFERROR(__xludf.DUMMYFUNCTION("GOOGLETRANSLATE(D:D,""auto"",""en"")"),"#VALUE!")</f>
        <v>#VALUE!</v>
      </c>
    </row>
    <row r="14764" spans="3:3" ht="13.5" customHeight="1">
      <c r="C14764" s="4" t="str">
        <f ca="1">IFERROR(__xludf.DUMMYFUNCTION("GOOGLETRANSLATE(D:D,""auto"",""en"")"),"#VALUE!")</f>
        <v>#VALUE!</v>
      </c>
    </row>
    <row r="14765" spans="3:3" ht="13.5" customHeight="1">
      <c r="C14765" s="4" t="str">
        <f ca="1">IFERROR(__xludf.DUMMYFUNCTION("GOOGLETRANSLATE(D:D,""auto"",""en"")"),"#VALUE!")</f>
        <v>#VALUE!</v>
      </c>
    </row>
    <row r="14766" spans="3:3" ht="13.5" customHeight="1">
      <c r="C14766" s="4" t="str">
        <f ca="1">IFERROR(__xludf.DUMMYFUNCTION("GOOGLETRANSLATE(D:D,""auto"",""en"")"),"#VALUE!")</f>
        <v>#VALUE!</v>
      </c>
    </row>
    <row r="14767" spans="3:3" ht="13.5" customHeight="1">
      <c r="C14767" s="4" t="str">
        <f ca="1">IFERROR(__xludf.DUMMYFUNCTION("GOOGLETRANSLATE(D:D,""auto"",""en"")"),"#VALUE!")</f>
        <v>#VALUE!</v>
      </c>
    </row>
    <row r="14768" spans="3:3" ht="13.5" customHeight="1">
      <c r="C14768" s="4" t="str">
        <f ca="1">IFERROR(__xludf.DUMMYFUNCTION("GOOGLETRANSLATE(D:D,""auto"",""en"")"),"#VALUE!")</f>
        <v>#VALUE!</v>
      </c>
    </row>
    <row r="14769" spans="3:3" ht="13.5" customHeight="1">
      <c r="C14769" s="4" t="str">
        <f ca="1">IFERROR(__xludf.DUMMYFUNCTION("GOOGLETRANSLATE(D:D,""auto"",""en"")"),"#VALUE!")</f>
        <v>#VALUE!</v>
      </c>
    </row>
    <row r="14770" spans="3:3" ht="13.5" customHeight="1">
      <c r="C14770" s="4" t="str">
        <f ca="1">IFERROR(__xludf.DUMMYFUNCTION("GOOGLETRANSLATE(D:D,""auto"",""en"")"),"#VALUE!")</f>
        <v>#VALUE!</v>
      </c>
    </row>
    <row r="14771" spans="3:3" ht="13.5" customHeight="1">
      <c r="C14771" s="4" t="str">
        <f ca="1">IFERROR(__xludf.DUMMYFUNCTION("GOOGLETRANSLATE(D:D,""auto"",""en"")"),"#VALUE!")</f>
        <v>#VALUE!</v>
      </c>
    </row>
    <row r="14772" spans="3:3" ht="13.5" customHeight="1">
      <c r="C14772" s="4" t="str">
        <f ca="1">IFERROR(__xludf.DUMMYFUNCTION("GOOGLETRANSLATE(D:D,""auto"",""en"")"),"#VALUE!")</f>
        <v>#VALUE!</v>
      </c>
    </row>
    <row r="14773" spans="3:3" ht="13.5" customHeight="1">
      <c r="C14773" s="4" t="str">
        <f ca="1">IFERROR(__xludf.DUMMYFUNCTION("GOOGLETRANSLATE(D:D,""auto"",""en"")"),"#VALUE!")</f>
        <v>#VALUE!</v>
      </c>
    </row>
    <row r="14774" spans="3:3" ht="13.5" customHeight="1">
      <c r="C14774" s="4" t="str">
        <f ca="1">IFERROR(__xludf.DUMMYFUNCTION("GOOGLETRANSLATE(D:D,""auto"",""en"")"),"#VALUE!")</f>
        <v>#VALUE!</v>
      </c>
    </row>
    <row r="14775" spans="3:3" ht="13.5" customHeight="1">
      <c r="C14775" s="4" t="str">
        <f ca="1">IFERROR(__xludf.DUMMYFUNCTION("GOOGLETRANSLATE(D:D,""auto"",""en"")"),"#VALUE!")</f>
        <v>#VALUE!</v>
      </c>
    </row>
    <row r="14776" spans="3:3" ht="13.5" customHeight="1">
      <c r="C14776" s="4" t="str">
        <f ca="1">IFERROR(__xludf.DUMMYFUNCTION("GOOGLETRANSLATE(D:D,""auto"",""en"")"),"#VALUE!")</f>
        <v>#VALUE!</v>
      </c>
    </row>
    <row r="14777" spans="3:3" ht="13.5" customHeight="1">
      <c r="C14777" s="4" t="str">
        <f ca="1">IFERROR(__xludf.DUMMYFUNCTION("GOOGLETRANSLATE(D:D,""auto"",""en"")"),"#VALUE!")</f>
        <v>#VALUE!</v>
      </c>
    </row>
    <row r="14778" spans="3:3" ht="13.5" customHeight="1">
      <c r="C14778" s="4" t="str">
        <f ca="1">IFERROR(__xludf.DUMMYFUNCTION("GOOGLETRANSLATE(D:D,""auto"",""en"")"),"#VALUE!")</f>
        <v>#VALUE!</v>
      </c>
    </row>
    <row r="14779" spans="3:3" ht="13.5" customHeight="1">
      <c r="C14779" s="4" t="str">
        <f ca="1">IFERROR(__xludf.DUMMYFUNCTION("GOOGLETRANSLATE(D:D,""auto"",""en"")"),"#VALUE!")</f>
        <v>#VALUE!</v>
      </c>
    </row>
    <row r="14780" spans="3:3" ht="13.5" customHeight="1">
      <c r="C14780" s="4" t="str">
        <f ca="1">IFERROR(__xludf.DUMMYFUNCTION("GOOGLETRANSLATE(D:D,""auto"",""en"")"),"#VALUE!")</f>
        <v>#VALUE!</v>
      </c>
    </row>
    <row r="14781" spans="3:3" ht="13.5" customHeight="1">
      <c r="C14781" s="4" t="str">
        <f ca="1">IFERROR(__xludf.DUMMYFUNCTION("GOOGLETRANSLATE(D:D,""auto"",""en"")"),"#VALUE!")</f>
        <v>#VALUE!</v>
      </c>
    </row>
    <row r="14782" spans="3:3" ht="13.5" customHeight="1">
      <c r="C14782" s="4" t="str">
        <f ca="1">IFERROR(__xludf.DUMMYFUNCTION("GOOGLETRANSLATE(D:D,""auto"",""en"")"),"#VALUE!")</f>
        <v>#VALUE!</v>
      </c>
    </row>
    <row r="14783" spans="3:3" ht="13.5" customHeight="1">
      <c r="C14783" s="4" t="str">
        <f ca="1">IFERROR(__xludf.DUMMYFUNCTION("GOOGLETRANSLATE(D:D,""auto"",""en"")"),"#VALUE!")</f>
        <v>#VALUE!</v>
      </c>
    </row>
    <row r="14784" spans="3:3" ht="13.5" customHeight="1">
      <c r="C14784" s="4" t="str">
        <f ca="1">IFERROR(__xludf.DUMMYFUNCTION("GOOGLETRANSLATE(D:D,""auto"",""en"")"),"#VALUE!")</f>
        <v>#VALUE!</v>
      </c>
    </row>
    <row r="14785" spans="3:3" ht="13.5" customHeight="1">
      <c r="C14785" s="4" t="str">
        <f ca="1">IFERROR(__xludf.DUMMYFUNCTION("GOOGLETRANSLATE(D:D,""auto"",""en"")"),"#VALUE!")</f>
        <v>#VALUE!</v>
      </c>
    </row>
    <row r="14786" spans="3:3" ht="13.5" customHeight="1">
      <c r="C14786" s="4" t="str">
        <f ca="1">IFERROR(__xludf.DUMMYFUNCTION("GOOGLETRANSLATE(D:D,""auto"",""en"")"),"#VALUE!")</f>
        <v>#VALUE!</v>
      </c>
    </row>
    <row r="14787" spans="3:3" ht="13.5" customHeight="1">
      <c r="C14787" s="4" t="str">
        <f ca="1">IFERROR(__xludf.DUMMYFUNCTION("GOOGLETRANSLATE(D:D,""auto"",""en"")"),"#VALUE!")</f>
        <v>#VALUE!</v>
      </c>
    </row>
    <row r="14788" spans="3:3" ht="13.5" customHeight="1">
      <c r="C14788" s="4" t="str">
        <f ca="1">IFERROR(__xludf.DUMMYFUNCTION("GOOGLETRANSLATE(D:D,""auto"",""en"")"),"#VALUE!")</f>
        <v>#VALUE!</v>
      </c>
    </row>
    <row r="14789" spans="3:3" ht="13.5" customHeight="1">
      <c r="C14789" s="4" t="str">
        <f ca="1">IFERROR(__xludf.DUMMYFUNCTION("GOOGLETRANSLATE(D:D,""auto"",""en"")"),"#VALUE!")</f>
        <v>#VALUE!</v>
      </c>
    </row>
    <row r="14790" spans="3:3" ht="13.5" customHeight="1">
      <c r="C14790" s="4" t="str">
        <f ca="1">IFERROR(__xludf.DUMMYFUNCTION("GOOGLETRANSLATE(D:D,""auto"",""en"")"),"#VALUE!")</f>
        <v>#VALUE!</v>
      </c>
    </row>
    <row r="14791" spans="3:3" ht="13.5" customHeight="1">
      <c r="C14791" s="4" t="str">
        <f ca="1">IFERROR(__xludf.DUMMYFUNCTION("GOOGLETRANSLATE(D:D,""auto"",""en"")"),"#VALUE!")</f>
        <v>#VALUE!</v>
      </c>
    </row>
    <row r="14792" spans="3:3" ht="13.5" customHeight="1">
      <c r="C14792" s="4" t="str">
        <f ca="1">IFERROR(__xludf.DUMMYFUNCTION("GOOGLETRANSLATE(D:D,""auto"",""en"")"),"#VALUE!")</f>
        <v>#VALUE!</v>
      </c>
    </row>
    <row r="14793" spans="3:3" ht="13.5" customHeight="1">
      <c r="C14793" s="4" t="str">
        <f ca="1">IFERROR(__xludf.DUMMYFUNCTION("GOOGLETRANSLATE(D:D,""auto"",""en"")"),"#VALUE!")</f>
        <v>#VALUE!</v>
      </c>
    </row>
    <row r="14794" spans="3:3" ht="13.5" customHeight="1">
      <c r="C14794" s="4" t="str">
        <f ca="1">IFERROR(__xludf.DUMMYFUNCTION("GOOGLETRANSLATE(D:D,""auto"",""en"")"),"#VALUE!")</f>
        <v>#VALUE!</v>
      </c>
    </row>
    <row r="14795" spans="3:3" ht="13.5" customHeight="1">
      <c r="C14795" s="4" t="str">
        <f ca="1">IFERROR(__xludf.DUMMYFUNCTION("GOOGLETRANSLATE(D:D,""auto"",""en"")"),"#VALUE!")</f>
        <v>#VALUE!</v>
      </c>
    </row>
    <row r="14796" spans="3:3" ht="13.5" customHeight="1">
      <c r="C14796" s="4" t="str">
        <f ca="1">IFERROR(__xludf.DUMMYFUNCTION("GOOGLETRANSLATE(D:D,""auto"",""en"")"),"#VALUE!")</f>
        <v>#VALUE!</v>
      </c>
    </row>
    <row r="14797" spans="3:3" ht="13.5" customHeight="1">
      <c r="C14797" s="4" t="str">
        <f ca="1">IFERROR(__xludf.DUMMYFUNCTION("GOOGLETRANSLATE(D:D,""auto"",""en"")"),"#VALUE!")</f>
        <v>#VALUE!</v>
      </c>
    </row>
    <row r="14798" spans="3:3" ht="13.5" customHeight="1">
      <c r="C14798" s="4" t="str">
        <f ca="1">IFERROR(__xludf.DUMMYFUNCTION("GOOGLETRANSLATE(D:D,""auto"",""en"")"),"#VALUE!")</f>
        <v>#VALUE!</v>
      </c>
    </row>
    <row r="14799" spans="3:3" ht="13.5" customHeight="1">
      <c r="C14799" s="4" t="str">
        <f ca="1">IFERROR(__xludf.DUMMYFUNCTION("GOOGLETRANSLATE(D:D,""auto"",""en"")"),"#VALUE!")</f>
        <v>#VALUE!</v>
      </c>
    </row>
    <row r="14800" spans="3:3" ht="13.5" customHeight="1">
      <c r="C14800" s="4" t="str">
        <f ca="1">IFERROR(__xludf.DUMMYFUNCTION("GOOGLETRANSLATE(D:D,""auto"",""en"")"),"#VALUE!")</f>
        <v>#VALUE!</v>
      </c>
    </row>
    <row r="14801" spans="3:3" ht="13.5" customHeight="1">
      <c r="C14801" s="4" t="str">
        <f ca="1">IFERROR(__xludf.DUMMYFUNCTION("GOOGLETRANSLATE(D:D,""auto"",""en"")"),"#VALUE!")</f>
        <v>#VALUE!</v>
      </c>
    </row>
    <row r="14802" spans="3:3" ht="13.5" customHeight="1">
      <c r="C14802" s="4" t="str">
        <f ca="1">IFERROR(__xludf.DUMMYFUNCTION("GOOGLETRANSLATE(D:D,""auto"",""en"")"),"#VALUE!")</f>
        <v>#VALUE!</v>
      </c>
    </row>
    <row r="14803" spans="3:3" ht="13.5" customHeight="1">
      <c r="C14803" s="4" t="str">
        <f ca="1">IFERROR(__xludf.DUMMYFUNCTION("GOOGLETRANSLATE(D:D,""auto"",""en"")"),"#VALUE!")</f>
        <v>#VALUE!</v>
      </c>
    </row>
    <row r="14804" spans="3:3" ht="13.5" customHeight="1">
      <c r="C14804" s="4" t="str">
        <f ca="1">IFERROR(__xludf.DUMMYFUNCTION("GOOGLETRANSLATE(D:D,""auto"",""en"")"),"#VALUE!")</f>
        <v>#VALUE!</v>
      </c>
    </row>
    <row r="14805" spans="3:3" ht="13.5" customHeight="1">
      <c r="C14805" s="4" t="str">
        <f ca="1">IFERROR(__xludf.DUMMYFUNCTION("GOOGLETRANSLATE(D:D,""auto"",""en"")"),"#VALUE!")</f>
        <v>#VALUE!</v>
      </c>
    </row>
    <row r="14806" spans="3:3" ht="13.5" customHeight="1">
      <c r="C14806" s="4" t="str">
        <f ca="1">IFERROR(__xludf.DUMMYFUNCTION("GOOGLETRANSLATE(D:D,""auto"",""en"")"),"#VALUE!")</f>
        <v>#VALUE!</v>
      </c>
    </row>
    <row r="14807" spans="3:3" ht="13.5" customHeight="1">
      <c r="C14807" s="4" t="str">
        <f ca="1">IFERROR(__xludf.DUMMYFUNCTION("GOOGLETRANSLATE(D:D,""auto"",""en"")"),"#VALUE!")</f>
        <v>#VALUE!</v>
      </c>
    </row>
    <row r="14808" spans="3:3" ht="13.5" customHeight="1">
      <c r="C14808" s="4" t="str">
        <f ca="1">IFERROR(__xludf.DUMMYFUNCTION("GOOGLETRANSLATE(D:D,""auto"",""en"")"),"#VALUE!")</f>
        <v>#VALUE!</v>
      </c>
    </row>
    <row r="14809" spans="3:3" ht="13.5" customHeight="1">
      <c r="C14809" s="4" t="str">
        <f ca="1">IFERROR(__xludf.DUMMYFUNCTION("GOOGLETRANSLATE(D:D,""auto"",""en"")"),"#VALUE!")</f>
        <v>#VALUE!</v>
      </c>
    </row>
    <row r="14810" spans="3:3" ht="13.5" customHeight="1">
      <c r="C14810" s="4" t="str">
        <f ca="1">IFERROR(__xludf.DUMMYFUNCTION("GOOGLETRANSLATE(D:D,""auto"",""en"")"),"#VALUE!")</f>
        <v>#VALUE!</v>
      </c>
    </row>
    <row r="14811" spans="3:3" ht="13.5" customHeight="1">
      <c r="C14811" s="4" t="str">
        <f ca="1">IFERROR(__xludf.DUMMYFUNCTION("GOOGLETRANSLATE(D:D,""auto"",""en"")"),"#VALUE!")</f>
        <v>#VALUE!</v>
      </c>
    </row>
    <row r="14812" spans="3:3" ht="13.5" customHeight="1">
      <c r="C14812" s="4" t="str">
        <f ca="1">IFERROR(__xludf.DUMMYFUNCTION("GOOGLETRANSLATE(D:D,""auto"",""en"")"),"#VALUE!")</f>
        <v>#VALUE!</v>
      </c>
    </row>
    <row r="14813" spans="3:3" ht="13.5" customHeight="1">
      <c r="C14813" s="4" t="str">
        <f ca="1">IFERROR(__xludf.DUMMYFUNCTION("GOOGLETRANSLATE(D:D,""auto"",""en"")"),"#VALUE!")</f>
        <v>#VALUE!</v>
      </c>
    </row>
    <row r="14814" spans="3:3" ht="13.5" customHeight="1">
      <c r="C14814" s="4" t="str">
        <f ca="1">IFERROR(__xludf.DUMMYFUNCTION("GOOGLETRANSLATE(D:D,""auto"",""en"")"),"#VALUE!")</f>
        <v>#VALUE!</v>
      </c>
    </row>
    <row r="14815" spans="3:3" ht="13.5" customHeight="1">
      <c r="C14815" s="4" t="str">
        <f ca="1">IFERROR(__xludf.DUMMYFUNCTION("GOOGLETRANSLATE(D:D,""auto"",""en"")"),"#VALUE!")</f>
        <v>#VALUE!</v>
      </c>
    </row>
    <row r="14816" spans="3:3" ht="13.5" customHeight="1">
      <c r="C14816" s="4" t="str">
        <f ca="1">IFERROR(__xludf.DUMMYFUNCTION("GOOGLETRANSLATE(D:D,""auto"",""en"")"),"#VALUE!")</f>
        <v>#VALUE!</v>
      </c>
    </row>
    <row r="14817" spans="3:3" ht="13.5" customHeight="1">
      <c r="C14817" s="4" t="str">
        <f ca="1">IFERROR(__xludf.DUMMYFUNCTION("GOOGLETRANSLATE(D:D,""auto"",""en"")"),"#VALUE!")</f>
        <v>#VALUE!</v>
      </c>
    </row>
    <row r="14818" spans="3:3" ht="13.5" customHeight="1">
      <c r="C14818" s="4" t="str">
        <f ca="1">IFERROR(__xludf.DUMMYFUNCTION("GOOGLETRANSLATE(D:D,""auto"",""en"")"),"#VALUE!")</f>
        <v>#VALUE!</v>
      </c>
    </row>
    <row r="14819" spans="3:3" ht="13.5" customHeight="1">
      <c r="C14819" s="4" t="str">
        <f ca="1">IFERROR(__xludf.DUMMYFUNCTION("GOOGLETRANSLATE(D:D,""auto"",""en"")"),"#VALUE!")</f>
        <v>#VALUE!</v>
      </c>
    </row>
    <row r="14820" spans="3:3" ht="13.5" customHeight="1">
      <c r="C14820" s="4" t="str">
        <f ca="1">IFERROR(__xludf.DUMMYFUNCTION("GOOGLETRANSLATE(D:D,""auto"",""en"")"),"#VALUE!")</f>
        <v>#VALUE!</v>
      </c>
    </row>
    <row r="14821" spans="3:3" ht="13.5" customHeight="1">
      <c r="C14821" s="4" t="str">
        <f ca="1">IFERROR(__xludf.DUMMYFUNCTION("GOOGLETRANSLATE(D:D,""auto"",""en"")"),"#VALUE!")</f>
        <v>#VALUE!</v>
      </c>
    </row>
    <row r="14822" spans="3:3" ht="13.5" customHeight="1">
      <c r="C14822" s="4" t="str">
        <f ca="1">IFERROR(__xludf.DUMMYFUNCTION("GOOGLETRANSLATE(D:D,""auto"",""en"")"),"#VALUE!")</f>
        <v>#VALUE!</v>
      </c>
    </row>
    <row r="14823" spans="3:3" ht="13.5" customHeight="1">
      <c r="C14823" s="4" t="str">
        <f ca="1">IFERROR(__xludf.DUMMYFUNCTION("GOOGLETRANSLATE(D:D,""auto"",""en"")"),"#VALUE!")</f>
        <v>#VALUE!</v>
      </c>
    </row>
    <row r="14824" spans="3:3" ht="13.5" customHeight="1">
      <c r="C14824" s="4" t="str">
        <f ca="1">IFERROR(__xludf.DUMMYFUNCTION("GOOGLETRANSLATE(D:D,""auto"",""en"")"),"#VALUE!")</f>
        <v>#VALUE!</v>
      </c>
    </row>
    <row r="14825" spans="3:3" ht="13.5" customHeight="1">
      <c r="C14825" s="4" t="str">
        <f ca="1">IFERROR(__xludf.DUMMYFUNCTION("GOOGLETRANSLATE(D:D,""auto"",""en"")"),"#VALUE!")</f>
        <v>#VALUE!</v>
      </c>
    </row>
    <row r="14826" spans="3:3" ht="13.5" customHeight="1">
      <c r="C14826" s="4" t="str">
        <f ca="1">IFERROR(__xludf.DUMMYFUNCTION("GOOGLETRANSLATE(D:D,""auto"",""en"")"),"#VALUE!")</f>
        <v>#VALUE!</v>
      </c>
    </row>
    <row r="14827" spans="3:3" ht="13.5" customHeight="1">
      <c r="C14827" s="4" t="str">
        <f ca="1">IFERROR(__xludf.DUMMYFUNCTION("GOOGLETRANSLATE(D:D,""auto"",""en"")"),"#VALUE!")</f>
        <v>#VALUE!</v>
      </c>
    </row>
    <row r="14828" spans="3:3" ht="13.5" customHeight="1">
      <c r="C14828" s="4" t="str">
        <f ca="1">IFERROR(__xludf.DUMMYFUNCTION("GOOGLETRANSLATE(D:D,""auto"",""en"")"),"#VALUE!")</f>
        <v>#VALUE!</v>
      </c>
    </row>
    <row r="14829" spans="3:3" ht="13.5" customHeight="1">
      <c r="C14829" s="4" t="str">
        <f ca="1">IFERROR(__xludf.DUMMYFUNCTION("GOOGLETRANSLATE(D:D,""auto"",""en"")"),"#VALUE!")</f>
        <v>#VALUE!</v>
      </c>
    </row>
    <row r="14830" spans="3:3" ht="13.5" customHeight="1">
      <c r="C14830" s="4" t="str">
        <f ca="1">IFERROR(__xludf.DUMMYFUNCTION("GOOGLETRANSLATE(D:D,""auto"",""en"")"),"#VALUE!")</f>
        <v>#VALUE!</v>
      </c>
    </row>
    <row r="14831" spans="3:3" ht="13.5" customHeight="1">
      <c r="C14831" s="4" t="str">
        <f ca="1">IFERROR(__xludf.DUMMYFUNCTION("GOOGLETRANSLATE(D:D,""auto"",""en"")"),"#VALUE!")</f>
        <v>#VALUE!</v>
      </c>
    </row>
    <row r="14832" spans="3:3" ht="13.5" customHeight="1">
      <c r="C14832" s="4" t="str">
        <f ca="1">IFERROR(__xludf.DUMMYFUNCTION("GOOGLETRANSLATE(D:D,""auto"",""en"")"),"#VALUE!")</f>
        <v>#VALUE!</v>
      </c>
    </row>
    <row r="14833" spans="3:3" ht="13.5" customHeight="1">
      <c r="C14833" s="4" t="str">
        <f ca="1">IFERROR(__xludf.DUMMYFUNCTION("GOOGLETRANSLATE(D:D,""auto"",""en"")"),"#VALUE!")</f>
        <v>#VALUE!</v>
      </c>
    </row>
    <row r="14834" spans="3:3" ht="13.5" customHeight="1">
      <c r="C14834" s="4" t="str">
        <f ca="1">IFERROR(__xludf.DUMMYFUNCTION("GOOGLETRANSLATE(D:D,""auto"",""en"")"),"#VALUE!")</f>
        <v>#VALUE!</v>
      </c>
    </row>
    <row r="14835" spans="3:3" ht="13.5" customHeight="1">
      <c r="C14835" s="4" t="str">
        <f ca="1">IFERROR(__xludf.DUMMYFUNCTION("GOOGLETRANSLATE(D:D,""auto"",""en"")"),"#VALUE!")</f>
        <v>#VALUE!</v>
      </c>
    </row>
    <row r="14836" spans="3:3" ht="13.5" customHeight="1">
      <c r="C14836" s="4" t="str">
        <f ca="1">IFERROR(__xludf.DUMMYFUNCTION("GOOGLETRANSLATE(D:D,""auto"",""en"")"),"#VALUE!")</f>
        <v>#VALUE!</v>
      </c>
    </row>
    <row r="14837" spans="3:3" ht="13.5" customHeight="1">
      <c r="C14837" s="4" t="str">
        <f ca="1">IFERROR(__xludf.DUMMYFUNCTION("GOOGLETRANSLATE(D:D,""auto"",""en"")"),"#VALUE!")</f>
        <v>#VALUE!</v>
      </c>
    </row>
    <row r="14838" spans="3:3" ht="13.5" customHeight="1">
      <c r="C14838" s="4" t="str">
        <f ca="1">IFERROR(__xludf.DUMMYFUNCTION("GOOGLETRANSLATE(D:D,""auto"",""en"")"),"#VALUE!")</f>
        <v>#VALUE!</v>
      </c>
    </row>
    <row r="14839" spans="3:3" ht="13.5" customHeight="1">
      <c r="C14839" s="4" t="str">
        <f ca="1">IFERROR(__xludf.DUMMYFUNCTION("GOOGLETRANSLATE(D:D,""auto"",""en"")"),"#VALUE!")</f>
        <v>#VALUE!</v>
      </c>
    </row>
    <row r="14840" spans="3:3" ht="13.5" customHeight="1">
      <c r="C14840" s="4" t="str">
        <f ca="1">IFERROR(__xludf.DUMMYFUNCTION("GOOGLETRANSLATE(D:D,""auto"",""en"")"),"#VALUE!")</f>
        <v>#VALUE!</v>
      </c>
    </row>
    <row r="14841" spans="3:3" ht="13.5" customHeight="1">
      <c r="C14841" s="4" t="str">
        <f ca="1">IFERROR(__xludf.DUMMYFUNCTION("GOOGLETRANSLATE(D:D,""auto"",""en"")"),"#VALUE!")</f>
        <v>#VALUE!</v>
      </c>
    </row>
    <row r="14842" spans="3:3" ht="13.5" customHeight="1">
      <c r="C14842" s="4" t="str">
        <f ca="1">IFERROR(__xludf.DUMMYFUNCTION("GOOGLETRANSLATE(D:D,""auto"",""en"")"),"#VALUE!")</f>
        <v>#VALUE!</v>
      </c>
    </row>
    <row r="14843" spans="3:3" ht="13.5" customHeight="1">
      <c r="C14843" s="4" t="str">
        <f ca="1">IFERROR(__xludf.DUMMYFUNCTION("GOOGLETRANSLATE(D:D,""auto"",""en"")"),"#VALUE!")</f>
        <v>#VALUE!</v>
      </c>
    </row>
    <row r="14844" spans="3:3" ht="13.5" customHeight="1">
      <c r="C14844" s="4" t="str">
        <f ca="1">IFERROR(__xludf.DUMMYFUNCTION("GOOGLETRANSLATE(D:D,""auto"",""en"")"),"#VALUE!")</f>
        <v>#VALUE!</v>
      </c>
    </row>
    <row r="14845" spans="3:3" ht="13.5" customHeight="1">
      <c r="C14845" s="4" t="str">
        <f ca="1">IFERROR(__xludf.DUMMYFUNCTION("GOOGLETRANSLATE(D:D,""auto"",""en"")"),"#VALUE!")</f>
        <v>#VALUE!</v>
      </c>
    </row>
    <row r="14846" spans="3:3" ht="13.5" customHeight="1">
      <c r="C14846" s="4" t="str">
        <f ca="1">IFERROR(__xludf.DUMMYFUNCTION("GOOGLETRANSLATE(D:D,""auto"",""en"")"),"#VALUE!")</f>
        <v>#VALUE!</v>
      </c>
    </row>
    <row r="14847" spans="3:3" ht="13.5" customHeight="1">
      <c r="C14847" s="4" t="str">
        <f ca="1">IFERROR(__xludf.DUMMYFUNCTION("GOOGLETRANSLATE(D:D,""auto"",""en"")"),"#VALUE!")</f>
        <v>#VALUE!</v>
      </c>
    </row>
    <row r="14848" spans="3:3" ht="13.5" customHeight="1">
      <c r="C14848" s="4" t="str">
        <f ca="1">IFERROR(__xludf.DUMMYFUNCTION("GOOGLETRANSLATE(D:D,""auto"",""en"")"),"#VALUE!")</f>
        <v>#VALUE!</v>
      </c>
    </row>
    <row r="14849" spans="3:3" ht="13.5" customHeight="1">
      <c r="C14849" s="4" t="str">
        <f ca="1">IFERROR(__xludf.DUMMYFUNCTION("GOOGLETRANSLATE(D:D,""auto"",""en"")"),"#VALUE!")</f>
        <v>#VALUE!</v>
      </c>
    </row>
    <row r="14850" spans="3:3" ht="13.5" customHeight="1">
      <c r="C14850" s="4" t="str">
        <f ca="1">IFERROR(__xludf.DUMMYFUNCTION("GOOGLETRANSLATE(D:D,""auto"",""en"")"),"#VALUE!")</f>
        <v>#VALUE!</v>
      </c>
    </row>
    <row r="14851" spans="3:3" ht="13.5" customHeight="1">
      <c r="C14851" s="4" t="str">
        <f ca="1">IFERROR(__xludf.DUMMYFUNCTION("GOOGLETRANSLATE(D:D,""auto"",""en"")"),"#VALUE!")</f>
        <v>#VALUE!</v>
      </c>
    </row>
    <row r="14852" spans="3:3" ht="13.5" customHeight="1">
      <c r="C14852" s="4" t="str">
        <f ca="1">IFERROR(__xludf.DUMMYFUNCTION("GOOGLETRANSLATE(D:D,""auto"",""en"")"),"#VALUE!")</f>
        <v>#VALUE!</v>
      </c>
    </row>
    <row r="14853" spans="3:3" ht="13.5" customHeight="1">
      <c r="C14853" s="4" t="str">
        <f ca="1">IFERROR(__xludf.DUMMYFUNCTION("GOOGLETRANSLATE(D:D,""auto"",""en"")"),"#VALUE!")</f>
        <v>#VALUE!</v>
      </c>
    </row>
    <row r="14854" spans="3:3" ht="13.5" customHeight="1">
      <c r="C14854" s="4" t="str">
        <f ca="1">IFERROR(__xludf.DUMMYFUNCTION("GOOGLETRANSLATE(D:D,""auto"",""en"")"),"#VALUE!")</f>
        <v>#VALUE!</v>
      </c>
    </row>
    <row r="14855" spans="3:3" ht="13.5" customHeight="1">
      <c r="C14855" s="4" t="str">
        <f ca="1">IFERROR(__xludf.DUMMYFUNCTION("GOOGLETRANSLATE(D:D,""auto"",""en"")"),"#VALUE!")</f>
        <v>#VALUE!</v>
      </c>
    </row>
    <row r="14856" spans="3:3" ht="13.5" customHeight="1">
      <c r="C14856" s="4" t="str">
        <f ca="1">IFERROR(__xludf.DUMMYFUNCTION("GOOGLETRANSLATE(D:D,""auto"",""en"")"),"#VALUE!")</f>
        <v>#VALUE!</v>
      </c>
    </row>
    <row r="14857" spans="3:3" ht="13.5" customHeight="1">
      <c r="C14857" s="4" t="str">
        <f ca="1">IFERROR(__xludf.DUMMYFUNCTION("GOOGLETRANSLATE(D:D,""auto"",""en"")"),"#VALUE!")</f>
        <v>#VALUE!</v>
      </c>
    </row>
    <row r="14858" spans="3:3" ht="13.5" customHeight="1">
      <c r="C14858" s="4" t="str">
        <f ca="1">IFERROR(__xludf.DUMMYFUNCTION("GOOGLETRANSLATE(D:D,""auto"",""en"")"),"#VALUE!")</f>
        <v>#VALUE!</v>
      </c>
    </row>
    <row r="14859" spans="3:3" ht="13.5" customHeight="1">
      <c r="C14859" s="4" t="str">
        <f ca="1">IFERROR(__xludf.DUMMYFUNCTION("GOOGLETRANSLATE(D:D,""auto"",""en"")"),"#VALUE!")</f>
        <v>#VALUE!</v>
      </c>
    </row>
    <row r="14860" spans="3:3" ht="13.5" customHeight="1">
      <c r="C14860" s="4" t="str">
        <f ca="1">IFERROR(__xludf.DUMMYFUNCTION("GOOGLETRANSLATE(D:D,""auto"",""en"")"),"#VALUE!")</f>
        <v>#VALUE!</v>
      </c>
    </row>
    <row r="14861" spans="3:3" ht="13.5" customHeight="1">
      <c r="C14861" s="4" t="str">
        <f ca="1">IFERROR(__xludf.DUMMYFUNCTION("GOOGLETRANSLATE(D:D,""auto"",""en"")"),"#VALUE!")</f>
        <v>#VALUE!</v>
      </c>
    </row>
    <row r="14862" spans="3:3" ht="13.5" customHeight="1">
      <c r="C14862" s="4" t="str">
        <f ca="1">IFERROR(__xludf.DUMMYFUNCTION("GOOGLETRANSLATE(D:D,""auto"",""en"")"),"#VALUE!")</f>
        <v>#VALUE!</v>
      </c>
    </row>
    <row r="14863" spans="3:3" ht="13.5" customHeight="1">
      <c r="C14863" s="4" t="str">
        <f ca="1">IFERROR(__xludf.DUMMYFUNCTION("GOOGLETRANSLATE(D:D,""auto"",""en"")"),"#VALUE!")</f>
        <v>#VALUE!</v>
      </c>
    </row>
    <row r="14864" spans="3:3" ht="13.5" customHeight="1">
      <c r="C14864" s="4" t="str">
        <f ca="1">IFERROR(__xludf.DUMMYFUNCTION("GOOGLETRANSLATE(D:D,""auto"",""en"")"),"#VALUE!")</f>
        <v>#VALUE!</v>
      </c>
    </row>
    <row r="14865" spans="3:3" ht="13.5" customHeight="1">
      <c r="C14865" s="4" t="str">
        <f ca="1">IFERROR(__xludf.DUMMYFUNCTION("GOOGLETRANSLATE(D:D,""auto"",""en"")"),"#VALUE!")</f>
        <v>#VALUE!</v>
      </c>
    </row>
    <row r="14866" spans="3:3" ht="13.5" customHeight="1">
      <c r="C14866" s="4" t="str">
        <f ca="1">IFERROR(__xludf.DUMMYFUNCTION("GOOGLETRANSLATE(D:D,""auto"",""en"")"),"#VALUE!")</f>
        <v>#VALUE!</v>
      </c>
    </row>
    <row r="14867" spans="3:3" ht="13.5" customHeight="1">
      <c r="C14867" s="4" t="str">
        <f ca="1">IFERROR(__xludf.DUMMYFUNCTION("GOOGLETRANSLATE(D:D,""auto"",""en"")"),"#VALUE!")</f>
        <v>#VALUE!</v>
      </c>
    </row>
    <row r="14868" spans="3:3" ht="13.5" customHeight="1">
      <c r="C14868" s="4" t="str">
        <f ca="1">IFERROR(__xludf.DUMMYFUNCTION("GOOGLETRANSLATE(D:D,""auto"",""en"")"),"#VALUE!")</f>
        <v>#VALUE!</v>
      </c>
    </row>
    <row r="14869" spans="3:3" ht="13.5" customHeight="1">
      <c r="C14869" s="4" t="str">
        <f ca="1">IFERROR(__xludf.DUMMYFUNCTION("GOOGLETRANSLATE(D:D,""auto"",""en"")"),"#VALUE!")</f>
        <v>#VALUE!</v>
      </c>
    </row>
    <row r="14870" spans="3:3" ht="13.5" customHeight="1">
      <c r="C14870" s="4" t="str">
        <f ca="1">IFERROR(__xludf.DUMMYFUNCTION("GOOGLETRANSLATE(D:D,""auto"",""en"")"),"#VALUE!")</f>
        <v>#VALUE!</v>
      </c>
    </row>
    <row r="14871" spans="3:3" ht="13.5" customHeight="1">
      <c r="C14871" s="4" t="str">
        <f ca="1">IFERROR(__xludf.DUMMYFUNCTION("GOOGLETRANSLATE(D:D,""auto"",""en"")"),"#VALUE!")</f>
        <v>#VALUE!</v>
      </c>
    </row>
    <row r="14872" spans="3:3" ht="13.5" customHeight="1">
      <c r="C14872" s="4" t="str">
        <f ca="1">IFERROR(__xludf.DUMMYFUNCTION("GOOGLETRANSLATE(D:D,""auto"",""en"")"),"#VALUE!")</f>
        <v>#VALUE!</v>
      </c>
    </row>
    <row r="14873" spans="3:3" ht="13.5" customHeight="1">
      <c r="C14873" s="4" t="str">
        <f ca="1">IFERROR(__xludf.DUMMYFUNCTION("GOOGLETRANSLATE(D:D,""auto"",""en"")"),"#VALUE!")</f>
        <v>#VALUE!</v>
      </c>
    </row>
    <row r="14874" spans="3:3" ht="13.5" customHeight="1">
      <c r="C14874" s="4" t="str">
        <f ca="1">IFERROR(__xludf.DUMMYFUNCTION("GOOGLETRANSLATE(D:D,""auto"",""en"")"),"#VALUE!")</f>
        <v>#VALUE!</v>
      </c>
    </row>
    <row r="14875" spans="3:3" ht="13.5" customHeight="1">
      <c r="C14875" s="4" t="str">
        <f ca="1">IFERROR(__xludf.DUMMYFUNCTION("GOOGLETRANSLATE(D:D,""auto"",""en"")"),"#VALUE!")</f>
        <v>#VALUE!</v>
      </c>
    </row>
    <row r="14876" spans="3:3" ht="13.5" customHeight="1">
      <c r="C14876" s="4" t="str">
        <f ca="1">IFERROR(__xludf.DUMMYFUNCTION("GOOGLETRANSLATE(D:D,""auto"",""en"")"),"#VALUE!")</f>
        <v>#VALUE!</v>
      </c>
    </row>
    <row r="14877" spans="3:3" ht="13.5" customHeight="1">
      <c r="C14877" s="4" t="str">
        <f ca="1">IFERROR(__xludf.DUMMYFUNCTION("GOOGLETRANSLATE(D:D,""auto"",""en"")"),"#VALUE!")</f>
        <v>#VALUE!</v>
      </c>
    </row>
    <row r="14878" spans="3:3" ht="13.5" customHeight="1">
      <c r="C14878" s="4" t="str">
        <f ca="1">IFERROR(__xludf.DUMMYFUNCTION("GOOGLETRANSLATE(D:D,""auto"",""en"")"),"#VALUE!")</f>
        <v>#VALUE!</v>
      </c>
    </row>
    <row r="14879" spans="3:3" ht="13.5" customHeight="1">
      <c r="C14879" s="4" t="str">
        <f ca="1">IFERROR(__xludf.DUMMYFUNCTION("GOOGLETRANSLATE(D:D,""auto"",""en"")"),"#VALUE!")</f>
        <v>#VALUE!</v>
      </c>
    </row>
    <row r="14880" spans="3:3" ht="13.5" customHeight="1">
      <c r="C14880" s="4" t="str">
        <f ca="1">IFERROR(__xludf.DUMMYFUNCTION("GOOGLETRANSLATE(D:D,""auto"",""en"")"),"#VALUE!")</f>
        <v>#VALUE!</v>
      </c>
    </row>
    <row r="14881" spans="3:3" ht="13.5" customHeight="1">
      <c r="C14881" s="4" t="str">
        <f ca="1">IFERROR(__xludf.DUMMYFUNCTION("GOOGLETRANSLATE(D:D,""auto"",""en"")"),"#VALUE!")</f>
        <v>#VALUE!</v>
      </c>
    </row>
    <row r="14882" spans="3:3" ht="13.5" customHeight="1">
      <c r="C14882" s="4" t="str">
        <f ca="1">IFERROR(__xludf.DUMMYFUNCTION("GOOGLETRANSLATE(D:D,""auto"",""en"")"),"#VALUE!")</f>
        <v>#VALUE!</v>
      </c>
    </row>
    <row r="14883" spans="3:3" ht="13.5" customHeight="1">
      <c r="C14883" s="4" t="str">
        <f ca="1">IFERROR(__xludf.DUMMYFUNCTION("GOOGLETRANSLATE(D:D,""auto"",""en"")"),"#VALUE!")</f>
        <v>#VALUE!</v>
      </c>
    </row>
    <row r="14884" spans="3:3" ht="13.5" customHeight="1">
      <c r="C14884" s="4" t="str">
        <f ca="1">IFERROR(__xludf.DUMMYFUNCTION("GOOGLETRANSLATE(D:D,""auto"",""en"")"),"#VALUE!")</f>
        <v>#VALUE!</v>
      </c>
    </row>
    <row r="14885" spans="3:3" ht="13.5" customHeight="1">
      <c r="C14885" s="4" t="str">
        <f ca="1">IFERROR(__xludf.DUMMYFUNCTION("GOOGLETRANSLATE(D:D,""auto"",""en"")"),"#VALUE!")</f>
        <v>#VALUE!</v>
      </c>
    </row>
    <row r="14886" spans="3:3" ht="13.5" customHeight="1">
      <c r="C14886" s="4" t="str">
        <f ca="1">IFERROR(__xludf.DUMMYFUNCTION("GOOGLETRANSLATE(D:D,""auto"",""en"")"),"#VALUE!")</f>
        <v>#VALUE!</v>
      </c>
    </row>
    <row r="14887" spans="3:3" ht="13.5" customHeight="1">
      <c r="C14887" s="4" t="str">
        <f ca="1">IFERROR(__xludf.DUMMYFUNCTION("GOOGLETRANSLATE(D:D,""auto"",""en"")"),"#VALUE!")</f>
        <v>#VALUE!</v>
      </c>
    </row>
    <row r="14888" spans="3:3" ht="13.5" customHeight="1">
      <c r="C14888" s="4" t="str">
        <f ca="1">IFERROR(__xludf.DUMMYFUNCTION("GOOGLETRANSLATE(D:D,""auto"",""en"")"),"#VALUE!")</f>
        <v>#VALUE!</v>
      </c>
    </row>
    <row r="14889" spans="3:3" ht="13.5" customHeight="1">
      <c r="C14889" s="4" t="str">
        <f ca="1">IFERROR(__xludf.DUMMYFUNCTION("GOOGLETRANSLATE(D:D,""auto"",""en"")"),"#VALUE!")</f>
        <v>#VALUE!</v>
      </c>
    </row>
    <row r="14890" spans="3:3" ht="13.5" customHeight="1">
      <c r="C14890" s="4" t="str">
        <f ca="1">IFERROR(__xludf.DUMMYFUNCTION("GOOGLETRANSLATE(D:D,""auto"",""en"")"),"#VALUE!")</f>
        <v>#VALUE!</v>
      </c>
    </row>
    <row r="14891" spans="3:3" ht="13.5" customHeight="1">
      <c r="C14891" s="4" t="str">
        <f ca="1">IFERROR(__xludf.DUMMYFUNCTION("GOOGLETRANSLATE(D:D,""auto"",""en"")"),"#VALUE!")</f>
        <v>#VALUE!</v>
      </c>
    </row>
    <row r="14892" spans="3:3" ht="13.5" customHeight="1">
      <c r="C14892" s="4" t="str">
        <f ca="1">IFERROR(__xludf.DUMMYFUNCTION("GOOGLETRANSLATE(D:D,""auto"",""en"")"),"#VALUE!")</f>
        <v>#VALUE!</v>
      </c>
    </row>
    <row r="14893" spans="3:3" ht="13.5" customHeight="1">
      <c r="C14893" s="4" t="str">
        <f ca="1">IFERROR(__xludf.DUMMYFUNCTION("GOOGLETRANSLATE(D:D,""auto"",""en"")"),"#VALUE!")</f>
        <v>#VALUE!</v>
      </c>
    </row>
    <row r="14894" spans="3:3" ht="13.5" customHeight="1">
      <c r="C14894" s="4" t="str">
        <f ca="1">IFERROR(__xludf.DUMMYFUNCTION("GOOGLETRANSLATE(D:D,""auto"",""en"")"),"#VALUE!")</f>
        <v>#VALUE!</v>
      </c>
    </row>
    <row r="14895" spans="3:3" ht="13.5" customHeight="1">
      <c r="C14895" s="4" t="str">
        <f ca="1">IFERROR(__xludf.DUMMYFUNCTION("GOOGLETRANSLATE(D:D,""auto"",""en"")"),"#VALUE!")</f>
        <v>#VALUE!</v>
      </c>
    </row>
    <row r="14896" spans="3:3" ht="13.5" customHeight="1">
      <c r="C14896" s="4" t="str">
        <f ca="1">IFERROR(__xludf.DUMMYFUNCTION("GOOGLETRANSLATE(D:D,""auto"",""en"")"),"#VALUE!")</f>
        <v>#VALUE!</v>
      </c>
    </row>
    <row r="14897" spans="3:3" ht="13.5" customHeight="1">
      <c r="C14897" s="4" t="str">
        <f ca="1">IFERROR(__xludf.DUMMYFUNCTION("GOOGLETRANSLATE(D:D,""auto"",""en"")"),"#VALUE!")</f>
        <v>#VALUE!</v>
      </c>
    </row>
    <row r="14898" spans="3:3" ht="13.5" customHeight="1">
      <c r="C14898" s="4" t="str">
        <f ca="1">IFERROR(__xludf.DUMMYFUNCTION("GOOGLETRANSLATE(D:D,""auto"",""en"")"),"#VALUE!")</f>
        <v>#VALUE!</v>
      </c>
    </row>
    <row r="14899" spans="3:3" ht="13.5" customHeight="1">
      <c r="C14899" s="4" t="str">
        <f ca="1">IFERROR(__xludf.DUMMYFUNCTION("GOOGLETRANSLATE(D:D,""auto"",""en"")"),"#VALUE!")</f>
        <v>#VALUE!</v>
      </c>
    </row>
    <row r="14900" spans="3:3" ht="13.5" customHeight="1">
      <c r="C14900" s="4" t="str">
        <f ca="1">IFERROR(__xludf.DUMMYFUNCTION("GOOGLETRANSLATE(D:D,""auto"",""en"")"),"#VALUE!")</f>
        <v>#VALUE!</v>
      </c>
    </row>
    <row r="14901" spans="3:3" ht="13.5" customHeight="1">
      <c r="C14901" s="4" t="str">
        <f ca="1">IFERROR(__xludf.DUMMYFUNCTION("GOOGLETRANSLATE(D:D,""auto"",""en"")"),"#VALUE!")</f>
        <v>#VALUE!</v>
      </c>
    </row>
    <row r="14902" spans="3:3" ht="13.5" customHeight="1">
      <c r="C14902" s="4" t="str">
        <f ca="1">IFERROR(__xludf.DUMMYFUNCTION("GOOGLETRANSLATE(D:D,""auto"",""en"")"),"#VALUE!")</f>
        <v>#VALUE!</v>
      </c>
    </row>
    <row r="14903" spans="3:3" ht="13.5" customHeight="1">
      <c r="C14903" s="4" t="str">
        <f ca="1">IFERROR(__xludf.DUMMYFUNCTION("GOOGLETRANSLATE(D:D,""auto"",""en"")"),"#VALUE!")</f>
        <v>#VALUE!</v>
      </c>
    </row>
    <row r="14904" spans="3:3" ht="13.5" customHeight="1">
      <c r="C14904" s="4" t="str">
        <f ca="1">IFERROR(__xludf.DUMMYFUNCTION("GOOGLETRANSLATE(D:D,""auto"",""en"")"),"#VALUE!")</f>
        <v>#VALUE!</v>
      </c>
    </row>
    <row r="14905" spans="3:3" ht="13.5" customHeight="1">
      <c r="C14905" s="4" t="str">
        <f ca="1">IFERROR(__xludf.DUMMYFUNCTION("GOOGLETRANSLATE(D:D,""auto"",""en"")"),"#VALUE!")</f>
        <v>#VALUE!</v>
      </c>
    </row>
    <row r="14906" spans="3:3" ht="13.5" customHeight="1">
      <c r="C14906" s="4" t="str">
        <f ca="1">IFERROR(__xludf.DUMMYFUNCTION("GOOGLETRANSLATE(D:D,""auto"",""en"")"),"#VALUE!")</f>
        <v>#VALUE!</v>
      </c>
    </row>
    <row r="14907" spans="3:3" ht="13.5" customHeight="1">
      <c r="C14907" s="4" t="str">
        <f ca="1">IFERROR(__xludf.DUMMYFUNCTION("GOOGLETRANSLATE(D:D,""auto"",""en"")"),"#VALUE!")</f>
        <v>#VALUE!</v>
      </c>
    </row>
    <row r="14908" spans="3:3" ht="13.5" customHeight="1">
      <c r="C14908" s="4" t="str">
        <f ca="1">IFERROR(__xludf.DUMMYFUNCTION("GOOGLETRANSLATE(D:D,""auto"",""en"")"),"#VALUE!")</f>
        <v>#VALUE!</v>
      </c>
    </row>
    <row r="14909" spans="3:3" ht="13.5" customHeight="1">
      <c r="C14909" s="4" t="str">
        <f ca="1">IFERROR(__xludf.DUMMYFUNCTION("GOOGLETRANSLATE(D:D,""auto"",""en"")"),"#VALUE!")</f>
        <v>#VALUE!</v>
      </c>
    </row>
    <row r="14910" spans="3:3" ht="13.5" customHeight="1">
      <c r="C14910" s="4" t="str">
        <f ca="1">IFERROR(__xludf.DUMMYFUNCTION("GOOGLETRANSLATE(D:D,""auto"",""en"")"),"#VALUE!")</f>
        <v>#VALUE!</v>
      </c>
    </row>
    <row r="14911" spans="3:3" ht="13.5" customHeight="1">
      <c r="C14911" s="4" t="str">
        <f ca="1">IFERROR(__xludf.DUMMYFUNCTION("GOOGLETRANSLATE(D:D,""auto"",""en"")"),"#VALUE!")</f>
        <v>#VALUE!</v>
      </c>
    </row>
    <row r="14912" spans="3:3" ht="13.5" customHeight="1">
      <c r="C14912" s="4" t="str">
        <f ca="1">IFERROR(__xludf.DUMMYFUNCTION("GOOGLETRANSLATE(D:D,""auto"",""en"")"),"#VALUE!")</f>
        <v>#VALUE!</v>
      </c>
    </row>
    <row r="14913" spans="3:3" ht="13.5" customHeight="1">
      <c r="C14913" s="4" t="str">
        <f ca="1">IFERROR(__xludf.DUMMYFUNCTION("GOOGLETRANSLATE(D:D,""auto"",""en"")"),"#VALUE!")</f>
        <v>#VALUE!</v>
      </c>
    </row>
    <row r="14914" spans="3:3" ht="13.5" customHeight="1">
      <c r="C14914" s="4" t="str">
        <f ca="1">IFERROR(__xludf.DUMMYFUNCTION("GOOGLETRANSLATE(D:D,""auto"",""en"")"),"#VALUE!")</f>
        <v>#VALUE!</v>
      </c>
    </row>
    <row r="14915" spans="3:3" ht="13.5" customHeight="1">
      <c r="C14915" s="4" t="str">
        <f ca="1">IFERROR(__xludf.DUMMYFUNCTION("GOOGLETRANSLATE(D:D,""auto"",""en"")"),"#VALUE!")</f>
        <v>#VALUE!</v>
      </c>
    </row>
    <row r="14916" spans="3:3" ht="13.5" customHeight="1">
      <c r="C14916" s="4" t="str">
        <f ca="1">IFERROR(__xludf.DUMMYFUNCTION("GOOGLETRANSLATE(D:D,""auto"",""en"")"),"#VALUE!")</f>
        <v>#VALUE!</v>
      </c>
    </row>
    <row r="14917" spans="3:3" ht="13.5" customHeight="1">
      <c r="C14917" s="4" t="str">
        <f ca="1">IFERROR(__xludf.DUMMYFUNCTION("GOOGLETRANSLATE(D:D,""auto"",""en"")"),"#VALUE!")</f>
        <v>#VALUE!</v>
      </c>
    </row>
    <row r="14918" spans="3:3" ht="13.5" customHeight="1">
      <c r="C14918" s="4" t="str">
        <f ca="1">IFERROR(__xludf.DUMMYFUNCTION("GOOGLETRANSLATE(D:D,""auto"",""en"")"),"#VALUE!")</f>
        <v>#VALUE!</v>
      </c>
    </row>
    <row r="14919" spans="3:3" ht="13.5" customHeight="1">
      <c r="C14919" s="4" t="str">
        <f ca="1">IFERROR(__xludf.DUMMYFUNCTION("GOOGLETRANSLATE(D:D,""auto"",""en"")"),"#VALUE!")</f>
        <v>#VALUE!</v>
      </c>
    </row>
    <row r="14920" spans="3:3" ht="13.5" customHeight="1">
      <c r="C14920" s="4" t="str">
        <f ca="1">IFERROR(__xludf.DUMMYFUNCTION("GOOGLETRANSLATE(D:D,""auto"",""en"")"),"#VALUE!")</f>
        <v>#VALUE!</v>
      </c>
    </row>
    <row r="14921" spans="3:3" ht="13.5" customHeight="1">
      <c r="C14921" s="4" t="str">
        <f ca="1">IFERROR(__xludf.DUMMYFUNCTION("GOOGLETRANSLATE(D:D,""auto"",""en"")"),"#VALUE!")</f>
        <v>#VALUE!</v>
      </c>
    </row>
    <row r="14922" spans="3:3" ht="13.5" customHeight="1">
      <c r="C14922" s="4" t="str">
        <f ca="1">IFERROR(__xludf.DUMMYFUNCTION("GOOGLETRANSLATE(D:D,""auto"",""en"")"),"#VALUE!")</f>
        <v>#VALUE!</v>
      </c>
    </row>
    <row r="14923" spans="3:3" ht="13.5" customHeight="1">
      <c r="C14923" s="4" t="str">
        <f ca="1">IFERROR(__xludf.DUMMYFUNCTION("GOOGLETRANSLATE(D:D,""auto"",""en"")"),"#VALUE!")</f>
        <v>#VALUE!</v>
      </c>
    </row>
    <row r="14924" spans="3:3" ht="13.5" customHeight="1">
      <c r="C14924" s="4" t="str">
        <f ca="1">IFERROR(__xludf.DUMMYFUNCTION("GOOGLETRANSLATE(D:D,""auto"",""en"")"),"#VALUE!")</f>
        <v>#VALUE!</v>
      </c>
    </row>
    <row r="14925" spans="3:3" ht="13.5" customHeight="1">
      <c r="C14925" s="4" t="str">
        <f ca="1">IFERROR(__xludf.DUMMYFUNCTION("GOOGLETRANSLATE(D:D,""auto"",""en"")"),"#VALUE!")</f>
        <v>#VALUE!</v>
      </c>
    </row>
    <row r="14926" spans="3:3" ht="13.5" customHeight="1">
      <c r="C14926" s="4" t="str">
        <f ca="1">IFERROR(__xludf.DUMMYFUNCTION("GOOGLETRANSLATE(D:D,""auto"",""en"")"),"#VALUE!")</f>
        <v>#VALUE!</v>
      </c>
    </row>
    <row r="14927" spans="3:3" ht="13.5" customHeight="1">
      <c r="C14927" s="4" t="str">
        <f ca="1">IFERROR(__xludf.DUMMYFUNCTION("GOOGLETRANSLATE(D:D,""auto"",""en"")"),"#VALUE!")</f>
        <v>#VALUE!</v>
      </c>
    </row>
    <row r="14928" spans="3:3" ht="13.5" customHeight="1">
      <c r="C14928" s="4" t="str">
        <f ca="1">IFERROR(__xludf.DUMMYFUNCTION("GOOGLETRANSLATE(D:D,""auto"",""en"")"),"#VALUE!")</f>
        <v>#VALUE!</v>
      </c>
    </row>
    <row r="14929" spans="3:3" ht="13.5" customHeight="1">
      <c r="C14929" s="4" t="str">
        <f ca="1">IFERROR(__xludf.DUMMYFUNCTION("GOOGLETRANSLATE(D:D,""auto"",""en"")"),"#VALUE!")</f>
        <v>#VALUE!</v>
      </c>
    </row>
    <row r="14930" spans="3:3" ht="13.5" customHeight="1">
      <c r="C14930" s="4" t="str">
        <f ca="1">IFERROR(__xludf.DUMMYFUNCTION("GOOGLETRANSLATE(D:D,""auto"",""en"")"),"#VALUE!")</f>
        <v>#VALUE!</v>
      </c>
    </row>
    <row r="14931" spans="3:3" ht="13.5" customHeight="1">
      <c r="C14931" s="4" t="str">
        <f ca="1">IFERROR(__xludf.DUMMYFUNCTION("GOOGLETRANSLATE(D:D,""auto"",""en"")"),"#VALUE!")</f>
        <v>#VALUE!</v>
      </c>
    </row>
    <row r="14932" spans="3:3" ht="13.5" customHeight="1">
      <c r="C14932" s="4" t="str">
        <f ca="1">IFERROR(__xludf.DUMMYFUNCTION("GOOGLETRANSLATE(D:D,""auto"",""en"")"),"#VALUE!")</f>
        <v>#VALUE!</v>
      </c>
    </row>
    <row r="14933" spans="3:3" ht="13.5" customHeight="1">
      <c r="C14933" s="4" t="str">
        <f ca="1">IFERROR(__xludf.DUMMYFUNCTION("GOOGLETRANSLATE(D:D,""auto"",""en"")"),"#VALUE!")</f>
        <v>#VALUE!</v>
      </c>
    </row>
    <row r="14934" spans="3:3" ht="13.5" customHeight="1">
      <c r="C14934" s="4" t="str">
        <f ca="1">IFERROR(__xludf.DUMMYFUNCTION("GOOGLETRANSLATE(D:D,""auto"",""en"")"),"#VALUE!")</f>
        <v>#VALUE!</v>
      </c>
    </row>
    <row r="14935" spans="3:3" ht="13.5" customHeight="1">
      <c r="C14935" s="4" t="str">
        <f ca="1">IFERROR(__xludf.DUMMYFUNCTION("GOOGLETRANSLATE(D:D,""auto"",""en"")"),"#VALUE!")</f>
        <v>#VALUE!</v>
      </c>
    </row>
    <row r="14936" spans="3:3" ht="13.5" customHeight="1">
      <c r="C14936" s="4" t="str">
        <f ca="1">IFERROR(__xludf.DUMMYFUNCTION("GOOGLETRANSLATE(D:D,""auto"",""en"")"),"#VALUE!")</f>
        <v>#VALUE!</v>
      </c>
    </row>
    <row r="14937" spans="3:3" ht="13.5" customHeight="1">
      <c r="C14937" s="4" t="str">
        <f ca="1">IFERROR(__xludf.DUMMYFUNCTION("GOOGLETRANSLATE(D:D,""auto"",""en"")"),"#VALUE!")</f>
        <v>#VALUE!</v>
      </c>
    </row>
    <row r="14938" spans="3:3" ht="13.5" customHeight="1">
      <c r="C14938" s="4" t="str">
        <f ca="1">IFERROR(__xludf.DUMMYFUNCTION("GOOGLETRANSLATE(D:D,""auto"",""en"")"),"#VALUE!")</f>
        <v>#VALUE!</v>
      </c>
    </row>
    <row r="14939" spans="3:3" ht="13.5" customHeight="1">
      <c r="C14939" s="4" t="str">
        <f ca="1">IFERROR(__xludf.DUMMYFUNCTION("GOOGLETRANSLATE(D:D,""auto"",""en"")"),"#VALUE!")</f>
        <v>#VALUE!</v>
      </c>
    </row>
    <row r="14940" spans="3:3" ht="13.5" customHeight="1">
      <c r="C14940" s="4" t="str">
        <f ca="1">IFERROR(__xludf.DUMMYFUNCTION("GOOGLETRANSLATE(D:D,""auto"",""en"")"),"#VALUE!")</f>
        <v>#VALUE!</v>
      </c>
    </row>
    <row r="14941" spans="3:3" ht="13.5" customHeight="1">
      <c r="C14941" s="4" t="str">
        <f ca="1">IFERROR(__xludf.DUMMYFUNCTION("GOOGLETRANSLATE(D:D,""auto"",""en"")"),"#VALUE!")</f>
        <v>#VALUE!</v>
      </c>
    </row>
    <row r="14942" spans="3:3" ht="13.5" customHeight="1">
      <c r="C14942" s="4" t="str">
        <f ca="1">IFERROR(__xludf.DUMMYFUNCTION("GOOGLETRANSLATE(D:D,""auto"",""en"")"),"#VALUE!")</f>
        <v>#VALUE!</v>
      </c>
    </row>
    <row r="14943" spans="3:3" ht="13.5" customHeight="1">
      <c r="C14943" s="4" t="str">
        <f ca="1">IFERROR(__xludf.DUMMYFUNCTION("GOOGLETRANSLATE(D:D,""auto"",""en"")"),"#VALUE!")</f>
        <v>#VALUE!</v>
      </c>
    </row>
    <row r="14944" spans="3:3" ht="13.5" customHeight="1">
      <c r="C14944" s="4" t="str">
        <f ca="1">IFERROR(__xludf.DUMMYFUNCTION("GOOGLETRANSLATE(D:D,""auto"",""en"")"),"#VALUE!")</f>
        <v>#VALUE!</v>
      </c>
    </row>
    <row r="14945" spans="3:3" ht="13.5" customHeight="1">
      <c r="C14945" s="4" t="str">
        <f ca="1">IFERROR(__xludf.DUMMYFUNCTION("GOOGLETRANSLATE(D:D,""auto"",""en"")"),"#VALUE!")</f>
        <v>#VALUE!</v>
      </c>
    </row>
    <row r="14946" spans="3:3" ht="13.5" customHeight="1">
      <c r="C14946" s="4" t="str">
        <f ca="1">IFERROR(__xludf.DUMMYFUNCTION("GOOGLETRANSLATE(D:D,""auto"",""en"")"),"#VALUE!")</f>
        <v>#VALUE!</v>
      </c>
    </row>
    <row r="14947" spans="3:3" ht="13.5" customHeight="1">
      <c r="C14947" s="4" t="str">
        <f ca="1">IFERROR(__xludf.DUMMYFUNCTION("GOOGLETRANSLATE(D:D,""auto"",""en"")"),"#VALUE!")</f>
        <v>#VALUE!</v>
      </c>
    </row>
    <row r="14948" spans="3:3" ht="13.5" customHeight="1">
      <c r="C14948" s="4" t="str">
        <f ca="1">IFERROR(__xludf.DUMMYFUNCTION("GOOGLETRANSLATE(D:D,""auto"",""en"")"),"#VALUE!")</f>
        <v>#VALUE!</v>
      </c>
    </row>
    <row r="14949" spans="3:3" ht="13.5" customHeight="1">
      <c r="C14949" s="4" t="str">
        <f ca="1">IFERROR(__xludf.DUMMYFUNCTION("GOOGLETRANSLATE(D:D,""auto"",""en"")"),"#VALUE!")</f>
        <v>#VALUE!</v>
      </c>
    </row>
    <row r="14950" spans="3:3" ht="13.5" customHeight="1">
      <c r="C14950" s="4" t="str">
        <f ca="1">IFERROR(__xludf.DUMMYFUNCTION("GOOGLETRANSLATE(D:D,""auto"",""en"")"),"#VALUE!")</f>
        <v>#VALUE!</v>
      </c>
    </row>
    <row r="14951" spans="3:3" ht="13.5" customHeight="1">
      <c r="C14951" s="4" t="str">
        <f ca="1">IFERROR(__xludf.DUMMYFUNCTION("GOOGLETRANSLATE(D:D,""auto"",""en"")"),"#VALUE!")</f>
        <v>#VALUE!</v>
      </c>
    </row>
    <row r="14952" spans="3:3" ht="13.5" customHeight="1">
      <c r="C14952" s="4" t="str">
        <f ca="1">IFERROR(__xludf.DUMMYFUNCTION("GOOGLETRANSLATE(D:D,""auto"",""en"")"),"#VALUE!")</f>
        <v>#VALUE!</v>
      </c>
    </row>
    <row r="14953" spans="3:3" ht="13.5" customHeight="1">
      <c r="C14953" s="4" t="str">
        <f ca="1">IFERROR(__xludf.DUMMYFUNCTION("GOOGLETRANSLATE(D:D,""auto"",""en"")"),"#VALUE!")</f>
        <v>#VALUE!</v>
      </c>
    </row>
    <row r="14954" spans="3:3" ht="13.5" customHeight="1">
      <c r="C14954" s="4" t="str">
        <f ca="1">IFERROR(__xludf.DUMMYFUNCTION("GOOGLETRANSLATE(D:D,""auto"",""en"")"),"#VALUE!")</f>
        <v>#VALUE!</v>
      </c>
    </row>
    <row r="14955" spans="3:3" ht="13.5" customHeight="1">
      <c r="C14955" s="4" t="str">
        <f ca="1">IFERROR(__xludf.DUMMYFUNCTION("GOOGLETRANSLATE(D:D,""auto"",""en"")"),"#VALUE!")</f>
        <v>#VALUE!</v>
      </c>
    </row>
    <row r="14956" spans="3:3" ht="13.5" customHeight="1">
      <c r="C14956" s="4" t="str">
        <f ca="1">IFERROR(__xludf.DUMMYFUNCTION("GOOGLETRANSLATE(D:D,""auto"",""en"")"),"#VALUE!")</f>
        <v>#VALUE!</v>
      </c>
    </row>
    <row r="14957" spans="3:3" ht="13.5" customHeight="1">
      <c r="C14957" s="4" t="str">
        <f ca="1">IFERROR(__xludf.DUMMYFUNCTION("GOOGLETRANSLATE(D:D,""auto"",""en"")"),"#VALUE!")</f>
        <v>#VALUE!</v>
      </c>
    </row>
    <row r="14958" spans="3:3" ht="13.5" customHeight="1">
      <c r="C14958" s="4" t="str">
        <f ca="1">IFERROR(__xludf.DUMMYFUNCTION("GOOGLETRANSLATE(D:D,""auto"",""en"")"),"#VALUE!")</f>
        <v>#VALUE!</v>
      </c>
    </row>
    <row r="14959" spans="3:3" ht="13.5" customHeight="1">
      <c r="C14959" s="4" t="str">
        <f ca="1">IFERROR(__xludf.DUMMYFUNCTION("GOOGLETRANSLATE(D:D,""auto"",""en"")"),"#VALUE!")</f>
        <v>#VALUE!</v>
      </c>
    </row>
    <row r="14960" spans="3:3" ht="13.5" customHeight="1">
      <c r="C14960" s="4" t="str">
        <f ca="1">IFERROR(__xludf.DUMMYFUNCTION("GOOGLETRANSLATE(D:D,""auto"",""en"")"),"#VALUE!")</f>
        <v>#VALUE!</v>
      </c>
    </row>
    <row r="14961" spans="3:3" ht="13.5" customHeight="1">
      <c r="C14961" s="4" t="str">
        <f ca="1">IFERROR(__xludf.DUMMYFUNCTION("GOOGLETRANSLATE(D:D,""auto"",""en"")"),"#VALUE!")</f>
        <v>#VALUE!</v>
      </c>
    </row>
    <row r="14962" spans="3:3" ht="13.5" customHeight="1">
      <c r="C14962" s="4" t="str">
        <f ca="1">IFERROR(__xludf.DUMMYFUNCTION("GOOGLETRANSLATE(D:D,""auto"",""en"")"),"#VALUE!")</f>
        <v>#VALUE!</v>
      </c>
    </row>
    <row r="14963" spans="3:3" ht="13.5" customHeight="1">
      <c r="C14963" s="4" t="str">
        <f ca="1">IFERROR(__xludf.DUMMYFUNCTION("GOOGLETRANSLATE(D:D,""auto"",""en"")"),"#VALUE!")</f>
        <v>#VALUE!</v>
      </c>
    </row>
    <row r="14964" spans="3:3" ht="13.5" customHeight="1">
      <c r="C14964" s="4" t="str">
        <f ca="1">IFERROR(__xludf.DUMMYFUNCTION("GOOGLETRANSLATE(D:D,""auto"",""en"")"),"#VALUE!")</f>
        <v>#VALUE!</v>
      </c>
    </row>
    <row r="14965" spans="3:3" ht="13.5" customHeight="1">
      <c r="C14965" s="4" t="str">
        <f ca="1">IFERROR(__xludf.DUMMYFUNCTION("GOOGLETRANSLATE(D:D,""auto"",""en"")"),"#VALUE!")</f>
        <v>#VALUE!</v>
      </c>
    </row>
    <row r="14966" spans="3:3" ht="13.5" customHeight="1">
      <c r="C14966" s="4" t="str">
        <f ca="1">IFERROR(__xludf.DUMMYFUNCTION("GOOGLETRANSLATE(D:D,""auto"",""en"")"),"#VALUE!")</f>
        <v>#VALUE!</v>
      </c>
    </row>
    <row r="14967" spans="3:3" ht="13.5" customHeight="1">
      <c r="C14967" s="4" t="str">
        <f ca="1">IFERROR(__xludf.DUMMYFUNCTION("GOOGLETRANSLATE(D:D,""auto"",""en"")"),"#VALUE!")</f>
        <v>#VALUE!</v>
      </c>
    </row>
    <row r="14968" spans="3:3" ht="13.5" customHeight="1">
      <c r="C14968" s="4" t="str">
        <f ca="1">IFERROR(__xludf.DUMMYFUNCTION("GOOGLETRANSLATE(D:D,""auto"",""en"")"),"#VALUE!")</f>
        <v>#VALUE!</v>
      </c>
    </row>
    <row r="14969" spans="3:3" ht="13.5" customHeight="1">
      <c r="C14969" s="4" t="str">
        <f ca="1">IFERROR(__xludf.DUMMYFUNCTION("GOOGLETRANSLATE(D:D,""auto"",""en"")"),"#VALUE!")</f>
        <v>#VALUE!</v>
      </c>
    </row>
    <row r="14970" spans="3:3" ht="13.5" customHeight="1">
      <c r="C14970" s="4" t="str">
        <f ca="1">IFERROR(__xludf.DUMMYFUNCTION("GOOGLETRANSLATE(D:D,""auto"",""en"")"),"#VALUE!")</f>
        <v>#VALUE!</v>
      </c>
    </row>
    <row r="14971" spans="3:3" ht="13.5" customHeight="1">
      <c r="C14971" s="4" t="str">
        <f ca="1">IFERROR(__xludf.DUMMYFUNCTION("GOOGLETRANSLATE(D:D,""auto"",""en"")"),"#VALUE!")</f>
        <v>#VALUE!</v>
      </c>
    </row>
    <row r="14972" spans="3:3" ht="13.5" customHeight="1">
      <c r="C14972" s="4" t="str">
        <f ca="1">IFERROR(__xludf.DUMMYFUNCTION("GOOGLETRANSLATE(D:D,""auto"",""en"")"),"#VALUE!")</f>
        <v>#VALUE!</v>
      </c>
    </row>
    <row r="14973" spans="3:3" ht="13.5" customHeight="1">
      <c r="C14973" s="4" t="str">
        <f ca="1">IFERROR(__xludf.DUMMYFUNCTION("GOOGLETRANSLATE(D:D,""auto"",""en"")"),"#VALUE!")</f>
        <v>#VALUE!</v>
      </c>
    </row>
    <row r="14974" spans="3:3" ht="13.5" customHeight="1">
      <c r="C14974" s="4" t="str">
        <f ca="1">IFERROR(__xludf.DUMMYFUNCTION("GOOGLETRANSLATE(D:D,""auto"",""en"")"),"#VALUE!")</f>
        <v>#VALUE!</v>
      </c>
    </row>
    <row r="14975" spans="3:3" ht="13.5" customHeight="1">
      <c r="C14975" s="4" t="str">
        <f ca="1">IFERROR(__xludf.DUMMYFUNCTION("GOOGLETRANSLATE(D:D,""auto"",""en"")"),"#VALUE!")</f>
        <v>#VALUE!</v>
      </c>
    </row>
    <row r="14976" spans="3:3" ht="13.5" customHeight="1">
      <c r="C14976" s="4" t="str">
        <f ca="1">IFERROR(__xludf.DUMMYFUNCTION("GOOGLETRANSLATE(D:D,""auto"",""en"")"),"#VALUE!")</f>
        <v>#VALUE!</v>
      </c>
    </row>
    <row r="14977" spans="3:3" ht="13.5" customHeight="1">
      <c r="C14977" s="4" t="str">
        <f ca="1">IFERROR(__xludf.DUMMYFUNCTION("GOOGLETRANSLATE(D:D,""auto"",""en"")"),"#VALUE!")</f>
        <v>#VALUE!</v>
      </c>
    </row>
    <row r="14978" spans="3:3" ht="13.5" customHeight="1">
      <c r="C14978" s="4" t="str">
        <f ca="1">IFERROR(__xludf.DUMMYFUNCTION("GOOGLETRANSLATE(D:D,""auto"",""en"")"),"#VALUE!")</f>
        <v>#VALUE!</v>
      </c>
    </row>
    <row r="14979" spans="3:3" ht="13.5" customHeight="1">
      <c r="C14979" s="4" t="str">
        <f ca="1">IFERROR(__xludf.DUMMYFUNCTION("GOOGLETRANSLATE(D:D,""auto"",""en"")"),"#VALUE!")</f>
        <v>#VALUE!</v>
      </c>
    </row>
    <row r="14980" spans="3:3" ht="13.5" customHeight="1">
      <c r="C14980" s="4" t="str">
        <f ca="1">IFERROR(__xludf.DUMMYFUNCTION("GOOGLETRANSLATE(D:D,""auto"",""en"")"),"#VALUE!")</f>
        <v>#VALUE!</v>
      </c>
    </row>
    <row r="14981" spans="3:3" ht="13.5" customHeight="1">
      <c r="C14981" s="4" t="str">
        <f ca="1">IFERROR(__xludf.DUMMYFUNCTION("GOOGLETRANSLATE(D:D,""auto"",""en"")"),"#VALUE!")</f>
        <v>#VALUE!</v>
      </c>
    </row>
    <row r="14982" spans="3:3" ht="13.5" customHeight="1">
      <c r="C14982" s="4" t="str">
        <f ca="1">IFERROR(__xludf.DUMMYFUNCTION("GOOGLETRANSLATE(D:D,""auto"",""en"")"),"#VALUE!")</f>
        <v>#VALUE!</v>
      </c>
    </row>
    <row r="14983" spans="3:3" ht="13.5" customHeight="1">
      <c r="C14983" s="4" t="str">
        <f ca="1">IFERROR(__xludf.DUMMYFUNCTION("GOOGLETRANSLATE(D:D,""auto"",""en"")"),"#VALUE!")</f>
        <v>#VALUE!</v>
      </c>
    </row>
    <row r="14984" spans="3:3" ht="13.5" customHeight="1">
      <c r="C14984" s="4" t="str">
        <f ca="1">IFERROR(__xludf.DUMMYFUNCTION("GOOGLETRANSLATE(D:D,""auto"",""en"")"),"#VALUE!")</f>
        <v>#VALUE!</v>
      </c>
    </row>
    <row r="14985" spans="3:3" ht="13.5" customHeight="1">
      <c r="C14985" s="4" t="str">
        <f ca="1">IFERROR(__xludf.DUMMYFUNCTION("GOOGLETRANSLATE(D:D,""auto"",""en"")"),"#VALUE!")</f>
        <v>#VALUE!</v>
      </c>
    </row>
    <row r="14986" spans="3:3" ht="13.5" customHeight="1">
      <c r="C14986" s="4" t="str">
        <f ca="1">IFERROR(__xludf.DUMMYFUNCTION("GOOGLETRANSLATE(D:D,""auto"",""en"")"),"#VALUE!")</f>
        <v>#VALUE!</v>
      </c>
    </row>
    <row r="14987" spans="3:3" ht="13.5" customHeight="1">
      <c r="C14987" s="4" t="str">
        <f ca="1">IFERROR(__xludf.DUMMYFUNCTION("GOOGLETRANSLATE(D:D,""auto"",""en"")"),"#VALUE!")</f>
        <v>#VALUE!</v>
      </c>
    </row>
    <row r="14988" spans="3:3" ht="13.5" customHeight="1">
      <c r="C14988" s="4" t="str">
        <f ca="1">IFERROR(__xludf.DUMMYFUNCTION("GOOGLETRANSLATE(D:D,""auto"",""en"")"),"#VALUE!")</f>
        <v>#VALUE!</v>
      </c>
    </row>
    <row r="14989" spans="3:3" ht="13.5" customHeight="1">
      <c r="C14989" s="4" t="str">
        <f ca="1">IFERROR(__xludf.DUMMYFUNCTION("GOOGLETRANSLATE(D:D,""auto"",""en"")"),"#VALUE!")</f>
        <v>#VALUE!</v>
      </c>
    </row>
    <row r="14990" spans="3:3" ht="13.5" customHeight="1">
      <c r="C14990" s="4" t="str">
        <f ca="1">IFERROR(__xludf.DUMMYFUNCTION("GOOGLETRANSLATE(D:D,""auto"",""en"")"),"#VALUE!")</f>
        <v>#VALUE!</v>
      </c>
    </row>
    <row r="14991" spans="3:3" ht="13.5" customHeight="1">
      <c r="C14991" s="4" t="str">
        <f ca="1">IFERROR(__xludf.DUMMYFUNCTION("GOOGLETRANSLATE(D:D,""auto"",""en"")"),"#VALUE!")</f>
        <v>#VALUE!</v>
      </c>
    </row>
    <row r="14992" spans="3:3" ht="13.5" customHeight="1">
      <c r="C14992" s="4" t="str">
        <f ca="1">IFERROR(__xludf.DUMMYFUNCTION("GOOGLETRANSLATE(D:D,""auto"",""en"")"),"#VALUE!")</f>
        <v>#VALUE!</v>
      </c>
    </row>
    <row r="14993" spans="3:3" ht="13.5" customHeight="1">
      <c r="C14993" s="4" t="str">
        <f ca="1">IFERROR(__xludf.DUMMYFUNCTION("GOOGLETRANSLATE(D:D,""auto"",""en"")"),"#VALUE!")</f>
        <v>#VALUE!</v>
      </c>
    </row>
    <row r="14994" spans="3:3" ht="13.5" customHeight="1">
      <c r="C14994" s="4" t="str">
        <f ca="1">IFERROR(__xludf.DUMMYFUNCTION("GOOGLETRANSLATE(D:D,""auto"",""en"")"),"#VALUE!")</f>
        <v>#VALUE!</v>
      </c>
    </row>
    <row r="14995" spans="3:3" ht="13.5" customHeight="1">
      <c r="C14995" s="4" t="str">
        <f ca="1">IFERROR(__xludf.DUMMYFUNCTION("GOOGLETRANSLATE(D:D,""auto"",""en"")"),"#VALUE!")</f>
        <v>#VALUE!</v>
      </c>
    </row>
    <row r="14996" spans="3:3" ht="13.5" customHeight="1">
      <c r="C14996" s="4" t="str">
        <f ca="1">IFERROR(__xludf.DUMMYFUNCTION("GOOGLETRANSLATE(D:D,""auto"",""en"")"),"#VALUE!")</f>
        <v>#VALUE!</v>
      </c>
    </row>
    <row r="14997" spans="3:3" ht="13.5" customHeight="1">
      <c r="C14997" s="4" t="str">
        <f ca="1">IFERROR(__xludf.DUMMYFUNCTION("GOOGLETRANSLATE(D:D,""auto"",""en"")"),"#VALUE!")</f>
        <v>#VALUE!</v>
      </c>
    </row>
    <row r="14998" spans="3:3" ht="13.5" customHeight="1">
      <c r="C14998" s="4" t="str">
        <f ca="1">IFERROR(__xludf.DUMMYFUNCTION("GOOGLETRANSLATE(D:D,""auto"",""en"")"),"#VALUE!")</f>
        <v>#VALUE!</v>
      </c>
    </row>
    <row r="14999" spans="3:3" ht="13.5" customHeight="1">
      <c r="C14999" s="4" t="str">
        <f ca="1">IFERROR(__xludf.DUMMYFUNCTION("GOOGLETRANSLATE(D:D,""auto"",""en"")"),"#VALUE!")</f>
        <v>#VALUE!</v>
      </c>
    </row>
    <row r="15000" spans="3:3" ht="13.5" customHeight="1">
      <c r="C15000" s="4" t="str">
        <f ca="1">IFERROR(__xludf.DUMMYFUNCTION("GOOGLETRANSLATE(D:D,""auto"",""en"")"),"#VALUE!")</f>
        <v>#VALUE!</v>
      </c>
    </row>
    <row r="15001" spans="3:3" ht="13.5" customHeight="1">
      <c r="C15001" s="4" t="str">
        <f ca="1">IFERROR(__xludf.DUMMYFUNCTION("GOOGLETRANSLATE(D:D,""auto"",""en"")"),"#VALUE!")</f>
        <v>#VALUE!</v>
      </c>
    </row>
  </sheetData>
  <autoFilter ref="A1:F9939" xr:uid="{8986A166-231A-479F-B090-9F8259944180}">
    <filterColumn colId="5">
      <filters>
        <filter val="1"/>
      </filters>
    </filterColumn>
  </autoFilter>
  <customSheetViews>
    <customSheetView guid="{2FC02EBE-2F0F-4F6E-87BF-61BA87938D00}" filter="1" showAutoFilter="1">
      <pageMargins left="0.7" right="0.7" top="0.75" bottom="0.75" header="0.3" footer="0.3"/>
      <autoFilter ref="C1:C15001" xr:uid="{9BD56152-F9AD-3745-9C64-2A50E444D0BC}"/>
    </customSheetView>
    <customSheetView guid="{FBB5E5C1-C043-42D4-A551-44E896DECCFB}" filter="1" showAutoFilter="1">
      <pageMargins left="0.7" right="0.7" top="0.75" bottom="0.75" header="0.3" footer="0.3"/>
      <autoFilter ref="D237:D249" xr:uid="{20C057D3-32A2-4041-B2B7-8732E3CA7B65}"/>
    </customSheetView>
  </customSheetViews>
  <phoneticPr fontId="7" type="noConversion"/>
  <conditionalFormatting sqref="E1:E1048576">
    <cfRule type="top10" dxfId="0" priority="1" percent="1" rank="1"/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results(已自动还原)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2023-12-11T06:05:22Z</dcterms:modified>
</cp:coreProperties>
</file>