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7065DFE-1674-4272-BC27-F69225E72EE0}" xr6:coauthVersionLast="47" xr6:coauthVersionMax="47" xr10:uidLastSave="{00000000-0000-0000-0000-000000000000}"/>
  <bookViews>
    <workbookView xWindow="-110" yWindow="-110" windowWidth="19420" windowHeight="10300" firstSheet="6" activeTab="11" xr2:uid="{00000000-000D-0000-FFFF-FFFF00000000}"/>
  </bookViews>
  <sheets>
    <sheet name="Company Summary" sheetId="23" r:id="rId1"/>
    <sheet name="Financials&gt;" sheetId="16" r:id="rId2"/>
    <sheet name="Historical Financial Statements" sheetId="7" r:id="rId3"/>
    <sheet name="Ratio Analysis" sheetId="9" r:id="rId4"/>
    <sheet name="Forecasting" sheetId="10" r:id="rId5"/>
    <sheet name="Common Size Statement" sheetId="14" r:id="rId6"/>
    <sheet name="Modelling&gt;" sheetId="17" r:id="rId7"/>
    <sheet name="WACC" sheetId="13" r:id="rId8"/>
    <sheet name="Rm" sheetId="20" r:id="rId9"/>
    <sheet name="Beta Comps" sheetId="12" r:id="rId10"/>
    <sheet name="Intrinsic Growth" sheetId="18" r:id="rId11"/>
    <sheet name="DCF" sheetId="19" r:id="rId12"/>
    <sheet name="Comps Val" sheetId="21" r:id="rId13"/>
    <sheet name="Comps Data" sheetId="22" r:id="rId14"/>
    <sheet name="Data&gt;" sheetId="15" r:id="rId15"/>
    <sheet name="Data Sheet" sheetId="6" r:id="rId16"/>
    <sheet name="Cash Flow Data" sheetId="8" r:id="rId17"/>
    <sheet name="Balance Sheet Data" sheetId="11" r:id="rId18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N28" i="21" s="1"/>
  <c r="M4" i="22"/>
  <c r="G8" i="21" s="1"/>
  <c r="M5" i="22"/>
  <c r="G9" i="21" s="1"/>
  <c r="M6" i="22"/>
  <c r="G10" i="21" s="1"/>
  <c r="M7" i="22"/>
  <c r="G11" i="21" s="1"/>
  <c r="M8" i="22"/>
  <c r="G12" i="21" s="1"/>
  <c r="M9" i="22"/>
  <c r="G13" i="21" s="1"/>
  <c r="M10" i="22"/>
  <c r="G14" i="21" s="1"/>
  <c r="M11" i="22"/>
  <c r="G15" i="21" s="1"/>
  <c r="M12" i="22"/>
  <c r="G16" i="21" s="1"/>
  <c r="M3" i="22"/>
  <c r="L8" i="21"/>
  <c r="L9" i="21"/>
  <c r="L10" i="21"/>
  <c r="L11" i="21"/>
  <c r="L12" i="21"/>
  <c r="L13" i="21"/>
  <c r="L14" i="21"/>
  <c r="L15" i="21"/>
  <c r="L16" i="21"/>
  <c r="L7" i="21"/>
  <c r="K8" i="21"/>
  <c r="K9" i="21"/>
  <c r="K10" i="21"/>
  <c r="K11" i="21"/>
  <c r="K12" i="21"/>
  <c r="K13" i="21"/>
  <c r="K14" i="21"/>
  <c r="K15" i="21"/>
  <c r="K16" i="21"/>
  <c r="K7" i="21"/>
  <c r="J8" i="21"/>
  <c r="J9" i="21"/>
  <c r="J10" i="21"/>
  <c r="J11" i="21"/>
  <c r="J12" i="21"/>
  <c r="J13" i="21"/>
  <c r="J14" i="21"/>
  <c r="J15" i="21"/>
  <c r="J16" i="21"/>
  <c r="J7" i="21"/>
  <c r="E8" i="21"/>
  <c r="E9" i="21"/>
  <c r="E10" i="21"/>
  <c r="E11" i="21"/>
  <c r="E12" i="21"/>
  <c r="E13" i="21"/>
  <c r="E14" i="21"/>
  <c r="E15" i="21"/>
  <c r="E16" i="21"/>
  <c r="E7" i="21"/>
  <c r="N30" i="21" s="1"/>
  <c r="P30" i="21" s="1"/>
  <c r="D8" i="21"/>
  <c r="D9" i="21"/>
  <c r="D10" i="21"/>
  <c r="D11" i="21"/>
  <c r="D12" i="21"/>
  <c r="D13" i="21"/>
  <c r="D14" i="21"/>
  <c r="D15" i="21"/>
  <c r="D16" i="21"/>
  <c r="D7" i="21"/>
  <c r="B8" i="21"/>
  <c r="B9" i="21"/>
  <c r="B10" i="21"/>
  <c r="B11" i="21"/>
  <c r="B12" i="21"/>
  <c r="B13" i="21"/>
  <c r="B14" i="21"/>
  <c r="B15" i="21"/>
  <c r="B16" i="21"/>
  <c r="B7" i="21"/>
  <c r="O28" i="21" l="1"/>
  <c r="F4" i="22"/>
  <c r="F5" i="22"/>
  <c r="F6" i="22"/>
  <c r="F7" i="22"/>
  <c r="F8" i="22"/>
  <c r="F9" i="22"/>
  <c r="F10" i="22"/>
  <c r="F11" i="22"/>
  <c r="F12" i="22"/>
  <c r="F18" i="22"/>
  <c r="I18" i="22" s="1"/>
  <c r="F19" i="22"/>
  <c r="I19" i="22" s="1"/>
  <c r="F20" i="22"/>
  <c r="I20" i="22" s="1"/>
  <c r="F21" i="22"/>
  <c r="I21" i="22" s="1"/>
  <c r="F22" i="22"/>
  <c r="I22" i="22" s="1"/>
  <c r="F23" i="22"/>
  <c r="I23" i="22" s="1"/>
  <c r="F24" i="22"/>
  <c r="I24" i="22" s="1"/>
  <c r="F25" i="22"/>
  <c r="I25" i="22" s="1"/>
  <c r="F26" i="22"/>
  <c r="I26" i="22" s="1"/>
  <c r="F27" i="22"/>
  <c r="I27" i="22" s="1"/>
  <c r="F28" i="22"/>
  <c r="I28" i="22" s="1"/>
  <c r="F29" i="22"/>
  <c r="I29" i="22" s="1"/>
  <c r="F30" i="22"/>
  <c r="I30" i="22" s="1"/>
  <c r="F31" i="22"/>
  <c r="I31" i="22" s="1"/>
  <c r="F32" i="22"/>
  <c r="I32" i="22" s="1"/>
  <c r="F3" i="22"/>
  <c r="J23" i="13"/>
  <c r="H5" i="20"/>
  <c r="H6" i="20"/>
  <c r="H4" i="20"/>
  <c r="D40" i="19"/>
  <c r="D37" i="19"/>
  <c r="D33" i="19"/>
  <c r="D32" i="19"/>
  <c r="D22" i="19"/>
  <c r="D21" i="19"/>
  <c r="G11" i="19"/>
  <c r="H11" i="19"/>
  <c r="I11" i="19"/>
  <c r="F11" i="19"/>
  <c r="D15" i="19"/>
  <c r="D9" i="19"/>
  <c r="E9" i="19" s="1"/>
  <c r="F9" i="19" s="1"/>
  <c r="G9" i="19" s="1"/>
  <c r="H9" i="19" s="1"/>
  <c r="I9" i="19" s="1"/>
  <c r="D6" i="19"/>
  <c r="E4" i="19"/>
  <c r="F4" i="19" s="1"/>
  <c r="G4" i="19" s="1"/>
  <c r="H4" i="19" s="1"/>
  <c r="I4" i="19" s="1"/>
  <c r="H66" i="18"/>
  <c r="F64" i="18"/>
  <c r="G64" i="18"/>
  <c r="H64" i="18"/>
  <c r="E64" i="18"/>
  <c r="E62" i="18"/>
  <c r="F62" i="18"/>
  <c r="G62" i="18"/>
  <c r="H62" i="18"/>
  <c r="D62" i="18"/>
  <c r="F61" i="18"/>
  <c r="G61" i="18"/>
  <c r="H61" i="18"/>
  <c r="E61" i="18"/>
  <c r="E59" i="18"/>
  <c r="F59" i="18"/>
  <c r="G59" i="18"/>
  <c r="H59" i="18"/>
  <c r="D59" i="18"/>
  <c r="H57" i="18"/>
  <c r="F55" i="18"/>
  <c r="G55" i="18"/>
  <c r="H55" i="18"/>
  <c r="E55" i="18"/>
  <c r="F54" i="18"/>
  <c r="G54" i="18"/>
  <c r="H54" i="18"/>
  <c r="E54" i="18"/>
  <c r="E52" i="18"/>
  <c r="F52" i="18"/>
  <c r="G52" i="18"/>
  <c r="H52" i="18"/>
  <c r="D52" i="18"/>
  <c r="E50" i="18"/>
  <c r="F50" i="18"/>
  <c r="G50" i="18"/>
  <c r="H50" i="18"/>
  <c r="D50" i="18"/>
  <c r="F48" i="18"/>
  <c r="G48" i="18"/>
  <c r="H48" i="18"/>
  <c r="E48" i="18"/>
  <c r="E47" i="18"/>
  <c r="F47" i="18"/>
  <c r="G47" i="18"/>
  <c r="H47" i="18"/>
  <c r="D47" i="18"/>
  <c r="E45" i="18"/>
  <c r="F45" i="18"/>
  <c r="G45" i="18"/>
  <c r="H45" i="18"/>
  <c r="D45" i="18"/>
  <c r="H42" i="18"/>
  <c r="H41" i="18"/>
  <c r="E39" i="18"/>
  <c r="F39" i="18"/>
  <c r="G39" i="18"/>
  <c r="H39" i="18"/>
  <c r="D39" i="18"/>
  <c r="E37" i="18"/>
  <c r="F37" i="18"/>
  <c r="G37" i="18"/>
  <c r="H37" i="18"/>
  <c r="D37" i="18"/>
  <c r="E35" i="18"/>
  <c r="F35" i="18"/>
  <c r="G35" i="18"/>
  <c r="H35" i="18"/>
  <c r="D35" i="18"/>
  <c r="E33" i="18"/>
  <c r="F33" i="18"/>
  <c r="G33" i="18"/>
  <c r="H33" i="18"/>
  <c r="D33" i="18"/>
  <c r="E32" i="18"/>
  <c r="F32" i="18"/>
  <c r="G32" i="18"/>
  <c r="H32" i="18"/>
  <c r="D32" i="18"/>
  <c r="E31" i="18"/>
  <c r="F31" i="18"/>
  <c r="G31" i="18"/>
  <c r="H31" i="18"/>
  <c r="D31" i="18"/>
  <c r="D23" i="18"/>
  <c r="E23" i="18"/>
  <c r="F23" i="18"/>
  <c r="G23" i="18"/>
  <c r="H23" i="18"/>
  <c r="D24" i="18"/>
  <c r="E24" i="18"/>
  <c r="F24" i="18"/>
  <c r="G24" i="18"/>
  <c r="H24" i="18"/>
  <c r="D25" i="18"/>
  <c r="E25" i="18"/>
  <c r="F25" i="18"/>
  <c r="G25" i="18"/>
  <c r="H25" i="18"/>
  <c r="D26" i="18"/>
  <c r="E26" i="18"/>
  <c r="F26" i="18"/>
  <c r="G26" i="18"/>
  <c r="H26" i="18"/>
  <c r="D27" i="18"/>
  <c r="E27" i="18"/>
  <c r="F27" i="18"/>
  <c r="G27" i="18"/>
  <c r="H27" i="18"/>
  <c r="D28" i="18"/>
  <c r="E28" i="18"/>
  <c r="F28" i="18"/>
  <c r="G28" i="18"/>
  <c r="H28" i="18"/>
  <c r="D29" i="18"/>
  <c r="E29" i="18"/>
  <c r="F29" i="18"/>
  <c r="G29" i="18"/>
  <c r="H29" i="18"/>
  <c r="D30" i="18"/>
  <c r="E30" i="18"/>
  <c r="F30" i="18"/>
  <c r="G30" i="18"/>
  <c r="H30" i="18"/>
  <c r="E22" i="18"/>
  <c r="F22" i="18"/>
  <c r="G22" i="18"/>
  <c r="H22" i="18"/>
  <c r="D22" i="18"/>
  <c r="B23" i="18"/>
  <c r="B24" i="18"/>
  <c r="B25" i="18"/>
  <c r="B26" i="18"/>
  <c r="B27" i="18"/>
  <c r="B28" i="18"/>
  <c r="B29" i="18"/>
  <c r="B30" i="18"/>
  <c r="B22" i="18"/>
  <c r="E19" i="18"/>
  <c r="F19" i="18"/>
  <c r="G19" i="18"/>
  <c r="H19" i="18"/>
  <c r="D19" i="18"/>
  <c r="E17" i="18"/>
  <c r="F17" i="18"/>
  <c r="G17" i="18"/>
  <c r="H17" i="18"/>
  <c r="D17" i="18"/>
  <c r="D15" i="18"/>
  <c r="E15" i="18"/>
  <c r="F15" i="18"/>
  <c r="G15" i="18"/>
  <c r="H15" i="18"/>
  <c r="D16" i="18"/>
  <c r="E16" i="18"/>
  <c r="F16" i="18"/>
  <c r="G16" i="18"/>
  <c r="H16" i="18"/>
  <c r="E14" i="18"/>
  <c r="F14" i="18"/>
  <c r="G14" i="18"/>
  <c r="H14" i="18"/>
  <c r="D14" i="18"/>
  <c r="B15" i="18"/>
  <c r="B16" i="18"/>
  <c r="B14" i="18"/>
  <c r="E11" i="18"/>
  <c r="F11" i="18"/>
  <c r="G11" i="18"/>
  <c r="H11" i="18"/>
  <c r="D11" i="18"/>
  <c r="E10" i="18"/>
  <c r="F10" i="18"/>
  <c r="G10" i="18"/>
  <c r="H10" i="18"/>
  <c r="D10" i="18"/>
  <c r="E9" i="18"/>
  <c r="F9" i="18"/>
  <c r="G9" i="18"/>
  <c r="H9" i="18"/>
  <c r="D9" i="18"/>
  <c r="E8" i="18"/>
  <c r="F8" i="18"/>
  <c r="G8" i="18"/>
  <c r="H8" i="18"/>
  <c r="D8" i="18"/>
  <c r="E7" i="18"/>
  <c r="F7" i="18"/>
  <c r="G7" i="18"/>
  <c r="H7" i="18"/>
  <c r="D7" i="18"/>
  <c r="B10" i="18"/>
  <c r="B9" i="18"/>
  <c r="B8" i="18"/>
  <c r="B7" i="18"/>
  <c r="E4" i="18"/>
  <c r="F4" i="18"/>
  <c r="G4" i="18"/>
  <c r="H4" i="18"/>
  <c r="D4" i="18"/>
  <c r="D56" i="14"/>
  <c r="E56" i="14"/>
  <c r="F56" i="14"/>
  <c r="G56" i="14"/>
  <c r="H56" i="14"/>
  <c r="I56" i="14"/>
  <c r="J56" i="14"/>
  <c r="K56" i="14"/>
  <c r="L56" i="14"/>
  <c r="D57" i="14"/>
  <c r="E57" i="14"/>
  <c r="F57" i="14"/>
  <c r="G57" i="14"/>
  <c r="H57" i="14"/>
  <c r="I57" i="14"/>
  <c r="J57" i="14"/>
  <c r="K57" i="14"/>
  <c r="L57" i="14"/>
  <c r="D58" i="14"/>
  <c r="E58" i="14"/>
  <c r="F58" i="14"/>
  <c r="G58" i="14"/>
  <c r="H58" i="14"/>
  <c r="I58" i="14"/>
  <c r="J58" i="14"/>
  <c r="K58" i="14"/>
  <c r="L58" i="14"/>
  <c r="D59" i="14"/>
  <c r="E59" i="14"/>
  <c r="F59" i="14"/>
  <c r="G59" i="14"/>
  <c r="H59" i="14"/>
  <c r="I59" i="14"/>
  <c r="J59" i="14"/>
  <c r="K59" i="14"/>
  <c r="L59" i="14"/>
  <c r="D60" i="14"/>
  <c r="E60" i="14"/>
  <c r="F60" i="14"/>
  <c r="G60" i="14"/>
  <c r="H60" i="14"/>
  <c r="I60" i="14"/>
  <c r="J60" i="14"/>
  <c r="K60" i="14"/>
  <c r="L60" i="14"/>
  <c r="D61" i="14"/>
  <c r="E61" i="14"/>
  <c r="F61" i="14"/>
  <c r="G61" i="14"/>
  <c r="H61" i="14"/>
  <c r="I61" i="14"/>
  <c r="J61" i="14"/>
  <c r="K61" i="14"/>
  <c r="L61" i="14"/>
  <c r="C57" i="14"/>
  <c r="C58" i="14"/>
  <c r="C59" i="14"/>
  <c r="C60" i="14"/>
  <c r="C61" i="14"/>
  <c r="C56" i="14"/>
  <c r="D55" i="14"/>
  <c r="E55" i="14"/>
  <c r="F55" i="14"/>
  <c r="G55" i="14"/>
  <c r="H55" i="14"/>
  <c r="I55" i="14"/>
  <c r="J55" i="14"/>
  <c r="K55" i="14"/>
  <c r="L55" i="14"/>
  <c r="C55" i="14"/>
  <c r="D52" i="14"/>
  <c r="E52" i="14"/>
  <c r="F52" i="14"/>
  <c r="G52" i="14"/>
  <c r="H52" i="14"/>
  <c r="I52" i="14"/>
  <c r="J52" i="14"/>
  <c r="K52" i="14"/>
  <c r="L52" i="14"/>
  <c r="D53" i="14"/>
  <c r="E53" i="14"/>
  <c r="F53" i="14"/>
  <c r="G53" i="14"/>
  <c r="H53" i="14"/>
  <c r="I53" i="14"/>
  <c r="J53" i="14"/>
  <c r="K53" i="14"/>
  <c r="L53" i="14"/>
  <c r="C53" i="14"/>
  <c r="C52" i="14"/>
  <c r="B57" i="14"/>
  <c r="B58" i="14"/>
  <c r="B59" i="14"/>
  <c r="B60" i="14"/>
  <c r="B61" i="14"/>
  <c r="B56" i="14"/>
  <c r="B55" i="14"/>
  <c r="B53" i="14"/>
  <c r="B52" i="14"/>
  <c r="C48" i="14"/>
  <c r="D50" i="14"/>
  <c r="E50" i="14"/>
  <c r="F50" i="14"/>
  <c r="G50" i="14"/>
  <c r="H50" i="14"/>
  <c r="I50" i="14"/>
  <c r="J50" i="14"/>
  <c r="K50" i="14"/>
  <c r="L50" i="14"/>
  <c r="C50" i="14"/>
  <c r="D49" i="14"/>
  <c r="E49" i="14"/>
  <c r="F49" i="14"/>
  <c r="G49" i="14"/>
  <c r="H49" i="14"/>
  <c r="I49" i="14"/>
  <c r="J49" i="14"/>
  <c r="K49" i="14"/>
  <c r="L49" i="14"/>
  <c r="C49" i="14"/>
  <c r="B49" i="14"/>
  <c r="D48" i="14"/>
  <c r="E48" i="14"/>
  <c r="F48" i="14"/>
  <c r="G48" i="14"/>
  <c r="H48" i="14"/>
  <c r="I48" i="14"/>
  <c r="J48" i="14"/>
  <c r="K48" i="14"/>
  <c r="L48" i="14"/>
  <c r="D39" i="14"/>
  <c r="E39" i="14"/>
  <c r="F39" i="14"/>
  <c r="G39" i="14"/>
  <c r="H39" i="14"/>
  <c r="I39" i="14"/>
  <c r="J39" i="14"/>
  <c r="K39" i="14"/>
  <c r="L39" i="14"/>
  <c r="D40" i="14"/>
  <c r="E40" i="14"/>
  <c r="F40" i="14"/>
  <c r="G40" i="14"/>
  <c r="H40" i="14"/>
  <c r="I40" i="14"/>
  <c r="J40" i="14"/>
  <c r="K40" i="14"/>
  <c r="L40" i="14"/>
  <c r="D41" i="14"/>
  <c r="E41" i="14"/>
  <c r="F41" i="14"/>
  <c r="G41" i="14"/>
  <c r="H41" i="14"/>
  <c r="I41" i="14"/>
  <c r="J41" i="14"/>
  <c r="K41" i="14"/>
  <c r="L41" i="14"/>
  <c r="D42" i="14"/>
  <c r="E42" i="14"/>
  <c r="F42" i="14"/>
  <c r="G42" i="14"/>
  <c r="H42" i="14"/>
  <c r="I42" i="14"/>
  <c r="J42" i="14"/>
  <c r="K42" i="14"/>
  <c r="L42" i="14"/>
  <c r="D43" i="14"/>
  <c r="E43" i="14"/>
  <c r="F43" i="14"/>
  <c r="G43" i="14"/>
  <c r="H43" i="14"/>
  <c r="I43" i="14"/>
  <c r="J43" i="14"/>
  <c r="K43" i="14"/>
  <c r="L43" i="14"/>
  <c r="D44" i="14"/>
  <c r="E44" i="14"/>
  <c r="F44" i="14"/>
  <c r="G44" i="14"/>
  <c r="H44" i="14"/>
  <c r="I44" i="14"/>
  <c r="J44" i="14"/>
  <c r="K44" i="14"/>
  <c r="L44" i="14"/>
  <c r="D45" i="14"/>
  <c r="E45" i="14"/>
  <c r="F45" i="14"/>
  <c r="G45" i="14"/>
  <c r="H45" i="14"/>
  <c r="I45" i="14"/>
  <c r="J45" i="14"/>
  <c r="K45" i="14"/>
  <c r="L45" i="14"/>
  <c r="D46" i="14"/>
  <c r="E46" i="14"/>
  <c r="F46" i="14"/>
  <c r="G46" i="14"/>
  <c r="H46" i="14"/>
  <c r="I46" i="14"/>
  <c r="J46" i="14"/>
  <c r="K46" i="14"/>
  <c r="L46" i="14"/>
  <c r="D47" i="14"/>
  <c r="E47" i="14"/>
  <c r="F47" i="14"/>
  <c r="G47" i="14"/>
  <c r="H47" i="14"/>
  <c r="I47" i="14"/>
  <c r="J47" i="14"/>
  <c r="K47" i="14"/>
  <c r="L47" i="14"/>
  <c r="C40" i="14"/>
  <c r="C41" i="14"/>
  <c r="C42" i="14"/>
  <c r="C43" i="14"/>
  <c r="C44" i="14"/>
  <c r="C45" i="14"/>
  <c r="C46" i="14"/>
  <c r="C47" i="14"/>
  <c r="C39" i="14"/>
  <c r="B47" i="14"/>
  <c r="B40" i="14"/>
  <c r="B41" i="14"/>
  <c r="B42" i="14"/>
  <c r="B43" i="14"/>
  <c r="B44" i="14"/>
  <c r="B45" i="14"/>
  <c r="B46" i="14"/>
  <c r="B39" i="14"/>
  <c r="D38" i="14"/>
  <c r="E38" i="14"/>
  <c r="F38" i="14"/>
  <c r="G38" i="14"/>
  <c r="H38" i="14"/>
  <c r="I38" i="14"/>
  <c r="J38" i="14"/>
  <c r="K38" i="14"/>
  <c r="L38" i="14"/>
  <c r="C38" i="14"/>
  <c r="C34" i="14"/>
  <c r="D34" i="14"/>
  <c r="E34" i="14"/>
  <c r="F34" i="14"/>
  <c r="G34" i="14"/>
  <c r="H34" i="14"/>
  <c r="I34" i="14"/>
  <c r="J34" i="14"/>
  <c r="K34" i="14"/>
  <c r="L34" i="14"/>
  <c r="C35" i="14"/>
  <c r="D35" i="14"/>
  <c r="E35" i="14"/>
  <c r="F35" i="14"/>
  <c r="G35" i="14"/>
  <c r="H35" i="14"/>
  <c r="I35" i="14"/>
  <c r="J35" i="14"/>
  <c r="K35" i="14"/>
  <c r="L35" i="14"/>
  <c r="C36" i="14"/>
  <c r="D36" i="14"/>
  <c r="E36" i="14"/>
  <c r="F36" i="14"/>
  <c r="G36" i="14"/>
  <c r="H36" i="14"/>
  <c r="I36" i="14"/>
  <c r="J36" i="14"/>
  <c r="K36" i="14"/>
  <c r="L36" i="14"/>
  <c r="D33" i="14"/>
  <c r="E33" i="14"/>
  <c r="F33" i="14"/>
  <c r="G33" i="14"/>
  <c r="H33" i="14"/>
  <c r="I33" i="14"/>
  <c r="J33" i="14"/>
  <c r="K33" i="14"/>
  <c r="L33" i="14"/>
  <c r="C33" i="14"/>
  <c r="B34" i="14"/>
  <c r="B35" i="14"/>
  <c r="B36" i="14"/>
  <c r="B33" i="14"/>
  <c r="D31" i="14"/>
  <c r="E31" i="14"/>
  <c r="F31" i="14"/>
  <c r="G31" i="14"/>
  <c r="H31" i="14"/>
  <c r="I31" i="14"/>
  <c r="J31" i="14"/>
  <c r="K31" i="14"/>
  <c r="L31" i="14"/>
  <c r="D32" i="14"/>
  <c r="E32" i="14"/>
  <c r="F32" i="14"/>
  <c r="G32" i="14"/>
  <c r="H32" i="14"/>
  <c r="I32" i="14"/>
  <c r="J32" i="14"/>
  <c r="K32" i="14"/>
  <c r="L32" i="14"/>
  <c r="C32" i="14"/>
  <c r="D30" i="14"/>
  <c r="E30" i="14"/>
  <c r="F30" i="14"/>
  <c r="G30" i="14"/>
  <c r="H30" i="14"/>
  <c r="I30" i="14"/>
  <c r="J30" i="14"/>
  <c r="K30" i="14"/>
  <c r="L30" i="14"/>
  <c r="C31" i="14"/>
  <c r="C30" i="14"/>
  <c r="D28" i="14"/>
  <c r="E28" i="14"/>
  <c r="F28" i="14"/>
  <c r="G28" i="14"/>
  <c r="H28" i="14"/>
  <c r="I28" i="14"/>
  <c r="J28" i="14"/>
  <c r="K28" i="14"/>
  <c r="L28" i="14"/>
  <c r="D29" i="14"/>
  <c r="E29" i="14"/>
  <c r="F29" i="14"/>
  <c r="G29" i="14"/>
  <c r="H29" i="14"/>
  <c r="I29" i="14"/>
  <c r="J29" i="14"/>
  <c r="K29" i="14"/>
  <c r="L29" i="14"/>
  <c r="C29" i="14"/>
  <c r="C28" i="14"/>
  <c r="C27" i="14"/>
  <c r="D27" i="14"/>
  <c r="E27" i="14"/>
  <c r="F27" i="14"/>
  <c r="G27" i="14"/>
  <c r="H27" i="14"/>
  <c r="I27" i="14"/>
  <c r="J27" i="14"/>
  <c r="K27" i="14"/>
  <c r="L27" i="14"/>
  <c r="D23" i="14"/>
  <c r="E23" i="14"/>
  <c r="F23" i="14"/>
  <c r="G23" i="14"/>
  <c r="H23" i="14"/>
  <c r="I23" i="14"/>
  <c r="J23" i="14"/>
  <c r="K23" i="14"/>
  <c r="L23" i="14"/>
  <c r="C23" i="14"/>
  <c r="D22" i="14"/>
  <c r="E22" i="14"/>
  <c r="F22" i="14"/>
  <c r="G22" i="14"/>
  <c r="H22" i="14"/>
  <c r="I22" i="14"/>
  <c r="J22" i="14"/>
  <c r="K22" i="14"/>
  <c r="L22" i="14"/>
  <c r="C22" i="14"/>
  <c r="D21" i="14"/>
  <c r="E21" i="14"/>
  <c r="F21" i="14"/>
  <c r="G21" i="14"/>
  <c r="H21" i="14"/>
  <c r="I21" i="14"/>
  <c r="J21" i="14"/>
  <c r="K21" i="14"/>
  <c r="L21" i="14"/>
  <c r="C21" i="14"/>
  <c r="C6" i="14"/>
  <c r="D6" i="14"/>
  <c r="E6" i="14"/>
  <c r="F6" i="14"/>
  <c r="G6" i="14"/>
  <c r="H6" i="14"/>
  <c r="I6" i="14"/>
  <c r="J6" i="14"/>
  <c r="K6" i="14"/>
  <c r="L6" i="14"/>
  <c r="C7" i="14"/>
  <c r="D7" i="14"/>
  <c r="E7" i="14"/>
  <c r="F7" i="14"/>
  <c r="G7" i="14"/>
  <c r="H7" i="14"/>
  <c r="I7" i="14"/>
  <c r="J7" i="14"/>
  <c r="K7" i="14"/>
  <c r="L7" i="14"/>
  <c r="C8" i="14"/>
  <c r="D8" i="14"/>
  <c r="E8" i="14"/>
  <c r="F8" i="14"/>
  <c r="G8" i="14"/>
  <c r="H8" i="14"/>
  <c r="I8" i="14"/>
  <c r="J8" i="14"/>
  <c r="K8" i="14"/>
  <c r="L8" i="14"/>
  <c r="C9" i="14"/>
  <c r="D9" i="14"/>
  <c r="E9" i="14"/>
  <c r="F9" i="14"/>
  <c r="G9" i="14"/>
  <c r="H9" i="14"/>
  <c r="I9" i="14"/>
  <c r="J9" i="14"/>
  <c r="K9" i="14"/>
  <c r="L9" i="14"/>
  <c r="C10" i="14"/>
  <c r="D10" i="14"/>
  <c r="E10" i="14"/>
  <c r="F10" i="14"/>
  <c r="G10" i="14"/>
  <c r="H10" i="14"/>
  <c r="I10" i="14"/>
  <c r="J10" i="14"/>
  <c r="K10" i="14"/>
  <c r="L10" i="14"/>
  <c r="C11" i="14"/>
  <c r="D11" i="14"/>
  <c r="E11" i="14"/>
  <c r="F11" i="14"/>
  <c r="G11" i="14"/>
  <c r="H11" i="14"/>
  <c r="I11" i="14"/>
  <c r="J11" i="14"/>
  <c r="K11" i="14"/>
  <c r="L11" i="14"/>
  <c r="C12" i="14"/>
  <c r="D12" i="14"/>
  <c r="E12" i="14"/>
  <c r="F12" i="14"/>
  <c r="G12" i="14"/>
  <c r="H12" i="14"/>
  <c r="I12" i="14"/>
  <c r="J12" i="14"/>
  <c r="K12" i="14"/>
  <c r="L12" i="14"/>
  <c r="C13" i="14"/>
  <c r="D13" i="14"/>
  <c r="E13" i="14"/>
  <c r="F13" i="14"/>
  <c r="G13" i="14"/>
  <c r="H13" i="14"/>
  <c r="I13" i="14"/>
  <c r="J13" i="14"/>
  <c r="K13" i="14"/>
  <c r="L13" i="14"/>
  <c r="C14" i="14"/>
  <c r="D14" i="14"/>
  <c r="E14" i="14"/>
  <c r="F14" i="14"/>
  <c r="G14" i="14"/>
  <c r="H14" i="14"/>
  <c r="I14" i="14"/>
  <c r="J14" i="14"/>
  <c r="K14" i="14"/>
  <c r="L14" i="14"/>
  <c r="C15" i="14"/>
  <c r="D15" i="14"/>
  <c r="E15" i="14"/>
  <c r="F15" i="14"/>
  <c r="G15" i="14"/>
  <c r="H15" i="14"/>
  <c r="I15" i="14"/>
  <c r="J15" i="14"/>
  <c r="K15" i="14"/>
  <c r="L15" i="14"/>
  <c r="C16" i="14"/>
  <c r="D16" i="14"/>
  <c r="E16" i="14"/>
  <c r="F16" i="14"/>
  <c r="G16" i="14"/>
  <c r="H16" i="14"/>
  <c r="I16" i="14"/>
  <c r="J16" i="14"/>
  <c r="K16" i="14"/>
  <c r="L16" i="14"/>
  <c r="C17" i="14"/>
  <c r="D17" i="14"/>
  <c r="E17" i="14"/>
  <c r="F17" i="14"/>
  <c r="G17" i="14"/>
  <c r="H17" i="14"/>
  <c r="I17" i="14"/>
  <c r="J17" i="14"/>
  <c r="K17" i="14"/>
  <c r="L17" i="14"/>
  <c r="C18" i="14"/>
  <c r="D18" i="14"/>
  <c r="E18" i="14"/>
  <c r="F18" i="14"/>
  <c r="G18" i="14"/>
  <c r="H18" i="14"/>
  <c r="I18" i="14"/>
  <c r="J18" i="14"/>
  <c r="K18" i="14"/>
  <c r="L18" i="14"/>
  <c r="C19" i="14"/>
  <c r="D19" i="14"/>
  <c r="E19" i="14"/>
  <c r="F19" i="14"/>
  <c r="G19" i="14"/>
  <c r="H19" i="14"/>
  <c r="I19" i="14"/>
  <c r="J19" i="14"/>
  <c r="K19" i="14"/>
  <c r="L19" i="14"/>
  <c r="D5" i="14"/>
  <c r="E5" i="14"/>
  <c r="F5" i="14"/>
  <c r="G5" i="14"/>
  <c r="H5" i="14"/>
  <c r="I5" i="14"/>
  <c r="J5" i="14"/>
  <c r="K5" i="14"/>
  <c r="L5" i="14"/>
  <c r="C5" i="14"/>
  <c r="B31" i="14"/>
  <c r="B32" i="14"/>
  <c r="B30" i="14"/>
  <c r="B29" i="14"/>
  <c r="B28" i="14"/>
  <c r="B27" i="14"/>
  <c r="D26" i="14"/>
  <c r="E26" i="14"/>
  <c r="F26" i="14"/>
  <c r="G26" i="14"/>
  <c r="H26" i="14"/>
  <c r="I26" i="14"/>
  <c r="J26" i="14"/>
  <c r="K26" i="14"/>
  <c r="L26" i="14"/>
  <c r="C26" i="14"/>
  <c r="B17" i="14"/>
  <c r="B18" i="14"/>
  <c r="B19" i="14"/>
  <c r="B15" i="14"/>
  <c r="B16" i="14"/>
  <c r="B13" i="14"/>
  <c r="B14" i="14"/>
  <c r="L4" i="14"/>
  <c r="D4" i="14"/>
  <c r="E4" i="14"/>
  <c r="F4" i="14"/>
  <c r="G4" i="14"/>
  <c r="H4" i="14"/>
  <c r="I4" i="14"/>
  <c r="J4" i="14"/>
  <c r="K4" i="14"/>
  <c r="C4" i="14"/>
  <c r="B6" i="14"/>
  <c r="B7" i="14"/>
  <c r="B8" i="14"/>
  <c r="B9" i="14"/>
  <c r="B10" i="14"/>
  <c r="B11" i="14"/>
  <c r="B12" i="14"/>
  <c r="B5" i="14"/>
  <c r="I17" i="13"/>
  <c r="I18" i="13"/>
  <c r="F18" i="13"/>
  <c r="F17" i="13"/>
  <c r="D23" i="13" s="1"/>
  <c r="E10" i="13"/>
  <c r="E11" i="13"/>
  <c r="E12" i="13"/>
  <c r="E13" i="13"/>
  <c r="E14" i="13"/>
  <c r="E15" i="13"/>
  <c r="E9" i="13"/>
  <c r="C31" i="13" s="1"/>
  <c r="D10" i="13"/>
  <c r="D11" i="13"/>
  <c r="G11" i="13" s="1"/>
  <c r="J11" i="13" s="1"/>
  <c r="D12" i="13"/>
  <c r="G12" i="13" s="1"/>
  <c r="J12" i="13" s="1"/>
  <c r="D13" i="13"/>
  <c r="G13" i="13" s="1"/>
  <c r="J13" i="13" s="1"/>
  <c r="D14" i="13"/>
  <c r="D15" i="13"/>
  <c r="H15" i="13" s="1"/>
  <c r="D9" i="13"/>
  <c r="D22" i="13" s="1"/>
  <c r="B9" i="13"/>
  <c r="B10" i="13"/>
  <c r="B11" i="13"/>
  <c r="B12" i="13"/>
  <c r="B13" i="13"/>
  <c r="B14" i="13"/>
  <c r="B15" i="13"/>
  <c r="Q33" i="9"/>
  <c r="Q34" i="9"/>
  <c r="Q32" i="9"/>
  <c r="P33" i="9"/>
  <c r="P34" i="9"/>
  <c r="P32" i="9"/>
  <c r="Q27" i="9"/>
  <c r="Q28" i="9"/>
  <c r="Q29" i="9"/>
  <c r="Q30" i="9"/>
  <c r="P27" i="9"/>
  <c r="Q26" i="9"/>
  <c r="P28" i="9"/>
  <c r="P29" i="9"/>
  <c r="P30" i="9"/>
  <c r="P26" i="9"/>
  <c r="Q21" i="9"/>
  <c r="Q22" i="9"/>
  <c r="Q23" i="9"/>
  <c r="Q24" i="9"/>
  <c r="Q20" i="9"/>
  <c r="P24" i="9"/>
  <c r="P21" i="9"/>
  <c r="P22" i="9"/>
  <c r="P23" i="9"/>
  <c r="P20" i="9"/>
  <c r="Q18" i="9"/>
  <c r="Q17" i="9"/>
  <c r="P18" i="9"/>
  <c r="P17" i="9"/>
  <c r="Q12" i="9"/>
  <c r="Q13" i="9"/>
  <c r="Q14" i="9"/>
  <c r="Q15" i="9"/>
  <c r="Q11" i="9"/>
  <c r="P12" i="9"/>
  <c r="P13" i="9"/>
  <c r="P14" i="9"/>
  <c r="P15" i="9"/>
  <c r="P11" i="9"/>
  <c r="Q6" i="9"/>
  <c r="Q7" i="9"/>
  <c r="Q8" i="9"/>
  <c r="Q9" i="9"/>
  <c r="Q5" i="9"/>
  <c r="P9" i="9"/>
  <c r="P6" i="9"/>
  <c r="P7" i="9"/>
  <c r="P8" i="9"/>
  <c r="P5" i="9"/>
  <c r="O21" i="10"/>
  <c r="O22" i="10"/>
  <c r="N21" i="10"/>
  <c r="N22" i="10"/>
  <c r="M21" i="10"/>
  <c r="M22" i="10"/>
  <c r="L21" i="10"/>
  <c r="L22" i="10" s="1"/>
  <c r="I21" i="10"/>
  <c r="J21" i="10"/>
  <c r="J22" i="10"/>
  <c r="I22" i="10"/>
  <c r="G21" i="10"/>
  <c r="G22" i="10"/>
  <c r="D29" i="11"/>
  <c r="E29" i="11"/>
  <c r="F29" i="11"/>
  <c r="G29" i="11"/>
  <c r="H29" i="11"/>
  <c r="I29" i="11"/>
  <c r="J29" i="11"/>
  <c r="K29" i="11"/>
  <c r="L29" i="11"/>
  <c r="M29" i="11"/>
  <c r="N29" i="11"/>
  <c r="C29" i="11"/>
  <c r="O16" i="10"/>
  <c r="O17" i="10"/>
  <c r="O18" i="10"/>
  <c r="O19" i="10"/>
  <c r="O20" i="10"/>
  <c r="N17" i="10"/>
  <c r="N18" i="10"/>
  <c r="N19" i="10"/>
  <c r="N20" i="10"/>
  <c r="N16" i="10"/>
  <c r="O8" i="10"/>
  <c r="O9" i="10"/>
  <c r="O10" i="10"/>
  <c r="O11" i="10"/>
  <c r="O12" i="10"/>
  <c r="O13" i="10"/>
  <c r="O14" i="10"/>
  <c r="O15" i="10"/>
  <c r="O7" i="10"/>
  <c r="M18" i="10"/>
  <c r="M19" i="10" s="1"/>
  <c r="M20" i="10" s="1"/>
  <c r="M17" i="10"/>
  <c r="M8" i="10"/>
  <c r="M9" i="10"/>
  <c r="M10" i="10"/>
  <c r="M11" i="10" s="1"/>
  <c r="M12" i="10" s="1"/>
  <c r="M13" i="10" s="1"/>
  <c r="M14" i="10" s="1"/>
  <c r="M15" i="10" s="1"/>
  <c r="M7" i="10"/>
  <c r="L16" i="10"/>
  <c r="L17" i="10"/>
  <c r="L18" i="10"/>
  <c r="L19" i="10"/>
  <c r="L20" i="10"/>
  <c r="L8" i="10"/>
  <c r="L9" i="10"/>
  <c r="L10" i="10"/>
  <c r="L11" i="10"/>
  <c r="L12" i="10"/>
  <c r="L13" i="10"/>
  <c r="L14" i="10"/>
  <c r="L15" i="10"/>
  <c r="L7" i="10"/>
  <c r="J16" i="10"/>
  <c r="J17" i="10"/>
  <c r="J18" i="10"/>
  <c r="J19" i="10"/>
  <c r="J20" i="10"/>
  <c r="I17" i="10"/>
  <c r="I18" i="10"/>
  <c r="I19" i="10"/>
  <c r="I20" i="10"/>
  <c r="I16" i="10"/>
  <c r="I3" i="22" l="1"/>
  <c r="H7" i="21" s="1"/>
  <c r="F7" i="21"/>
  <c r="P7" i="21" s="1"/>
  <c r="I12" i="22"/>
  <c r="H16" i="21" s="1"/>
  <c r="F16" i="21"/>
  <c r="P16" i="21" s="1"/>
  <c r="I11" i="22"/>
  <c r="H15" i="21" s="1"/>
  <c r="F15" i="21"/>
  <c r="P15" i="21" s="1"/>
  <c r="I4" i="22"/>
  <c r="H8" i="21" s="1"/>
  <c r="F8" i="21"/>
  <c r="P8" i="21" s="1"/>
  <c r="I8" i="22"/>
  <c r="H12" i="21" s="1"/>
  <c r="F12" i="21"/>
  <c r="P12" i="21" s="1"/>
  <c r="I5" i="22"/>
  <c r="H9" i="21" s="1"/>
  <c r="F9" i="21"/>
  <c r="P9" i="21" s="1"/>
  <c r="I10" i="22"/>
  <c r="H14" i="21" s="1"/>
  <c r="F14" i="21"/>
  <c r="P14" i="21" s="1"/>
  <c r="I9" i="22"/>
  <c r="H13" i="21" s="1"/>
  <c r="F13" i="21"/>
  <c r="P13" i="21" s="1"/>
  <c r="I7" i="22"/>
  <c r="H11" i="21" s="1"/>
  <c r="F11" i="21"/>
  <c r="P11" i="21" s="1"/>
  <c r="I6" i="22"/>
  <c r="H10" i="21" s="1"/>
  <c r="F10" i="21"/>
  <c r="P10" i="21" s="1"/>
  <c r="G14" i="13"/>
  <c r="J14" i="13" s="1"/>
  <c r="H10" i="13"/>
  <c r="H13" i="13"/>
  <c r="E6" i="19"/>
  <c r="F6" i="19" s="1"/>
  <c r="D8" i="19"/>
  <c r="D10" i="19" s="1"/>
  <c r="H12" i="13"/>
  <c r="J31" i="13"/>
  <c r="D24" i="13"/>
  <c r="J40" i="13" s="1"/>
  <c r="H11" i="13"/>
  <c r="H14" i="13"/>
  <c r="G10" i="13"/>
  <c r="J10" i="13" s="1"/>
  <c r="C30" i="13"/>
  <c r="C32" i="13" s="1"/>
  <c r="D32" i="13" s="1"/>
  <c r="E32" i="13" s="1"/>
  <c r="G9" i="13"/>
  <c r="G15" i="13"/>
  <c r="J15" i="13" s="1"/>
  <c r="H9" i="13"/>
  <c r="N9" i="21" l="1"/>
  <c r="O9" i="21"/>
  <c r="N12" i="21"/>
  <c r="O12" i="21"/>
  <c r="O10" i="21"/>
  <c r="N10" i="21"/>
  <c r="O11" i="21"/>
  <c r="N11" i="21"/>
  <c r="N13" i="21"/>
  <c r="O13" i="21"/>
  <c r="N8" i="21"/>
  <c r="O8" i="21"/>
  <c r="N15" i="21"/>
  <c r="O15" i="21"/>
  <c r="N16" i="21"/>
  <c r="O16" i="21"/>
  <c r="P20" i="21"/>
  <c r="P19" i="21"/>
  <c r="P23" i="21"/>
  <c r="P18" i="21"/>
  <c r="P22" i="21"/>
  <c r="P21" i="21"/>
  <c r="P29" i="21" s="1"/>
  <c r="N14" i="21"/>
  <c r="O14" i="21"/>
  <c r="N7" i="21"/>
  <c r="O7" i="21"/>
  <c r="E8" i="19"/>
  <c r="E10" i="19" s="1"/>
  <c r="G6" i="19"/>
  <c r="F8" i="19"/>
  <c r="F10" i="19" s="1"/>
  <c r="G18" i="13"/>
  <c r="G17" i="13"/>
  <c r="E30" i="13" s="1"/>
  <c r="J41" i="13" s="1"/>
  <c r="J9" i="13"/>
  <c r="D30" i="13"/>
  <c r="H18" i="13"/>
  <c r="H17" i="13"/>
  <c r="D31" i="13"/>
  <c r="P27" i="21" l="1"/>
  <c r="P31" i="21"/>
  <c r="P33" i="21" s="1"/>
  <c r="O20" i="21"/>
  <c r="O22" i="21"/>
  <c r="O23" i="21"/>
  <c r="O19" i="21"/>
  <c r="O18" i="21"/>
  <c r="O21" i="21"/>
  <c r="O27" i="21" s="1"/>
  <c r="O29" i="21" s="1"/>
  <c r="O31" i="21" s="1"/>
  <c r="O33" i="21" s="1"/>
  <c r="N21" i="21"/>
  <c r="N27" i="21" s="1"/>
  <c r="N29" i="21" s="1"/>
  <c r="N31" i="21" s="1"/>
  <c r="N33" i="21" s="1"/>
  <c r="N20" i="21"/>
  <c r="N19" i="21"/>
  <c r="N23" i="21"/>
  <c r="N18" i="21"/>
  <c r="N22" i="21"/>
  <c r="E31" i="13"/>
  <c r="J38" i="13" s="1"/>
  <c r="H6" i="19"/>
  <c r="G8" i="19"/>
  <c r="G10" i="19" s="1"/>
  <c r="D34" i="13"/>
  <c r="J17" i="13"/>
  <c r="J18" i="13"/>
  <c r="J29" i="13" s="1"/>
  <c r="E34" i="13"/>
  <c r="J30" i="13" s="1"/>
  <c r="J8" i="10"/>
  <c r="J9" i="10"/>
  <c r="J10" i="10"/>
  <c r="J11" i="10"/>
  <c r="J12" i="10"/>
  <c r="J13" i="10"/>
  <c r="J14" i="10"/>
  <c r="J15" i="10"/>
  <c r="J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 s="1"/>
  <c r="G7" i="10"/>
  <c r="H8" i="10"/>
  <c r="H9" i="10"/>
  <c r="H10" i="10"/>
  <c r="H11" i="10"/>
  <c r="H12" i="10"/>
  <c r="H13" i="10"/>
  <c r="H14" i="10"/>
  <c r="H15" i="10"/>
  <c r="H7" i="10"/>
  <c r="D19" i="10"/>
  <c r="D20" i="10"/>
  <c r="E20" i="10" s="1"/>
  <c r="D21" i="10"/>
  <c r="D22" i="10"/>
  <c r="D18" i="10"/>
  <c r="E18" i="10" s="1"/>
  <c r="E21" i="10"/>
  <c r="E22" i="10"/>
  <c r="I6" i="19" l="1"/>
  <c r="I8" i="19" s="1"/>
  <c r="I10" i="19" s="1"/>
  <c r="H8" i="19"/>
  <c r="H10" i="19" s="1"/>
  <c r="J32" i="13"/>
  <c r="J24" i="13" s="1"/>
  <c r="J25" i="13" s="1"/>
  <c r="J37" i="13" s="1"/>
  <c r="J43" i="13" s="1"/>
  <c r="D17" i="19" s="1"/>
  <c r="E19" i="10"/>
  <c r="B21" i="10"/>
  <c r="B22" i="10"/>
  <c r="C22" i="10"/>
  <c r="C18" i="10"/>
  <c r="C19" i="10" s="1"/>
  <c r="C20" i="10" s="1"/>
  <c r="C21" i="10" s="1"/>
  <c r="B18" i="10"/>
  <c r="B19" i="10" s="1"/>
  <c r="B20" i="10" s="1"/>
  <c r="E8" i="10"/>
  <c r="E9" i="10"/>
  <c r="E10" i="10"/>
  <c r="E11" i="10"/>
  <c r="E12" i="10"/>
  <c r="E13" i="10"/>
  <c r="E14" i="10"/>
  <c r="E15" i="10"/>
  <c r="E16" i="10"/>
  <c r="E17" i="10"/>
  <c r="E7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7" i="10"/>
  <c r="B8" i="10"/>
  <c r="B9" i="10"/>
  <c r="B10" i="10"/>
  <c r="B11" i="10" s="1"/>
  <c r="B12" i="10" s="1"/>
  <c r="B13" i="10" s="1"/>
  <c r="B14" i="10" s="1"/>
  <c r="B15" i="10" s="1"/>
  <c r="B16" i="10" s="1"/>
  <c r="B17" i="10" s="1"/>
  <c r="B7" i="10"/>
  <c r="E34" i="9"/>
  <c r="F34" i="9"/>
  <c r="G34" i="9"/>
  <c r="H34" i="9"/>
  <c r="I34" i="9"/>
  <c r="J34" i="9"/>
  <c r="K34" i="9"/>
  <c r="L34" i="9"/>
  <c r="M34" i="9"/>
  <c r="E33" i="9"/>
  <c r="F33" i="9"/>
  <c r="G33" i="9"/>
  <c r="H33" i="9"/>
  <c r="I33" i="9"/>
  <c r="J33" i="9"/>
  <c r="K33" i="9"/>
  <c r="L33" i="9"/>
  <c r="M33" i="9"/>
  <c r="E32" i="9"/>
  <c r="F32" i="9"/>
  <c r="G32" i="9"/>
  <c r="H32" i="9"/>
  <c r="I32" i="9"/>
  <c r="J32" i="9"/>
  <c r="K32" i="9"/>
  <c r="L32" i="9"/>
  <c r="M32" i="9"/>
  <c r="D34" i="9"/>
  <c r="D33" i="9"/>
  <c r="D32" i="9"/>
  <c r="E27" i="9"/>
  <c r="F27" i="9"/>
  <c r="G27" i="9"/>
  <c r="H27" i="9"/>
  <c r="I27" i="9"/>
  <c r="J27" i="9"/>
  <c r="K27" i="9"/>
  <c r="L27" i="9"/>
  <c r="M27" i="9"/>
  <c r="D27" i="9"/>
  <c r="E30" i="9"/>
  <c r="F30" i="9"/>
  <c r="G30" i="9"/>
  <c r="H30" i="9"/>
  <c r="I30" i="9"/>
  <c r="J30" i="9"/>
  <c r="K30" i="9"/>
  <c r="L30" i="9"/>
  <c r="M30" i="9"/>
  <c r="D30" i="9"/>
  <c r="E29" i="9"/>
  <c r="F29" i="9"/>
  <c r="G29" i="9"/>
  <c r="H29" i="9"/>
  <c r="I29" i="9"/>
  <c r="J29" i="9"/>
  <c r="K29" i="9"/>
  <c r="L29" i="9"/>
  <c r="M29" i="9"/>
  <c r="D29" i="9"/>
  <c r="E28" i="9"/>
  <c r="F28" i="9"/>
  <c r="G28" i="9"/>
  <c r="H28" i="9"/>
  <c r="I28" i="9"/>
  <c r="J28" i="9"/>
  <c r="K28" i="9"/>
  <c r="L28" i="9"/>
  <c r="M28" i="9"/>
  <c r="D28" i="9"/>
  <c r="E26" i="9"/>
  <c r="F26" i="9"/>
  <c r="G26" i="9"/>
  <c r="H26" i="9"/>
  <c r="I26" i="9"/>
  <c r="J26" i="9"/>
  <c r="K26" i="9"/>
  <c r="L26" i="9"/>
  <c r="M26" i="9"/>
  <c r="D26" i="9"/>
  <c r="E24" i="9"/>
  <c r="F24" i="9"/>
  <c r="G24" i="9"/>
  <c r="H24" i="9"/>
  <c r="I24" i="9"/>
  <c r="J24" i="9"/>
  <c r="K24" i="9"/>
  <c r="L24" i="9"/>
  <c r="M24" i="9"/>
  <c r="D24" i="9"/>
  <c r="E22" i="9"/>
  <c r="F22" i="9"/>
  <c r="G22" i="9"/>
  <c r="H22" i="9"/>
  <c r="H23" i="9" s="1"/>
  <c r="I22" i="9"/>
  <c r="J22" i="9"/>
  <c r="K22" i="9"/>
  <c r="K23" i="9" s="1"/>
  <c r="L22" i="9"/>
  <c r="M22" i="9"/>
  <c r="D22" i="9"/>
  <c r="E21" i="9"/>
  <c r="E23" i="9" s="1"/>
  <c r="F21" i="9"/>
  <c r="F23" i="9" s="1"/>
  <c r="G21" i="9"/>
  <c r="G23" i="9" s="1"/>
  <c r="H21" i="9"/>
  <c r="I21" i="9"/>
  <c r="I23" i="9" s="1"/>
  <c r="J21" i="9"/>
  <c r="J23" i="9" s="1"/>
  <c r="K21" i="9"/>
  <c r="L21" i="9"/>
  <c r="L23" i="9" s="1"/>
  <c r="M21" i="9"/>
  <c r="M23" i="9" s="1"/>
  <c r="D21" i="9"/>
  <c r="D23" i="9" s="1"/>
  <c r="E20" i="9"/>
  <c r="F20" i="9"/>
  <c r="G20" i="9"/>
  <c r="H20" i="9"/>
  <c r="I20" i="9"/>
  <c r="J20" i="9"/>
  <c r="K20" i="9"/>
  <c r="L20" i="9"/>
  <c r="M20" i="9"/>
  <c r="D20" i="9"/>
  <c r="E18" i="9"/>
  <c r="F18" i="9"/>
  <c r="G18" i="9"/>
  <c r="H18" i="9"/>
  <c r="I18" i="9"/>
  <c r="J18" i="9"/>
  <c r="K18" i="9"/>
  <c r="L18" i="9"/>
  <c r="M18" i="9"/>
  <c r="D17" i="9"/>
  <c r="D18" i="9"/>
  <c r="E17" i="9"/>
  <c r="F17" i="9"/>
  <c r="G17" i="9"/>
  <c r="H17" i="9"/>
  <c r="I17" i="9"/>
  <c r="J17" i="9"/>
  <c r="K17" i="9"/>
  <c r="L17" i="9"/>
  <c r="M17" i="9"/>
  <c r="E14" i="9"/>
  <c r="F14" i="9"/>
  <c r="G14" i="9"/>
  <c r="H14" i="9"/>
  <c r="I14" i="9"/>
  <c r="J14" i="9"/>
  <c r="K14" i="9"/>
  <c r="L14" i="9"/>
  <c r="M14" i="9"/>
  <c r="D14" i="9"/>
  <c r="E15" i="9"/>
  <c r="F15" i="9"/>
  <c r="G15" i="9"/>
  <c r="H15" i="9"/>
  <c r="I15" i="9"/>
  <c r="J15" i="9"/>
  <c r="K15" i="9"/>
  <c r="L15" i="9"/>
  <c r="M15" i="9"/>
  <c r="D15" i="9"/>
  <c r="E13" i="9"/>
  <c r="F13" i="9"/>
  <c r="G13" i="9"/>
  <c r="H13" i="9"/>
  <c r="I13" i="9"/>
  <c r="J13" i="9"/>
  <c r="K13" i="9"/>
  <c r="L13" i="9"/>
  <c r="M13" i="9"/>
  <c r="D13" i="9"/>
  <c r="E12" i="9"/>
  <c r="F12" i="9"/>
  <c r="G12" i="9"/>
  <c r="H12" i="9"/>
  <c r="I12" i="9"/>
  <c r="J12" i="9"/>
  <c r="K12" i="9"/>
  <c r="L12" i="9"/>
  <c r="M12" i="9"/>
  <c r="D12" i="9"/>
  <c r="E11" i="9"/>
  <c r="F11" i="9"/>
  <c r="G11" i="9"/>
  <c r="H11" i="9"/>
  <c r="I11" i="9"/>
  <c r="J11" i="9"/>
  <c r="K11" i="9"/>
  <c r="L11" i="9"/>
  <c r="M11" i="9"/>
  <c r="D11" i="9"/>
  <c r="F9" i="9"/>
  <c r="G9" i="9"/>
  <c r="H9" i="9"/>
  <c r="I9" i="9"/>
  <c r="J9" i="9"/>
  <c r="K9" i="9"/>
  <c r="L9" i="9"/>
  <c r="M9" i="9"/>
  <c r="E9" i="9"/>
  <c r="F8" i="9"/>
  <c r="G8" i="9"/>
  <c r="H8" i="9"/>
  <c r="I8" i="9"/>
  <c r="J8" i="9"/>
  <c r="K8" i="9"/>
  <c r="L8" i="9"/>
  <c r="M8" i="9"/>
  <c r="E8" i="9"/>
  <c r="E7" i="9"/>
  <c r="F7" i="9"/>
  <c r="G7" i="9"/>
  <c r="H7" i="9"/>
  <c r="I7" i="9"/>
  <c r="J7" i="9"/>
  <c r="K7" i="9"/>
  <c r="L7" i="9"/>
  <c r="M7" i="9"/>
  <c r="F6" i="9"/>
  <c r="G6" i="9"/>
  <c r="H6" i="9"/>
  <c r="I6" i="9"/>
  <c r="J6" i="9"/>
  <c r="K6" i="9"/>
  <c r="L6" i="9"/>
  <c r="M6" i="9"/>
  <c r="E6" i="9"/>
  <c r="E5" i="9"/>
  <c r="F5" i="9"/>
  <c r="G5" i="9"/>
  <c r="H5" i="9"/>
  <c r="I5" i="9"/>
  <c r="J5" i="9"/>
  <c r="K5" i="9"/>
  <c r="L5" i="9"/>
  <c r="M5" i="9"/>
  <c r="D5" i="9"/>
  <c r="M3" i="9"/>
  <c r="L3" i="9"/>
  <c r="K3" i="9"/>
  <c r="J3" i="9"/>
  <c r="I3" i="9"/>
  <c r="H3" i="9"/>
  <c r="G3" i="9"/>
  <c r="F3" i="9"/>
  <c r="E3" i="9"/>
  <c r="D3" i="9"/>
  <c r="E70" i="7"/>
  <c r="F70" i="7"/>
  <c r="G70" i="7"/>
  <c r="H70" i="7"/>
  <c r="I70" i="7"/>
  <c r="J70" i="7"/>
  <c r="K70" i="7"/>
  <c r="L70" i="7"/>
  <c r="M70" i="7"/>
  <c r="D70" i="7"/>
  <c r="E68" i="7"/>
  <c r="F68" i="7"/>
  <c r="G68" i="7"/>
  <c r="H68" i="7"/>
  <c r="I68" i="7"/>
  <c r="J68" i="7"/>
  <c r="K68" i="7"/>
  <c r="L68" i="7"/>
  <c r="M68" i="7"/>
  <c r="D68" i="7"/>
  <c r="E66" i="7"/>
  <c r="F66" i="7"/>
  <c r="G66" i="7"/>
  <c r="H66" i="7"/>
  <c r="I66" i="7"/>
  <c r="J66" i="7"/>
  <c r="K66" i="7"/>
  <c r="L66" i="7"/>
  <c r="M66" i="7"/>
  <c r="D66" i="7"/>
  <c r="D64" i="7"/>
  <c r="E64" i="7"/>
  <c r="F64" i="7"/>
  <c r="G64" i="7"/>
  <c r="H64" i="7"/>
  <c r="I64" i="7"/>
  <c r="J64" i="7"/>
  <c r="K64" i="7"/>
  <c r="L64" i="7"/>
  <c r="M64" i="7"/>
  <c r="D65" i="7"/>
  <c r="E65" i="7"/>
  <c r="F65" i="7"/>
  <c r="G65" i="7"/>
  <c r="H65" i="7"/>
  <c r="I65" i="7"/>
  <c r="J65" i="7"/>
  <c r="K65" i="7"/>
  <c r="L65" i="7"/>
  <c r="M65" i="7"/>
  <c r="E63" i="7"/>
  <c r="F63" i="7"/>
  <c r="G63" i="7"/>
  <c r="H63" i="7"/>
  <c r="I63" i="7"/>
  <c r="J63" i="7"/>
  <c r="K63" i="7"/>
  <c r="L63" i="7"/>
  <c r="M63" i="7"/>
  <c r="D63" i="7"/>
  <c r="E61" i="7"/>
  <c r="F61" i="7"/>
  <c r="G61" i="7"/>
  <c r="H61" i="7"/>
  <c r="I61" i="7"/>
  <c r="J61" i="7"/>
  <c r="K61" i="7"/>
  <c r="L61" i="7"/>
  <c r="M61" i="7"/>
  <c r="D61" i="7"/>
  <c r="E60" i="7"/>
  <c r="F60" i="7"/>
  <c r="G60" i="7"/>
  <c r="H60" i="7"/>
  <c r="I60" i="7"/>
  <c r="J60" i="7"/>
  <c r="K60" i="7"/>
  <c r="L60" i="7"/>
  <c r="M60" i="7"/>
  <c r="D60" i="7"/>
  <c r="D58" i="7"/>
  <c r="E58" i="7"/>
  <c r="F58" i="7"/>
  <c r="G58" i="7"/>
  <c r="H58" i="7"/>
  <c r="I58" i="7"/>
  <c r="J58" i="7"/>
  <c r="K58" i="7"/>
  <c r="L58" i="7"/>
  <c r="M58" i="7"/>
  <c r="D59" i="7"/>
  <c r="E59" i="7"/>
  <c r="F59" i="7"/>
  <c r="G59" i="7"/>
  <c r="H59" i="7"/>
  <c r="I59" i="7"/>
  <c r="J59" i="7"/>
  <c r="K59" i="7"/>
  <c r="L59" i="7"/>
  <c r="M59" i="7"/>
  <c r="E57" i="7"/>
  <c r="F57" i="7"/>
  <c r="G57" i="7"/>
  <c r="H57" i="7"/>
  <c r="I57" i="7"/>
  <c r="J57" i="7"/>
  <c r="K57" i="7"/>
  <c r="L57" i="7"/>
  <c r="M57" i="7"/>
  <c r="D57" i="7"/>
  <c r="E55" i="7"/>
  <c r="F55" i="7"/>
  <c r="G55" i="7"/>
  <c r="H55" i="7"/>
  <c r="I55" i="7"/>
  <c r="J55" i="7"/>
  <c r="K55" i="7"/>
  <c r="L55" i="7"/>
  <c r="M55" i="7"/>
  <c r="D52" i="7"/>
  <c r="E52" i="7"/>
  <c r="F52" i="7"/>
  <c r="G52" i="7"/>
  <c r="H52" i="7"/>
  <c r="I52" i="7"/>
  <c r="J52" i="7"/>
  <c r="K52" i="7"/>
  <c r="L52" i="7"/>
  <c r="M52" i="7"/>
  <c r="D53" i="7"/>
  <c r="D55" i="7" s="1"/>
  <c r="E53" i="7"/>
  <c r="F53" i="7"/>
  <c r="G53" i="7"/>
  <c r="H53" i="7"/>
  <c r="I53" i="7"/>
  <c r="J53" i="7"/>
  <c r="K53" i="7"/>
  <c r="L53" i="7"/>
  <c r="M53" i="7"/>
  <c r="D54" i="7"/>
  <c r="E54" i="7"/>
  <c r="F54" i="7"/>
  <c r="G54" i="7"/>
  <c r="H54" i="7"/>
  <c r="I54" i="7"/>
  <c r="J54" i="7"/>
  <c r="K54" i="7"/>
  <c r="L54" i="7"/>
  <c r="M54" i="7"/>
  <c r="E51" i="7"/>
  <c r="F51" i="7"/>
  <c r="G51" i="7"/>
  <c r="H51" i="7"/>
  <c r="I51" i="7"/>
  <c r="J51" i="7"/>
  <c r="K51" i="7"/>
  <c r="L51" i="7"/>
  <c r="M51" i="7"/>
  <c r="D51" i="7"/>
  <c r="C33" i="6"/>
  <c r="D33" i="6"/>
  <c r="E33" i="6"/>
  <c r="F33" i="6"/>
  <c r="G33" i="6"/>
  <c r="H33" i="6"/>
  <c r="I33" i="6"/>
  <c r="J33" i="6"/>
  <c r="K33" i="6"/>
  <c r="B33" i="6"/>
  <c r="M44" i="7"/>
  <c r="M45" i="7" s="1"/>
  <c r="E47" i="7"/>
  <c r="F47" i="7"/>
  <c r="G47" i="7"/>
  <c r="H47" i="7"/>
  <c r="I47" i="7"/>
  <c r="J47" i="7"/>
  <c r="K47" i="7"/>
  <c r="L47" i="7"/>
  <c r="D47" i="7"/>
  <c r="D44" i="7"/>
  <c r="D45" i="7"/>
  <c r="D41" i="7"/>
  <c r="L44" i="7"/>
  <c r="L45" i="7" s="1"/>
  <c r="E45" i="7"/>
  <c r="F45" i="7"/>
  <c r="G45" i="7"/>
  <c r="H45" i="7"/>
  <c r="I45" i="7"/>
  <c r="J45" i="7"/>
  <c r="K45" i="7"/>
  <c r="E44" i="7"/>
  <c r="F44" i="7"/>
  <c r="G44" i="7"/>
  <c r="H44" i="7"/>
  <c r="I44" i="7"/>
  <c r="J44" i="7"/>
  <c r="K44" i="7"/>
  <c r="F42" i="7"/>
  <c r="G42" i="7"/>
  <c r="H42" i="7"/>
  <c r="I42" i="7"/>
  <c r="J42" i="7"/>
  <c r="K42" i="7"/>
  <c r="L42" i="7"/>
  <c r="M42" i="7"/>
  <c r="E42" i="7"/>
  <c r="E41" i="7"/>
  <c r="F41" i="7"/>
  <c r="G41" i="7"/>
  <c r="H41" i="7"/>
  <c r="I41" i="7"/>
  <c r="J41" i="7"/>
  <c r="K41" i="7"/>
  <c r="L41" i="7"/>
  <c r="M41" i="7"/>
  <c r="E39" i="7"/>
  <c r="F39" i="7"/>
  <c r="G39" i="7"/>
  <c r="H39" i="7"/>
  <c r="I39" i="7"/>
  <c r="J39" i="7"/>
  <c r="K39" i="7"/>
  <c r="L39" i="7"/>
  <c r="M39" i="7"/>
  <c r="D39" i="7"/>
  <c r="E37" i="7"/>
  <c r="F37" i="7"/>
  <c r="G37" i="7"/>
  <c r="H37" i="7"/>
  <c r="I37" i="7"/>
  <c r="J37" i="7"/>
  <c r="K37" i="7"/>
  <c r="L37" i="7"/>
  <c r="M37" i="7"/>
  <c r="D37" i="7"/>
  <c r="E36" i="7"/>
  <c r="F36" i="7"/>
  <c r="G36" i="7"/>
  <c r="H36" i="7"/>
  <c r="I36" i="7"/>
  <c r="J36" i="7"/>
  <c r="K36" i="7"/>
  <c r="L36" i="7"/>
  <c r="M36" i="7"/>
  <c r="D36" i="7"/>
  <c r="E33" i="7"/>
  <c r="F33" i="7"/>
  <c r="G33" i="7"/>
  <c r="H33" i="7"/>
  <c r="I33" i="7"/>
  <c r="J33" i="7"/>
  <c r="K33" i="7"/>
  <c r="L33" i="7"/>
  <c r="M33" i="7"/>
  <c r="D34" i="7"/>
  <c r="D33" i="7"/>
  <c r="D25" i="7"/>
  <c r="E20" i="7"/>
  <c r="F20" i="7"/>
  <c r="G20" i="7"/>
  <c r="H20" i="7"/>
  <c r="I20" i="7"/>
  <c r="J20" i="7"/>
  <c r="K20" i="7"/>
  <c r="L20" i="7"/>
  <c r="M20" i="7"/>
  <c r="D20" i="7"/>
  <c r="E28" i="7"/>
  <c r="F28" i="7"/>
  <c r="G28" i="7"/>
  <c r="H28" i="7"/>
  <c r="I28" i="7"/>
  <c r="J28" i="7"/>
  <c r="K28" i="7"/>
  <c r="L28" i="7"/>
  <c r="M28" i="7"/>
  <c r="D28" i="7"/>
  <c r="F23" i="7"/>
  <c r="E22" i="7"/>
  <c r="E23" i="7" s="1"/>
  <c r="F22" i="7"/>
  <c r="G22" i="7"/>
  <c r="H22" i="7"/>
  <c r="I22" i="7"/>
  <c r="J22" i="7"/>
  <c r="K22" i="7"/>
  <c r="L22" i="7"/>
  <c r="M22" i="7"/>
  <c r="D22" i="7"/>
  <c r="D23" i="7" s="1"/>
  <c r="E14" i="7"/>
  <c r="F14" i="7"/>
  <c r="G14" i="7"/>
  <c r="H14" i="7"/>
  <c r="I14" i="7"/>
  <c r="J14" i="7"/>
  <c r="K14" i="7"/>
  <c r="L14" i="7"/>
  <c r="M14" i="7"/>
  <c r="D14" i="7"/>
  <c r="D15" i="7" s="1"/>
  <c r="E11" i="7"/>
  <c r="F11" i="7"/>
  <c r="F12" i="7" s="1"/>
  <c r="E8" i="7"/>
  <c r="F8" i="7"/>
  <c r="F9" i="7" s="1"/>
  <c r="G8" i="7"/>
  <c r="G9" i="7" s="1"/>
  <c r="H8" i="7"/>
  <c r="H9" i="7" s="1"/>
  <c r="I8" i="7"/>
  <c r="I9" i="7" s="1"/>
  <c r="J8" i="7"/>
  <c r="J9" i="7" s="1"/>
  <c r="K8" i="7"/>
  <c r="L8" i="7"/>
  <c r="M8" i="7"/>
  <c r="M9" i="7" s="1"/>
  <c r="D8" i="7"/>
  <c r="E5" i="7"/>
  <c r="F5" i="7"/>
  <c r="G5" i="7"/>
  <c r="H5" i="7"/>
  <c r="H6" i="7" s="1"/>
  <c r="I5" i="7"/>
  <c r="I6" i="7" s="1"/>
  <c r="J5" i="7"/>
  <c r="J6" i="7" s="1"/>
  <c r="K5" i="7"/>
  <c r="K6" i="7" s="1"/>
  <c r="L5" i="7"/>
  <c r="L6" i="7" s="1"/>
  <c r="M5" i="7"/>
  <c r="M11" i="7" s="1"/>
  <c r="D5" i="7"/>
  <c r="E3" i="7"/>
  <c r="F3" i="7"/>
  <c r="G3" i="7"/>
  <c r="H3" i="7"/>
  <c r="I3" i="7"/>
  <c r="J3" i="7"/>
  <c r="K3" i="7"/>
  <c r="L3" i="7"/>
  <c r="M3" i="7"/>
  <c r="D3" i="7"/>
  <c r="G12" i="19" l="1"/>
  <c r="G13" i="19" s="1"/>
  <c r="H12" i="19"/>
  <c r="H13" i="19" s="1"/>
  <c r="I12" i="19"/>
  <c r="I13" i="19" s="1"/>
  <c r="D23" i="19"/>
  <c r="D24" i="19" s="1"/>
  <c r="D29" i="19" s="1"/>
  <c r="E12" i="19"/>
  <c r="E13" i="19" s="1"/>
  <c r="F12" i="19"/>
  <c r="F13" i="19" s="1"/>
  <c r="M47" i="7"/>
  <c r="M15" i="7"/>
  <c r="M23" i="7"/>
  <c r="F6" i="7"/>
  <c r="I23" i="7"/>
  <c r="H15" i="7"/>
  <c r="E17" i="7"/>
  <c r="E18" i="7" s="1"/>
  <c r="E15" i="7"/>
  <c r="H23" i="7"/>
  <c r="E6" i="7"/>
  <c r="G15" i="7"/>
  <c r="G23" i="7"/>
  <c r="M17" i="7"/>
  <c r="J15" i="7"/>
  <c r="E9" i="7"/>
  <c r="I15" i="7"/>
  <c r="D11" i="7"/>
  <c r="D17" i="7" s="1"/>
  <c r="F17" i="7"/>
  <c r="G6" i="7"/>
  <c r="L15" i="7"/>
  <c r="D9" i="7"/>
  <c r="L11" i="7"/>
  <c r="F15" i="7"/>
  <c r="L23" i="7"/>
  <c r="K11" i="7"/>
  <c r="K23" i="7"/>
  <c r="J23" i="7"/>
  <c r="K9" i="7"/>
  <c r="H11" i="7"/>
  <c r="K15" i="7"/>
  <c r="L9" i="7"/>
  <c r="J11" i="7"/>
  <c r="I11" i="7"/>
  <c r="M6" i="7"/>
  <c r="G11" i="7"/>
  <c r="D28" i="19" l="1"/>
  <c r="D30" i="19" s="1"/>
  <c r="D35" i="19" s="1"/>
  <c r="D38" i="19" s="1"/>
  <c r="D42" i="19" s="1"/>
  <c r="E25" i="7"/>
  <c r="E12" i="7"/>
  <c r="K17" i="7"/>
  <c r="K12" i="7"/>
  <c r="L17" i="7"/>
  <c r="L12" i="7"/>
  <c r="G12" i="7"/>
  <c r="G17" i="7"/>
  <c r="I12" i="7"/>
  <c r="I17" i="7"/>
  <c r="M12" i="7"/>
  <c r="J12" i="7"/>
  <c r="J17" i="7"/>
  <c r="M18" i="7"/>
  <c r="M25" i="7"/>
  <c r="F25" i="7"/>
  <c r="F18" i="7"/>
  <c r="H12" i="7"/>
  <c r="H17" i="7"/>
  <c r="D18" i="7"/>
  <c r="E26" i="7"/>
  <c r="E30" i="7"/>
  <c r="L18" i="7" l="1"/>
  <c r="L25" i="7"/>
  <c r="E34" i="7"/>
  <c r="E31" i="7"/>
  <c r="I25" i="7"/>
  <c r="I18" i="7"/>
  <c r="D26" i="7"/>
  <c r="D30" i="7"/>
  <c r="G25" i="7"/>
  <c r="G18" i="7"/>
  <c r="H25" i="7"/>
  <c r="H18" i="7"/>
  <c r="F26" i="7"/>
  <c r="F30" i="7"/>
  <c r="J25" i="7"/>
  <c r="J18" i="7"/>
  <c r="M30" i="7"/>
  <c r="M26" i="7"/>
  <c r="K18" i="7"/>
  <c r="K25" i="7"/>
  <c r="H26" i="7" l="1"/>
  <c r="H30" i="7"/>
  <c r="G26" i="7"/>
  <c r="G30" i="7"/>
  <c r="K30" i="7"/>
  <c r="K26" i="7"/>
  <c r="D31" i="7"/>
  <c r="M31" i="7"/>
  <c r="M34" i="7"/>
  <c r="I30" i="7"/>
  <c r="I26" i="7"/>
  <c r="J30" i="7"/>
  <c r="J26" i="7"/>
  <c r="F31" i="7"/>
  <c r="F34" i="7"/>
  <c r="L30" i="7"/>
  <c r="L26" i="7"/>
  <c r="I31" i="7" l="1"/>
  <c r="I34" i="7"/>
  <c r="L31" i="7"/>
  <c r="L34" i="7"/>
  <c r="K31" i="7"/>
  <c r="K34" i="7"/>
  <c r="G31" i="7"/>
  <c r="G34" i="7"/>
  <c r="H34" i="7"/>
  <c r="H31" i="7"/>
  <c r="J34" i="7"/>
  <c r="J31" i="7"/>
  <c r="B6" i="6" l="1"/>
  <c r="E1" i="6"/>
</calcChain>
</file>

<file path=xl/sharedStrings.xml><?xml version="1.0" encoding="utf-8"?>
<sst xmlns="http://schemas.openxmlformats.org/spreadsheetml/2006/main" count="486" uniqueCount="371">
  <si>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</si>
  <si>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</si>
  <si>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</si>
  <si>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</si>
  <si>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</si>
  <si>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</si>
  <si>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</si>
  <si>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</si>
  <si>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</si>
  <si>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</si>
  <si>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</si>
  <si>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</si>
  <si>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</si>
  <si>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</si>
  <si>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</si>
  <si>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</si>
  <si>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</si>
  <si>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</si>
  <si>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</si>
  <si>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</si>
  <si>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</si>
  <si>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</si>
  <si>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</si>
  <si>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</si>
  <si>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</si>
  <si>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</si>
  <si>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</si>
  <si>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</si>
  <si>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</si>
  <si>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</si>
  <si>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</si>
  <si>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</si>
  <si>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</si>
  <si>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HINDUSTAN UNILEVER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</si>
  <si>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</si>
  <si>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</si>
  <si>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</si>
  <si>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</si>
  <si>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</si>
  <si>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</si>
  <si>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</si>
  <si>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</si>
  <si>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</si>
  <si>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</si>
  <si>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</si>
  <si>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</si>
  <si>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</si>
  <si>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</si>
  <si>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</si>
  <si>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</si>
  <si>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</si>
  <si>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</si>
  <si>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</si>
  <si>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</si>
  <si>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</si>
  <si>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 xml:space="preserve"> Historical Financial Statement - HINDUSTAN UNILEVER </t>
  </si>
  <si>
    <t>Years</t>
  </si>
  <si>
    <t>#</t>
  </si>
  <si>
    <t>Income Statement</t>
  </si>
  <si>
    <t>-</t>
  </si>
  <si>
    <t>COGS</t>
  </si>
  <si>
    <t>COGS / SALES %</t>
  </si>
  <si>
    <t>Gross Profit</t>
  </si>
  <si>
    <t>Gross Profit Growth</t>
  </si>
  <si>
    <t>Selling and Admin Expenses</t>
  </si>
  <si>
    <t>S &amp; G expenses sales %</t>
  </si>
  <si>
    <t>EBIDTA</t>
  </si>
  <si>
    <t>EBIDTA sales %</t>
  </si>
  <si>
    <t>EBIT</t>
  </si>
  <si>
    <t>Taxes</t>
  </si>
  <si>
    <t>Net Profit</t>
  </si>
  <si>
    <t>Depreciation sales %</t>
  </si>
  <si>
    <t>EBT sales %</t>
  </si>
  <si>
    <t>EBIT sales %</t>
  </si>
  <si>
    <t>Taxes sales %</t>
  </si>
  <si>
    <t>Net Profit sales %</t>
  </si>
  <si>
    <t>No Of Equity Shares</t>
  </si>
  <si>
    <t>Earning Per Share</t>
  </si>
  <si>
    <t>Y-O-Y Growth</t>
  </si>
  <si>
    <t>Dividend Per Share</t>
  </si>
  <si>
    <t>Dividend Payout Ratio</t>
  </si>
  <si>
    <t>Retained Earning</t>
  </si>
  <si>
    <t>Balance Sheet</t>
  </si>
  <si>
    <t>Equity Share Capitals</t>
  </si>
  <si>
    <t>Total Liabilities</t>
  </si>
  <si>
    <t>Total Non Current Assets</t>
  </si>
  <si>
    <t>Recievables</t>
  </si>
  <si>
    <t>Cash and Bank</t>
  </si>
  <si>
    <t>Total Current Assets</t>
  </si>
  <si>
    <t>Total Assets</t>
  </si>
  <si>
    <t>Check</t>
  </si>
  <si>
    <t>Cash Flow Statement</t>
  </si>
  <si>
    <r>
      <t>Cash from Operating Activity </t>
    </r>
    <r>
      <rPr>
        <sz val="11"/>
        <color rgb="FF665EFD"/>
        <rFont val="Arial"/>
        <family val="2"/>
      </rPr>
      <t>-</t>
    </r>
  </si>
  <si>
    <t>Profit from operations</t>
  </si>
  <si>
    <t>Payables</t>
  </si>
  <si>
    <t>Loans Advances</t>
  </si>
  <si>
    <t>Operating Deposits</t>
  </si>
  <si>
    <t>Other WC items</t>
  </si>
  <si>
    <t>Working capital changes</t>
  </si>
  <si>
    <t>Direct taxes</t>
  </si>
  <si>
    <t>Other operating items</t>
  </si>
  <si>
    <t>Exceptional CF items</t>
  </si>
  <si>
    <r>
      <t>Cash from Investing Activity </t>
    </r>
    <r>
      <rPr>
        <sz val="11"/>
        <color rgb="FF665EFD"/>
        <rFont val="Arial"/>
        <family val="2"/>
      </rPr>
      <t>-</t>
    </r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</si>
  <si>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</si>
  <si>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</si>
  <si>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</si>
  <si>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</si>
  <si>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</si>
  <si>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</si>
  <si>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</si>
  <si>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Loans to subsidiaries</t>
  </si>
  <si>
    <t>Redemp n Canc of Shares</t>
  </si>
  <si>
    <t>Acquisition of companies</t>
  </si>
  <si>
    <t>Other investing items</t>
  </si>
  <si>
    <r>
      <t>Cash from Financing Activity </t>
    </r>
    <r>
      <rPr>
        <sz val="11"/>
        <color rgb="FF665EFD"/>
        <rFont val="Arial"/>
        <family val="2"/>
      </rPr>
      <t>-</t>
    </r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</si>
  <si>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</si>
  <si>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</si>
  <si>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</si>
  <si>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</si>
  <si>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</si>
  <si>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</si>
  <si>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</si>
  <si>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 xml:space="preserve"> Ratio Analysis - HINDUSTAN UNILEVER </t>
  </si>
  <si>
    <t>EBIDTA Growth</t>
  </si>
  <si>
    <t>EBIT Growth</t>
  </si>
  <si>
    <t>Net Profit Growth</t>
  </si>
  <si>
    <t>Dividend Growth</t>
  </si>
  <si>
    <t>Gross Margin</t>
  </si>
  <si>
    <t>EBIDTA Margin</t>
  </si>
  <si>
    <t>EBIT Margin</t>
  </si>
  <si>
    <t>EBT Margin</t>
  </si>
  <si>
    <t>Net Profit Margin</t>
  </si>
  <si>
    <t>Seeling and Admin % Sales</t>
  </si>
  <si>
    <t>Depreciation % Sales</t>
  </si>
  <si>
    <t>Return on Capital Employed</t>
  </si>
  <si>
    <t>Retained Earning%</t>
  </si>
  <si>
    <t>Return On Equity</t>
  </si>
  <si>
    <t>Self Sustained Growth Rate</t>
  </si>
  <si>
    <t>Interest Coverage Ratio</t>
  </si>
  <si>
    <t>Fixed Asset Turnover Ratio</t>
  </si>
  <si>
    <t>Inventory Turnover Ratio</t>
  </si>
  <si>
    <t>Debtor Turnover Ratio</t>
  </si>
  <si>
    <t>Creditor Ratio</t>
  </si>
  <si>
    <t>Capital Asset Turnover Ratio</t>
  </si>
  <si>
    <t>CFO/ SALES</t>
  </si>
  <si>
    <t>CFO/ Total Assets</t>
  </si>
  <si>
    <t>CFO/ Total Debt</t>
  </si>
  <si>
    <t>Year Weight</t>
  </si>
  <si>
    <t>Year</t>
  </si>
  <si>
    <t xml:space="preserve">Y-O-Y Sales Growth </t>
  </si>
  <si>
    <t>Intercept</t>
  </si>
  <si>
    <t>X Variable 1</t>
  </si>
  <si>
    <t>Sales Forecasting</t>
  </si>
  <si>
    <t>EBIDTA Forecasting</t>
  </si>
  <si>
    <t xml:space="preserve">EBT </t>
  </si>
  <si>
    <t>2026E</t>
  </si>
  <si>
    <t>2027E</t>
  </si>
  <si>
    <t>2028E</t>
  </si>
  <si>
    <t>2029E</t>
  </si>
  <si>
    <t>2030E</t>
  </si>
  <si>
    <t xml:space="preserve">Y-O-Y EBIDTA Growth </t>
  </si>
  <si>
    <t>Net Profit Forecasting</t>
  </si>
  <si>
    <t>YOY Net Profit Growth</t>
  </si>
  <si>
    <t>Equity Capital</t>
  </si>
  <si>
    <t>Long term Borrowings</t>
  </si>
  <si>
    <t>Short term Borrowings</t>
  </si>
  <si>
    <t>Lease Liabilities</t>
  </si>
  <si>
    <t>Non controlling int</t>
  </si>
  <si>
    <t>Trade Payables</t>
  </si>
  <si>
    <t>Advance from Customers</t>
  </si>
  <si>
    <t>Other liability items</t>
  </si>
  <si>
    <t>Land</t>
  </si>
  <si>
    <t>Building</t>
  </si>
  <si>
    <t>Plant Machinery</t>
  </si>
  <si>
    <t>Equipments</t>
  </si>
  <si>
    <t>Furniture n fittings</t>
  </si>
  <si>
    <t>Railway sidings</t>
  </si>
  <si>
    <t>Vehicles</t>
  </si>
  <si>
    <t>Intangible Assets</t>
  </si>
  <si>
    <t>Other fixed assets</t>
  </si>
  <si>
    <t>Gross Block</t>
  </si>
  <si>
    <t>Accumulated Depreciation</t>
  </si>
  <si>
    <t>CWIP</t>
  </si>
  <si>
    <t>Inventories</t>
  </si>
  <si>
    <t>Cash Equivalents</t>
  </si>
  <si>
    <t>Loans n Advances</t>
  </si>
  <si>
    <t>Other asset items</t>
  </si>
  <si>
    <t xml:space="preserve">Borrowings </t>
  </si>
  <si>
    <r>
      <rPr>
        <b/>
        <sz val="11"/>
        <color theme="1"/>
        <rFont val="Calibri"/>
        <family val="2"/>
        <scheme val="minor"/>
      </rPr>
      <t>Other Liabilities</t>
    </r>
    <r>
      <rPr>
        <sz val="11"/>
        <color theme="1"/>
        <rFont val="Calibri"/>
        <family val="2"/>
        <scheme val="minor"/>
      </rPr>
      <t xml:space="preserve"> </t>
    </r>
  </si>
  <si>
    <t xml:space="preserve">Fixed Assets </t>
  </si>
  <si>
    <t>Receivables over 6m</t>
  </si>
  <si>
    <t>Receivables under 6m</t>
  </si>
  <si>
    <t>Prov for Doubtful</t>
  </si>
  <si>
    <t>Trade receivables</t>
  </si>
  <si>
    <t>2031E</t>
  </si>
  <si>
    <t>2032E</t>
  </si>
  <si>
    <t>Sparklines</t>
  </si>
  <si>
    <t>Average</t>
  </si>
  <si>
    <t>Median</t>
  </si>
  <si>
    <t>Hindustan Unilever Forecasting(Regression)</t>
  </si>
  <si>
    <t>S.No.</t>
  </si>
  <si>
    <t>Name</t>
  </si>
  <si>
    <t>CMP Rs.</t>
  </si>
  <si>
    <t>Debt Rs.Cr.</t>
  </si>
  <si>
    <t>Hind. Unilever</t>
  </si>
  <si>
    <t>ITC</t>
  </si>
  <si>
    <t>Nestle India</t>
  </si>
  <si>
    <t>Varun Beverages</t>
  </si>
  <si>
    <t>Britannia Inds.</t>
  </si>
  <si>
    <t>Godrej Consumer</t>
  </si>
  <si>
    <t>Tata Consumer</t>
  </si>
  <si>
    <t>Debt /eq</t>
  </si>
  <si>
    <t>Calculation Of WACC of Hindustan Unilever</t>
  </si>
  <si>
    <t>All units anre conidered in cr stated otherwise</t>
  </si>
  <si>
    <t>Peer Comps</t>
  </si>
  <si>
    <t>Name of the Company</t>
  </si>
  <si>
    <t>Country</t>
  </si>
  <si>
    <t>Total Debt</t>
  </si>
  <si>
    <t>Total Equity</t>
  </si>
  <si>
    <t>Tax Rate</t>
  </si>
  <si>
    <t>Debt/</t>
  </si>
  <si>
    <t>Equity</t>
  </si>
  <si>
    <t>Capital</t>
  </si>
  <si>
    <t>Levered</t>
  </si>
  <si>
    <t>Beta</t>
  </si>
  <si>
    <t>Unlevered</t>
  </si>
  <si>
    <t>India</t>
  </si>
  <si>
    <t>Cost Of Debt</t>
  </si>
  <si>
    <t>Pre Tax Cost of Debt</t>
  </si>
  <si>
    <t>Post Tax Cost of Debt</t>
  </si>
  <si>
    <t>Cost Of Equity</t>
  </si>
  <si>
    <t>Risk Free Rate</t>
  </si>
  <si>
    <t>Equity Risk Premium</t>
  </si>
  <si>
    <t>Levered Beta</t>
  </si>
  <si>
    <t>Cost of Equity</t>
  </si>
  <si>
    <t>Capital Structure</t>
  </si>
  <si>
    <t>Current</t>
  </si>
  <si>
    <t>Expected</t>
  </si>
  <si>
    <t>Total Capital</t>
  </si>
  <si>
    <t>Debt/ Equity</t>
  </si>
  <si>
    <t>Calculation of Beta</t>
  </si>
  <si>
    <t>Comps Median Unlevered Beta</t>
  </si>
  <si>
    <t>Target Debt/Equity</t>
  </si>
  <si>
    <t>Equity Weight</t>
  </si>
  <si>
    <t>Debt Weight</t>
  </si>
  <si>
    <t>WACC</t>
  </si>
  <si>
    <t>Weighted Average Cost of Capital</t>
  </si>
  <si>
    <t>Common Size Statement of Hindustan Unilever</t>
  </si>
  <si>
    <t>P&amp;L Statement</t>
  </si>
  <si>
    <t>Particulars</t>
  </si>
  <si>
    <t xml:space="preserve">EBIT </t>
  </si>
  <si>
    <t>All units in cr stated otherwise</t>
  </si>
  <si>
    <t xml:space="preserve">Mar Cap </t>
  </si>
  <si>
    <t xml:space="preserve">Debt </t>
  </si>
  <si>
    <t>CMP(Rs)</t>
  </si>
  <si>
    <t>Intrinsic Growth of Hindustan Unilever</t>
  </si>
  <si>
    <t>Current Assets</t>
  </si>
  <si>
    <t>Total Current Asset</t>
  </si>
  <si>
    <t>Current Liabilities</t>
  </si>
  <si>
    <t>Total Current Liabilities</t>
  </si>
  <si>
    <t>Working Capital</t>
  </si>
  <si>
    <t>Non Current Assets</t>
  </si>
  <si>
    <t>NetBlock</t>
  </si>
  <si>
    <t>Accumalated Depreciation</t>
  </si>
  <si>
    <t>Net Non Current Assets</t>
  </si>
  <si>
    <t>Invested Capital</t>
  </si>
  <si>
    <t>ROIC</t>
  </si>
  <si>
    <t>Average ROIC</t>
  </si>
  <si>
    <t>Median ROIC</t>
  </si>
  <si>
    <t>Calculation of Re investment Rate</t>
  </si>
  <si>
    <t>Net Capex</t>
  </si>
  <si>
    <t>Change in Working Capital</t>
  </si>
  <si>
    <t>Marginal Tax Rate</t>
  </si>
  <si>
    <t>EBIT(1-T)</t>
  </si>
  <si>
    <t>Re investment Amount</t>
  </si>
  <si>
    <t>Re investment Rate</t>
  </si>
  <si>
    <t>Average Re investment Rate</t>
  </si>
  <si>
    <t>Calculation of Intrinsic Growth</t>
  </si>
  <si>
    <t>Average Intrinsic Growth</t>
  </si>
  <si>
    <t>Calculation of FCFF of Hindustan Unilever</t>
  </si>
  <si>
    <t>Calculation of PV of FCFF</t>
  </si>
  <si>
    <t>Less:Re investment Rate</t>
  </si>
  <si>
    <t>Free Cash Flow Firm</t>
  </si>
  <si>
    <t>Expected Growth</t>
  </si>
  <si>
    <t>Terminal Growth</t>
  </si>
  <si>
    <t>Intrinsic Growth Rate</t>
  </si>
  <si>
    <t>Calculation Terminal Value</t>
  </si>
  <si>
    <t>FCCF(1+n)</t>
  </si>
  <si>
    <t>Mid Year Covention</t>
  </si>
  <si>
    <t>Discounting Factor</t>
  </si>
  <si>
    <t>PV of  FCFF</t>
  </si>
  <si>
    <t>Terminal Value</t>
  </si>
  <si>
    <t>Calculation Of Equity Value Per Share</t>
  </si>
  <si>
    <t>PV of FCFF</t>
  </si>
  <si>
    <t>PV of Terminal Value</t>
  </si>
  <si>
    <t>Enterprise Value</t>
  </si>
  <si>
    <t>Add: Cash</t>
  </si>
  <si>
    <t>Less:Debt</t>
  </si>
  <si>
    <t>Value of Equity</t>
  </si>
  <si>
    <t>No of Shares</t>
  </si>
  <si>
    <t>Equity Value Per Share</t>
  </si>
  <si>
    <t>Current Value</t>
  </si>
  <si>
    <t>Discount/Premium</t>
  </si>
  <si>
    <t>Nifty Returns</t>
  </si>
  <si>
    <t>Annual Returns</t>
  </si>
  <si>
    <t>Average Market Returns</t>
  </si>
  <si>
    <t>Dividend Yield</t>
  </si>
  <si>
    <t>Market Reurns Rm</t>
  </si>
  <si>
    <t xml:space="preserve"> </t>
  </si>
  <si>
    <t>Comparable Company Valuation</t>
  </si>
  <si>
    <t>Company</t>
  </si>
  <si>
    <t>Ticker</t>
  </si>
  <si>
    <t>Outstanding Shares</t>
  </si>
  <si>
    <t>Share Price</t>
  </si>
  <si>
    <t>Equity Value</t>
  </si>
  <si>
    <t>Net Debt</t>
  </si>
  <si>
    <t>Market Data</t>
  </si>
  <si>
    <t>Revenue</t>
  </si>
  <si>
    <t>EBITDA</t>
  </si>
  <si>
    <t>Net income</t>
  </si>
  <si>
    <t>Financials</t>
  </si>
  <si>
    <t>Valuation</t>
  </si>
  <si>
    <t>No. Eq. Shares Cr.</t>
  </si>
  <si>
    <t>Cash End Rs.Cr.</t>
  </si>
  <si>
    <t>Sales Rs.Cr.</t>
  </si>
  <si>
    <t>EBIDT Ann Rs.Cr.</t>
  </si>
  <si>
    <t>United Spirits</t>
  </si>
  <si>
    <t>Marico</t>
  </si>
  <si>
    <t>Dabur India</t>
  </si>
  <si>
    <t>Patanjali Foods</t>
  </si>
  <si>
    <t>Colgate-Palmoliv</t>
  </si>
  <si>
    <t>United Breweries</t>
  </si>
  <si>
    <t>Godfrey Phillips</t>
  </si>
  <si>
    <t>P &amp; G Hygiene</t>
  </si>
  <si>
    <t>Radico Khaitan</t>
  </si>
  <si>
    <t>Gillette India</t>
  </si>
  <si>
    <t>Emami</t>
  </si>
  <si>
    <t>Elitecon Inter.</t>
  </si>
  <si>
    <t>Hatsun Agro</t>
  </si>
  <si>
    <t>NP Ann Rs.Cr.</t>
  </si>
  <si>
    <t>EID Parry</t>
  </si>
  <si>
    <t>Bikaji Foods</t>
  </si>
  <si>
    <t>L T Foods</t>
  </si>
  <si>
    <t>Godrej Agrovet</t>
  </si>
  <si>
    <t>AWL Agri Business</t>
  </si>
  <si>
    <t>Market Cap</t>
  </si>
  <si>
    <t>EV</t>
  </si>
  <si>
    <t>EV/ Revenue</t>
  </si>
  <si>
    <t>EV/EBITDA</t>
  </si>
  <si>
    <t>P/E</t>
  </si>
  <si>
    <t>High</t>
  </si>
  <si>
    <t>75 Percentile</t>
  </si>
  <si>
    <t>25 Percentile</t>
  </si>
  <si>
    <t>Low</t>
  </si>
  <si>
    <t>Hindustan Unilever Comparable Valuation</t>
  </si>
  <si>
    <t>Implied Enterprise Value</t>
  </si>
  <si>
    <t>Implied Debt Value</t>
  </si>
  <si>
    <t>Implied Market Value</t>
  </si>
  <si>
    <t>Shares Outstanding</t>
  </si>
  <si>
    <t>Implied Value Per Share</t>
  </si>
  <si>
    <t>Executive Summary Hindustan Unilever</t>
  </si>
  <si>
    <t>Hindustan Unilever is in the FMCG business comprising primarily of Home Care, Beauty &amp; Personal Care and Foods &amp; Refreshment segments. The Company has manufacturing facilities across the country and sells primarily in India. The company has a portfolio of over 50 brands, spanning 16 FMCG categories, including 19 brands with a turnover of more than Rs. 1,000 Cr PA. The company has a presence in 9 out of 10 Indian with over 9 million retail outlets spread across India through a network of 35 distribution hubs and more than 3,500 distributors.</t>
  </si>
  <si>
    <t>Wide Portfolio</t>
  </si>
  <si>
    <r>
      <t>The company has a portfolio of over 50 brands, spanning 16 FMCG categories, including 19 brands with a turnover of more than Rs. 1,000 Cr PA.  The products are split into the following segments:
1)</t>
    </r>
    <r>
      <rPr>
        <b/>
        <sz val="8"/>
        <color theme="1"/>
        <rFont val="Calibri"/>
        <family val="2"/>
        <scheme val="minor"/>
      </rPr>
      <t>Home Care</t>
    </r>
    <r>
      <rPr>
        <sz val="8"/>
        <color theme="1"/>
        <rFont val="Calibri"/>
        <family val="2"/>
        <scheme val="minor"/>
      </rPr>
      <t>: The company offers detergent bars, detergent powders, detergent liquids, scourers, purifiers, etc under its brands such as Surf excel, Wheel, Rin, Comfort, Vim, and Domex.
2)</t>
    </r>
    <r>
      <rPr>
        <b/>
        <sz val="8"/>
        <color theme="1"/>
        <rFont val="Calibri"/>
        <family val="2"/>
        <scheme val="minor"/>
      </rPr>
      <t>Beauty &amp; Personal Care</t>
    </r>
    <r>
      <rPr>
        <sz val="8"/>
        <color theme="1"/>
        <rFont val="Calibri"/>
        <family val="2"/>
        <scheme val="minor"/>
      </rPr>
      <t>: The company offers products in the categories of oral care, skin care, soaps, hair care, deodorants, talcum powder, color cosmetics, salon services, etc under the brands like Sunsilk, Vaseline, Glow &amp; Lovely, Lakme, Lifebuoy, Ponds, Dove, Closeup, and more
3)</t>
    </r>
    <r>
      <rPr>
        <b/>
        <sz val="8"/>
        <color theme="1"/>
        <rFont val="Calibri"/>
        <family val="2"/>
        <scheme val="minor"/>
      </rPr>
      <t>Foods and Refreshments</t>
    </r>
    <r>
      <rPr>
        <sz val="8"/>
        <color theme="1"/>
        <rFont val="Calibri"/>
        <family val="2"/>
        <scheme val="minor"/>
      </rPr>
      <t>: The company offers culinary products like tomato-based products, fruit-based products, soups, etc, tea, coffee, nutrition drinks, ice-cream, and frozen desserts, through brands like Brooke Bond, Lipton, Horlicks, Boost, Bru, Kissan, Knorr, Hellmann’s, Kwality Walls and Magnum.
4)</t>
    </r>
    <r>
      <rPr>
        <b/>
        <sz val="8"/>
        <color theme="1"/>
        <rFont val="Calibri"/>
        <family val="2"/>
        <scheme val="minor"/>
      </rPr>
      <t xml:space="preserve">Other: </t>
    </r>
    <r>
      <rPr>
        <sz val="8"/>
        <color theme="1"/>
        <rFont val="Calibri"/>
        <family val="2"/>
        <scheme val="minor"/>
      </rPr>
      <t>The segment includes exports, consignment etc. It aims to export brands, such as Vaseline, Dove, Pears, Bru, Red Label, Lakmē, Horlicks, and Boost.</t>
    </r>
  </si>
  <si>
    <t>Promoters</t>
  </si>
  <si>
    <t>FIIs</t>
  </si>
  <si>
    <t>DIIs</t>
  </si>
  <si>
    <t>Government</t>
  </si>
  <si>
    <t>Public</t>
  </si>
  <si>
    <t>Shareholders Patterns</t>
  </si>
  <si>
    <t>No.of Shareholders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</si>
</sst>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"/>
    <numFmt numFmtId="167" formatCode="&quot;₹&quot;\ #,##0.00"/>
    <numFmt numFmtId="168" formatCode="#,##0.00\x"/>
    <numFmt numFmtId="169" formatCode="General&quot;A&quot;"/>
    <numFmt numFmtId="170" formatCode="General&quot;E&quot;"/>
    <numFmt numFmtId="171" formatCode="&quot;₹&quot;\ #,##0.0;&quot;₹&quot;\ \(#,##0.0\);\-"/>
    <numFmt numFmtId="172" formatCode="General&quot;x&quot;"/>
    <numFmt numFmtId="173" formatCode="0.00&quot;x&quot;"/>
    <numFmt numFmtId="174" formatCode="0.000"/>
    <numFmt numFmtId="192" formatCode="#,##0.0"/>
    <numFmt numFmtId="199" formatCode="0.0&quot;x&quot;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EAEAEA"/>
      <name val="Calibri"/>
      <family val="2"/>
      <scheme val="minor"/>
    </font>
    <font>
      <b/>
      <i/>
      <sz val="11"/>
      <color rgb="FFEAEAEA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606F7B"/>
      <name val="Arial"/>
      <family val="2"/>
    </font>
    <font>
      <sz val="11"/>
      <color rgb="FF22222F"/>
      <name val="Arial"/>
      <family val="2"/>
    </font>
    <font>
      <sz val="11"/>
      <color rgb="FF665EFD"/>
      <name val="Arial"/>
      <family val="2"/>
    </font>
    <font>
      <sz val="11"/>
      <color rgb="FF22222F"/>
      <name val="Arial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0275D8"/>
      <name val="Calibri"/>
      <family val="2"/>
      <scheme val="minor"/>
    </font>
    <font>
      <sz val="11"/>
      <color rgb="FF0275D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FCFC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227ACB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rgb="FFDBE4F0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 style="medium">
        <color rgb="FFFFFFFF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233">
    <xf numFmtId="0" fontId="0" fillId="0" borderId="0" xfId="0"/>
    <xf numFmtId="43" fontId="1" fillId="0" borderId="0" xfId="1" applyFont="1" applyBorder="1"/>
    <xf numFmtId="0" fontId="1" fillId="0" borderId="0" xfId="0" applyFont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0" fontId="0" fillId="0" borderId="0" xfId="0" applyAlignment="1">
      <alignment horizontal="left"/>
    </xf>
    <xf numFmtId="164" fontId="0" fillId="0" borderId="0" xfId="1" applyNumberFormat="1" applyFont="1" applyBorder="1"/>
    <xf numFmtId="17" fontId="0" fillId="0" borderId="0" xfId="0" applyNumberFormat="1"/>
    <xf numFmtId="0" fontId="8" fillId="4" borderId="0" xfId="0" applyFont="1" applyFill="1"/>
    <xf numFmtId="17" fontId="8" fillId="4" borderId="0" xfId="0" applyNumberFormat="1" applyFont="1" applyFill="1"/>
    <xf numFmtId="10" fontId="0" fillId="0" borderId="0" xfId="4" applyNumberFormat="1" applyFont="1"/>
    <xf numFmtId="166" fontId="0" fillId="0" borderId="0" xfId="0" applyNumberFormat="1"/>
    <xf numFmtId="10" fontId="11" fillId="0" borderId="0" xfId="4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0" fontId="15" fillId="0" borderId="0" xfId="4" applyNumberFormat="1" applyFont="1"/>
    <xf numFmtId="17" fontId="16" fillId="6" borderId="0" xfId="0" applyNumberFormat="1" applyFont="1" applyFill="1" applyAlignment="1">
      <alignment horizontal="right" vertical="center" wrapText="1"/>
    </xf>
    <xf numFmtId="0" fontId="17" fillId="7" borderId="1" xfId="0" applyFont="1" applyFill="1" applyBorder="1" applyAlignment="1">
      <alignment horizontal="left" vertical="center" indent="1"/>
    </xf>
    <xf numFmtId="3" fontId="17" fillId="7" borderId="1" xfId="0" applyNumberFormat="1" applyFont="1" applyFill="1" applyBorder="1" applyAlignment="1">
      <alignment horizontal="right" vertical="center" wrapText="1"/>
    </xf>
    <xf numFmtId="0" fontId="17" fillId="7" borderId="1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7" borderId="0" xfId="0" applyFont="1" applyFill="1" applyAlignment="1">
      <alignment horizontal="right" vertical="center" wrapText="1"/>
    </xf>
    <xf numFmtId="3" fontId="19" fillId="7" borderId="0" xfId="0" applyNumberFormat="1" applyFont="1" applyFill="1" applyAlignment="1">
      <alignment horizontal="right" vertical="center" wrapText="1"/>
    </xf>
    <xf numFmtId="0" fontId="17" fillId="7" borderId="1" xfId="0" applyFont="1" applyFill="1" applyBorder="1" applyAlignment="1">
      <alignment horizontal="right" vertical="center" wrapText="1"/>
    </xf>
    <xf numFmtId="0" fontId="17" fillId="6" borderId="1" xfId="0" applyFont="1" applyFill="1" applyBorder="1" applyAlignment="1">
      <alignment horizontal="left" vertical="center" indent="1"/>
    </xf>
    <xf numFmtId="0" fontId="17" fillId="6" borderId="1" xfId="0" applyFont="1" applyFill="1" applyBorder="1" applyAlignment="1">
      <alignment horizontal="right" vertical="center" wrapText="1"/>
    </xf>
    <xf numFmtId="3" fontId="17" fillId="6" borderId="1" xfId="0" applyNumberFormat="1" applyFont="1" applyFill="1" applyBorder="1" applyAlignment="1">
      <alignment horizontal="right" vertical="center" wrapText="1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right" vertical="center" wrapText="1"/>
    </xf>
    <xf numFmtId="3" fontId="19" fillId="6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2" xfId="0" applyBorder="1"/>
    <xf numFmtId="10" fontId="0" fillId="0" borderId="2" xfId="4" applyNumberFormat="1" applyFont="1" applyBorder="1"/>
    <xf numFmtId="10" fontId="0" fillId="0" borderId="0" xfId="4" applyNumberFormat="1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10" fontId="0" fillId="0" borderId="3" xfId="4" applyNumberFormat="1" applyFont="1" applyBorder="1"/>
    <xf numFmtId="0" fontId="9" fillId="4" borderId="0" xfId="0" applyFont="1" applyFill="1"/>
    <xf numFmtId="17" fontId="9" fillId="4" borderId="0" xfId="0" applyNumberFormat="1" applyFont="1" applyFill="1"/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9" fontId="0" fillId="0" borderId="0" xfId="0" applyNumberForma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centerContinuous"/>
    </xf>
    <xf numFmtId="166" fontId="0" fillId="0" borderId="0" xfId="0" applyNumberFormat="1" applyAlignment="1">
      <alignment horizontal="right"/>
    </xf>
    <xf numFmtId="3" fontId="0" fillId="0" borderId="0" xfId="0" applyNumberFormat="1"/>
    <xf numFmtId="0" fontId="1" fillId="0" borderId="4" xfId="0" applyFont="1" applyBorder="1"/>
    <xf numFmtId="3" fontId="1" fillId="0" borderId="0" xfId="0" applyNumberFormat="1" applyFont="1"/>
    <xf numFmtId="0" fontId="0" fillId="0" borderId="5" xfId="0" applyBorder="1"/>
    <xf numFmtId="0" fontId="1" fillId="0" borderId="2" xfId="0" applyFont="1" applyBorder="1"/>
    <xf numFmtId="17" fontId="2" fillId="3" borderId="0" xfId="0" applyNumberFormat="1" applyFont="1" applyFill="1"/>
    <xf numFmtId="171" fontId="0" fillId="0" borderId="5" xfId="0" applyNumberFormat="1" applyBorder="1"/>
    <xf numFmtId="171" fontId="1" fillId="0" borderId="5" xfId="0" applyNumberFormat="1" applyFont="1" applyBorder="1"/>
    <xf numFmtId="171" fontId="0" fillId="0" borderId="0" xfId="0" applyNumberFormat="1"/>
    <xf numFmtId="171" fontId="1" fillId="0" borderId="4" xfId="0" applyNumberFormat="1" applyFont="1" applyBorder="1"/>
    <xf numFmtId="171" fontId="0" fillId="0" borderId="6" xfId="0" applyNumberFormat="1" applyBorder="1"/>
    <xf numFmtId="171" fontId="0" fillId="0" borderId="7" xfId="0" applyNumberFormat="1" applyBorder="1"/>
    <xf numFmtId="171" fontId="0" fillId="0" borderId="4" xfId="0" applyNumberFormat="1" applyBorder="1"/>
    <xf numFmtId="171" fontId="0" fillId="0" borderId="9" xfId="0" applyNumberFormat="1" applyBorder="1"/>
    <xf numFmtId="10" fontId="0" fillId="0" borderId="6" xfId="4" applyNumberFormat="1" applyFont="1" applyBorder="1" applyAlignment="1">
      <alignment horizontal="right"/>
    </xf>
    <xf numFmtId="10" fontId="0" fillId="0" borderId="6" xfId="4" applyNumberFormat="1" applyFont="1" applyBorder="1"/>
    <xf numFmtId="0" fontId="0" fillId="0" borderId="5" xfId="0" applyBorder="1" applyAlignment="1">
      <alignment horizontal="right"/>
    </xf>
    <xf numFmtId="10" fontId="0" fillId="0" borderId="5" xfId="4" applyNumberFormat="1" applyFont="1" applyBorder="1"/>
    <xf numFmtId="10" fontId="0" fillId="0" borderId="7" xfId="4" applyNumberFormat="1" applyFont="1" applyBorder="1"/>
    <xf numFmtId="168" fontId="0" fillId="0" borderId="7" xfId="0" applyNumberFormat="1" applyBorder="1"/>
    <xf numFmtId="168" fontId="0" fillId="0" borderId="6" xfId="0" applyNumberFormat="1" applyBorder="1"/>
    <xf numFmtId="168" fontId="0" fillId="0" borderId="5" xfId="0" applyNumberFormat="1" applyBorder="1"/>
    <xf numFmtId="10" fontId="0" fillId="0" borderId="0" xfId="0" applyNumberFormat="1"/>
    <xf numFmtId="0" fontId="2" fillId="3" borderId="0" xfId="0" applyFont="1" applyFill="1"/>
    <xf numFmtId="10" fontId="0" fillId="0" borderId="5" xfId="0" applyNumberFormat="1" applyBorder="1"/>
    <xf numFmtId="172" fontId="0" fillId="0" borderId="5" xfId="0" applyNumberFormat="1" applyBorder="1"/>
    <xf numFmtId="173" fontId="0" fillId="0" borderId="5" xfId="0" applyNumberForma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10" fontId="23" fillId="0" borderId="0" xfId="0" applyNumberFormat="1" applyFont="1"/>
    <xf numFmtId="0" fontId="23" fillId="0" borderId="0" xfId="0" applyFont="1"/>
    <xf numFmtId="174" fontId="0" fillId="0" borderId="0" xfId="0" applyNumberFormat="1"/>
    <xf numFmtId="0" fontId="0" fillId="0" borderId="8" xfId="0" applyBorder="1"/>
    <xf numFmtId="0" fontId="0" fillId="9" borderId="8" xfId="0" applyFill="1" applyBorder="1"/>
    <xf numFmtId="167" fontId="0" fillId="0" borderId="0" xfId="0" applyNumberFormat="1"/>
    <xf numFmtId="10" fontId="0" fillId="0" borderId="4" xfId="0" applyNumberFormat="1" applyBorder="1"/>
    <xf numFmtId="0" fontId="0" fillId="9" borderId="4" xfId="0" applyFill="1" applyBorder="1"/>
    <xf numFmtId="10" fontId="0" fillId="9" borderId="4" xfId="0" applyNumberFormat="1" applyFill="1" applyBorder="1"/>
    <xf numFmtId="10" fontId="0" fillId="9" borderId="0" xfId="0" applyNumberFormat="1" applyFill="1"/>
    <xf numFmtId="0" fontId="0" fillId="9" borderId="10" xfId="0" applyFill="1" applyBorder="1"/>
    <xf numFmtId="10" fontId="0" fillId="9" borderId="10" xfId="0" applyNumberFormat="1" applyFill="1" applyBorder="1"/>
    <xf numFmtId="174" fontId="0" fillId="9" borderId="8" xfId="0" applyNumberFormat="1" applyFill="1" applyBorder="1"/>
    <xf numFmtId="10" fontId="0" fillId="9" borderId="2" xfId="0" applyNumberFormat="1" applyFill="1" applyBorder="1"/>
    <xf numFmtId="174" fontId="0" fillId="9" borderId="2" xfId="0" applyNumberFormat="1" applyFill="1" applyBorder="1"/>
    <xf numFmtId="10" fontId="0" fillId="9" borderId="3" xfId="0" applyNumberFormat="1" applyFill="1" applyBorder="1"/>
    <xf numFmtId="0" fontId="0" fillId="9" borderId="3" xfId="0" applyFill="1" applyBorder="1"/>
    <xf numFmtId="174" fontId="0" fillId="9" borderId="3" xfId="0" applyNumberFormat="1" applyFill="1" applyBorder="1"/>
    <xf numFmtId="0" fontId="23" fillId="0" borderId="12" xfId="0" applyFont="1" applyBorder="1"/>
    <xf numFmtId="171" fontId="23" fillId="0" borderId="12" xfId="0" applyNumberFormat="1" applyFont="1" applyBorder="1"/>
    <xf numFmtId="10" fontId="23" fillId="0" borderId="12" xfId="0" applyNumberFormat="1" applyFont="1" applyBorder="1"/>
    <xf numFmtId="10" fontId="0" fillId="0" borderId="12" xfId="4" applyNumberFormat="1" applyFont="1" applyBorder="1"/>
    <xf numFmtId="174" fontId="0" fillId="0" borderId="12" xfId="0" applyNumberFormat="1" applyBorder="1"/>
    <xf numFmtId="0" fontId="23" fillId="0" borderId="5" xfId="0" applyFont="1" applyBorder="1"/>
    <xf numFmtId="171" fontId="23" fillId="0" borderId="5" xfId="0" applyNumberFormat="1" applyFont="1" applyBorder="1"/>
    <xf numFmtId="10" fontId="23" fillId="0" borderId="5" xfId="0" applyNumberFormat="1" applyFont="1" applyBorder="1"/>
    <xf numFmtId="174" fontId="0" fillId="0" borderId="5" xfId="0" applyNumberFormat="1" applyBorder="1"/>
    <xf numFmtId="0" fontId="23" fillId="0" borderId="7" xfId="0" applyFont="1" applyBorder="1"/>
    <xf numFmtId="171" fontId="23" fillId="0" borderId="7" xfId="0" applyNumberFormat="1" applyFont="1" applyBorder="1"/>
    <xf numFmtId="10" fontId="23" fillId="0" borderId="7" xfId="0" applyNumberFormat="1" applyFont="1" applyBorder="1"/>
    <xf numFmtId="174" fontId="0" fillId="0" borderId="7" xfId="0" applyNumberFormat="1" applyBorder="1"/>
    <xf numFmtId="0" fontId="0" fillId="9" borderId="0" xfId="0" applyFill="1"/>
    <xf numFmtId="0" fontId="20" fillId="0" borderId="0" xfId="0" applyFont="1"/>
    <xf numFmtId="0" fontId="21" fillId="0" borderId="0" xfId="0" applyFont="1"/>
    <xf numFmtId="0" fontId="2" fillId="10" borderId="0" xfId="0" applyFont="1" applyFill="1"/>
    <xf numFmtId="17" fontId="2" fillId="10" borderId="0" xfId="0" applyNumberFormat="1" applyFont="1" applyFill="1"/>
    <xf numFmtId="10" fontId="0" fillId="0" borderId="9" xfId="4" applyNumberFormat="1" applyFont="1" applyBorder="1"/>
    <xf numFmtId="43" fontId="1" fillId="0" borderId="0" xfId="0" applyNumberFormat="1" applyFont="1"/>
    <xf numFmtId="43" fontId="0" fillId="0" borderId="0" xfId="0" applyNumberFormat="1"/>
    <xf numFmtId="10" fontId="1" fillId="0" borderId="9" xfId="4" applyNumberFormat="1" applyFont="1" applyBorder="1"/>
    <xf numFmtId="10" fontId="1" fillId="0" borderId="3" xfId="4" applyNumberFormat="1" applyFont="1" applyBorder="1"/>
    <xf numFmtId="10" fontId="0" fillId="0" borderId="9" xfId="0" applyNumberFormat="1" applyBorder="1"/>
    <xf numFmtId="10" fontId="0" fillId="0" borderId="8" xfId="4" applyNumberFormat="1" applyFont="1" applyBorder="1"/>
    <xf numFmtId="0" fontId="9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7" fontId="2" fillId="3" borderId="0" xfId="0" applyNumberFormat="1" applyFont="1" applyFill="1" applyAlignment="1">
      <alignment horizontal="center"/>
    </xf>
    <xf numFmtId="0" fontId="22" fillId="0" borderId="0" xfId="0" applyFont="1" applyAlignment="1">
      <alignment horizontal="left"/>
    </xf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5" borderId="0" xfId="0" applyFont="1" applyFill="1"/>
    <xf numFmtId="17" fontId="9" fillId="5" borderId="0" xfId="0" applyNumberFormat="1" applyFont="1" applyFill="1"/>
    <xf numFmtId="0" fontId="0" fillId="0" borderId="4" xfId="0" applyBorder="1"/>
    <xf numFmtId="0" fontId="1" fillId="0" borderId="13" xfId="0" applyFont="1" applyBorder="1"/>
    <xf numFmtId="166" fontId="1" fillId="0" borderId="13" xfId="0" applyNumberFormat="1" applyFont="1" applyBorder="1"/>
    <xf numFmtId="0" fontId="1" fillId="0" borderId="14" xfId="0" applyFont="1" applyBorder="1"/>
    <xf numFmtId="166" fontId="1" fillId="0" borderId="14" xfId="0" applyNumberFormat="1" applyFont="1" applyBorder="1"/>
    <xf numFmtId="171" fontId="1" fillId="0" borderId="13" xfId="0" applyNumberFormat="1" applyFont="1" applyBorder="1"/>
    <xf numFmtId="0" fontId="1" fillId="0" borderId="10" xfId="0" applyFont="1" applyBorder="1"/>
    <xf numFmtId="171" fontId="1" fillId="0" borderId="10" xfId="0" applyNumberFormat="1" applyFont="1" applyBorder="1"/>
    <xf numFmtId="0" fontId="1" fillId="0" borderId="4" xfId="0" applyFont="1" applyFill="1" applyBorder="1"/>
    <xf numFmtId="166" fontId="1" fillId="0" borderId="4" xfId="0" applyNumberFormat="1" applyFont="1" applyBorder="1"/>
    <xf numFmtId="10" fontId="1" fillId="0" borderId="14" xfId="4" applyNumberFormat="1" applyFont="1" applyBorder="1"/>
    <xf numFmtId="10" fontId="1" fillId="0" borderId="2" xfId="0" applyNumberFormat="1" applyFont="1" applyBorder="1"/>
    <xf numFmtId="10" fontId="1" fillId="0" borderId="3" xfId="0" applyNumberFormat="1" applyFont="1" applyBorder="1"/>
    <xf numFmtId="171" fontId="0" fillId="0" borderId="15" xfId="0" applyNumberFormat="1" applyBorder="1"/>
    <xf numFmtId="166" fontId="0" fillId="0" borderId="5" xfId="0" applyNumberFormat="1" applyBorder="1"/>
    <xf numFmtId="10" fontId="24" fillId="0" borderId="0" xfId="0" applyNumberFormat="1" applyFont="1"/>
    <xf numFmtId="167" fontId="0" fillId="0" borderId="10" xfId="0" applyNumberFormat="1" applyBorder="1"/>
    <xf numFmtId="10" fontId="0" fillId="0" borderId="4" xfId="4" applyNumberFormat="1" applyFont="1" applyBorder="1"/>
    <xf numFmtId="10" fontId="1" fillId="0" borderId="14" xfId="0" applyNumberFormat="1" applyFont="1" applyBorder="1"/>
    <xf numFmtId="10" fontId="1" fillId="0" borderId="4" xfId="0" applyNumberFormat="1" applyFont="1" applyBorder="1"/>
    <xf numFmtId="169" fontId="9" fillId="5" borderId="0" xfId="0" applyNumberFormat="1" applyFont="1" applyFill="1"/>
    <xf numFmtId="170" fontId="9" fillId="5" borderId="0" xfId="0" applyNumberFormat="1" applyFont="1" applyFill="1"/>
    <xf numFmtId="0" fontId="9" fillId="3" borderId="0" xfId="0" applyFont="1" applyFill="1"/>
    <xf numFmtId="2" fontId="0" fillId="0" borderId="0" xfId="0" applyNumberFormat="1"/>
    <xf numFmtId="0" fontId="0" fillId="0" borderId="0" xfId="0" applyBorder="1"/>
    <xf numFmtId="167" fontId="0" fillId="0" borderId="0" xfId="0" applyNumberFormat="1" applyBorder="1"/>
    <xf numFmtId="167" fontId="0" fillId="0" borderId="5" xfId="0" applyNumberFormat="1" applyBorder="1"/>
    <xf numFmtId="10" fontId="24" fillId="9" borderId="0" xfId="0" applyNumberFormat="1" applyFont="1" applyFill="1"/>
    <xf numFmtId="10" fontId="24" fillId="0" borderId="5" xfId="0" applyNumberFormat="1" applyFont="1" applyBorder="1"/>
    <xf numFmtId="0" fontId="25" fillId="3" borderId="0" xfId="0" applyFont="1" applyFill="1"/>
    <xf numFmtId="0" fontId="0" fillId="0" borderId="5" xfId="0" applyFill="1" applyBorder="1"/>
    <xf numFmtId="192" fontId="24" fillId="0" borderId="5" xfId="0" applyNumberFormat="1" applyFont="1" applyBorder="1"/>
    <xf numFmtId="192" fontId="0" fillId="0" borderId="5" xfId="0" applyNumberFormat="1" applyBorder="1"/>
    <xf numFmtId="0" fontId="1" fillId="0" borderId="5" xfId="0" applyFont="1" applyBorder="1"/>
    <xf numFmtId="0" fontId="0" fillId="0" borderId="8" xfId="0" applyFill="1" applyBorder="1"/>
    <xf numFmtId="171" fontId="0" fillId="0" borderId="8" xfId="0" applyNumberFormat="1" applyBorder="1"/>
    <xf numFmtId="174" fontId="0" fillId="0" borderId="8" xfId="0" applyNumberFormat="1" applyBorder="1"/>
    <xf numFmtId="167" fontId="1" fillId="0" borderId="4" xfId="0" applyNumberFormat="1" applyFont="1" applyBorder="1"/>
    <xf numFmtId="167" fontId="0" fillId="0" borderId="2" xfId="0" applyNumberFormat="1" applyBorder="1"/>
    <xf numFmtId="167" fontId="1" fillId="0" borderId="2" xfId="0" applyNumberFormat="1" applyFont="1" applyBorder="1"/>
    <xf numFmtId="174" fontId="1" fillId="0" borderId="4" xfId="0" applyNumberFormat="1" applyFont="1" applyBorder="1"/>
    <xf numFmtId="0" fontId="1" fillId="0" borderId="13" xfId="0" applyFont="1" applyFill="1" applyBorder="1"/>
    <xf numFmtId="173" fontId="1" fillId="0" borderId="13" xfId="0" applyNumberFormat="1" applyFont="1" applyBorder="1"/>
    <xf numFmtId="0" fontId="25" fillId="3" borderId="0" xfId="0" applyFont="1" applyFill="1" applyAlignment="1">
      <alignment horizontal="center"/>
    </xf>
    <xf numFmtId="0" fontId="0" fillId="0" borderId="5" xfId="0" applyBorder="1" applyAlignment="1">
      <alignment horizontal="left"/>
    </xf>
    <xf numFmtId="169" fontId="0" fillId="0" borderId="5" xfId="0" applyNumberFormat="1" applyBorder="1" applyAlignment="1">
      <alignment horizontal="left"/>
    </xf>
    <xf numFmtId="170" fontId="0" fillId="0" borderId="5" xfId="0" applyNumberFormat="1" applyBorder="1" applyAlignment="1">
      <alignment horizontal="left"/>
    </xf>
    <xf numFmtId="166" fontId="0" fillId="9" borderId="5" xfId="0" applyNumberFormat="1" applyFill="1" applyBorder="1"/>
    <xf numFmtId="10" fontId="0" fillId="9" borderId="5" xfId="4" applyNumberFormat="1" applyFont="1" applyFill="1" applyBorder="1"/>
    <xf numFmtId="0" fontId="9" fillId="3" borderId="0" xfId="0" applyFont="1" applyFill="1" applyAlignment="1">
      <alignment wrapText="1"/>
    </xf>
    <xf numFmtId="0" fontId="9" fillId="3" borderId="16" xfId="0" applyFont="1" applyFill="1" applyBorder="1" applyAlignment="1">
      <alignment horizontal="center"/>
    </xf>
    <xf numFmtId="0" fontId="9" fillId="0" borderId="0" xfId="0" applyFont="1" applyFill="1"/>
    <xf numFmtId="0" fontId="9" fillId="8" borderId="0" xfId="0" applyFont="1" applyFill="1" applyAlignment="1">
      <alignment horizontal="center"/>
    </xf>
    <xf numFmtId="0" fontId="9" fillId="3" borderId="0" xfId="0" applyFont="1" applyFill="1" applyAlignment="1">
      <alignment horizontal="right" wrapText="1"/>
    </xf>
    <xf numFmtId="0" fontId="9" fillId="3" borderId="0" xfId="0" applyFont="1" applyFill="1" applyAlignment="1">
      <alignment horizontal="right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horizontal="right" wrapText="1"/>
    </xf>
    <xf numFmtId="0" fontId="9" fillId="0" borderId="0" xfId="0" applyFont="1" applyFill="1" applyAlignment="1">
      <alignment horizontal="right"/>
    </xf>
    <xf numFmtId="199" fontId="0" fillId="0" borderId="5" xfId="0" applyNumberFormat="1" applyBorder="1"/>
    <xf numFmtId="167" fontId="0" fillId="9" borderId="0" xfId="0" applyNumberFormat="1" applyFill="1"/>
    <xf numFmtId="0" fontId="0" fillId="11" borderId="5" xfId="0" applyFill="1" applyBorder="1"/>
    <xf numFmtId="171" fontId="0" fillId="11" borderId="5" xfId="0" applyNumberFormat="1" applyFill="1" applyBorder="1"/>
    <xf numFmtId="199" fontId="0" fillId="11" borderId="5" xfId="0" applyNumberFormat="1" applyFill="1" applyBorder="1"/>
    <xf numFmtId="199" fontId="0" fillId="9" borderId="0" xfId="0" applyNumberFormat="1" applyFill="1"/>
    <xf numFmtId="0" fontId="1" fillId="9" borderId="0" xfId="0" applyFont="1" applyFill="1"/>
    <xf numFmtId="199" fontId="1" fillId="9" borderId="0" xfId="0" applyNumberFormat="1" applyFont="1" applyFill="1"/>
    <xf numFmtId="10" fontId="0" fillId="0" borderId="8" xfId="0" applyNumberFormat="1" applyBorder="1"/>
    <xf numFmtId="0" fontId="0" fillId="9" borderId="12" xfId="0" applyFill="1" applyBorder="1"/>
    <xf numFmtId="10" fontId="0" fillId="9" borderId="12" xfId="0" applyNumberFormat="1" applyFill="1" applyBorder="1"/>
    <xf numFmtId="0" fontId="0" fillId="0" borderId="0" xfId="0"/>
    <xf numFmtId="0" fontId="0" fillId="0" borderId="0" xfId="0" applyAlignment="1">
      <alignment horizontal="left" wrapText="1"/>
    </xf>
    <xf numFmtId="0" fontId="26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17" fontId="9" fillId="3" borderId="0" xfId="0" applyNumberFormat="1" applyFont="1" applyFill="1"/>
    <xf numFmtId="10" fontId="24" fillId="0" borderId="8" xfId="0" applyNumberFormat="1" applyFont="1" applyBorder="1"/>
    <xf numFmtId="3" fontId="24" fillId="0" borderId="13" xfId="0" applyNumberFormat="1" applyFont="1" applyBorder="1"/>
    <xf numFmtId="0" fontId="9" fillId="3" borderId="17" xfId="0" applyFont="1" applyFill="1" applyBorder="1" applyAlignment="1">
      <alignment horizontal="center"/>
    </xf>
    <xf numFmtId="0" fontId="0" fillId="0" borderId="18" xfId="0" applyBorder="1"/>
    <xf numFmtId="0" fontId="1" fillId="0" borderId="0" xfId="0" applyFont="1" applyBorder="1"/>
    <xf numFmtId="0" fontId="13" fillId="0" borderId="0" xfId="0" applyFont="1" applyBorder="1"/>
    <xf numFmtId="0" fontId="14" fillId="0" borderId="5" xfId="0" applyFont="1" applyBorder="1"/>
    <xf numFmtId="0" fontId="13" fillId="0" borderId="5" xfId="0" applyFont="1" applyBorder="1"/>
    <xf numFmtId="10" fontId="15" fillId="0" borderId="5" xfId="4" applyNumberFormat="1" applyFont="1" applyBorder="1"/>
    <xf numFmtId="0" fontId="1" fillId="0" borderId="0" xfId="0" applyFont="1" applyFill="1"/>
    <xf numFmtId="0" fontId="7" fillId="0" borderId="0" xfId="0" applyFont="1" applyFill="1" applyAlignment="1"/>
    <xf numFmtId="17" fontId="8" fillId="0" borderId="0" xfId="0" applyNumberFormat="1" applyFont="1" applyFill="1"/>
    <xf numFmtId="0" fontId="1" fillId="12" borderId="0" xfId="0" applyFont="1" applyFill="1"/>
    <xf numFmtId="0" fontId="9" fillId="12" borderId="0" xfId="0" applyFont="1" applyFill="1"/>
    <xf numFmtId="0" fontId="2" fillId="12" borderId="0" xfId="0" applyFont="1" applyFill="1"/>
    <xf numFmtId="166" fontId="1" fillId="0" borderId="5" xfId="0" applyNumberFormat="1" applyFont="1" applyBorder="1"/>
    <xf numFmtId="43" fontId="1" fillId="0" borderId="5" xfId="1" applyFont="1" applyBorder="1"/>
    <xf numFmtId="0" fontId="0" fillId="13" borderId="0" xfId="0" applyFill="1" applyAlignment="1">
      <alignment horizontal="left"/>
    </xf>
    <xf numFmtId="0" fontId="0" fillId="13" borderId="0" xfId="0" applyFill="1"/>
    <xf numFmtId="2" fontId="0" fillId="13" borderId="0" xfId="0" applyNumberFormat="1" applyFill="1"/>
    <xf numFmtId="2" fontId="0" fillId="0" borderId="5" xfId="0" applyNumberFormat="1" applyBorder="1"/>
    <xf numFmtId="0" fontId="1" fillId="0" borderId="5" xfId="0" applyFont="1" applyBorder="1" applyAlignment="1">
      <alignment horizontal="right"/>
    </xf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099CC"/>
      <color rgb="FF0000FF"/>
      <color rgb="FFFFFFFF"/>
      <color rgb="FF0275D8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Shareholders Patterns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'Company Summary'!$B$28:$B$32</c:f>
              <c:strCache>
                <c:ptCount val="5"/>
                <c:pt idx="0">
                  <c:v>Promoters</c:v>
                </c:pt>
                <c:pt idx="1">
                  <c:v>FIIs</c:v>
                </c:pt>
                <c:pt idx="2">
                  <c:v>DIIs</c:v>
                </c:pt>
                <c:pt idx="3">
                  <c:v>Government</c:v>
                </c:pt>
                <c:pt idx="4">
                  <c:v>Public</c:v>
                </c:pt>
              </c:strCache>
            </c:strRef>
          </c:cat>
          <c:val>
            <c:numRef>
              <c:f>'Company Summary'!$L$28:$L$32</c:f>
              <c:numCache>
                <c:formatCode>0.00%</c:formatCode>
                <c:ptCount val="5"/>
                <c:pt idx="0">
                  <c:v>0.61899999999999999</c:v>
                </c:pt>
                <c:pt idx="1">
                  <c:v>0.1018</c:v>
                </c:pt>
                <c:pt idx="2">
                  <c:v>0.15989999999999999</c:v>
                </c:pt>
                <c:pt idx="3">
                  <c:v>6.9999999999999999E-4</c:v>
                </c:pt>
                <c:pt idx="4">
                  <c:v>0.1186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F30-8FDF-D6E091F6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4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2</xdr:row>
      <xdr:rowOff>19050</xdr:rowOff>
    </xdr:from>
    <xdr:to>
      <xdr:col>3</xdr:col>
      <xdr:colOff>596900</xdr:colOff>
      <xdr:row>8</xdr:row>
      <xdr:rowOff>146050</xdr:rowOff>
    </xdr:to>
    <xdr:pic>
      <xdr:nvPicPr>
        <xdr:cNvPr id="2" name="Picture 1" descr="Hindustan Uniliver Limited Logo PNG ...">
          <a:extLst>
            <a:ext uri="{FF2B5EF4-FFF2-40B4-BE49-F238E27FC236}">
              <a16:creationId xmlns:a16="http://schemas.microsoft.com/office/drawing/2014/main" id="{CC1A77E4-36F0-CC82-7125-4CA5CDA5B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87350"/>
          <a:ext cx="2305050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17151</xdr:colOff>
      <xdr:row>10</xdr:row>
      <xdr:rowOff>170071</xdr:rowOff>
    </xdr:from>
    <xdr:to>
      <xdr:col>6</xdr:col>
      <xdr:colOff>608361</xdr:colOff>
      <xdr:row>22</xdr:row>
      <xdr:rowOff>154956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EA8DAC-0F47-F768-D579-AD5E8F5C9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593" y="1984357"/>
          <a:ext cx="4195041" cy="2170274"/>
        </a:xfrm>
        <a:prstGeom prst="rect">
          <a:avLst/>
        </a:prstGeom>
      </xdr:spPr>
    </xdr:pic>
    <xdr:clientData/>
  </xdr:twoCellAnchor>
  <xdr:twoCellAnchor>
    <xdr:from>
      <xdr:col>12</xdr:col>
      <xdr:colOff>93187</xdr:colOff>
      <xdr:row>24</xdr:row>
      <xdr:rowOff>170543</xdr:rowOff>
    </xdr:from>
    <xdr:to>
      <xdr:col>16</xdr:col>
      <xdr:colOff>173181</xdr:colOff>
      <xdr:row>33</xdr:row>
      <xdr:rowOff>74220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561D5-63E7-53F1-177E-8AE30A238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563645</xdr:colOff>
      <xdr:row>17</xdr:row>
      <xdr:rowOff>91567</xdr:rowOff>
    </xdr:from>
    <xdr:to>
      <xdr:col>11</xdr:col>
      <xdr:colOff>564005</xdr:colOff>
      <xdr:row>17</xdr:row>
      <xdr:rowOff>91927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F2A4F4F-876C-4F4B-5433-5287CDFA1389}"/>
                </a:ext>
              </a:extLst>
            </xdr14:cNvPr>
            <xdr14:cNvContentPartPr/>
          </xdr14:nvContentPartPr>
          <xdr14:nvPr macro=""/>
          <xdr14:xfrm>
            <a:off x="8710560" y="3192258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F2A4F4F-876C-4F4B-5433-5287CDFA13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701920" y="3183618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444485</xdr:colOff>
      <xdr:row>17</xdr:row>
      <xdr:rowOff>104167</xdr:rowOff>
    </xdr:from>
    <xdr:to>
      <xdr:col>11</xdr:col>
      <xdr:colOff>444845</xdr:colOff>
      <xdr:row>17</xdr:row>
      <xdr:rowOff>104527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0153502-9869-D90C-C60D-68023A826F70}"/>
                </a:ext>
              </a:extLst>
            </xdr14:cNvPr>
            <xdr14:cNvContentPartPr/>
          </xdr14:nvContentPartPr>
          <xdr14:nvPr macro=""/>
          <xdr14:xfrm>
            <a:off x="8591400" y="3204858"/>
            <a:ext cx="360" cy="3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0153502-9869-D90C-C60D-68023A826F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82760" y="3196218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444485</xdr:colOff>
      <xdr:row>10</xdr:row>
      <xdr:rowOff>96607</xdr:rowOff>
    </xdr:from>
    <xdr:to>
      <xdr:col>11</xdr:col>
      <xdr:colOff>444845</xdr:colOff>
      <xdr:row>10</xdr:row>
      <xdr:rowOff>96967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FC41E8C-8E9E-477B-87C2-FEDB1733C5E1}"/>
                </a:ext>
              </a:extLst>
            </xdr14:cNvPr>
            <xdr14:cNvContentPartPr/>
          </xdr14:nvContentPartPr>
          <xdr14:nvPr macro=""/>
          <xdr14:xfrm>
            <a:off x="8591400" y="1920543"/>
            <a:ext cx="360" cy="3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FC41E8C-8E9E-477B-87C2-FEDB1733C5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82760" y="191190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7-23T09:11:19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1 1 17687 0 0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7-23T09:11:23.1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1 1 18487 0 0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7-23T09:11:39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1 1 15880 0 0</inkml:trace>
</inkml: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reener.in/exce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342C-648E-4DCD-9D67-E52D66A9653D}">
  <sheetPr>
    <tabColor rgb="FF0099CC"/>
  </sheetPr>
  <dimension ref="B2:L33"/>
  <sheetViews>
    <sheetView showGridLines="0" zoomScale="77" workbookViewId="0">
      <selection activeCell="S20" sqref="S20"/>
    </sheetView>
  </sheetViews>
  <sheetFormatPr defaultRowHeight="14.5" x14ac:dyDescent="0.35"/>
  <cols>
    <col min="1" max="1" width="2.08984375" customWidth="1"/>
    <col min="2" max="2" width="16.6328125" customWidth="1"/>
    <col min="8" max="12" width="9.453125" bestFit="1" customWidth="1"/>
  </cols>
  <sheetData>
    <row r="2" spans="2:12" x14ac:dyDescent="0.35">
      <c r="B2" s="133" t="s">
        <v>360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</row>
    <row r="3" spans="2:12" ht="14.5" customHeight="1" x14ac:dyDescent="0.35">
      <c r="B3" s="205"/>
      <c r="C3" s="205"/>
      <c r="D3" s="205"/>
      <c r="E3" s="209" t="s">
        <v>361</v>
      </c>
      <c r="F3" s="208"/>
      <c r="G3" s="208"/>
      <c r="H3" s="208"/>
      <c r="I3" s="208"/>
      <c r="J3" s="208"/>
      <c r="K3" s="208"/>
      <c r="L3" s="208"/>
    </row>
    <row r="4" spans="2:12" x14ac:dyDescent="0.35">
      <c r="B4" s="205"/>
      <c r="C4" s="205"/>
      <c r="D4" s="205"/>
      <c r="E4" s="208"/>
      <c r="F4" s="208"/>
      <c r="G4" s="208"/>
      <c r="H4" s="208"/>
      <c r="I4" s="208"/>
      <c r="J4" s="208"/>
      <c r="K4" s="208"/>
      <c r="L4" s="208"/>
    </row>
    <row r="5" spans="2:12" x14ac:dyDescent="0.35">
      <c r="B5" s="205"/>
      <c r="C5" s="205"/>
      <c r="D5" s="205"/>
      <c r="E5" s="208"/>
      <c r="F5" s="208"/>
      <c r="G5" s="208"/>
      <c r="H5" s="208"/>
      <c r="I5" s="208"/>
      <c r="J5" s="208"/>
      <c r="K5" s="208"/>
      <c r="L5" s="208"/>
    </row>
    <row r="6" spans="2:12" x14ac:dyDescent="0.35">
      <c r="B6" s="205"/>
      <c r="C6" s="205"/>
      <c r="D6" s="205"/>
      <c r="E6" s="208"/>
      <c r="F6" s="208"/>
      <c r="G6" s="208"/>
      <c r="H6" s="208"/>
      <c r="I6" s="208"/>
      <c r="J6" s="208"/>
      <c r="K6" s="208"/>
      <c r="L6" s="208"/>
    </row>
    <row r="7" spans="2:12" x14ac:dyDescent="0.35">
      <c r="B7" s="205"/>
      <c r="C7" s="205"/>
      <c r="D7" s="205"/>
      <c r="E7" s="208"/>
      <c r="F7" s="208"/>
      <c r="G7" s="208"/>
      <c r="H7" s="208"/>
      <c r="I7" s="208"/>
      <c r="J7" s="208"/>
      <c r="K7" s="208"/>
      <c r="L7" s="208"/>
    </row>
    <row r="8" spans="2:12" x14ac:dyDescent="0.35">
      <c r="B8" s="205"/>
      <c r="C8" s="205"/>
      <c r="D8" s="205"/>
      <c r="E8" s="208"/>
      <c r="F8" s="208"/>
      <c r="G8" s="208"/>
      <c r="H8" s="208"/>
      <c r="I8" s="208"/>
      <c r="J8" s="208"/>
      <c r="K8" s="208"/>
      <c r="L8" s="208"/>
    </row>
    <row r="9" spans="2:12" x14ac:dyDescent="0.35">
      <c r="E9" s="208"/>
      <c r="F9" s="208"/>
      <c r="G9" s="208"/>
      <c r="H9" s="208"/>
      <c r="I9" s="208"/>
      <c r="J9" s="208"/>
      <c r="K9" s="208"/>
      <c r="L9" s="208"/>
    </row>
    <row r="11" spans="2:12" ht="15" thickBot="1" x14ac:dyDescent="0.4">
      <c r="B11" s="186" t="s">
        <v>362</v>
      </c>
      <c r="C11" s="186"/>
      <c r="D11" s="186"/>
      <c r="E11" s="186"/>
      <c r="F11" s="186"/>
      <c r="G11" s="186"/>
      <c r="H11" s="207" t="s">
        <v>363</v>
      </c>
      <c r="I11" s="206"/>
      <c r="J11" s="206"/>
      <c r="K11" s="206"/>
      <c r="L11" s="206"/>
    </row>
    <row r="12" spans="2:12" x14ac:dyDescent="0.35">
      <c r="B12" s="214"/>
      <c r="C12" s="214"/>
      <c r="D12" s="214"/>
      <c r="E12" s="214"/>
      <c r="F12" s="214"/>
      <c r="G12" s="214"/>
      <c r="H12" s="206"/>
      <c r="I12" s="206"/>
      <c r="J12" s="206"/>
      <c r="K12" s="206"/>
      <c r="L12" s="206"/>
    </row>
    <row r="13" spans="2:12" x14ac:dyDescent="0.35">
      <c r="B13" s="205"/>
      <c r="C13" s="205"/>
      <c r="D13" s="205"/>
      <c r="E13" s="205"/>
      <c r="F13" s="205"/>
      <c r="G13" s="205"/>
      <c r="H13" s="206"/>
      <c r="I13" s="206"/>
      <c r="J13" s="206"/>
      <c r="K13" s="206"/>
      <c r="L13" s="206"/>
    </row>
    <row r="14" spans="2:12" x14ac:dyDescent="0.35">
      <c r="B14" s="205"/>
      <c r="C14" s="205"/>
      <c r="D14" s="205"/>
      <c r="E14" s="205"/>
      <c r="F14" s="205"/>
      <c r="G14" s="205"/>
      <c r="H14" s="206"/>
      <c r="I14" s="206"/>
      <c r="J14" s="206"/>
      <c r="K14" s="206"/>
      <c r="L14" s="206"/>
    </row>
    <row r="15" spans="2:12" x14ac:dyDescent="0.35">
      <c r="B15" s="205"/>
      <c r="C15" s="205"/>
      <c r="D15" s="205"/>
      <c r="E15" s="205"/>
      <c r="F15" s="205"/>
      <c r="G15" s="205"/>
      <c r="H15" s="206"/>
      <c r="I15" s="206"/>
      <c r="J15" s="206"/>
      <c r="K15" s="206"/>
      <c r="L15" s="206"/>
    </row>
    <row r="16" spans="2:12" x14ac:dyDescent="0.35">
      <c r="B16" s="205"/>
      <c r="C16" s="205"/>
      <c r="D16" s="205"/>
      <c r="E16" s="205"/>
      <c r="F16" s="205"/>
      <c r="G16" s="205"/>
      <c r="H16" s="206"/>
      <c r="I16" s="206"/>
      <c r="J16" s="206"/>
      <c r="K16" s="206"/>
      <c r="L16" s="206"/>
    </row>
    <row r="17" spans="2:12" x14ac:dyDescent="0.35">
      <c r="B17" s="205"/>
      <c r="C17" s="205"/>
      <c r="D17" s="205"/>
      <c r="E17" s="205"/>
      <c r="F17" s="205"/>
      <c r="G17" s="205"/>
      <c r="H17" s="206"/>
      <c r="I17" s="206"/>
      <c r="J17" s="206"/>
      <c r="K17" s="206"/>
      <c r="L17" s="206"/>
    </row>
    <row r="18" spans="2:12" x14ac:dyDescent="0.35">
      <c r="B18" s="205"/>
      <c r="C18" s="205"/>
      <c r="D18" s="205"/>
      <c r="E18" s="205"/>
      <c r="F18" s="205"/>
      <c r="G18" s="205"/>
      <c r="H18" s="206"/>
      <c r="I18" s="206"/>
      <c r="J18" s="206"/>
      <c r="K18" s="206"/>
      <c r="L18" s="206"/>
    </row>
    <row r="19" spans="2:12" x14ac:dyDescent="0.35">
      <c r="B19" s="205"/>
      <c r="C19" s="205"/>
      <c r="D19" s="205"/>
      <c r="E19" s="205"/>
      <c r="F19" s="205"/>
      <c r="G19" s="205"/>
      <c r="H19" s="206"/>
      <c r="I19" s="206"/>
      <c r="J19" s="206"/>
      <c r="K19" s="206"/>
      <c r="L19" s="206"/>
    </row>
    <row r="20" spans="2:12" x14ac:dyDescent="0.35">
      <c r="B20" s="205"/>
      <c r="C20" s="205"/>
      <c r="D20" s="205"/>
      <c r="E20" s="205"/>
      <c r="F20" s="205"/>
      <c r="G20" s="205"/>
      <c r="H20" s="206"/>
      <c r="I20" s="206"/>
      <c r="J20" s="206"/>
      <c r="K20" s="206"/>
      <c r="L20" s="206"/>
    </row>
    <row r="21" spans="2:12" x14ac:dyDescent="0.35">
      <c r="B21" s="205"/>
      <c r="C21" s="205"/>
      <c r="D21" s="205"/>
      <c r="E21" s="205"/>
      <c r="F21" s="205"/>
      <c r="G21" s="205"/>
      <c r="H21" s="206"/>
      <c r="I21" s="206"/>
      <c r="J21" s="206"/>
      <c r="K21" s="206"/>
      <c r="L21" s="206"/>
    </row>
    <row r="22" spans="2:12" x14ac:dyDescent="0.35">
      <c r="B22" s="205"/>
      <c r="C22" s="205"/>
      <c r="D22" s="205"/>
      <c r="E22" s="205"/>
      <c r="F22" s="205"/>
      <c r="G22" s="205"/>
      <c r="H22" s="206"/>
      <c r="I22" s="206"/>
      <c r="J22" s="206"/>
      <c r="K22" s="206"/>
      <c r="L22" s="206"/>
    </row>
    <row r="23" spans="2:12" x14ac:dyDescent="0.35">
      <c r="B23" s="205"/>
      <c r="C23" s="205"/>
      <c r="D23" s="205"/>
      <c r="E23" s="205"/>
      <c r="F23" s="205"/>
      <c r="G23" s="205"/>
      <c r="H23" s="206"/>
      <c r="I23" s="206"/>
      <c r="J23" s="206"/>
      <c r="K23" s="206"/>
      <c r="L23" s="206"/>
    </row>
    <row r="26" spans="2:12" x14ac:dyDescent="0.35">
      <c r="B26" s="213" t="s">
        <v>369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</row>
    <row r="27" spans="2:12" x14ac:dyDescent="0.35">
      <c r="B27" s="158" t="s">
        <v>249</v>
      </c>
      <c r="C27" s="210">
        <v>42795</v>
      </c>
      <c r="D27" s="210">
        <v>43160</v>
      </c>
      <c r="E27" s="210">
        <v>43525</v>
      </c>
      <c r="F27" s="210">
        <v>43891</v>
      </c>
      <c r="G27" s="210">
        <v>44256</v>
      </c>
      <c r="H27" s="210">
        <v>44621</v>
      </c>
      <c r="I27" s="210">
        <v>44986</v>
      </c>
      <c r="J27" s="210">
        <v>45352</v>
      </c>
      <c r="K27" s="210">
        <v>45717</v>
      </c>
      <c r="L27" s="210">
        <v>45809</v>
      </c>
    </row>
    <row r="28" spans="2:12" x14ac:dyDescent="0.35">
      <c r="B28" s="2" t="s">
        <v>364</v>
      </c>
      <c r="C28" s="164">
        <v>0.67200000000000004</v>
      </c>
      <c r="D28" s="164">
        <v>0.67190000000000005</v>
      </c>
      <c r="E28" s="164">
        <v>0.67190000000000005</v>
      </c>
      <c r="F28" s="164">
        <v>0.67179999999999995</v>
      </c>
      <c r="G28" s="164">
        <v>0.61899999999999999</v>
      </c>
      <c r="H28" s="164">
        <v>0.61899999999999999</v>
      </c>
      <c r="I28" s="164">
        <v>0.61899999999999999</v>
      </c>
      <c r="J28" s="164">
        <v>0.61899999999999999</v>
      </c>
      <c r="K28" s="164">
        <v>0.61899999999999999</v>
      </c>
      <c r="L28" s="164">
        <v>0.61899999999999999</v>
      </c>
    </row>
    <row r="29" spans="2:12" x14ac:dyDescent="0.35">
      <c r="B29" s="2" t="s">
        <v>365</v>
      </c>
      <c r="C29" s="164">
        <v>0.1326</v>
      </c>
      <c r="D29" s="164">
        <v>0.12559999999999999</v>
      </c>
      <c r="E29" s="164">
        <v>0.1183</v>
      </c>
      <c r="F29" s="164">
        <v>0.121</v>
      </c>
      <c r="G29" s="164">
        <v>0.14949999999999999</v>
      </c>
      <c r="H29" s="164">
        <v>0.1366</v>
      </c>
      <c r="I29" s="164">
        <v>0.14360000000000001</v>
      </c>
      <c r="J29" s="164">
        <v>0.12670000000000001</v>
      </c>
      <c r="K29" s="164">
        <v>0.1062</v>
      </c>
      <c r="L29" s="164">
        <v>0.1018</v>
      </c>
    </row>
    <row r="30" spans="2:12" x14ac:dyDescent="0.35">
      <c r="B30" s="2" t="s">
        <v>366</v>
      </c>
      <c r="C30" s="164">
        <v>5.6599999999999998E-2</v>
      </c>
      <c r="D30" s="164">
        <v>6.8500000000000005E-2</v>
      </c>
      <c r="E30" s="164">
        <v>7.0300000000000001E-2</v>
      </c>
      <c r="F30" s="164">
        <v>6.6699999999999995E-2</v>
      </c>
      <c r="G30" s="164">
        <v>0.10680000000000001</v>
      </c>
      <c r="H30" s="164">
        <v>0.11609999999999999</v>
      </c>
      <c r="I30" s="164">
        <v>0.11509999999999999</v>
      </c>
      <c r="J30" s="164">
        <v>0.1321</v>
      </c>
      <c r="K30" s="164">
        <v>0.15479999999999999</v>
      </c>
      <c r="L30" s="164">
        <v>0.15989999999999999</v>
      </c>
    </row>
    <row r="31" spans="2:12" x14ac:dyDescent="0.35">
      <c r="B31" s="2" t="s">
        <v>367</v>
      </c>
      <c r="C31" s="164">
        <v>0</v>
      </c>
      <c r="D31" s="164">
        <v>0</v>
      </c>
      <c r="E31" s="164">
        <v>0</v>
      </c>
      <c r="F31" s="164">
        <v>0</v>
      </c>
      <c r="G31" s="164">
        <v>0</v>
      </c>
      <c r="H31" s="164">
        <v>0</v>
      </c>
      <c r="I31" s="164">
        <v>4.0000000000000002E-4</v>
      </c>
      <c r="J31" s="164">
        <v>4.0000000000000002E-4</v>
      </c>
      <c r="K31" s="164">
        <v>6.9999999999999999E-4</v>
      </c>
      <c r="L31" s="164">
        <v>6.9999999999999999E-4</v>
      </c>
    </row>
    <row r="32" spans="2:12" x14ac:dyDescent="0.35">
      <c r="B32" s="2" t="s">
        <v>368</v>
      </c>
      <c r="C32" s="211">
        <v>0.13880000000000001</v>
      </c>
      <c r="D32" s="211">
        <v>0.13389999999999999</v>
      </c>
      <c r="E32" s="211">
        <v>0.13950000000000001</v>
      </c>
      <c r="F32" s="211">
        <v>0.14050000000000001</v>
      </c>
      <c r="G32" s="211">
        <v>0.12470000000000001</v>
      </c>
      <c r="H32" s="211">
        <v>0.1283</v>
      </c>
      <c r="I32" s="211">
        <v>0.1217</v>
      </c>
      <c r="J32" s="211">
        <v>0.12189999999999999</v>
      </c>
      <c r="K32" s="211">
        <v>0.1193</v>
      </c>
      <c r="L32" s="211">
        <v>0.1186</v>
      </c>
    </row>
    <row r="33" spans="2:12" x14ac:dyDescent="0.35">
      <c r="B33" s="2" t="s">
        <v>370</v>
      </c>
      <c r="C33" s="212">
        <v>332275</v>
      </c>
      <c r="D33" s="212">
        <v>310063</v>
      </c>
      <c r="E33" s="212">
        <v>378368</v>
      </c>
      <c r="F33" s="212">
        <v>459182</v>
      </c>
      <c r="G33" s="212">
        <v>769663</v>
      </c>
      <c r="H33" s="212">
        <v>1361506</v>
      </c>
      <c r="I33" s="212">
        <v>1127982</v>
      </c>
      <c r="J33" s="212">
        <v>1205416</v>
      </c>
      <c r="K33" s="212">
        <v>1233438</v>
      </c>
      <c r="L33" s="212">
        <v>1167945</v>
      </c>
    </row>
  </sheetData>
  <mergeCells count="7">
    <mergeCell ref="B11:G11"/>
    <mergeCell ref="H11:L23"/>
    <mergeCell ref="B26:L26"/>
    <mergeCell ref="B12:G23"/>
    <mergeCell ref="B2:L2"/>
    <mergeCell ref="B3:D8"/>
    <mergeCell ref="E3:L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1C5A-5F07-4F86-B4B6-7A25970072B1}">
  <sheetPr>
    <tabColor rgb="FF00B050"/>
  </sheetPr>
  <dimension ref="B2:G10"/>
  <sheetViews>
    <sheetView showGridLines="0" zoomScale="93" workbookViewId="0">
      <selection activeCell="J22" sqref="J22"/>
    </sheetView>
  </sheetViews>
  <sheetFormatPr defaultRowHeight="14.5" x14ac:dyDescent="0.35"/>
  <cols>
    <col min="1" max="1" width="2.1796875" customWidth="1"/>
    <col min="2" max="2" width="11.36328125" customWidth="1"/>
    <col min="3" max="3" width="19.08984375" customWidth="1"/>
    <col min="4" max="4" width="12.90625" customWidth="1"/>
    <col min="5" max="5" width="14.453125" customWidth="1"/>
    <col min="6" max="6" width="13.81640625" customWidth="1"/>
    <col min="7" max="7" width="12.7265625" customWidth="1"/>
  </cols>
  <sheetData>
    <row r="2" spans="2:7" x14ac:dyDescent="0.35">
      <c r="B2" t="s">
        <v>251</v>
      </c>
    </row>
    <row r="3" spans="2:7" x14ac:dyDescent="0.35">
      <c r="B3" t="s">
        <v>200</v>
      </c>
      <c r="C3" t="s">
        <v>201</v>
      </c>
      <c r="D3" s="35" t="s">
        <v>254</v>
      </c>
      <c r="E3" s="35" t="s">
        <v>252</v>
      </c>
      <c r="F3" s="35" t="s">
        <v>253</v>
      </c>
      <c r="G3" s="35" t="s">
        <v>211</v>
      </c>
    </row>
    <row r="4" spans="2:7" x14ac:dyDescent="0.35">
      <c r="B4" s="8">
        <v>1</v>
      </c>
      <c r="C4" s="56" t="s">
        <v>204</v>
      </c>
      <c r="D4" s="56">
        <v>2464.9</v>
      </c>
      <c r="E4" s="56">
        <v>579313.64</v>
      </c>
      <c r="F4" s="56">
        <v>1648</v>
      </c>
      <c r="G4" s="56">
        <v>0.03</v>
      </c>
    </row>
    <row r="5" spans="2:7" x14ac:dyDescent="0.35">
      <c r="B5" s="8">
        <v>2</v>
      </c>
      <c r="C5" s="56" t="s">
        <v>205</v>
      </c>
      <c r="D5" s="56">
        <v>420.1</v>
      </c>
      <c r="E5" s="56">
        <v>525986.36</v>
      </c>
      <c r="F5" s="56">
        <v>284.54000000000002</v>
      </c>
      <c r="G5" s="56">
        <v>0</v>
      </c>
    </row>
    <row r="6" spans="2:7" x14ac:dyDescent="0.35">
      <c r="B6" s="8">
        <v>3</v>
      </c>
      <c r="C6" s="56" t="s">
        <v>206</v>
      </c>
      <c r="D6" s="56">
        <v>2472.6</v>
      </c>
      <c r="E6" s="56">
        <v>238339.65</v>
      </c>
      <c r="F6" s="56">
        <v>1166.8499999999999</v>
      </c>
      <c r="G6" s="56">
        <v>0.28000000000000003</v>
      </c>
    </row>
    <row r="7" spans="2:7" x14ac:dyDescent="0.35">
      <c r="B7" s="8">
        <v>4</v>
      </c>
      <c r="C7" s="56" t="s">
        <v>207</v>
      </c>
      <c r="D7" s="56">
        <v>489.3</v>
      </c>
      <c r="E7" s="56">
        <v>165477.19</v>
      </c>
      <c r="F7" s="56">
        <v>2826.25</v>
      </c>
      <c r="G7" s="56">
        <v>0.17</v>
      </c>
    </row>
    <row r="8" spans="2:7" x14ac:dyDescent="0.35">
      <c r="B8" s="8">
        <v>5</v>
      </c>
      <c r="C8" s="56" t="s">
        <v>208</v>
      </c>
      <c r="D8" s="56">
        <v>5681.5</v>
      </c>
      <c r="E8" s="56">
        <v>136688.46</v>
      </c>
      <c r="F8" s="56">
        <v>1246.51</v>
      </c>
      <c r="G8" s="56">
        <v>0.28999999999999998</v>
      </c>
    </row>
    <row r="9" spans="2:7" x14ac:dyDescent="0.35">
      <c r="B9" s="8">
        <v>6</v>
      </c>
      <c r="C9" s="56" t="s">
        <v>209</v>
      </c>
      <c r="D9" s="56">
        <v>1238.7</v>
      </c>
      <c r="E9" s="56">
        <v>126633.98</v>
      </c>
      <c r="F9" s="56">
        <v>4009.19</v>
      </c>
      <c r="G9" s="56">
        <v>0.33</v>
      </c>
    </row>
    <row r="10" spans="2:7" x14ac:dyDescent="0.35">
      <c r="B10" s="8">
        <v>7</v>
      </c>
      <c r="C10" s="56" t="s">
        <v>210</v>
      </c>
      <c r="D10" s="56">
        <v>1090.3</v>
      </c>
      <c r="E10" s="56">
        <v>107854.42</v>
      </c>
      <c r="F10" s="56">
        <v>2392.6799999999998</v>
      </c>
      <c r="G10" s="56">
        <v>0.12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2525-A980-4D43-ADC2-3C248A3A466D}">
  <sheetPr>
    <tabColor rgb="FF00B050"/>
  </sheetPr>
  <dimension ref="B2:H66"/>
  <sheetViews>
    <sheetView showGridLines="0" topLeftCell="A38" zoomScale="78" workbookViewId="0">
      <selection activeCell="B68" sqref="B68"/>
    </sheetView>
  </sheetViews>
  <sheetFormatPr defaultRowHeight="14.5" x14ac:dyDescent="0.35"/>
  <cols>
    <col min="1" max="1" width="1.90625" customWidth="1"/>
    <col min="2" max="2" width="16.81640625" customWidth="1"/>
    <col min="3" max="3" width="12.54296875" customWidth="1"/>
    <col min="4" max="4" width="11.08984375" customWidth="1"/>
    <col min="5" max="5" width="13.453125" customWidth="1"/>
    <col min="6" max="6" width="12.54296875" customWidth="1"/>
    <col min="7" max="7" width="11.26953125" customWidth="1"/>
    <col min="8" max="8" width="11.81640625" customWidth="1"/>
    <col min="9" max="9" width="15" customWidth="1"/>
  </cols>
  <sheetData>
    <row r="2" spans="2:8" x14ac:dyDescent="0.35">
      <c r="B2" s="133" t="s">
        <v>255</v>
      </c>
      <c r="C2" s="133"/>
      <c r="D2" s="133"/>
      <c r="E2" s="133"/>
      <c r="F2" s="133"/>
      <c r="G2" s="133"/>
      <c r="H2" s="133"/>
    </row>
    <row r="3" spans="2:8" ht="3" customHeight="1" x14ac:dyDescent="0.35"/>
    <row r="4" spans="2:8" x14ac:dyDescent="0.35">
      <c r="B4" s="134" t="s">
        <v>249</v>
      </c>
      <c r="C4" s="134"/>
      <c r="D4" s="135">
        <f>'Balance Sheet Data'!J2</f>
        <v>44256</v>
      </c>
      <c r="E4" s="135">
        <f>'Balance Sheet Data'!K2</f>
        <v>44621</v>
      </c>
      <c r="F4" s="135">
        <f>'Balance Sheet Data'!L2</f>
        <v>44986</v>
      </c>
      <c r="G4" s="135">
        <f>'Balance Sheet Data'!M2</f>
        <v>45352</v>
      </c>
      <c r="H4" s="135">
        <f>'Balance Sheet Data'!N2</f>
        <v>45717</v>
      </c>
    </row>
    <row r="5" spans="2:8" ht="3.5" customHeight="1" x14ac:dyDescent="0.35"/>
    <row r="6" spans="2:8" x14ac:dyDescent="0.35">
      <c r="B6" s="2" t="s">
        <v>256</v>
      </c>
    </row>
    <row r="7" spans="2:8" x14ac:dyDescent="0.35">
      <c r="B7" t="str">
        <f>'Balance Sheet Data'!B35</f>
        <v>Inventories</v>
      </c>
      <c r="D7" s="59">
        <f>'Balance Sheet Data'!J35</f>
        <v>3579</v>
      </c>
      <c r="E7" s="59">
        <f>'Balance Sheet Data'!K35</f>
        <v>4096</v>
      </c>
      <c r="F7" s="59">
        <f>'Balance Sheet Data'!L35</f>
        <v>4251</v>
      </c>
      <c r="G7" s="59">
        <f>'Balance Sheet Data'!M35</f>
        <v>4022</v>
      </c>
      <c r="H7" s="59">
        <f>'Balance Sheet Data'!N35</f>
        <v>4415</v>
      </c>
    </row>
    <row r="8" spans="2:8" x14ac:dyDescent="0.35">
      <c r="B8" t="str">
        <f>'Balance Sheet Data'!B38</f>
        <v>Receivables under 6m</v>
      </c>
      <c r="D8" s="59">
        <f>'Balance Sheet Data'!J38</f>
        <v>1869</v>
      </c>
      <c r="E8" s="59">
        <f>'Balance Sheet Data'!K38</f>
        <v>2142</v>
      </c>
      <c r="F8" s="59">
        <f>'Balance Sheet Data'!L38</f>
        <v>2748</v>
      </c>
      <c r="G8" s="59">
        <f>'Balance Sheet Data'!M38</f>
        <v>2862</v>
      </c>
      <c r="H8" s="59">
        <f>'Balance Sheet Data'!N38</f>
        <v>3574</v>
      </c>
    </row>
    <row r="9" spans="2:8" x14ac:dyDescent="0.35">
      <c r="B9" t="str">
        <f>'Balance Sheet Data'!B41</f>
        <v>Loans n Advances</v>
      </c>
      <c r="D9" s="59">
        <f>'Balance Sheet Data'!J41</f>
        <v>78</v>
      </c>
      <c r="E9" s="59">
        <f>'Balance Sheet Data'!K41</f>
        <v>170</v>
      </c>
      <c r="F9" s="59">
        <f>'Balance Sheet Data'!L41</f>
        <v>188</v>
      </c>
      <c r="G9" s="59">
        <f>'Balance Sheet Data'!M41</f>
        <v>172</v>
      </c>
      <c r="H9" s="59">
        <f>'Balance Sheet Data'!N41</f>
        <v>242</v>
      </c>
    </row>
    <row r="10" spans="2:8" x14ac:dyDescent="0.35">
      <c r="B10" t="str">
        <f>'Balance Sheet Data'!B42</f>
        <v>Other asset items</v>
      </c>
      <c r="D10" s="61">
        <f>'Balance Sheet Data'!J42</f>
        <v>3957</v>
      </c>
      <c r="E10" s="61">
        <f>'Balance Sheet Data'!K42</f>
        <v>3851</v>
      </c>
      <c r="F10" s="61">
        <f>'Balance Sheet Data'!L42</f>
        <v>4189</v>
      </c>
      <c r="G10" s="61">
        <f>'Balance Sheet Data'!M42</f>
        <v>4345</v>
      </c>
      <c r="H10" s="61">
        <f>'Balance Sheet Data'!N42</f>
        <v>4679</v>
      </c>
    </row>
    <row r="11" spans="2:8" x14ac:dyDescent="0.35">
      <c r="B11" s="137" t="s">
        <v>257</v>
      </c>
      <c r="C11" s="137"/>
      <c r="D11" s="141">
        <f>SUM(D7:D10)</f>
        <v>9483</v>
      </c>
      <c r="E11" s="141">
        <f t="shared" ref="E11:H11" si="0">SUM(E7:E10)</f>
        <v>10259</v>
      </c>
      <c r="F11" s="141">
        <f t="shared" si="0"/>
        <v>11376</v>
      </c>
      <c r="G11" s="141">
        <f t="shared" si="0"/>
        <v>11401</v>
      </c>
      <c r="H11" s="141">
        <f t="shared" si="0"/>
        <v>12910</v>
      </c>
    </row>
    <row r="12" spans="2:8" ht="3.5" customHeight="1" x14ac:dyDescent="0.35"/>
    <row r="13" spans="2:8" x14ac:dyDescent="0.35">
      <c r="B13" s="2" t="s">
        <v>258</v>
      </c>
    </row>
    <row r="14" spans="2:8" x14ac:dyDescent="0.35">
      <c r="B14" t="str">
        <f>'Balance Sheet Data'!B12</f>
        <v>Trade Payables</v>
      </c>
      <c r="D14" s="59">
        <f>'Balance Sheet Data'!J12</f>
        <v>8802</v>
      </c>
      <c r="E14" s="59">
        <f>'Balance Sheet Data'!K12</f>
        <v>9068</v>
      </c>
      <c r="F14" s="59">
        <f>'Balance Sheet Data'!L12</f>
        <v>9574</v>
      </c>
      <c r="G14" s="59">
        <f>'Balance Sheet Data'!M12</f>
        <v>10486</v>
      </c>
      <c r="H14" s="59">
        <f>'Balance Sheet Data'!N12</f>
        <v>11315</v>
      </c>
    </row>
    <row r="15" spans="2:8" x14ac:dyDescent="0.35">
      <c r="B15" t="str">
        <f>'Balance Sheet Data'!B13</f>
        <v>Advance from Customers</v>
      </c>
      <c r="D15" s="59">
        <f>'Balance Sheet Data'!J13</f>
        <v>96</v>
      </c>
      <c r="E15" s="59">
        <f>'Balance Sheet Data'!K13</f>
        <v>119</v>
      </c>
      <c r="F15" s="59">
        <f>'Balance Sheet Data'!L13</f>
        <v>98</v>
      </c>
      <c r="G15" s="59">
        <f>'Balance Sheet Data'!M13</f>
        <v>91</v>
      </c>
      <c r="H15" s="59">
        <f>'Balance Sheet Data'!N13</f>
        <v>105</v>
      </c>
    </row>
    <row r="16" spans="2:8" x14ac:dyDescent="0.35">
      <c r="B16" t="str">
        <f>'Balance Sheet Data'!B14</f>
        <v>Other liability items</v>
      </c>
      <c r="D16" s="61">
        <f>'Balance Sheet Data'!J14</f>
        <v>12148</v>
      </c>
      <c r="E16" s="61">
        <f>'Balance Sheet Data'!K14</f>
        <v>11189</v>
      </c>
      <c r="F16" s="61">
        <f>'Balance Sheet Data'!L14</f>
        <v>11664</v>
      </c>
      <c r="G16" s="61">
        <f>'Balance Sheet Data'!M14</f>
        <v>15005</v>
      </c>
      <c r="H16" s="61">
        <f>'Balance Sheet Data'!N14</f>
        <v>17186</v>
      </c>
    </row>
    <row r="17" spans="2:8" x14ac:dyDescent="0.35">
      <c r="B17" s="137" t="s">
        <v>259</v>
      </c>
      <c r="C17" s="137"/>
      <c r="D17" s="141">
        <f>SUM(D14:D16)</f>
        <v>21046</v>
      </c>
      <c r="E17" s="141">
        <f t="shared" ref="E17:H17" si="1">SUM(E14:E16)</f>
        <v>20376</v>
      </c>
      <c r="F17" s="141">
        <f t="shared" si="1"/>
        <v>21336</v>
      </c>
      <c r="G17" s="141">
        <f t="shared" si="1"/>
        <v>25582</v>
      </c>
      <c r="H17" s="141">
        <f t="shared" si="1"/>
        <v>28606</v>
      </c>
    </row>
    <row r="18" spans="2:8" ht="5.5" customHeight="1" thickBot="1" x14ac:dyDescent="0.4"/>
    <row r="19" spans="2:8" ht="15.5" thickTop="1" thickBot="1" x14ac:dyDescent="0.4">
      <c r="B19" s="139" t="s">
        <v>260</v>
      </c>
      <c r="C19" s="139"/>
      <c r="D19" s="140">
        <f>D11-D17</f>
        <v>-11563</v>
      </c>
      <c r="E19" s="140">
        <f t="shared" ref="E19:H19" si="2">E11-E17</f>
        <v>-10117</v>
      </c>
      <c r="F19" s="140">
        <f t="shared" si="2"/>
        <v>-9960</v>
      </c>
      <c r="G19" s="140">
        <f t="shared" si="2"/>
        <v>-14181</v>
      </c>
      <c r="H19" s="140">
        <f t="shared" si="2"/>
        <v>-15696</v>
      </c>
    </row>
    <row r="20" spans="2:8" ht="15" thickTop="1" x14ac:dyDescent="0.35"/>
    <row r="21" spans="2:8" x14ac:dyDescent="0.35">
      <c r="B21" s="2" t="s">
        <v>261</v>
      </c>
    </row>
    <row r="22" spans="2:8" x14ac:dyDescent="0.35">
      <c r="B22" t="str">
        <f>'Balance Sheet Data'!B18</f>
        <v>Land</v>
      </c>
      <c r="D22" s="59">
        <f>'Balance Sheet Data'!J18</f>
        <v>477</v>
      </c>
      <c r="E22" s="59">
        <f>'Balance Sheet Data'!K18</f>
        <v>477</v>
      </c>
      <c r="F22" s="59">
        <f>'Balance Sheet Data'!L18</f>
        <v>609</v>
      </c>
      <c r="G22" s="59">
        <f>'Balance Sheet Data'!M18</f>
        <v>633</v>
      </c>
      <c r="H22" s="59">
        <f>'Balance Sheet Data'!N18</f>
        <v>628</v>
      </c>
    </row>
    <row r="23" spans="2:8" x14ac:dyDescent="0.35">
      <c r="B23" t="str">
        <f>'Balance Sheet Data'!B19</f>
        <v>Building</v>
      </c>
      <c r="D23" s="59">
        <f>'Balance Sheet Data'!J19</f>
        <v>2602</v>
      </c>
      <c r="E23" s="59">
        <f>'Balance Sheet Data'!K19</f>
        <v>2788</v>
      </c>
      <c r="F23" s="59">
        <f>'Balance Sheet Data'!L19</f>
        <v>3101</v>
      </c>
      <c r="G23" s="59">
        <f>'Balance Sheet Data'!M19</f>
        <v>3590</v>
      </c>
      <c r="H23" s="59">
        <f>'Balance Sheet Data'!N19</f>
        <v>3833</v>
      </c>
    </row>
    <row r="24" spans="2:8" x14ac:dyDescent="0.35">
      <c r="B24" t="str">
        <f>'Balance Sheet Data'!B20</f>
        <v>Plant Machinery</v>
      </c>
      <c r="D24" s="59">
        <f>'Balance Sheet Data'!J20</f>
        <v>6097</v>
      </c>
      <c r="E24" s="59">
        <f>'Balance Sheet Data'!K20</f>
        <v>6566</v>
      </c>
      <c r="F24" s="59">
        <f>'Balance Sheet Data'!L20</f>
        <v>7612</v>
      </c>
      <c r="G24" s="59">
        <f>'Balance Sheet Data'!M20</f>
        <v>8946</v>
      </c>
      <c r="H24" s="59">
        <f>'Balance Sheet Data'!N20</f>
        <v>9900</v>
      </c>
    </row>
    <row r="25" spans="2:8" x14ac:dyDescent="0.35">
      <c r="B25" t="str">
        <f>'Balance Sheet Data'!B21</f>
        <v>Equipments</v>
      </c>
      <c r="D25" s="59">
        <f>'Balance Sheet Data'!J21</f>
        <v>175</v>
      </c>
      <c r="E25" s="59">
        <f>'Balance Sheet Data'!K21</f>
        <v>181</v>
      </c>
      <c r="F25" s="59">
        <f>'Balance Sheet Data'!L21</f>
        <v>185</v>
      </c>
      <c r="G25" s="59">
        <f>'Balance Sheet Data'!M21</f>
        <v>206</v>
      </c>
      <c r="H25" s="59">
        <f>'Balance Sheet Data'!N21</f>
        <v>245</v>
      </c>
    </row>
    <row r="26" spans="2:8" x14ac:dyDescent="0.35">
      <c r="B26" t="str">
        <f>'Balance Sheet Data'!B22</f>
        <v>Furniture n fittings</v>
      </c>
      <c r="D26" s="59">
        <f>'Balance Sheet Data'!J22</f>
        <v>156</v>
      </c>
      <c r="E26" s="59">
        <f>'Balance Sheet Data'!K22</f>
        <v>152</v>
      </c>
      <c r="F26" s="59">
        <f>'Balance Sheet Data'!L22</f>
        <v>161</v>
      </c>
      <c r="G26" s="59">
        <f>'Balance Sheet Data'!M22</f>
        <v>165</v>
      </c>
      <c r="H26" s="59">
        <f>'Balance Sheet Data'!N22</f>
        <v>174</v>
      </c>
    </row>
    <row r="27" spans="2:8" x14ac:dyDescent="0.35">
      <c r="B27" t="str">
        <f>'Balance Sheet Data'!B23</f>
        <v>Railway sidings</v>
      </c>
      <c r="D27" s="59">
        <f>'Balance Sheet Data'!J23</f>
        <v>0</v>
      </c>
      <c r="E27" s="59">
        <f>'Balance Sheet Data'!K23</f>
        <v>0</v>
      </c>
      <c r="F27" s="59">
        <f>'Balance Sheet Data'!L23</f>
        <v>0</v>
      </c>
      <c r="G27" s="59">
        <f>'Balance Sheet Data'!M23</f>
        <v>0</v>
      </c>
      <c r="H27" s="59">
        <f>'Balance Sheet Data'!N23</f>
        <v>0</v>
      </c>
    </row>
    <row r="28" spans="2:8" x14ac:dyDescent="0.35">
      <c r="B28" t="str">
        <f>'Balance Sheet Data'!B24</f>
        <v>Vehicles</v>
      </c>
      <c r="D28" s="59">
        <f>'Balance Sheet Data'!J24</f>
        <v>0</v>
      </c>
      <c r="E28" s="59">
        <f>'Balance Sheet Data'!K24</f>
        <v>0</v>
      </c>
      <c r="F28" s="59">
        <f>'Balance Sheet Data'!L24</f>
        <v>33</v>
      </c>
      <c r="G28" s="59">
        <f>'Balance Sheet Data'!M24</f>
        <v>39</v>
      </c>
      <c r="H28" s="59">
        <f>'Balance Sheet Data'!N24</f>
        <v>102</v>
      </c>
    </row>
    <row r="29" spans="2:8" x14ac:dyDescent="0.35">
      <c r="B29" t="str">
        <f>'Balance Sheet Data'!B25</f>
        <v>Intangible Assets</v>
      </c>
      <c r="D29" s="59">
        <f>'Balance Sheet Data'!J25</f>
        <v>45262</v>
      </c>
      <c r="E29" s="59">
        <f>'Balance Sheet Data'!K25</f>
        <v>45262</v>
      </c>
      <c r="F29" s="59">
        <f>'Balance Sheet Data'!L25</f>
        <v>45692</v>
      </c>
      <c r="G29" s="59">
        <f>'Balance Sheet Data'!M25</f>
        <v>45692</v>
      </c>
      <c r="H29" s="59">
        <f>'Balance Sheet Data'!N25</f>
        <v>45692</v>
      </c>
    </row>
    <row r="30" spans="2:8" x14ac:dyDescent="0.35">
      <c r="B30" t="str">
        <f>'Balance Sheet Data'!B26</f>
        <v>Other fixed assets</v>
      </c>
      <c r="D30" s="61">
        <f>'Balance Sheet Data'!J26</f>
        <v>155</v>
      </c>
      <c r="E30" s="61">
        <f>'Balance Sheet Data'!K26</f>
        <v>152</v>
      </c>
      <c r="F30" s="61">
        <f>'Balance Sheet Data'!L26</f>
        <v>171</v>
      </c>
      <c r="G30" s="61">
        <f>'Balance Sheet Data'!M26</f>
        <v>180</v>
      </c>
      <c r="H30" s="61">
        <f>'Balance Sheet Data'!N26</f>
        <v>190</v>
      </c>
    </row>
    <row r="31" spans="2:8" x14ac:dyDescent="0.35">
      <c r="B31" s="142" t="s">
        <v>262</v>
      </c>
      <c r="C31" s="142"/>
      <c r="D31" s="143">
        <f>SUM(D22:D30)</f>
        <v>54924</v>
      </c>
      <c r="E31" s="143">
        <f t="shared" ref="E31:H31" si="3">SUM(E22:E30)</f>
        <v>55578</v>
      </c>
      <c r="F31" s="143">
        <f t="shared" si="3"/>
        <v>57564</v>
      </c>
      <c r="G31" s="143">
        <f t="shared" si="3"/>
        <v>59451</v>
      </c>
      <c r="H31" s="143">
        <f t="shared" si="3"/>
        <v>60764</v>
      </c>
    </row>
    <row r="32" spans="2:8" x14ac:dyDescent="0.35">
      <c r="B32" t="s">
        <v>263</v>
      </c>
      <c r="D32" s="149">
        <f>'Balance Sheet Data'!J28</f>
        <v>3481</v>
      </c>
      <c r="E32" s="149">
        <f>'Balance Sheet Data'!K28</f>
        <v>4105</v>
      </c>
      <c r="F32" s="149">
        <f>'Balance Sheet Data'!L28</f>
        <v>4886</v>
      </c>
      <c r="G32" s="149">
        <f>'Balance Sheet Data'!M28</f>
        <v>5707</v>
      </c>
      <c r="H32" s="149">
        <f>'Balance Sheet Data'!N28</f>
        <v>6429</v>
      </c>
    </row>
    <row r="33" spans="2:8" x14ac:dyDescent="0.35">
      <c r="B33" s="137" t="s">
        <v>264</v>
      </c>
      <c r="C33" s="137"/>
      <c r="D33" s="138">
        <f>D31-D32</f>
        <v>51443</v>
      </c>
      <c r="E33" s="138">
        <f t="shared" ref="E33:H33" si="4">E31-E32</f>
        <v>51473</v>
      </c>
      <c r="F33" s="138">
        <f t="shared" si="4"/>
        <v>52678</v>
      </c>
      <c r="G33" s="138">
        <f t="shared" si="4"/>
        <v>53744</v>
      </c>
      <c r="H33" s="138">
        <f t="shared" si="4"/>
        <v>54335</v>
      </c>
    </row>
    <row r="34" spans="2:8" ht="5" customHeight="1" thickBot="1" x14ac:dyDescent="0.4"/>
    <row r="35" spans="2:8" ht="15" thickBot="1" x14ac:dyDescent="0.4">
      <c r="B35" s="144" t="s">
        <v>265</v>
      </c>
      <c r="C35" s="54"/>
      <c r="D35" s="145">
        <f>D33+D19</f>
        <v>39880</v>
      </c>
      <c r="E35" s="145">
        <f t="shared" ref="E35:H35" si="5">E33+E19</f>
        <v>41356</v>
      </c>
      <c r="F35" s="145">
        <f t="shared" si="5"/>
        <v>42718</v>
      </c>
      <c r="G35" s="145">
        <f t="shared" si="5"/>
        <v>39563</v>
      </c>
      <c r="H35" s="145">
        <f t="shared" si="5"/>
        <v>38639</v>
      </c>
    </row>
    <row r="36" spans="2:8" ht="5.5" customHeight="1" thickBot="1" x14ac:dyDescent="0.4"/>
    <row r="37" spans="2:8" ht="15" thickBot="1" x14ac:dyDescent="0.4">
      <c r="B37" s="144" t="s">
        <v>68</v>
      </c>
      <c r="C37" s="54"/>
      <c r="D37" s="62">
        <f>'Data Sheet'!G28+'Data Sheet'!G26</f>
        <v>11679</v>
      </c>
      <c r="E37" s="62">
        <f>'Data Sheet'!H28+'Data Sheet'!H26</f>
        <v>12970</v>
      </c>
      <c r="F37" s="62">
        <f>'Data Sheet'!I28+'Data Sheet'!I26</f>
        <v>14481</v>
      </c>
      <c r="G37" s="62">
        <f>'Data Sheet'!J28+'Data Sheet'!J26</f>
        <v>15142</v>
      </c>
      <c r="H37" s="62">
        <f>'Data Sheet'!K28+'Data Sheet'!K26</f>
        <v>15770</v>
      </c>
    </row>
    <row r="38" spans="2:8" ht="5.5" customHeight="1" thickBot="1" x14ac:dyDescent="0.4"/>
    <row r="39" spans="2:8" ht="15.5" thickTop="1" thickBot="1" x14ac:dyDescent="0.4">
      <c r="B39" s="139" t="s">
        <v>266</v>
      </c>
      <c r="C39" s="139"/>
      <c r="D39" s="146">
        <f>D37/D35</f>
        <v>0.29285356068204615</v>
      </c>
      <c r="E39" s="146">
        <f t="shared" ref="E39:H39" si="6">E37/E35</f>
        <v>0.31361833833059288</v>
      </c>
      <c r="F39" s="146">
        <f t="shared" si="6"/>
        <v>0.3389905894470715</v>
      </c>
      <c r="G39" s="146">
        <f t="shared" si="6"/>
        <v>0.38273133988827945</v>
      </c>
      <c r="H39" s="146">
        <f t="shared" si="6"/>
        <v>0.40813685654390641</v>
      </c>
    </row>
    <row r="40" spans="2:8" ht="15.5" thickTop="1" thickBot="1" x14ac:dyDescent="0.4"/>
    <row r="41" spans="2:8" x14ac:dyDescent="0.35">
      <c r="F41" s="57" t="s">
        <v>267</v>
      </c>
      <c r="G41" s="57"/>
      <c r="H41" s="147">
        <f>AVERAGE(D39:H39)</f>
        <v>0.34726613697837927</v>
      </c>
    </row>
    <row r="42" spans="2:8" ht="15" thickBot="1" x14ac:dyDescent="0.4">
      <c r="F42" s="80" t="s">
        <v>268</v>
      </c>
      <c r="G42" s="80"/>
      <c r="H42" s="148">
        <f>MEDIAN(D39:H39)</f>
        <v>0.3389905894470715</v>
      </c>
    </row>
    <row r="45" spans="2:8" x14ac:dyDescent="0.35">
      <c r="B45" s="134" t="s">
        <v>269</v>
      </c>
      <c r="C45" s="134"/>
      <c r="D45" s="135">
        <f>D4</f>
        <v>44256</v>
      </c>
      <c r="E45" s="135">
        <f t="shared" ref="E45:H45" si="7">E4</f>
        <v>44621</v>
      </c>
      <c r="F45" s="135">
        <f t="shared" si="7"/>
        <v>44986</v>
      </c>
      <c r="G45" s="135">
        <f t="shared" si="7"/>
        <v>45352</v>
      </c>
      <c r="H45" s="135">
        <f t="shared" si="7"/>
        <v>45717</v>
      </c>
    </row>
    <row r="47" spans="2:8" x14ac:dyDescent="0.35">
      <c r="B47" s="56" t="s">
        <v>270</v>
      </c>
      <c r="C47" s="56"/>
      <c r="D47" s="59">
        <f>-SUM('Cash Flow Data'!J16:J17)</f>
        <v>4066</v>
      </c>
      <c r="E47" s="59">
        <f>-SUM('Cash Flow Data'!K16:K17)</f>
        <v>1053</v>
      </c>
      <c r="F47" s="59">
        <f>-SUM('Cash Flow Data'!L16:L17)</f>
        <v>1011</v>
      </c>
      <c r="G47" s="59">
        <f>-SUM('Cash Flow Data'!M16:M17)</f>
        <v>1457</v>
      </c>
      <c r="H47" s="59">
        <f>-SUM('Cash Flow Data'!N16:N17)</f>
        <v>1262</v>
      </c>
    </row>
    <row r="48" spans="2:8" x14ac:dyDescent="0.35">
      <c r="B48" s="56" t="s">
        <v>271</v>
      </c>
      <c r="C48" s="56"/>
      <c r="D48" s="56"/>
      <c r="E48" s="150">
        <f>E19-D19</f>
        <v>1446</v>
      </c>
      <c r="F48" s="150">
        <f t="shared" ref="F48:H48" si="8">F19-E19</f>
        <v>157</v>
      </c>
      <c r="G48" s="150">
        <f t="shared" si="8"/>
        <v>-4221</v>
      </c>
      <c r="H48" s="150">
        <f t="shared" si="8"/>
        <v>-1515</v>
      </c>
    </row>
    <row r="50" spans="2:8" x14ac:dyDescent="0.35">
      <c r="B50" t="s">
        <v>68</v>
      </c>
      <c r="D50" s="61">
        <f>D37</f>
        <v>11679</v>
      </c>
      <c r="E50" s="61">
        <f t="shared" ref="E50:H50" si="9">E37</f>
        <v>12970</v>
      </c>
      <c r="F50" s="61">
        <f t="shared" si="9"/>
        <v>14481</v>
      </c>
      <c r="G50" s="61">
        <f t="shared" si="9"/>
        <v>15142</v>
      </c>
      <c r="H50" s="61">
        <f t="shared" si="9"/>
        <v>15770</v>
      </c>
    </row>
    <row r="51" spans="2:8" x14ac:dyDescent="0.35">
      <c r="B51" t="s">
        <v>272</v>
      </c>
      <c r="D51" s="151">
        <v>0.25</v>
      </c>
      <c r="E51" s="151">
        <v>0.25</v>
      </c>
      <c r="F51" s="151">
        <v>0.25</v>
      </c>
      <c r="G51" s="151">
        <v>0.25</v>
      </c>
      <c r="H51" s="151">
        <v>0.25</v>
      </c>
    </row>
    <row r="52" spans="2:8" x14ac:dyDescent="0.35">
      <c r="B52" t="s">
        <v>273</v>
      </c>
      <c r="D52" s="152">
        <f>D50*(1-D51)</f>
        <v>8759.25</v>
      </c>
      <c r="E52" s="152">
        <f t="shared" ref="E52:H52" si="10">E50*(1-E51)</f>
        <v>9727.5</v>
      </c>
      <c r="F52" s="152">
        <f t="shared" si="10"/>
        <v>10860.75</v>
      </c>
      <c r="G52" s="152">
        <f t="shared" si="10"/>
        <v>11356.5</v>
      </c>
      <c r="H52" s="152">
        <f t="shared" si="10"/>
        <v>11827.5</v>
      </c>
    </row>
    <row r="54" spans="2:8" ht="15" thickBot="1" x14ac:dyDescent="0.4">
      <c r="B54" t="s">
        <v>274</v>
      </c>
      <c r="E54" s="61">
        <f>SUM(E47:E48)</f>
        <v>2499</v>
      </c>
      <c r="F54" s="61">
        <f t="shared" ref="F54:H54" si="11">SUM(F47:F48)</f>
        <v>1168</v>
      </c>
      <c r="G54" s="61">
        <f t="shared" si="11"/>
        <v>-2764</v>
      </c>
      <c r="H54" s="61">
        <f t="shared" si="11"/>
        <v>-253</v>
      </c>
    </row>
    <row r="55" spans="2:8" ht="15" thickBot="1" x14ac:dyDescent="0.4">
      <c r="B55" s="136" t="s">
        <v>275</v>
      </c>
      <c r="C55" s="136"/>
      <c r="D55" s="136"/>
      <c r="E55" s="153">
        <f>E54/E52</f>
        <v>0.25690053970701621</v>
      </c>
      <c r="F55" s="153">
        <f t="shared" ref="F55:H55" si="12">F54/F52</f>
        <v>0.10754321754943259</v>
      </c>
      <c r="G55" s="153">
        <f t="shared" si="12"/>
        <v>-0.24338484568308899</v>
      </c>
      <c r="H55" s="153">
        <f t="shared" si="12"/>
        <v>-2.1390826463749735E-2</v>
      </c>
    </row>
    <row r="56" spans="2:8" ht="15" thickBot="1" x14ac:dyDescent="0.4"/>
    <row r="57" spans="2:8" ht="15.5" thickTop="1" thickBot="1" x14ac:dyDescent="0.4">
      <c r="F57" s="139" t="s">
        <v>276</v>
      </c>
      <c r="G57" s="139"/>
      <c r="H57" s="154">
        <f>AVERAGE(E55:H55)</f>
        <v>2.4917021277402515E-2</v>
      </c>
    </row>
    <row r="58" spans="2:8" ht="15" thickTop="1" x14ac:dyDescent="0.35"/>
    <row r="59" spans="2:8" x14ac:dyDescent="0.35">
      <c r="B59" s="134" t="s">
        <v>277</v>
      </c>
      <c r="C59" s="134"/>
      <c r="D59" s="135">
        <f>D45</f>
        <v>44256</v>
      </c>
      <c r="E59" s="135">
        <f t="shared" ref="E59:H59" si="13">E45</f>
        <v>44621</v>
      </c>
      <c r="F59" s="135">
        <f t="shared" si="13"/>
        <v>44986</v>
      </c>
      <c r="G59" s="135">
        <f t="shared" si="13"/>
        <v>45352</v>
      </c>
      <c r="H59" s="135">
        <f t="shared" si="13"/>
        <v>45717</v>
      </c>
    </row>
    <row r="61" spans="2:8" x14ac:dyDescent="0.35">
      <c r="B61" s="56" t="s">
        <v>275</v>
      </c>
      <c r="C61" s="56"/>
      <c r="D61" s="69" t="s">
        <v>59</v>
      </c>
      <c r="E61" s="77">
        <f>E55</f>
        <v>0.25690053970701621</v>
      </c>
      <c r="F61" s="77">
        <f t="shared" ref="F61:H61" si="14">F55</f>
        <v>0.10754321754943259</v>
      </c>
      <c r="G61" s="77">
        <f t="shared" si="14"/>
        <v>-0.24338484568308899</v>
      </c>
      <c r="H61" s="77">
        <f t="shared" si="14"/>
        <v>-2.1390826463749735E-2</v>
      </c>
    </row>
    <row r="62" spans="2:8" x14ac:dyDescent="0.35">
      <c r="B62" s="56" t="s">
        <v>266</v>
      </c>
      <c r="C62" s="56"/>
      <c r="D62" s="77">
        <f>D39</f>
        <v>0.29285356068204615</v>
      </c>
      <c r="E62" s="77">
        <f t="shared" ref="E62:H62" si="15">E39</f>
        <v>0.31361833833059288</v>
      </c>
      <c r="F62" s="77">
        <f t="shared" si="15"/>
        <v>0.3389905894470715</v>
      </c>
      <c r="G62" s="77">
        <f t="shared" si="15"/>
        <v>0.38273133988827945</v>
      </c>
      <c r="H62" s="77">
        <f t="shared" si="15"/>
        <v>0.40813685654390641</v>
      </c>
    </row>
    <row r="63" spans="2:8" ht="15" thickBot="1" x14ac:dyDescent="0.4"/>
    <row r="64" spans="2:8" ht="15" thickBot="1" x14ac:dyDescent="0.4">
      <c r="B64" s="136" t="s">
        <v>285</v>
      </c>
      <c r="C64" s="136"/>
      <c r="D64" s="136"/>
      <c r="E64" s="89">
        <f>E61*E62</f>
        <v>8.0568720379146919E-2</v>
      </c>
      <c r="F64" s="89">
        <f t="shared" ref="F64:H64" si="16">F61*F62</f>
        <v>3.64561387081168E-2</v>
      </c>
      <c r="G64" s="89">
        <f t="shared" si="16"/>
        <v>-9.3151008096790777E-2</v>
      </c>
      <c r="H64" s="89">
        <f t="shared" si="16"/>
        <v>-8.7303846717910229E-3</v>
      </c>
    </row>
    <row r="65" spans="6:8" ht="15" thickBot="1" x14ac:dyDescent="0.4"/>
    <row r="66" spans="6:8" ht="15" thickBot="1" x14ac:dyDescent="0.4">
      <c r="F66" s="54" t="s">
        <v>278</v>
      </c>
      <c r="G66" s="54"/>
      <c r="H66" s="155">
        <f>AVERAGE(E64:H64)</f>
        <v>3.7858665796704797E-3</v>
      </c>
    </row>
  </sheetData>
  <mergeCells count="1">
    <mergeCell ref="B2:H2"/>
  </mergeCells>
  <pageMargins left="0.7" right="0.7" top="0.75" bottom="0.75" header="0.3" footer="0.3"/>
  <ignoredErrors>
    <ignoredError sqref="D47:H4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870D-1CD9-4259-843D-08A4D5984D21}">
  <sheetPr>
    <tabColor rgb="FF00B050"/>
  </sheetPr>
  <dimension ref="A2:I42"/>
  <sheetViews>
    <sheetView showGridLines="0" tabSelected="1" zoomScale="72" workbookViewId="0">
      <selection activeCell="D28" sqref="D28"/>
    </sheetView>
  </sheetViews>
  <sheetFormatPr defaultRowHeight="14.5" x14ac:dyDescent="0.35"/>
  <cols>
    <col min="1" max="1" width="1.90625" customWidth="1"/>
    <col min="2" max="2" width="12.81640625" customWidth="1"/>
    <col min="3" max="3" width="13.36328125" customWidth="1"/>
    <col min="4" max="4" width="12.36328125" bestFit="1" customWidth="1"/>
    <col min="5" max="9" width="10.6328125" bestFit="1" customWidth="1"/>
  </cols>
  <sheetData>
    <row r="2" spans="2:9" x14ac:dyDescent="0.35">
      <c r="B2" s="133" t="s">
        <v>279</v>
      </c>
      <c r="C2" s="133"/>
      <c r="D2" s="133"/>
      <c r="E2" s="133"/>
      <c r="F2" s="133"/>
      <c r="G2" s="133"/>
      <c r="H2" s="133"/>
      <c r="I2" s="133"/>
    </row>
    <row r="3" spans="2:9" ht="1.5" customHeight="1" x14ac:dyDescent="0.35"/>
    <row r="4" spans="2:9" x14ac:dyDescent="0.35">
      <c r="B4" s="134" t="s">
        <v>280</v>
      </c>
      <c r="C4" s="134"/>
      <c r="D4" s="156">
        <v>2025</v>
      </c>
      <c r="E4" s="157">
        <f>D4+1</f>
        <v>2026</v>
      </c>
      <c r="F4" s="157">
        <f t="shared" ref="F4:I4" si="0">E4+1</f>
        <v>2027</v>
      </c>
      <c r="G4" s="157">
        <f t="shared" si="0"/>
        <v>2028</v>
      </c>
      <c r="H4" s="157">
        <f t="shared" si="0"/>
        <v>2029</v>
      </c>
      <c r="I4" s="157">
        <f t="shared" si="0"/>
        <v>2030</v>
      </c>
    </row>
    <row r="6" spans="2:9" x14ac:dyDescent="0.35">
      <c r="B6" s="56" t="s">
        <v>68</v>
      </c>
      <c r="C6" s="56"/>
      <c r="D6" s="59">
        <f>'Intrinsic Growth'!H37</f>
        <v>15770</v>
      </c>
      <c r="E6" s="162">
        <f>D6*(1+$D$15)</f>
        <v>15829.703115961402</v>
      </c>
      <c r="F6" s="162">
        <f t="shared" ref="F6:I6" si="1">E6*(1+$D$15)</f>
        <v>15889.632259954224</v>
      </c>
      <c r="G6" s="162">
        <f t="shared" si="1"/>
        <v>15949.788287690437</v>
      </c>
      <c r="H6" s="162">
        <f t="shared" si="1"/>
        <v>16010.172058121623</v>
      </c>
      <c r="I6" s="162">
        <f t="shared" si="1"/>
        <v>16070.784433451239</v>
      </c>
    </row>
    <row r="7" spans="2:9" x14ac:dyDescent="0.35">
      <c r="B7" s="56" t="s">
        <v>219</v>
      </c>
      <c r="C7" s="56"/>
      <c r="D7" s="164">
        <v>0.25</v>
      </c>
      <c r="E7" s="77">
        <v>0.25</v>
      </c>
      <c r="F7" s="77">
        <v>0.25</v>
      </c>
      <c r="G7" s="77">
        <v>0.25</v>
      </c>
      <c r="H7" s="77">
        <v>0.25</v>
      </c>
      <c r="I7" s="77">
        <v>0.25</v>
      </c>
    </row>
    <row r="8" spans="2:9" x14ac:dyDescent="0.35">
      <c r="B8" s="56" t="s">
        <v>273</v>
      </c>
      <c r="C8" s="56"/>
      <c r="D8" s="162">
        <f>D6*(1-D7)</f>
        <v>11827.5</v>
      </c>
      <c r="E8" s="162">
        <f t="shared" ref="E8:I8" si="2">E6*(1-E7)</f>
        <v>11872.277336971052</v>
      </c>
      <c r="F8" s="162">
        <f t="shared" si="2"/>
        <v>11917.224194965667</v>
      </c>
      <c r="G8" s="162">
        <f t="shared" si="2"/>
        <v>11962.341215767829</v>
      </c>
      <c r="H8" s="162">
        <f t="shared" si="2"/>
        <v>12007.629043591218</v>
      </c>
      <c r="I8" s="162">
        <f t="shared" si="2"/>
        <v>12053.088325088429</v>
      </c>
    </row>
    <row r="9" spans="2:9" x14ac:dyDescent="0.35">
      <c r="B9" s="56" t="s">
        <v>281</v>
      </c>
      <c r="C9" s="56"/>
      <c r="D9" s="77">
        <f>'Intrinsic Growth'!H57</f>
        <v>2.4917021277402515E-2</v>
      </c>
      <c r="E9" s="77">
        <f>D9</f>
        <v>2.4917021277402515E-2</v>
      </c>
      <c r="F9" s="77">
        <f t="shared" ref="F9:I9" si="3">E9</f>
        <v>2.4917021277402515E-2</v>
      </c>
      <c r="G9" s="77">
        <f t="shared" si="3"/>
        <v>2.4917021277402515E-2</v>
      </c>
      <c r="H9" s="77">
        <f t="shared" si="3"/>
        <v>2.4917021277402515E-2</v>
      </c>
      <c r="I9" s="77">
        <f t="shared" si="3"/>
        <v>2.4917021277402515E-2</v>
      </c>
    </row>
    <row r="10" spans="2:9" x14ac:dyDescent="0.35">
      <c r="B10" s="56" t="s">
        <v>282</v>
      </c>
      <c r="C10" s="56"/>
      <c r="D10" s="59">
        <f>D8*(1-D9)</f>
        <v>11532.793930841523</v>
      </c>
      <c r="E10" s="59">
        <f t="shared" ref="E10:I10" si="4">E8*(1-E9)</f>
        <v>11576.45554995452</v>
      </c>
      <c r="F10" s="59">
        <f t="shared" si="4"/>
        <v>11620.282466132132</v>
      </c>
      <c r="G10" s="59">
        <f t="shared" si="4"/>
        <v>11664.275305166993</v>
      </c>
      <c r="H10" s="59">
        <f t="shared" si="4"/>
        <v>11708.4346952209</v>
      </c>
      <c r="I10" s="59">
        <f t="shared" si="4"/>
        <v>11752.76126683379</v>
      </c>
    </row>
    <row r="11" spans="2:9" x14ac:dyDescent="0.35">
      <c r="B11" s="166" t="s">
        <v>288</v>
      </c>
      <c r="C11" s="56"/>
      <c r="D11" s="59"/>
      <c r="E11" s="167">
        <v>0.5</v>
      </c>
      <c r="F11" s="168">
        <f>E11+1</f>
        <v>1.5</v>
      </c>
      <c r="G11" s="168">
        <f t="shared" ref="G11:I11" si="5">F11+1</f>
        <v>2.5</v>
      </c>
      <c r="H11" s="168">
        <f t="shared" si="5"/>
        <v>3.5</v>
      </c>
      <c r="I11" s="168">
        <f t="shared" si="5"/>
        <v>4.5</v>
      </c>
    </row>
    <row r="12" spans="2:9" ht="15" thickBot="1" x14ac:dyDescent="0.4">
      <c r="B12" s="170" t="s">
        <v>289</v>
      </c>
      <c r="C12" s="86"/>
      <c r="D12" s="171"/>
      <c r="E12" s="172">
        <f>1/(1+$D$17)^E11</f>
        <v>0.94391381593628276</v>
      </c>
      <c r="F12" s="172">
        <f t="shared" ref="F12:I12" si="6">1/(1+$D$17)^F11</f>
        <v>0.84100199986917168</v>
      </c>
      <c r="G12" s="172">
        <f t="shared" si="6"/>
        <v>0.74931032033086631</v>
      </c>
      <c r="H12" s="172">
        <f t="shared" si="6"/>
        <v>0.66761548277137073</v>
      </c>
      <c r="I12" s="172">
        <f t="shared" si="6"/>
        <v>0.5948275644184936</v>
      </c>
    </row>
    <row r="13" spans="2:9" ht="15" thickBot="1" x14ac:dyDescent="0.4">
      <c r="B13" s="144" t="s">
        <v>290</v>
      </c>
      <c r="C13" s="54"/>
      <c r="D13" s="54"/>
      <c r="E13" s="173">
        <f>E10*E12</f>
        <v>10927.17633317433</v>
      </c>
      <c r="F13" s="173">
        <f t="shared" ref="F13:I13" si="7">F10*F12</f>
        <v>9772.6807930617924</v>
      </c>
      <c r="G13" s="173">
        <f t="shared" si="7"/>
        <v>8740.1618653420937</v>
      </c>
      <c r="H13" s="173">
        <f t="shared" si="7"/>
        <v>7816.7322815469679</v>
      </c>
      <c r="I13" s="173">
        <f t="shared" si="7"/>
        <v>6990.8663595427524</v>
      </c>
    </row>
    <row r="15" spans="2:9" x14ac:dyDescent="0.35">
      <c r="B15" s="114" t="s">
        <v>283</v>
      </c>
      <c r="C15" s="114"/>
      <c r="D15" s="92">
        <f>'Intrinsic Growth'!H66</f>
        <v>3.7858665796704797E-3</v>
      </c>
    </row>
    <row r="16" spans="2:9" x14ac:dyDescent="0.35">
      <c r="B16" s="114" t="s">
        <v>284</v>
      </c>
      <c r="C16" s="114"/>
      <c r="D16" s="163">
        <v>5.3800000000000001E-2</v>
      </c>
    </row>
    <row r="17" spans="2:4" x14ac:dyDescent="0.35">
      <c r="B17" s="114" t="s">
        <v>245</v>
      </c>
      <c r="C17" s="114"/>
      <c r="D17" s="92">
        <f>WACC!J43</f>
        <v>0.12236809910454456</v>
      </c>
    </row>
    <row r="19" spans="2:4" x14ac:dyDescent="0.35">
      <c r="B19" s="165" t="s">
        <v>286</v>
      </c>
      <c r="C19" s="165"/>
      <c r="D19" s="165"/>
    </row>
    <row r="20" spans="2:4" ht="4.5" customHeight="1" x14ac:dyDescent="0.35"/>
    <row r="21" spans="2:4" x14ac:dyDescent="0.35">
      <c r="B21" t="s">
        <v>287</v>
      </c>
      <c r="D21" s="88">
        <f>I10*(1+D15)</f>
        <v>11797.255652932741</v>
      </c>
    </row>
    <row r="22" spans="2:4" x14ac:dyDescent="0.35">
      <c r="B22" t="s">
        <v>284</v>
      </c>
      <c r="D22" s="75">
        <f>D16</f>
        <v>5.3800000000000001E-2</v>
      </c>
    </row>
    <row r="23" spans="2:4" ht="15" thickBot="1" x14ac:dyDescent="0.4">
      <c r="B23" t="s">
        <v>245</v>
      </c>
      <c r="D23" s="75">
        <f>D17</f>
        <v>0.12236809910454456</v>
      </c>
    </row>
    <row r="24" spans="2:4" x14ac:dyDescent="0.35">
      <c r="B24" s="57" t="s">
        <v>291</v>
      </c>
      <c r="C24" s="57"/>
      <c r="D24" s="175">
        <f>D21/(D23-D22)</f>
        <v>172051.665526642</v>
      </c>
    </row>
    <row r="26" spans="2:4" x14ac:dyDescent="0.35">
      <c r="B26" s="165" t="s">
        <v>292</v>
      </c>
      <c r="C26" s="165"/>
      <c r="D26" s="165"/>
    </row>
    <row r="28" spans="2:4" x14ac:dyDescent="0.35">
      <c r="B28" t="s">
        <v>293</v>
      </c>
      <c r="D28" s="88">
        <f>SUM(E13:I13)</f>
        <v>44247.617632667934</v>
      </c>
    </row>
    <row r="29" spans="2:4" ht="15" thickBot="1" x14ac:dyDescent="0.4">
      <c r="B29" t="s">
        <v>294</v>
      </c>
      <c r="D29" s="88">
        <f>D24*I12</f>
        <v>102341.07315935777</v>
      </c>
    </row>
    <row r="30" spans="2:4" x14ac:dyDescent="0.35">
      <c r="B30" s="36" t="s">
        <v>295</v>
      </c>
      <c r="C30" s="36"/>
      <c r="D30" s="174">
        <f>D28+D29</f>
        <v>146588.69079202571</v>
      </c>
    </row>
    <row r="32" spans="2:4" x14ac:dyDescent="0.35">
      <c r="B32" t="s">
        <v>296</v>
      </c>
      <c r="D32" s="88">
        <f>'Data Sheet'!K69</f>
        <v>7554</v>
      </c>
    </row>
    <row r="33" spans="1:4" x14ac:dyDescent="0.35">
      <c r="B33" t="s">
        <v>297</v>
      </c>
      <c r="D33" s="88">
        <f>SUM('Balance Sheet Data'!N7:N8)</f>
        <v>1</v>
      </c>
    </row>
    <row r="34" spans="1:4" ht="15" thickBot="1" x14ac:dyDescent="0.4"/>
    <row r="35" spans="1:4" ht="15" thickBot="1" x14ac:dyDescent="0.4">
      <c r="B35" s="54" t="s">
        <v>298</v>
      </c>
      <c r="C35" s="54"/>
      <c r="D35" s="173">
        <f>D30+D32-D33</f>
        <v>154141.69079202571</v>
      </c>
    </row>
    <row r="37" spans="1:4" ht="15" thickBot="1" x14ac:dyDescent="0.4">
      <c r="B37" t="s">
        <v>299</v>
      </c>
      <c r="D37" s="121">
        <f>'Data Sheet'!B6</f>
        <v>234.89572948086999</v>
      </c>
    </row>
    <row r="38" spans="1:4" ht="15" thickBot="1" x14ac:dyDescent="0.4">
      <c r="B38" s="54" t="s">
        <v>300</v>
      </c>
      <c r="C38" s="54"/>
      <c r="D38" s="176">
        <f>D35/D37</f>
        <v>656.21325314294006</v>
      </c>
    </row>
    <row r="40" spans="1:4" x14ac:dyDescent="0.35">
      <c r="B40" s="137" t="s">
        <v>301</v>
      </c>
      <c r="C40" s="137"/>
      <c r="D40" s="137">
        <f>'Data Sheet'!B8</f>
        <v>2519.6</v>
      </c>
    </row>
    <row r="42" spans="1:4" x14ac:dyDescent="0.35">
      <c r="A42" s="2"/>
      <c r="B42" s="177" t="s">
        <v>302</v>
      </c>
      <c r="C42" s="137"/>
      <c r="D42" s="178">
        <f>D40/D38</f>
        <v>3.839605475708316</v>
      </c>
    </row>
  </sheetData>
  <mergeCells count="1">
    <mergeCell ref="B2:I2"/>
  </mergeCells>
  <pageMargins left="0.7" right="0.7" top="0.75" bottom="0.75" header="0.3" footer="0.3"/>
  <ignoredErrors>
    <ignoredError sqref="D33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302A-A421-4616-B12B-DD08B1228D12}">
  <dimension ref="A1:Q33"/>
  <sheetViews>
    <sheetView showGridLines="0" zoomScale="78" workbookViewId="0">
      <selection activeCell="N31" sqref="N31"/>
    </sheetView>
  </sheetViews>
  <sheetFormatPr defaultRowHeight="14.5" x14ac:dyDescent="0.35"/>
  <cols>
    <col min="1" max="1" width="1.81640625" customWidth="1"/>
    <col min="2" max="2" width="18.6328125" customWidth="1"/>
    <col min="4" max="4" width="11.08984375" customWidth="1"/>
    <col min="5" max="5" width="11.81640625" customWidth="1"/>
    <col min="6" max="6" width="15.26953125" customWidth="1"/>
    <col min="7" max="7" width="11.6328125" customWidth="1"/>
    <col min="8" max="8" width="14.36328125" customWidth="1"/>
    <col min="9" max="9" width="1.90625" customWidth="1"/>
    <col min="10" max="11" width="12.453125" customWidth="1"/>
    <col min="12" max="12" width="13.26953125" customWidth="1"/>
    <col min="13" max="13" width="3.08984375" customWidth="1"/>
    <col min="14" max="14" width="13.90625" customWidth="1"/>
    <col min="15" max="15" width="13.08984375" customWidth="1"/>
    <col min="16" max="16" width="12.08984375" bestFit="1" customWidth="1"/>
  </cols>
  <sheetData>
    <row r="1" spans="1:17" x14ac:dyDescent="0.35">
      <c r="A1" t="s">
        <v>308</v>
      </c>
    </row>
    <row r="2" spans="1:17" x14ac:dyDescent="0.35">
      <c r="B2" s="188" t="s">
        <v>309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</row>
    <row r="3" spans="1:17" ht="3.5" customHeight="1" x14ac:dyDescent="0.35"/>
    <row r="4" spans="1:17" ht="15" thickBot="1" x14ac:dyDescent="0.4">
      <c r="B4" s="158"/>
      <c r="C4" s="158"/>
      <c r="D4" s="186" t="s">
        <v>316</v>
      </c>
      <c r="E4" s="186"/>
      <c r="F4" s="186"/>
      <c r="G4" s="186"/>
      <c r="H4" s="186"/>
      <c r="I4" s="158"/>
      <c r="J4" s="186" t="s">
        <v>320</v>
      </c>
      <c r="K4" s="186"/>
      <c r="L4" s="186"/>
      <c r="M4" s="158"/>
      <c r="N4" s="186" t="s">
        <v>321</v>
      </c>
      <c r="O4" s="186"/>
      <c r="P4" s="186"/>
      <c r="Q4" s="187"/>
    </row>
    <row r="5" spans="1:17" ht="32" customHeight="1" x14ac:dyDescent="0.35">
      <c r="B5" s="158" t="s">
        <v>310</v>
      </c>
      <c r="C5" s="158" t="s">
        <v>311</v>
      </c>
      <c r="D5" s="185" t="s">
        <v>313</v>
      </c>
      <c r="E5" s="185" t="s">
        <v>312</v>
      </c>
      <c r="F5" s="189" t="s">
        <v>314</v>
      </c>
      <c r="G5" s="189" t="s">
        <v>315</v>
      </c>
      <c r="H5" s="189" t="s">
        <v>295</v>
      </c>
      <c r="I5" s="190"/>
      <c r="J5" s="190" t="s">
        <v>317</v>
      </c>
      <c r="K5" s="190" t="s">
        <v>318</v>
      </c>
      <c r="L5" s="190" t="s">
        <v>319</v>
      </c>
      <c r="M5" s="190"/>
      <c r="N5" s="190" t="s">
        <v>347</v>
      </c>
      <c r="O5" s="190" t="s">
        <v>348</v>
      </c>
      <c r="P5" s="190" t="s">
        <v>349</v>
      </c>
      <c r="Q5" s="187"/>
    </row>
    <row r="6" spans="1:17" ht="3" customHeight="1" x14ac:dyDescent="0.35">
      <c r="B6" s="187"/>
      <c r="C6" s="187"/>
      <c r="D6" s="191"/>
      <c r="E6" s="191"/>
      <c r="F6" s="192"/>
      <c r="G6" s="192"/>
      <c r="H6" s="192"/>
      <c r="I6" s="193"/>
      <c r="J6" s="193"/>
      <c r="K6" s="193"/>
      <c r="L6" s="193"/>
      <c r="M6" s="193"/>
      <c r="N6" s="193"/>
      <c r="O6" s="193"/>
      <c r="P6" s="193"/>
      <c r="Q6" s="187"/>
    </row>
    <row r="7" spans="1:17" x14ac:dyDescent="0.35">
      <c r="B7" s="196" t="str">
        <f>'Comps Data'!C3</f>
        <v>Hind. Unilever</v>
      </c>
      <c r="C7" s="196"/>
      <c r="D7" s="197">
        <f>'Comps Data'!D3</f>
        <v>2479.6999999999998</v>
      </c>
      <c r="E7" s="197">
        <f>'Comps Data'!E3</f>
        <v>234.96</v>
      </c>
      <c r="F7" s="197">
        <f>'Comps Data'!F3</f>
        <v>582630.31200000003</v>
      </c>
      <c r="G7" s="197">
        <f>'Comps Data'!M3</f>
        <v>-5906</v>
      </c>
      <c r="H7" s="197">
        <f>'Comps Data'!I3</f>
        <v>576724.31200000003</v>
      </c>
      <c r="I7" s="197"/>
      <c r="J7" s="197">
        <f>'Comps Data'!J3</f>
        <v>63121</v>
      </c>
      <c r="K7" s="197">
        <f>'Comps Data'!K3</f>
        <v>15860</v>
      </c>
      <c r="L7" s="197">
        <f>'Comps Data'!L3</f>
        <v>10671</v>
      </c>
      <c r="M7" s="196"/>
      <c r="N7" s="198">
        <f>H7/J7</f>
        <v>9.136805690657626</v>
      </c>
      <c r="O7" s="198">
        <f>H7/K7</f>
        <v>36.363449684741489</v>
      </c>
      <c r="P7" s="198">
        <f>F7/L7</f>
        <v>54.599410739387125</v>
      </c>
    </row>
    <row r="8" spans="1:17" x14ac:dyDescent="0.35">
      <c r="B8" s="56" t="str">
        <f>'Comps Data'!C4</f>
        <v>ITC</v>
      </c>
      <c r="C8" s="56"/>
      <c r="D8" s="59">
        <f>'Comps Data'!D4</f>
        <v>416</v>
      </c>
      <c r="E8" s="59">
        <f>'Comps Data'!E4</f>
        <v>1252.21</v>
      </c>
      <c r="F8" s="59">
        <f>'Comps Data'!F4</f>
        <v>520919.36</v>
      </c>
      <c r="G8" s="59">
        <f>'Comps Data'!M4</f>
        <v>-3727.82</v>
      </c>
      <c r="H8" s="59">
        <f>'Comps Data'!I4</f>
        <v>517191.54</v>
      </c>
      <c r="I8" s="59"/>
      <c r="J8" s="59">
        <f>'Comps Data'!J4</f>
        <v>75323.34</v>
      </c>
      <c r="K8" s="59">
        <f>'Comps Data'!K4</f>
        <v>28479.56</v>
      </c>
      <c r="L8" s="59">
        <f>'Comps Data'!L4</f>
        <v>35052.480000000003</v>
      </c>
      <c r="M8" s="56"/>
      <c r="N8" s="194">
        <f t="shared" ref="N8:N16" si="0">H8/J8</f>
        <v>6.8662852709399242</v>
      </c>
      <c r="O8" s="194">
        <f t="shared" ref="O8:O16" si="1">H8/K8</f>
        <v>18.160095872267689</v>
      </c>
      <c r="P8" s="194">
        <f t="shared" ref="P8:P16" si="2">F8/L8</f>
        <v>14.861127087156172</v>
      </c>
    </row>
    <row r="9" spans="1:17" x14ac:dyDescent="0.35">
      <c r="B9" s="56" t="str">
        <f>'Comps Data'!C5</f>
        <v>Nestle India</v>
      </c>
      <c r="C9" s="56"/>
      <c r="D9" s="59">
        <f>'Comps Data'!D5</f>
        <v>2443.5</v>
      </c>
      <c r="E9" s="59">
        <f>'Comps Data'!E5</f>
        <v>96.42</v>
      </c>
      <c r="F9" s="59">
        <f>'Comps Data'!F5</f>
        <v>235602.27000000002</v>
      </c>
      <c r="G9" s="59">
        <f>'Comps Data'!M5</f>
        <v>1071.1999999999998</v>
      </c>
      <c r="H9" s="59">
        <f>'Comps Data'!I5</f>
        <v>236673.47000000003</v>
      </c>
      <c r="I9" s="59"/>
      <c r="J9" s="59">
        <f>'Comps Data'!J5</f>
        <v>20201.560000000001</v>
      </c>
      <c r="K9" s="59">
        <f>'Comps Data'!K5</f>
        <v>4830.1899999999996</v>
      </c>
      <c r="L9" s="59">
        <f>'Comps Data'!L5</f>
        <v>3314.5</v>
      </c>
      <c r="M9" s="56"/>
      <c r="N9" s="194">
        <f t="shared" si="0"/>
        <v>11.715603646451067</v>
      </c>
      <c r="O9" s="194">
        <f t="shared" si="1"/>
        <v>48.998790937830613</v>
      </c>
      <c r="P9" s="194">
        <f t="shared" si="2"/>
        <v>71.082295972243173</v>
      </c>
    </row>
    <row r="10" spans="1:17" x14ac:dyDescent="0.35">
      <c r="B10" s="56" t="str">
        <f>'Comps Data'!C6</f>
        <v>Varun Beverages</v>
      </c>
      <c r="C10" s="56"/>
      <c r="D10" s="59">
        <f>'Comps Data'!D6</f>
        <v>485.25</v>
      </c>
      <c r="E10" s="59">
        <f>'Comps Data'!E6</f>
        <v>338.19</v>
      </c>
      <c r="F10" s="59">
        <f>'Comps Data'!F6</f>
        <v>164106.69750000001</v>
      </c>
      <c r="G10" s="59">
        <f>'Comps Data'!M6</f>
        <v>376.19999999999982</v>
      </c>
      <c r="H10" s="59">
        <f>'Comps Data'!I6</f>
        <v>164482.89750000002</v>
      </c>
      <c r="I10" s="59"/>
      <c r="J10" s="59">
        <f>'Comps Data'!J6</f>
        <v>21257.27</v>
      </c>
      <c r="K10" s="59">
        <f>'Comps Data'!K6</f>
        <v>4933.96</v>
      </c>
      <c r="L10" s="59">
        <f>'Comps Data'!L6</f>
        <v>2634.28</v>
      </c>
      <c r="M10" s="56"/>
      <c r="N10" s="194">
        <f t="shared" si="0"/>
        <v>7.7377244349815388</v>
      </c>
      <c r="O10" s="194">
        <f t="shared" si="1"/>
        <v>33.336893185189993</v>
      </c>
      <c r="P10" s="194">
        <f t="shared" si="2"/>
        <v>62.296603815843419</v>
      </c>
    </row>
    <row r="11" spans="1:17" x14ac:dyDescent="0.35">
      <c r="B11" s="56" t="str">
        <f>'Comps Data'!C7</f>
        <v>Britannia Inds.</v>
      </c>
      <c r="C11" s="56"/>
      <c r="D11" s="59">
        <f>'Comps Data'!D7</f>
        <v>5708.5</v>
      </c>
      <c r="E11" s="59">
        <f>'Comps Data'!E7</f>
        <v>24.09</v>
      </c>
      <c r="F11" s="59">
        <f>'Comps Data'!F7</f>
        <v>137517.76499999998</v>
      </c>
      <c r="G11" s="59">
        <f>'Comps Data'!M7</f>
        <v>934.03</v>
      </c>
      <c r="H11" s="59">
        <f>'Comps Data'!I7</f>
        <v>138451.79499999998</v>
      </c>
      <c r="I11" s="59"/>
      <c r="J11" s="59">
        <f>'Comps Data'!J7</f>
        <v>17942.669999999998</v>
      </c>
      <c r="K11" s="59">
        <f>'Comps Data'!K7</f>
        <v>3403.5</v>
      </c>
      <c r="L11" s="59">
        <f>'Comps Data'!L7</f>
        <v>2177.86</v>
      </c>
      <c r="M11" s="56"/>
      <c r="N11" s="194">
        <f t="shared" si="0"/>
        <v>7.7163429411564719</v>
      </c>
      <c r="O11" s="194">
        <f t="shared" si="1"/>
        <v>40.67924048773321</v>
      </c>
      <c r="P11" s="194">
        <f t="shared" si="2"/>
        <v>63.143528509637889</v>
      </c>
    </row>
    <row r="12" spans="1:17" x14ac:dyDescent="0.35">
      <c r="B12" s="56" t="str">
        <f>'Comps Data'!C8</f>
        <v>Godrej Consumer</v>
      </c>
      <c r="C12" s="56"/>
      <c r="D12" s="59">
        <f>'Comps Data'!D8</f>
        <v>1242.4000000000001</v>
      </c>
      <c r="E12" s="59">
        <f>'Comps Data'!E8</f>
        <v>102.3</v>
      </c>
      <c r="F12" s="59">
        <f>'Comps Data'!F8</f>
        <v>127097.52</v>
      </c>
      <c r="G12" s="59">
        <f>'Comps Data'!M8</f>
        <v>3526.13</v>
      </c>
      <c r="H12" s="59">
        <f>'Comps Data'!I8</f>
        <v>130623.65</v>
      </c>
      <c r="I12" s="59"/>
      <c r="J12" s="59">
        <f>'Comps Data'!J8</f>
        <v>14364.29</v>
      </c>
      <c r="K12" s="59">
        <f>'Comps Data'!K8</f>
        <v>3291.51</v>
      </c>
      <c r="L12" s="59">
        <f>'Comps Data'!L8</f>
        <v>1852.3</v>
      </c>
      <c r="M12" s="56"/>
      <c r="N12" s="194">
        <f t="shared" si="0"/>
        <v>9.093637764205539</v>
      </c>
      <c r="O12" s="194">
        <f t="shared" si="1"/>
        <v>39.68502298337237</v>
      </c>
      <c r="P12" s="194">
        <f t="shared" si="2"/>
        <v>68.616055714517088</v>
      </c>
    </row>
    <row r="13" spans="1:17" x14ac:dyDescent="0.35">
      <c r="B13" s="56" t="str">
        <f>'Comps Data'!C9</f>
        <v>Tata Consumer</v>
      </c>
      <c r="C13" s="56"/>
      <c r="D13" s="59">
        <f>'Comps Data'!D9</f>
        <v>1084.8</v>
      </c>
      <c r="E13" s="59">
        <f>'Comps Data'!E9</f>
        <v>98.95</v>
      </c>
      <c r="F13" s="59">
        <f>'Comps Data'!F9</f>
        <v>107340.95999999999</v>
      </c>
      <c r="G13" s="59">
        <f>'Comps Data'!M9</f>
        <v>-425.18000000000029</v>
      </c>
      <c r="H13" s="59">
        <f>'Comps Data'!I9</f>
        <v>106915.77999999998</v>
      </c>
      <c r="I13" s="59"/>
      <c r="J13" s="59">
        <f>'Comps Data'!J9</f>
        <v>17618.3</v>
      </c>
      <c r="K13" s="59">
        <f>'Comps Data'!K9</f>
        <v>2647.81</v>
      </c>
      <c r="L13" s="59">
        <f>'Comps Data'!L9</f>
        <v>1287.0999999999999</v>
      </c>
      <c r="M13" s="56"/>
      <c r="N13" s="194">
        <f t="shared" si="0"/>
        <v>6.0684504180312508</v>
      </c>
      <c r="O13" s="194">
        <f t="shared" si="1"/>
        <v>40.378947129892246</v>
      </c>
      <c r="P13" s="194">
        <f t="shared" si="2"/>
        <v>83.397529329500429</v>
      </c>
    </row>
    <row r="14" spans="1:17" x14ac:dyDescent="0.35">
      <c r="B14" s="56" t="str">
        <f>'Comps Data'!C10</f>
        <v>United Spirits</v>
      </c>
      <c r="C14" s="56"/>
      <c r="D14" s="59">
        <f>'Comps Data'!D10</f>
        <v>1343.5</v>
      </c>
      <c r="E14" s="59">
        <f>'Comps Data'!E10</f>
        <v>72.739999999999995</v>
      </c>
      <c r="F14" s="59">
        <f>'Comps Data'!F10</f>
        <v>97726.189999999988</v>
      </c>
      <c r="G14" s="59">
        <f>'Comps Data'!M10</f>
        <v>-1550</v>
      </c>
      <c r="H14" s="59">
        <f>'Comps Data'!I10</f>
        <v>96176.189999999988</v>
      </c>
      <c r="I14" s="59"/>
      <c r="J14" s="59">
        <f>'Comps Data'!J10</f>
        <v>12069</v>
      </c>
      <c r="K14" s="59">
        <f>'Comps Data'!K10</f>
        <v>2572</v>
      </c>
      <c r="L14" s="59">
        <f>'Comps Data'!L10</f>
        <v>1582</v>
      </c>
      <c r="M14" s="56"/>
      <c r="N14" s="194">
        <f t="shared" si="0"/>
        <v>7.9688615461098671</v>
      </c>
      <c r="O14" s="194">
        <f t="shared" si="1"/>
        <v>37.393541990668737</v>
      </c>
      <c r="P14" s="194">
        <f t="shared" si="2"/>
        <v>61.773824273072051</v>
      </c>
    </row>
    <row r="15" spans="1:17" x14ac:dyDescent="0.35">
      <c r="B15" s="56" t="str">
        <f>'Comps Data'!C11</f>
        <v>Marico</v>
      </c>
      <c r="C15" s="56"/>
      <c r="D15" s="59">
        <f>'Comps Data'!D11</f>
        <v>716.35</v>
      </c>
      <c r="E15" s="59">
        <f>'Comps Data'!E11</f>
        <v>129.6</v>
      </c>
      <c r="F15" s="59">
        <f>'Comps Data'!F11</f>
        <v>92838.959999999992</v>
      </c>
      <c r="G15" s="59">
        <f>'Comps Data'!M11</f>
        <v>-223</v>
      </c>
      <c r="H15" s="59">
        <f>'Comps Data'!I11</f>
        <v>92615.959999999992</v>
      </c>
      <c r="I15" s="59"/>
      <c r="J15" s="59">
        <f>'Comps Data'!J11</f>
        <v>10831</v>
      </c>
      <c r="K15" s="59">
        <f>'Comps Data'!K11</f>
        <v>2327</v>
      </c>
      <c r="L15" s="59">
        <f>'Comps Data'!L11</f>
        <v>1658</v>
      </c>
      <c r="M15" s="56"/>
      <c r="N15" s="194">
        <f t="shared" si="0"/>
        <v>8.5510072938786816</v>
      </c>
      <c r="O15" s="194">
        <f t="shared" si="1"/>
        <v>39.80058444348947</v>
      </c>
      <c r="P15" s="194">
        <f t="shared" si="2"/>
        <v>55.994547647768393</v>
      </c>
    </row>
    <row r="16" spans="1:17" x14ac:dyDescent="0.35">
      <c r="B16" s="56" t="str">
        <f>'Comps Data'!C12</f>
        <v>Dabur India</v>
      </c>
      <c r="C16" s="56"/>
      <c r="D16" s="59">
        <f>'Comps Data'!D12</f>
        <v>515.04999999999995</v>
      </c>
      <c r="E16" s="59">
        <f>'Comps Data'!E12</f>
        <v>177.37</v>
      </c>
      <c r="F16" s="59">
        <f>'Comps Data'!F12</f>
        <v>91354.4185</v>
      </c>
      <c r="G16" s="59">
        <f>'Comps Data'!M12</f>
        <v>372.36</v>
      </c>
      <c r="H16" s="59">
        <f>'Comps Data'!I12</f>
        <v>91726.7785</v>
      </c>
      <c r="I16" s="59"/>
      <c r="J16" s="59">
        <f>'Comps Data'!J12</f>
        <v>12563.09</v>
      </c>
      <c r="K16" s="59">
        <f>'Comps Data'!K12</f>
        <v>2857.67</v>
      </c>
      <c r="L16" s="59">
        <f>'Comps Data'!L12</f>
        <v>1740.42</v>
      </c>
      <c r="M16" s="56"/>
      <c r="N16" s="194">
        <f t="shared" si="0"/>
        <v>7.3012912030400168</v>
      </c>
      <c r="O16" s="194">
        <f t="shared" si="1"/>
        <v>32.098450310917634</v>
      </c>
      <c r="P16" s="194">
        <f t="shared" si="2"/>
        <v>52.489869399340385</v>
      </c>
    </row>
    <row r="18" spans="2:16" x14ac:dyDescent="0.35">
      <c r="B18" s="114" t="s">
        <v>350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99">
        <f>MAX(N7:N16)</f>
        <v>11.715603646451067</v>
      </c>
      <c r="O18" s="199">
        <f t="shared" ref="O18:P18" si="3">MAX(O7:O16)</f>
        <v>48.998790937830613</v>
      </c>
      <c r="P18" s="199">
        <f t="shared" si="3"/>
        <v>83.397529329500429</v>
      </c>
    </row>
    <row r="19" spans="2:16" x14ac:dyDescent="0.35">
      <c r="B19" s="114" t="s">
        <v>351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99">
        <f>QUARTILE(N7:N16,3)</f>
        <v>8.9579801466238251</v>
      </c>
      <c r="O19" s="199">
        <f t="shared" ref="O19:P19" si="4">QUARTILE(O7:O16,3)</f>
        <v>40.23435645829155</v>
      </c>
      <c r="P19" s="199">
        <f t="shared" si="4"/>
        <v>67.247923913297285</v>
      </c>
    </row>
    <row r="20" spans="2:16" x14ac:dyDescent="0.35">
      <c r="B20" s="200" t="s">
        <v>197</v>
      </c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1">
        <f>AVERAGE(N7:N16)</f>
        <v>8.2156010209451971</v>
      </c>
      <c r="O20" s="201">
        <f t="shared" ref="O20:P20" si="5">AVERAGE(O7:O16)</f>
        <v>36.689501702610343</v>
      </c>
      <c r="P20" s="201">
        <f t="shared" si="5"/>
        <v>58.825479248846612</v>
      </c>
    </row>
    <row r="21" spans="2:16" x14ac:dyDescent="0.35">
      <c r="B21" s="200" t="s">
        <v>198</v>
      </c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1">
        <f>MEDIAN(N7:N16)</f>
        <v>7.853292990545703</v>
      </c>
      <c r="O21" s="201">
        <f t="shared" ref="O21:P21" si="6">MEDIAN(O7:O16)</f>
        <v>38.539282487020557</v>
      </c>
      <c r="P21" s="201">
        <f t="shared" si="6"/>
        <v>62.035214044457732</v>
      </c>
    </row>
    <row r="22" spans="2:16" x14ac:dyDescent="0.35">
      <c r="B22" s="114" t="s">
        <v>352</v>
      </c>
      <c r="C22" s="114"/>
      <c r="D22" s="114"/>
      <c r="E22" s="114"/>
      <c r="F22" s="195"/>
      <c r="G22" s="114"/>
      <c r="H22" s="114"/>
      <c r="I22" s="114"/>
      <c r="J22" s="114"/>
      <c r="K22" s="114"/>
      <c r="L22" s="114"/>
      <c r="M22" s="114"/>
      <c r="N22" s="199">
        <f>QUARTILE(N7:N15,1)</f>
        <v>7.7163429411564719</v>
      </c>
      <c r="O22" s="199">
        <f t="shared" ref="O22:P22" si="7">QUARTILE(O7:O15,1)</f>
        <v>36.363449684741489</v>
      </c>
      <c r="P22" s="199">
        <f t="shared" si="7"/>
        <v>55.994547647768393</v>
      </c>
    </row>
    <row r="23" spans="2:16" x14ac:dyDescent="0.35">
      <c r="B23" s="114" t="s">
        <v>353</v>
      </c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99">
        <f>MIN(N7:N16)</f>
        <v>6.0684504180312508</v>
      </c>
      <c r="O23" s="199">
        <f t="shared" ref="O23:P23" si="8">MIN(O7:O16)</f>
        <v>18.160095872267689</v>
      </c>
      <c r="P23" s="199">
        <f t="shared" si="8"/>
        <v>14.861127087156172</v>
      </c>
    </row>
    <row r="25" spans="2:16" x14ac:dyDescent="0.35">
      <c r="B25" s="158" t="s">
        <v>354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90" t="s">
        <v>347</v>
      </c>
      <c r="O25" s="190" t="s">
        <v>348</v>
      </c>
      <c r="P25" s="190" t="s">
        <v>349</v>
      </c>
    </row>
    <row r="26" spans="2:16" ht="5" customHeight="1" x14ac:dyDescent="0.35"/>
    <row r="27" spans="2:16" x14ac:dyDescent="0.35">
      <c r="B27" t="s">
        <v>355</v>
      </c>
      <c r="N27" s="88">
        <f>N21*J7</f>
        <v>495707.70685623534</v>
      </c>
      <c r="O27" s="88">
        <f>O21*K7</f>
        <v>611233.020244146</v>
      </c>
      <c r="P27" s="88">
        <f>P29+P28</f>
        <v>656071.76906840841</v>
      </c>
    </row>
    <row r="28" spans="2:16" x14ac:dyDescent="0.35">
      <c r="B28" t="s">
        <v>356</v>
      </c>
      <c r="N28" s="61">
        <f>G7</f>
        <v>-5906</v>
      </c>
      <c r="O28" s="61">
        <f>G7</f>
        <v>-5906</v>
      </c>
      <c r="P28" s="61">
        <v>-5906</v>
      </c>
    </row>
    <row r="29" spans="2:16" x14ac:dyDescent="0.35">
      <c r="B29" t="s">
        <v>357</v>
      </c>
      <c r="N29" s="88">
        <f>N27-N28</f>
        <v>501613.70685623534</v>
      </c>
      <c r="O29" s="61">
        <f>O27-O28</f>
        <v>617139.020244146</v>
      </c>
      <c r="P29" s="61">
        <f>P21*L7</f>
        <v>661977.76906840841</v>
      </c>
    </row>
    <row r="30" spans="2:16" x14ac:dyDescent="0.35">
      <c r="B30" t="s">
        <v>358</v>
      </c>
      <c r="N30" s="159">
        <f>E7</f>
        <v>234.96</v>
      </c>
      <c r="O30" s="159">
        <v>234.96</v>
      </c>
      <c r="P30" s="159">
        <f>N30</f>
        <v>234.96</v>
      </c>
    </row>
    <row r="31" spans="2:16" x14ac:dyDescent="0.35">
      <c r="B31" t="s">
        <v>359</v>
      </c>
      <c r="N31" s="59">
        <f>N29/N30</f>
        <v>2134.8897976516655</v>
      </c>
      <c r="O31" s="59">
        <f>O29/O30</f>
        <v>2626.5705662416835</v>
      </c>
      <c r="P31" s="61">
        <f>P29/P30</f>
        <v>2817.4062353949967</v>
      </c>
    </row>
    <row r="33" spans="14:16" x14ac:dyDescent="0.35">
      <c r="N33" s="35" t="str">
        <f>IF(N31&gt;$D$7,"Under Valued","Over Valued")</f>
        <v>Over Valued</v>
      </c>
      <c r="O33" s="35" t="str">
        <f t="shared" ref="O33:P33" si="9">IF(O31&gt;$D$7,"Under Valued","Over Valued")</f>
        <v>Under Valued</v>
      </c>
      <c r="P33" s="35" t="str">
        <f t="shared" si="9"/>
        <v>Under Valued</v>
      </c>
    </row>
  </sheetData>
  <mergeCells count="4">
    <mergeCell ref="D4:H4"/>
    <mergeCell ref="J4:L4"/>
    <mergeCell ref="N4:P4"/>
    <mergeCell ref="B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0A7F-7289-4E30-97F2-D313909EAB2E}">
  <dimension ref="B2:M32"/>
  <sheetViews>
    <sheetView showGridLines="0" zoomScale="87" workbookViewId="0">
      <selection activeCell="M3" sqref="M3"/>
    </sheetView>
  </sheetViews>
  <sheetFormatPr defaultRowHeight="14.5" x14ac:dyDescent="0.35"/>
  <cols>
    <col min="1" max="1" width="1.81640625" customWidth="1"/>
    <col min="2" max="2" width="5.1796875" bestFit="1" customWidth="1"/>
    <col min="3" max="3" width="15.54296875" bestFit="1" customWidth="1"/>
    <col min="4" max="4" width="8.7265625" bestFit="1" customWidth="1"/>
    <col min="5" max="5" width="15.7265625" bestFit="1" customWidth="1"/>
    <col min="6" max="6" width="15.7265625" customWidth="1"/>
    <col min="7" max="7" width="13" customWidth="1"/>
    <col min="8" max="8" width="13.81640625" bestFit="1" customWidth="1"/>
    <col min="9" max="9" width="13.81640625" customWidth="1"/>
    <col min="10" max="10" width="13.6328125" customWidth="1"/>
    <col min="11" max="11" width="15.6328125" customWidth="1"/>
    <col min="12" max="12" width="13.26953125" customWidth="1"/>
    <col min="13" max="13" width="11.54296875" customWidth="1"/>
  </cols>
  <sheetData>
    <row r="2" spans="2:13" x14ac:dyDescent="0.35">
      <c r="B2" s="232" t="s">
        <v>200</v>
      </c>
      <c r="C2" s="232" t="s">
        <v>201</v>
      </c>
      <c r="D2" s="232" t="s">
        <v>202</v>
      </c>
      <c r="E2" s="232" t="s">
        <v>322</v>
      </c>
      <c r="F2" s="232" t="s">
        <v>345</v>
      </c>
      <c r="G2" s="232" t="s">
        <v>203</v>
      </c>
      <c r="H2" s="232" t="s">
        <v>323</v>
      </c>
      <c r="I2" s="232" t="s">
        <v>346</v>
      </c>
      <c r="J2" s="232" t="s">
        <v>324</v>
      </c>
      <c r="K2" s="232" t="s">
        <v>325</v>
      </c>
      <c r="L2" s="232" t="s">
        <v>339</v>
      </c>
      <c r="M2" s="232" t="s">
        <v>315</v>
      </c>
    </row>
    <row r="3" spans="2:13" x14ac:dyDescent="0.35">
      <c r="B3" s="180">
        <v>1</v>
      </c>
      <c r="C3" s="56" t="s">
        <v>204</v>
      </c>
      <c r="D3" s="231">
        <v>2479.6999999999998</v>
      </c>
      <c r="E3" s="231">
        <v>234.96</v>
      </c>
      <c r="F3" s="231">
        <f>D3*E3</f>
        <v>582630.31200000003</v>
      </c>
      <c r="G3" s="231">
        <v>1648</v>
      </c>
      <c r="H3" s="231">
        <v>7554</v>
      </c>
      <c r="I3" s="231">
        <f>F3+G3-H3</f>
        <v>576724.31200000003</v>
      </c>
      <c r="J3" s="231">
        <v>63121</v>
      </c>
      <c r="K3" s="231">
        <v>15860</v>
      </c>
      <c r="L3" s="231">
        <v>10671</v>
      </c>
      <c r="M3" s="231">
        <f>G3-H3</f>
        <v>-5906</v>
      </c>
    </row>
    <row r="4" spans="2:13" x14ac:dyDescent="0.35">
      <c r="B4" s="180">
        <v>2</v>
      </c>
      <c r="C4" s="56" t="s">
        <v>205</v>
      </c>
      <c r="D4" s="231">
        <v>416</v>
      </c>
      <c r="E4" s="231">
        <v>1252.21</v>
      </c>
      <c r="F4" s="231">
        <f t="shared" ref="F4:F32" si="0">D4*E4</f>
        <v>520919.36</v>
      </c>
      <c r="G4" s="231">
        <v>284.54000000000002</v>
      </c>
      <c r="H4" s="231">
        <v>4012.36</v>
      </c>
      <c r="I4" s="231">
        <f t="shared" ref="I4:I12" si="1">F4+G4-H4</f>
        <v>517191.54</v>
      </c>
      <c r="J4" s="231">
        <v>75323.34</v>
      </c>
      <c r="K4" s="231">
        <v>28479.56</v>
      </c>
      <c r="L4" s="231">
        <v>35052.480000000003</v>
      </c>
      <c r="M4" s="231">
        <f t="shared" ref="M4:M12" si="2">G4-H4</f>
        <v>-3727.82</v>
      </c>
    </row>
    <row r="5" spans="2:13" x14ac:dyDescent="0.35">
      <c r="B5" s="180">
        <v>3</v>
      </c>
      <c r="C5" s="56" t="s">
        <v>206</v>
      </c>
      <c r="D5" s="231">
        <v>2443.5</v>
      </c>
      <c r="E5" s="231">
        <v>96.42</v>
      </c>
      <c r="F5" s="231">
        <f t="shared" si="0"/>
        <v>235602.27000000002</v>
      </c>
      <c r="G5" s="231">
        <v>1166.8499999999999</v>
      </c>
      <c r="H5" s="231">
        <v>95.65</v>
      </c>
      <c r="I5" s="231">
        <f t="shared" si="1"/>
        <v>236673.47000000003</v>
      </c>
      <c r="J5" s="231">
        <v>20201.560000000001</v>
      </c>
      <c r="K5" s="231">
        <v>4830.1899999999996</v>
      </c>
      <c r="L5" s="231">
        <v>3314.5</v>
      </c>
      <c r="M5" s="231">
        <f t="shared" si="2"/>
        <v>1071.1999999999998</v>
      </c>
    </row>
    <row r="6" spans="2:13" x14ac:dyDescent="0.35">
      <c r="B6" s="180">
        <v>4</v>
      </c>
      <c r="C6" s="56" t="s">
        <v>207</v>
      </c>
      <c r="D6" s="231">
        <v>485.25</v>
      </c>
      <c r="E6" s="231">
        <v>338.19</v>
      </c>
      <c r="F6" s="231">
        <f t="shared" si="0"/>
        <v>164106.69750000001</v>
      </c>
      <c r="G6" s="231">
        <v>2826.25</v>
      </c>
      <c r="H6" s="231">
        <v>2450.0500000000002</v>
      </c>
      <c r="I6" s="231">
        <f t="shared" si="1"/>
        <v>164482.89750000002</v>
      </c>
      <c r="J6" s="231">
        <v>21257.27</v>
      </c>
      <c r="K6" s="231">
        <v>4933.96</v>
      </c>
      <c r="L6" s="231">
        <v>2634.28</v>
      </c>
      <c r="M6" s="231">
        <f t="shared" si="2"/>
        <v>376.19999999999982</v>
      </c>
    </row>
    <row r="7" spans="2:13" x14ac:dyDescent="0.35">
      <c r="B7" s="180">
        <v>5</v>
      </c>
      <c r="C7" s="56" t="s">
        <v>208</v>
      </c>
      <c r="D7" s="231">
        <v>5708.5</v>
      </c>
      <c r="E7" s="231">
        <v>24.09</v>
      </c>
      <c r="F7" s="231">
        <f t="shared" si="0"/>
        <v>137517.76499999998</v>
      </c>
      <c r="G7" s="231">
        <v>1246.51</v>
      </c>
      <c r="H7" s="231">
        <v>312.48</v>
      </c>
      <c r="I7" s="231">
        <f t="shared" si="1"/>
        <v>138451.79499999998</v>
      </c>
      <c r="J7" s="231">
        <v>17942.669999999998</v>
      </c>
      <c r="K7" s="231">
        <v>3403.5</v>
      </c>
      <c r="L7" s="231">
        <v>2177.86</v>
      </c>
      <c r="M7" s="231">
        <f t="shared" si="2"/>
        <v>934.03</v>
      </c>
    </row>
    <row r="8" spans="2:13" x14ac:dyDescent="0.35">
      <c r="B8" s="180">
        <v>6</v>
      </c>
      <c r="C8" s="56" t="s">
        <v>209</v>
      </c>
      <c r="D8" s="231">
        <v>1242.4000000000001</v>
      </c>
      <c r="E8" s="231">
        <v>102.3</v>
      </c>
      <c r="F8" s="231">
        <f t="shared" si="0"/>
        <v>127097.52</v>
      </c>
      <c r="G8" s="231">
        <v>4009.19</v>
      </c>
      <c r="H8" s="231">
        <v>483.06</v>
      </c>
      <c r="I8" s="231">
        <f t="shared" si="1"/>
        <v>130623.65</v>
      </c>
      <c r="J8" s="231">
        <v>14364.29</v>
      </c>
      <c r="K8" s="231">
        <v>3291.51</v>
      </c>
      <c r="L8" s="231">
        <v>1852.3</v>
      </c>
      <c r="M8" s="231">
        <f t="shared" si="2"/>
        <v>3526.13</v>
      </c>
    </row>
    <row r="9" spans="2:13" x14ac:dyDescent="0.35">
      <c r="B9" s="180">
        <v>7</v>
      </c>
      <c r="C9" s="56" t="s">
        <v>210</v>
      </c>
      <c r="D9" s="231">
        <v>1084.8</v>
      </c>
      <c r="E9" s="231">
        <v>98.95</v>
      </c>
      <c r="F9" s="231">
        <f t="shared" si="0"/>
        <v>107340.95999999999</v>
      </c>
      <c r="G9" s="231">
        <v>2392.6799999999998</v>
      </c>
      <c r="H9" s="231">
        <v>2817.86</v>
      </c>
      <c r="I9" s="231">
        <f t="shared" si="1"/>
        <v>106915.77999999998</v>
      </c>
      <c r="J9" s="231">
        <v>17618.3</v>
      </c>
      <c r="K9" s="231">
        <v>2647.81</v>
      </c>
      <c r="L9" s="231">
        <v>1287.0999999999999</v>
      </c>
      <c r="M9" s="231">
        <f t="shared" si="2"/>
        <v>-425.18000000000029</v>
      </c>
    </row>
    <row r="10" spans="2:13" x14ac:dyDescent="0.35">
      <c r="B10" s="180">
        <v>8</v>
      </c>
      <c r="C10" s="56" t="s">
        <v>326</v>
      </c>
      <c r="D10" s="231">
        <v>1343.5</v>
      </c>
      <c r="E10" s="231">
        <v>72.739999999999995</v>
      </c>
      <c r="F10" s="231">
        <f t="shared" si="0"/>
        <v>97726.189999999988</v>
      </c>
      <c r="G10" s="231">
        <v>480</v>
      </c>
      <c r="H10" s="231">
        <v>2030</v>
      </c>
      <c r="I10" s="231">
        <f t="shared" si="1"/>
        <v>96176.189999999988</v>
      </c>
      <c r="J10" s="231">
        <v>12069</v>
      </c>
      <c r="K10" s="231">
        <v>2572</v>
      </c>
      <c r="L10" s="231">
        <v>1582</v>
      </c>
      <c r="M10" s="231">
        <f t="shared" si="2"/>
        <v>-1550</v>
      </c>
    </row>
    <row r="11" spans="2:13" x14ac:dyDescent="0.35">
      <c r="B11" s="180">
        <v>9</v>
      </c>
      <c r="C11" s="56" t="s">
        <v>327</v>
      </c>
      <c r="D11" s="231">
        <v>716.35</v>
      </c>
      <c r="E11" s="231">
        <v>129.6</v>
      </c>
      <c r="F11" s="231">
        <f t="shared" si="0"/>
        <v>92838.959999999992</v>
      </c>
      <c r="G11" s="231">
        <v>554</v>
      </c>
      <c r="H11" s="231">
        <v>777</v>
      </c>
      <c r="I11" s="231">
        <f t="shared" si="1"/>
        <v>92615.959999999992</v>
      </c>
      <c r="J11" s="231">
        <v>10831</v>
      </c>
      <c r="K11" s="231">
        <v>2327</v>
      </c>
      <c r="L11" s="231">
        <v>1658</v>
      </c>
      <c r="M11" s="231">
        <f t="shared" si="2"/>
        <v>-223</v>
      </c>
    </row>
    <row r="12" spans="2:13" x14ac:dyDescent="0.35">
      <c r="B12" s="180">
        <v>10</v>
      </c>
      <c r="C12" s="56" t="s">
        <v>328</v>
      </c>
      <c r="D12" s="231">
        <v>515.04999999999995</v>
      </c>
      <c r="E12" s="231">
        <v>177.37</v>
      </c>
      <c r="F12" s="231">
        <f t="shared" si="0"/>
        <v>91354.4185</v>
      </c>
      <c r="G12" s="231">
        <v>950.37</v>
      </c>
      <c r="H12" s="231">
        <v>578.01</v>
      </c>
      <c r="I12" s="231">
        <f t="shared" si="1"/>
        <v>91726.7785</v>
      </c>
      <c r="J12" s="231">
        <v>12563.09</v>
      </c>
      <c r="K12" s="231">
        <v>2857.67</v>
      </c>
      <c r="L12" s="231">
        <v>1740.42</v>
      </c>
      <c r="M12" s="231">
        <f t="shared" si="2"/>
        <v>372.36</v>
      </c>
    </row>
    <row r="13" spans="2:13" x14ac:dyDescent="0.35">
      <c r="B13" s="8"/>
      <c r="D13" s="159"/>
      <c r="E13" s="159"/>
      <c r="F13" s="159"/>
      <c r="G13" s="159"/>
      <c r="H13" s="159"/>
      <c r="I13" s="159"/>
      <c r="J13" s="159"/>
      <c r="K13" s="159"/>
      <c r="L13" s="159"/>
    </row>
    <row r="14" spans="2:13" x14ac:dyDescent="0.35">
      <c r="B14" s="8"/>
      <c r="D14" s="159"/>
      <c r="E14" s="159"/>
      <c r="F14" s="159"/>
      <c r="G14" s="159"/>
      <c r="H14" s="159"/>
      <c r="I14" s="159"/>
      <c r="J14" s="159"/>
      <c r="K14" s="159"/>
      <c r="L14" s="159"/>
    </row>
    <row r="15" spans="2:13" x14ac:dyDescent="0.35">
      <c r="B15" s="8"/>
      <c r="D15" s="159"/>
      <c r="E15" s="159"/>
      <c r="F15" s="159"/>
      <c r="G15" s="159"/>
      <c r="H15" s="159"/>
      <c r="I15" s="159"/>
      <c r="J15" s="159"/>
      <c r="K15" s="159"/>
      <c r="L15" s="159"/>
    </row>
    <row r="16" spans="2:13" x14ac:dyDescent="0.35">
      <c r="B16" s="8"/>
      <c r="D16" s="159"/>
      <c r="E16" s="159"/>
      <c r="F16" s="159"/>
      <c r="G16" s="159"/>
      <c r="H16" s="159"/>
      <c r="I16" s="159"/>
      <c r="J16" s="159"/>
      <c r="K16" s="159"/>
      <c r="L16" s="159"/>
    </row>
    <row r="17" spans="2:12" x14ac:dyDescent="0.35">
      <c r="B17" s="8"/>
      <c r="D17" s="159"/>
      <c r="E17" s="159"/>
      <c r="F17" s="159"/>
      <c r="G17" s="159"/>
      <c r="H17" s="159"/>
      <c r="I17" s="159"/>
      <c r="J17" s="159"/>
      <c r="K17" s="159"/>
      <c r="L17" s="159"/>
    </row>
    <row r="18" spans="2:12" x14ac:dyDescent="0.35">
      <c r="B18" s="228">
        <v>11</v>
      </c>
      <c r="C18" s="229" t="s">
        <v>329</v>
      </c>
      <c r="D18" s="230">
        <v>1942</v>
      </c>
      <c r="E18" s="230">
        <v>36.25</v>
      </c>
      <c r="F18" s="230">
        <f>D18*E18</f>
        <v>70397.5</v>
      </c>
      <c r="G18" s="230">
        <v>787.68</v>
      </c>
      <c r="H18" s="230">
        <v>275.3</v>
      </c>
      <c r="I18" s="230">
        <f>F18+G18-H18</f>
        <v>70909.87999999999</v>
      </c>
      <c r="J18" s="230">
        <v>34156.97</v>
      </c>
      <c r="K18" s="230">
        <v>2079.0500000000002</v>
      </c>
      <c r="L18" s="230">
        <v>1301.3399999999999</v>
      </c>
    </row>
    <row r="19" spans="2:12" x14ac:dyDescent="0.35">
      <c r="B19" s="228">
        <v>12</v>
      </c>
      <c r="C19" s="229" t="s">
        <v>330</v>
      </c>
      <c r="D19" s="230">
        <v>2379.5</v>
      </c>
      <c r="E19" s="230">
        <v>27.2</v>
      </c>
      <c r="F19" s="230">
        <f>D19*E19</f>
        <v>64722.400000000001</v>
      </c>
      <c r="G19" s="230">
        <v>60.84</v>
      </c>
      <c r="H19" s="230">
        <v>1095.1300000000001</v>
      </c>
      <c r="I19" s="230">
        <f>F19+G19-H19</f>
        <v>63688.11</v>
      </c>
      <c r="J19" s="230">
        <v>5977.52</v>
      </c>
      <c r="K19" s="230">
        <v>2096.54</v>
      </c>
      <c r="L19" s="230">
        <v>1436.81</v>
      </c>
    </row>
    <row r="20" spans="2:12" x14ac:dyDescent="0.35">
      <c r="B20" s="228">
        <v>13</v>
      </c>
      <c r="C20" s="229" t="s">
        <v>331</v>
      </c>
      <c r="D20" s="230">
        <v>2035.8</v>
      </c>
      <c r="E20" s="230">
        <v>26.44</v>
      </c>
      <c r="F20" s="230">
        <f>D20*E20</f>
        <v>53826.552000000003</v>
      </c>
      <c r="G20" s="230">
        <v>619.98</v>
      </c>
      <c r="H20" s="230">
        <v>442.88</v>
      </c>
      <c r="I20" s="230">
        <f>F20+G20-H20</f>
        <v>54003.652000000009</v>
      </c>
      <c r="J20" s="230">
        <v>9304.2800000000007</v>
      </c>
      <c r="K20" s="230">
        <v>876.67</v>
      </c>
      <c r="L20" s="230">
        <v>442.41</v>
      </c>
    </row>
    <row r="21" spans="2:12" x14ac:dyDescent="0.35">
      <c r="B21" s="228">
        <v>14</v>
      </c>
      <c r="C21" s="229" t="s">
        <v>332</v>
      </c>
      <c r="D21" s="230">
        <v>9416</v>
      </c>
      <c r="E21" s="230">
        <v>5.2</v>
      </c>
      <c r="F21" s="230">
        <f>D21*E21</f>
        <v>48963.200000000004</v>
      </c>
      <c r="G21" s="230">
        <v>178.97</v>
      </c>
      <c r="H21" s="230">
        <v>30.31</v>
      </c>
      <c r="I21" s="230">
        <f>F21+G21-H21</f>
        <v>49111.860000000008</v>
      </c>
      <c r="J21" s="230">
        <v>5611.02</v>
      </c>
      <c r="K21" s="230">
        <v>1607.01</v>
      </c>
      <c r="L21" s="230">
        <v>1072.31</v>
      </c>
    </row>
    <row r="22" spans="2:12" x14ac:dyDescent="0.35">
      <c r="B22" s="228">
        <v>15</v>
      </c>
      <c r="C22" s="229" t="s">
        <v>333</v>
      </c>
      <c r="D22" s="230">
        <v>13142</v>
      </c>
      <c r="E22" s="230">
        <v>3.25</v>
      </c>
      <c r="F22" s="230">
        <f>D22*E22</f>
        <v>42711.5</v>
      </c>
      <c r="G22" s="230">
        <v>2.3199999999999998</v>
      </c>
      <c r="H22" s="230">
        <v>588.20000000000005</v>
      </c>
      <c r="I22" s="230">
        <f>F22+G22-H22</f>
        <v>42125.62</v>
      </c>
      <c r="J22" s="230">
        <v>4306.17</v>
      </c>
      <c r="K22" s="230">
        <v>1028.02</v>
      </c>
      <c r="L22" s="230">
        <v>675.02</v>
      </c>
    </row>
    <row r="23" spans="2:12" x14ac:dyDescent="0.35">
      <c r="B23" s="228">
        <v>16</v>
      </c>
      <c r="C23" s="229" t="s">
        <v>334</v>
      </c>
      <c r="D23" s="230">
        <v>2758.2</v>
      </c>
      <c r="E23" s="230">
        <v>13.39</v>
      </c>
      <c r="F23" s="230">
        <f>D23*E23</f>
        <v>36932.298000000003</v>
      </c>
      <c r="G23" s="230">
        <v>750.44</v>
      </c>
      <c r="H23" s="230">
        <v>57.15</v>
      </c>
      <c r="I23" s="230">
        <f>F23+G23-H23</f>
        <v>37625.588000000003</v>
      </c>
      <c r="J23" s="230">
        <v>4842.6400000000003</v>
      </c>
      <c r="K23" s="230">
        <v>678.98</v>
      </c>
      <c r="L23" s="230">
        <v>345.19</v>
      </c>
    </row>
    <row r="24" spans="2:12" x14ac:dyDescent="0.35">
      <c r="B24" s="228">
        <v>17</v>
      </c>
      <c r="C24" s="229" t="s">
        <v>344</v>
      </c>
      <c r="D24" s="230">
        <v>280.5</v>
      </c>
      <c r="E24" s="230">
        <v>129.97</v>
      </c>
      <c r="F24" s="230">
        <f>D24*E24</f>
        <v>36456.584999999999</v>
      </c>
      <c r="G24" s="230">
        <v>1937.32</v>
      </c>
      <c r="H24" s="230">
        <v>2325.14</v>
      </c>
      <c r="I24" s="230">
        <f>F24+G24-H24</f>
        <v>36068.764999999999</v>
      </c>
      <c r="J24" s="230">
        <v>66587.55</v>
      </c>
      <c r="K24" s="230">
        <v>2724.36</v>
      </c>
      <c r="L24" s="230">
        <v>1225.81</v>
      </c>
    </row>
    <row r="25" spans="2:12" x14ac:dyDescent="0.35">
      <c r="B25" s="228">
        <v>18</v>
      </c>
      <c r="C25" s="229" t="s">
        <v>335</v>
      </c>
      <c r="D25" s="230">
        <v>11052</v>
      </c>
      <c r="E25" s="230">
        <v>3.26</v>
      </c>
      <c r="F25" s="230">
        <f>D25*E25</f>
        <v>36029.519999999997</v>
      </c>
      <c r="G25" s="230">
        <v>0.05</v>
      </c>
      <c r="H25" s="230">
        <v>475.63</v>
      </c>
      <c r="I25" s="230">
        <f>F25+G25-H25</f>
        <v>35553.94</v>
      </c>
      <c r="J25" s="230">
        <v>2880.17</v>
      </c>
      <c r="K25" s="230">
        <v>660.03</v>
      </c>
      <c r="L25" s="230">
        <v>411.7</v>
      </c>
    </row>
    <row r="26" spans="2:12" x14ac:dyDescent="0.35">
      <c r="B26" s="228">
        <v>19</v>
      </c>
      <c r="C26" s="229" t="s">
        <v>336</v>
      </c>
      <c r="D26" s="230">
        <v>583.45000000000005</v>
      </c>
      <c r="E26" s="230">
        <v>43.65</v>
      </c>
      <c r="F26" s="230">
        <f>D26*E26</f>
        <v>25467.592500000002</v>
      </c>
      <c r="G26" s="230">
        <v>89.78</v>
      </c>
      <c r="H26" s="230">
        <v>272.91000000000003</v>
      </c>
      <c r="I26" s="230">
        <f>F26+G26-H26</f>
        <v>25284.462500000001</v>
      </c>
      <c r="J26" s="230">
        <v>3809.19</v>
      </c>
      <c r="K26" s="230">
        <v>1081.4100000000001</v>
      </c>
      <c r="L26" s="230">
        <v>802.74</v>
      </c>
    </row>
    <row r="27" spans="2:12" x14ac:dyDescent="0.35">
      <c r="B27" s="228">
        <v>20</v>
      </c>
      <c r="C27" s="229" t="s">
        <v>337</v>
      </c>
      <c r="D27" s="230">
        <v>137.81</v>
      </c>
      <c r="E27" s="230">
        <v>159.85</v>
      </c>
      <c r="F27" s="230">
        <f>D27*E27</f>
        <v>22028.928499999998</v>
      </c>
      <c r="G27" s="230">
        <v>2.5099999999999998</v>
      </c>
      <c r="H27" s="230">
        <v>2.67</v>
      </c>
      <c r="I27" s="230">
        <f>F27+G27-H27</f>
        <v>22028.768499999998</v>
      </c>
      <c r="J27" s="230">
        <v>548.76</v>
      </c>
      <c r="K27" s="230">
        <v>71.61</v>
      </c>
      <c r="L27" s="230">
        <v>69.650000000000006</v>
      </c>
    </row>
    <row r="28" spans="2:12" x14ac:dyDescent="0.35">
      <c r="B28" s="228">
        <v>21</v>
      </c>
      <c r="C28" s="229" t="s">
        <v>338</v>
      </c>
      <c r="D28" s="230">
        <v>958.9</v>
      </c>
      <c r="E28" s="230">
        <v>22.27</v>
      </c>
      <c r="F28" s="230">
        <f>D28*E28</f>
        <v>21354.702999999998</v>
      </c>
      <c r="G28" s="230">
        <v>2566.2600000000002</v>
      </c>
      <c r="H28" s="230">
        <v>61.84</v>
      </c>
      <c r="I28" s="230">
        <f>F28+G28-H28</f>
        <v>23859.122999999996</v>
      </c>
      <c r="J28" s="230">
        <v>8827.09</v>
      </c>
      <c r="K28" s="230">
        <v>1033.1300000000001</v>
      </c>
      <c r="L28" s="230">
        <v>285.44</v>
      </c>
    </row>
    <row r="29" spans="2:12" x14ac:dyDescent="0.35">
      <c r="B29" s="228">
        <v>22</v>
      </c>
      <c r="C29" s="229" t="s">
        <v>340</v>
      </c>
      <c r="D29" s="230">
        <v>1167.5999999999999</v>
      </c>
      <c r="E29" s="230">
        <v>17.78</v>
      </c>
      <c r="F29" s="230">
        <f>D29*E29</f>
        <v>20759.928</v>
      </c>
      <c r="G29" s="230">
        <v>2704.06</v>
      </c>
      <c r="H29" s="230">
        <v>3691.01</v>
      </c>
      <c r="I29" s="230">
        <f>F29+G29-H29</f>
        <v>19772.978000000003</v>
      </c>
      <c r="J29" s="230">
        <v>31608.61</v>
      </c>
      <c r="K29" s="230">
        <v>2883.24</v>
      </c>
      <c r="L29" s="230">
        <v>1772.54</v>
      </c>
    </row>
    <row r="30" spans="2:12" x14ac:dyDescent="0.35">
      <c r="B30" s="228">
        <v>23</v>
      </c>
      <c r="C30" s="229" t="s">
        <v>341</v>
      </c>
      <c r="D30" s="230">
        <v>762.8</v>
      </c>
      <c r="E30" s="230">
        <v>25.06</v>
      </c>
      <c r="F30" s="230">
        <f>D30*E30</f>
        <v>19115.767999999996</v>
      </c>
      <c r="G30" s="230">
        <v>230.94</v>
      </c>
      <c r="H30" s="230">
        <v>219.05</v>
      </c>
      <c r="I30" s="230">
        <f>F30+G30-H30</f>
        <v>19127.657999999996</v>
      </c>
      <c r="J30" s="230">
        <v>2621.85</v>
      </c>
      <c r="K30" s="230">
        <v>361.15</v>
      </c>
      <c r="L30" s="230">
        <v>194.35</v>
      </c>
    </row>
    <row r="31" spans="2:12" x14ac:dyDescent="0.35">
      <c r="B31" s="228">
        <v>24</v>
      </c>
      <c r="C31" s="229" t="s">
        <v>342</v>
      </c>
      <c r="D31" s="230">
        <v>497.35</v>
      </c>
      <c r="E31" s="230">
        <v>34.729999999999997</v>
      </c>
      <c r="F31" s="230">
        <f>D31*E31</f>
        <v>17272.965499999998</v>
      </c>
      <c r="G31" s="230">
        <v>1261.04</v>
      </c>
      <c r="H31" s="230">
        <v>144.16</v>
      </c>
      <c r="I31" s="230">
        <f>F31+G31-H31</f>
        <v>18389.845499999999</v>
      </c>
      <c r="J31" s="230">
        <v>8681.4699999999993</v>
      </c>
      <c r="K31" s="230">
        <v>1095.3599999999999</v>
      </c>
      <c r="L31" s="230">
        <v>611.79999999999995</v>
      </c>
    </row>
    <row r="32" spans="2:12" x14ac:dyDescent="0.35">
      <c r="B32" s="228">
        <v>25</v>
      </c>
      <c r="C32" s="229" t="s">
        <v>343</v>
      </c>
      <c r="D32" s="230">
        <v>810.35</v>
      </c>
      <c r="E32" s="230">
        <v>19.23</v>
      </c>
      <c r="F32" s="230">
        <f t="shared" si="0"/>
        <v>15583.030500000001</v>
      </c>
      <c r="G32" s="230">
        <v>1395.98</v>
      </c>
      <c r="H32" s="230">
        <v>39.33</v>
      </c>
      <c r="I32" s="230">
        <f>F32+G32-H32</f>
        <v>16939.680499999999</v>
      </c>
      <c r="J32" s="230">
        <v>9382.77</v>
      </c>
      <c r="K32" s="230">
        <v>917.57</v>
      </c>
      <c r="L32" s="230">
        <v>403.37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B631-3F21-4C8C-B581-31AD8174CB1A}">
  <sheetPr>
    <tabColor rgb="FF0000FF"/>
  </sheetPr>
  <dimension ref="A1"/>
  <sheetViews>
    <sheetView showGridLines="0" topLeftCell="G1" workbookViewId="0">
      <selection activeCell="G21" sqref="G21"/>
    </sheetView>
  </sheetViews>
  <sheetFormatPr defaultRowHeight="14.5" x14ac:dyDescent="0.35"/>
  <cols>
    <col min="1" max="1" width="2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K93"/>
  <sheetViews>
    <sheetView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E89" sqref="E89"/>
    </sheetView>
  </sheetViews>
  <sheetFormatPr defaultColWidth="8.81640625" defaultRowHeight="14.5" x14ac:dyDescent="0.35"/>
  <cols>
    <col min="1" max="1" width="27.6328125" style="3" bestFit="1" customWidth="1"/>
    <col min="2" max="11" width="13.453125" style="3" bestFit="1" customWidth="1"/>
    <col min="12" max="16384" width="8.81640625" style="3"/>
  </cols>
  <sheetData>
    <row r="1" spans="1:11" s="1" customFormat="1" x14ac:dyDescent="0.35">
      <c r="A1" s="1" t="s">
        <v>0</v>
      </c>
      <c r="B1" s="1" t="s">
        <v>33</v>
      </c>
      <c r="E1" s="131" t="str">
        <f>IF(B2&lt;&gt;B3, "A NEW VERSION OF THE WORKSHEET IS AVAILABLE", "")</f>
        <v/>
      </c>
      <c r="F1" s="131"/>
      <c r="G1" s="131"/>
      <c r="H1" s="131"/>
      <c r="I1" s="131"/>
      <c r="J1" s="131"/>
      <c r="K1" s="131"/>
    </row>
    <row r="2" spans="1:11" x14ac:dyDescent="0.35">
      <c r="A2" s="1" t="s">
        <v>31</v>
      </c>
      <c r="B2" s="3">
        <v>2.1</v>
      </c>
      <c r="E2" s="132" t="s">
        <v>22</v>
      </c>
      <c r="F2" s="132"/>
      <c r="G2" s="132"/>
      <c r="H2" s="132"/>
      <c r="I2" s="132"/>
      <c r="J2" s="132"/>
      <c r="K2" s="132"/>
    </row>
    <row r="3" spans="1:11" x14ac:dyDescent="0.35">
      <c r="A3" s="1" t="s">
        <v>32</v>
      </c>
      <c r="B3" s="3">
        <v>2.1</v>
      </c>
    </row>
    <row r="4" spans="1:11" x14ac:dyDescent="0.35">
      <c r="A4" s="1"/>
    </row>
    <row r="5" spans="1:11" x14ac:dyDescent="0.35">
      <c r="A5" s="1" t="s">
        <v>34</v>
      </c>
    </row>
    <row r="6" spans="1:11" x14ac:dyDescent="0.35">
      <c r="A6" s="3" t="s">
        <v>28</v>
      </c>
      <c r="B6" s="3">
        <f>IF(B9&gt;0, B9/B8, 0)</f>
        <v>234.89572948086999</v>
      </c>
    </row>
    <row r="7" spans="1:11" x14ac:dyDescent="0.35">
      <c r="A7" s="3" t="s">
        <v>17</v>
      </c>
      <c r="B7">
        <v>1</v>
      </c>
    </row>
    <row r="8" spans="1:11" x14ac:dyDescent="0.35">
      <c r="A8" s="3" t="s">
        <v>29</v>
      </c>
      <c r="B8">
        <v>2519.6</v>
      </c>
    </row>
    <row r="9" spans="1:11" x14ac:dyDescent="0.35">
      <c r="A9" s="3" t="s">
        <v>44</v>
      </c>
      <c r="B9">
        <v>591843.28</v>
      </c>
    </row>
    <row r="15" spans="1:11" x14ac:dyDescent="0.35">
      <c r="A15" s="1" t="s">
        <v>23</v>
      </c>
    </row>
    <row r="16" spans="1:11" s="7" customFormat="1" x14ac:dyDescent="0.35">
      <c r="A16" s="6" t="s">
        <v>24</v>
      </c>
      <c r="B16" s="5">
        <v>42460</v>
      </c>
      <c r="C16" s="5">
        <v>42825</v>
      </c>
      <c r="D16" s="5">
        <v>43190</v>
      </c>
      <c r="E16" s="5">
        <v>43555</v>
      </c>
      <c r="F16" s="5">
        <v>43921</v>
      </c>
      <c r="G16" s="5">
        <v>44286</v>
      </c>
      <c r="H16" s="5">
        <v>44651</v>
      </c>
      <c r="I16" s="5">
        <v>45016</v>
      </c>
      <c r="J16" s="5">
        <v>45382</v>
      </c>
      <c r="K16" s="5">
        <v>45747</v>
      </c>
    </row>
    <row r="17" spans="1:11" s="4" customFormat="1" x14ac:dyDescent="0.35">
      <c r="A17" s="4" t="s">
        <v>1</v>
      </c>
      <c r="B17">
        <v>32186</v>
      </c>
      <c r="C17">
        <v>33162</v>
      </c>
      <c r="D17">
        <v>35545</v>
      </c>
      <c r="E17">
        <v>39310</v>
      </c>
      <c r="F17">
        <v>39783</v>
      </c>
      <c r="G17">
        <v>47028</v>
      </c>
      <c r="H17">
        <v>52446</v>
      </c>
      <c r="I17">
        <v>60580</v>
      </c>
      <c r="J17">
        <v>61896</v>
      </c>
      <c r="K17">
        <v>63121</v>
      </c>
    </row>
    <row r="18" spans="1:11" s="4" customFormat="1" x14ac:dyDescent="0.35">
      <c r="A18" s="3" t="s">
        <v>45</v>
      </c>
      <c r="B18">
        <v>13184</v>
      </c>
      <c r="C18">
        <v>13606</v>
      </c>
      <c r="D18">
        <v>14233</v>
      </c>
      <c r="E18">
        <v>15845</v>
      </c>
      <c r="F18">
        <v>15697</v>
      </c>
      <c r="G18">
        <v>20141</v>
      </c>
      <c r="H18">
        <v>22871</v>
      </c>
      <c r="I18">
        <v>28427</v>
      </c>
      <c r="J18">
        <v>26822</v>
      </c>
      <c r="K18">
        <v>27344</v>
      </c>
    </row>
    <row r="19" spans="1:11" s="4" customFormat="1" x14ac:dyDescent="0.35">
      <c r="A19" s="3" t="s">
        <v>46</v>
      </c>
      <c r="B19">
        <v>-83</v>
      </c>
      <c r="C19">
        <v>-144</v>
      </c>
      <c r="D19">
        <v>72</v>
      </c>
      <c r="E19">
        <v>-12</v>
      </c>
      <c r="F19">
        <v>108</v>
      </c>
      <c r="G19">
        <v>405</v>
      </c>
      <c r="H19">
        <v>22</v>
      </c>
      <c r="I19">
        <v>75</v>
      </c>
      <c r="J19">
        <v>11</v>
      </c>
      <c r="K19">
        <v>153</v>
      </c>
    </row>
    <row r="20" spans="1:11" s="4" customFormat="1" x14ac:dyDescent="0.35">
      <c r="A20" s="3" t="s">
        <v>47</v>
      </c>
      <c r="B20">
        <v>309</v>
      </c>
      <c r="C20">
        <v>295</v>
      </c>
      <c r="D20">
        <v>295</v>
      </c>
      <c r="E20">
        <v>308</v>
      </c>
      <c r="F20">
        <v>299</v>
      </c>
      <c r="G20">
        <v>339</v>
      </c>
      <c r="H20">
        <v>318</v>
      </c>
      <c r="I20">
        <v>384</v>
      </c>
      <c r="J20">
        <v>446</v>
      </c>
      <c r="K20">
        <v>427</v>
      </c>
    </row>
    <row r="21" spans="1:11" s="4" customFormat="1" x14ac:dyDescent="0.35">
      <c r="A21" s="3" t="s">
        <v>48</v>
      </c>
      <c r="B21">
        <v>2966</v>
      </c>
      <c r="C21">
        <v>2887</v>
      </c>
      <c r="D21">
        <v>2998</v>
      </c>
      <c r="E21">
        <v>3041</v>
      </c>
      <c r="F21">
        <v>2906</v>
      </c>
      <c r="G21">
        <v>2868</v>
      </c>
      <c r="H21">
        <v>3354</v>
      </c>
      <c r="I21">
        <v>3791</v>
      </c>
      <c r="J21">
        <v>3385</v>
      </c>
      <c r="K21">
        <v>3834</v>
      </c>
    </row>
    <row r="22" spans="1:11" s="4" customFormat="1" x14ac:dyDescent="0.35">
      <c r="A22" s="3" t="s">
        <v>49</v>
      </c>
      <c r="B22">
        <v>1680</v>
      </c>
      <c r="C22">
        <v>1743</v>
      </c>
      <c r="D22">
        <v>1860</v>
      </c>
      <c r="E22">
        <v>1875</v>
      </c>
      <c r="F22">
        <v>1820</v>
      </c>
      <c r="G22">
        <v>2358</v>
      </c>
      <c r="H22">
        <v>2545</v>
      </c>
      <c r="I22">
        <v>2854</v>
      </c>
      <c r="J22">
        <v>3009</v>
      </c>
      <c r="K22">
        <v>3077</v>
      </c>
    </row>
    <row r="23" spans="1:11" s="4" customFormat="1" x14ac:dyDescent="0.35">
      <c r="A23" s="3" t="s">
        <v>50</v>
      </c>
      <c r="B23">
        <v>6741</v>
      </c>
      <c r="C23">
        <v>6689</v>
      </c>
      <c r="D23">
        <v>7252</v>
      </c>
      <c r="E23">
        <v>7796</v>
      </c>
      <c r="F23">
        <v>7620</v>
      </c>
      <c r="G23">
        <v>7906</v>
      </c>
      <c r="H23">
        <v>8164</v>
      </c>
      <c r="I23">
        <v>8785</v>
      </c>
      <c r="J23">
        <v>10780</v>
      </c>
      <c r="K23">
        <v>10693</v>
      </c>
    </row>
    <row r="24" spans="1:11" s="4" customFormat="1" x14ac:dyDescent="0.35">
      <c r="A24" s="3" t="s">
        <v>51</v>
      </c>
      <c r="B24">
        <v>1313</v>
      </c>
      <c r="C24">
        <v>1470</v>
      </c>
      <c r="D24">
        <v>1480</v>
      </c>
      <c r="E24">
        <v>1553</v>
      </c>
      <c r="F24">
        <v>1688</v>
      </c>
      <c r="G24">
        <v>2195</v>
      </c>
      <c r="H24">
        <v>2359</v>
      </c>
      <c r="I24">
        <v>2267</v>
      </c>
      <c r="J24">
        <v>2806</v>
      </c>
      <c r="K24">
        <v>3056</v>
      </c>
    </row>
    <row r="25" spans="1:11" s="4" customFormat="1" x14ac:dyDescent="0.35">
      <c r="A25" s="4" t="s">
        <v>4</v>
      </c>
      <c r="B25">
        <v>486</v>
      </c>
      <c r="C25">
        <v>606</v>
      </c>
      <c r="D25">
        <v>353</v>
      </c>
      <c r="E25">
        <v>322</v>
      </c>
      <c r="F25">
        <v>424</v>
      </c>
      <c r="G25">
        <v>170</v>
      </c>
      <c r="H25">
        <v>219</v>
      </c>
      <c r="I25">
        <v>448</v>
      </c>
      <c r="J25">
        <v>817</v>
      </c>
      <c r="K25">
        <v>1322</v>
      </c>
    </row>
    <row r="26" spans="1:11" s="4" customFormat="1" x14ac:dyDescent="0.35">
      <c r="A26" s="4" t="s">
        <v>5</v>
      </c>
      <c r="B26">
        <v>353</v>
      </c>
      <c r="C26">
        <v>432</v>
      </c>
      <c r="D26">
        <v>520</v>
      </c>
      <c r="E26">
        <v>565</v>
      </c>
      <c r="F26">
        <v>1002</v>
      </c>
      <c r="G26">
        <v>1074</v>
      </c>
      <c r="H26">
        <v>1091</v>
      </c>
      <c r="I26">
        <v>1137</v>
      </c>
      <c r="J26">
        <v>1216</v>
      </c>
      <c r="K26">
        <v>1355</v>
      </c>
    </row>
    <row r="27" spans="1:11" s="4" customFormat="1" x14ac:dyDescent="0.35">
      <c r="A27" s="4" t="s">
        <v>6</v>
      </c>
      <c r="B27">
        <v>17</v>
      </c>
      <c r="C27">
        <v>35</v>
      </c>
      <c r="D27">
        <v>26</v>
      </c>
      <c r="E27">
        <v>33</v>
      </c>
      <c r="F27">
        <v>118</v>
      </c>
      <c r="G27">
        <v>117</v>
      </c>
      <c r="H27">
        <v>106</v>
      </c>
      <c r="I27">
        <v>114</v>
      </c>
      <c r="J27">
        <v>334</v>
      </c>
      <c r="K27">
        <v>395</v>
      </c>
    </row>
    <row r="28" spans="1:11" s="4" customFormat="1" x14ac:dyDescent="0.35">
      <c r="A28" s="4" t="s">
        <v>7</v>
      </c>
      <c r="B28">
        <v>6026</v>
      </c>
      <c r="C28">
        <v>6467</v>
      </c>
      <c r="D28">
        <v>7306</v>
      </c>
      <c r="E28">
        <v>8604</v>
      </c>
      <c r="F28">
        <v>9165</v>
      </c>
      <c r="G28">
        <v>10605</v>
      </c>
      <c r="H28">
        <v>11879</v>
      </c>
      <c r="I28">
        <v>13344</v>
      </c>
      <c r="J28">
        <v>13926</v>
      </c>
      <c r="K28">
        <v>14415</v>
      </c>
    </row>
    <row r="29" spans="1:11" s="4" customFormat="1" x14ac:dyDescent="0.35">
      <c r="A29" s="4" t="s">
        <v>8</v>
      </c>
      <c r="B29">
        <v>1875</v>
      </c>
      <c r="C29">
        <v>1977</v>
      </c>
      <c r="D29">
        <v>2079</v>
      </c>
      <c r="E29">
        <v>2544</v>
      </c>
      <c r="F29">
        <v>2409</v>
      </c>
      <c r="G29">
        <v>2606</v>
      </c>
      <c r="H29">
        <v>2987</v>
      </c>
      <c r="I29">
        <v>3201</v>
      </c>
      <c r="J29">
        <v>3644</v>
      </c>
      <c r="K29">
        <v>3744</v>
      </c>
    </row>
    <row r="30" spans="1:11" s="4" customFormat="1" x14ac:dyDescent="0.35">
      <c r="A30" s="4" t="s">
        <v>9</v>
      </c>
      <c r="B30">
        <v>4151</v>
      </c>
      <c r="C30">
        <v>4476</v>
      </c>
      <c r="D30">
        <v>5214</v>
      </c>
      <c r="E30">
        <v>6054</v>
      </c>
      <c r="F30">
        <v>6748</v>
      </c>
      <c r="G30">
        <v>7995</v>
      </c>
      <c r="H30">
        <v>8879</v>
      </c>
      <c r="I30">
        <v>10120</v>
      </c>
      <c r="J30">
        <v>10277</v>
      </c>
      <c r="K30">
        <v>10649</v>
      </c>
    </row>
    <row r="31" spans="1:11" s="4" customFormat="1" x14ac:dyDescent="0.35">
      <c r="A31" s="4" t="s">
        <v>35</v>
      </c>
      <c r="B31">
        <v>3456</v>
      </c>
      <c r="C31">
        <v>3672</v>
      </c>
      <c r="D31">
        <v>4320</v>
      </c>
      <c r="E31">
        <v>4752</v>
      </c>
      <c r="F31">
        <v>5400</v>
      </c>
      <c r="G31">
        <v>9517.5</v>
      </c>
      <c r="H31">
        <v>7990</v>
      </c>
      <c r="I31">
        <v>9165</v>
      </c>
      <c r="J31">
        <v>9870</v>
      </c>
      <c r="K31">
        <v>12455</v>
      </c>
    </row>
    <row r="32" spans="1:11" x14ac:dyDescent="0.35">
      <c r="A32" s="3" t="s">
        <v>54</v>
      </c>
      <c r="B32" s="9">
        <v>216.39</v>
      </c>
      <c r="C32" s="9">
        <v>216.43</v>
      </c>
      <c r="D32" s="9">
        <v>216.45</v>
      </c>
      <c r="E32" s="9">
        <v>216.47</v>
      </c>
      <c r="F32" s="9">
        <v>216.48</v>
      </c>
      <c r="G32" s="9">
        <v>234.96</v>
      </c>
      <c r="H32" s="9">
        <v>234.96</v>
      </c>
      <c r="I32" s="9">
        <v>234.96</v>
      </c>
      <c r="J32" s="9">
        <v>234.96</v>
      </c>
      <c r="K32" s="9">
        <v>234.96</v>
      </c>
    </row>
    <row r="33" spans="1:11" x14ac:dyDescent="0.35">
      <c r="A33" s="4"/>
      <c r="B33" s="3">
        <f>B31/B32</f>
        <v>15.971163177596008</v>
      </c>
      <c r="C33" s="3">
        <f t="shared" ref="C33:K33" si="0">C31/C32</f>
        <v>16.966224645381878</v>
      </c>
      <c r="D33" s="3">
        <f t="shared" si="0"/>
        <v>19.95841995841996</v>
      </c>
      <c r="E33" s="3">
        <f t="shared" si="0"/>
        <v>21.95223356585208</v>
      </c>
      <c r="F33" s="3">
        <f t="shared" si="0"/>
        <v>24.944567627494457</v>
      </c>
      <c r="G33" s="3">
        <f t="shared" si="0"/>
        <v>40.506894790602651</v>
      </c>
      <c r="H33" s="3">
        <f t="shared" si="0"/>
        <v>34.005788219271366</v>
      </c>
      <c r="I33" s="3">
        <f t="shared" si="0"/>
        <v>39.006639427987743</v>
      </c>
      <c r="J33" s="3">
        <f t="shared" si="0"/>
        <v>42.007150153217566</v>
      </c>
      <c r="K33" s="3">
        <f t="shared" si="0"/>
        <v>53.009022812393596</v>
      </c>
    </row>
    <row r="34" spans="1:11" x14ac:dyDescent="0.35">
      <c r="A34" s="4"/>
    </row>
    <row r="35" spans="1:11" x14ac:dyDescent="0.35">
      <c r="A35" s="4"/>
    </row>
    <row r="36" spans="1:11" x14ac:dyDescent="0.35">
      <c r="A36" s="4"/>
    </row>
    <row r="37" spans="1:11" x14ac:dyDescent="0.35">
      <c r="A37" s="4"/>
    </row>
    <row r="38" spans="1:11" x14ac:dyDescent="0.35">
      <c r="A38" s="4"/>
    </row>
    <row r="39" spans="1:11" x14ac:dyDescent="0.35">
      <c r="A39" s="4"/>
    </row>
    <row r="40" spans="1:11" x14ac:dyDescent="0.35">
      <c r="A40" s="1" t="s">
        <v>25</v>
      </c>
    </row>
    <row r="41" spans="1:11" s="7" customFormat="1" x14ac:dyDescent="0.35">
      <c r="A41" s="6" t="s">
        <v>24</v>
      </c>
      <c r="B41" s="5">
        <v>44926</v>
      </c>
      <c r="C41" s="5">
        <v>45016</v>
      </c>
      <c r="D41" s="5">
        <v>45107</v>
      </c>
      <c r="E41" s="5">
        <v>45199</v>
      </c>
      <c r="F41" s="5">
        <v>45291</v>
      </c>
      <c r="G41" s="5">
        <v>45382</v>
      </c>
      <c r="H41" s="5">
        <v>45473</v>
      </c>
      <c r="I41" s="5">
        <v>45565</v>
      </c>
      <c r="J41" s="5">
        <v>45657</v>
      </c>
      <c r="K41" s="5">
        <v>45747</v>
      </c>
    </row>
    <row r="42" spans="1:11" s="4" customFormat="1" x14ac:dyDescent="0.35">
      <c r="A42" s="4" t="s">
        <v>1</v>
      </c>
      <c r="B42">
        <v>15597</v>
      </c>
      <c r="C42">
        <v>15215</v>
      </c>
      <c r="D42">
        <v>15496</v>
      </c>
      <c r="E42">
        <v>15623</v>
      </c>
      <c r="F42">
        <v>15567</v>
      </c>
      <c r="G42">
        <v>15210</v>
      </c>
      <c r="H42">
        <v>15707</v>
      </c>
      <c r="I42">
        <v>15926</v>
      </c>
      <c r="J42">
        <v>15818</v>
      </c>
      <c r="K42">
        <v>15670</v>
      </c>
    </row>
    <row r="43" spans="1:11" s="4" customFormat="1" x14ac:dyDescent="0.35">
      <c r="A43" s="4" t="s">
        <v>2</v>
      </c>
      <c r="B43">
        <v>11903</v>
      </c>
      <c r="C43">
        <v>11643</v>
      </c>
      <c r="D43">
        <v>11832</v>
      </c>
      <c r="E43">
        <v>11828</v>
      </c>
      <c r="F43">
        <v>11902</v>
      </c>
      <c r="G43">
        <v>11675</v>
      </c>
      <c r="H43">
        <v>11965</v>
      </c>
      <c r="I43">
        <v>12139</v>
      </c>
      <c r="J43">
        <v>12123</v>
      </c>
      <c r="K43">
        <v>12052</v>
      </c>
    </row>
    <row r="44" spans="1:11" s="4" customFormat="1" x14ac:dyDescent="0.35">
      <c r="A44" s="4" t="s">
        <v>4</v>
      </c>
      <c r="B44">
        <v>7</v>
      </c>
      <c r="C44">
        <v>240</v>
      </c>
      <c r="D44">
        <v>146</v>
      </c>
      <c r="E44">
        <v>178</v>
      </c>
      <c r="F44">
        <v>184</v>
      </c>
      <c r="G44">
        <v>309</v>
      </c>
      <c r="H44">
        <v>209</v>
      </c>
      <c r="I44">
        <v>203</v>
      </c>
      <c r="J44">
        <v>740</v>
      </c>
      <c r="K44">
        <v>171</v>
      </c>
    </row>
    <row r="45" spans="1:11" s="4" customFormat="1" x14ac:dyDescent="0.35">
      <c r="A45" s="4" t="s">
        <v>5</v>
      </c>
      <c r="B45">
        <v>293</v>
      </c>
      <c r="C45">
        <v>291</v>
      </c>
      <c r="D45">
        <v>286</v>
      </c>
      <c r="E45">
        <v>297</v>
      </c>
      <c r="F45">
        <v>313</v>
      </c>
      <c r="G45">
        <v>320</v>
      </c>
      <c r="H45">
        <v>329</v>
      </c>
      <c r="I45">
        <v>338</v>
      </c>
      <c r="J45">
        <v>341</v>
      </c>
      <c r="K45">
        <v>347</v>
      </c>
    </row>
    <row r="46" spans="1:11" s="4" customFormat="1" x14ac:dyDescent="0.35">
      <c r="A46" s="4" t="s">
        <v>6</v>
      </c>
      <c r="B46">
        <v>29</v>
      </c>
      <c r="C46">
        <v>29</v>
      </c>
      <c r="D46">
        <v>50</v>
      </c>
      <c r="E46">
        <v>88</v>
      </c>
      <c r="F46">
        <v>91</v>
      </c>
      <c r="G46">
        <v>105</v>
      </c>
      <c r="H46">
        <v>93</v>
      </c>
      <c r="I46">
        <v>110</v>
      </c>
      <c r="J46">
        <v>112</v>
      </c>
      <c r="K46">
        <v>80</v>
      </c>
    </row>
    <row r="47" spans="1:11" s="4" customFormat="1" x14ac:dyDescent="0.35">
      <c r="A47" s="4" t="s">
        <v>7</v>
      </c>
      <c r="B47">
        <v>3379</v>
      </c>
      <c r="C47">
        <v>3492</v>
      </c>
      <c r="D47">
        <v>3474</v>
      </c>
      <c r="E47">
        <v>3588</v>
      </c>
      <c r="F47">
        <v>3445</v>
      </c>
      <c r="G47">
        <v>3419</v>
      </c>
      <c r="H47">
        <v>3529</v>
      </c>
      <c r="I47">
        <v>3542</v>
      </c>
      <c r="J47">
        <v>3982</v>
      </c>
      <c r="K47">
        <v>3362</v>
      </c>
    </row>
    <row r="48" spans="1:11" s="4" customFormat="1" x14ac:dyDescent="0.35">
      <c r="A48" s="4" t="s">
        <v>8</v>
      </c>
      <c r="B48">
        <v>898</v>
      </c>
      <c r="C48">
        <v>891</v>
      </c>
      <c r="D48">
        <v>918</v>
      </c>
      <c r="E48">
        <v>931</v>
      </c>
      <c r="F48">
        <v>937</v>
      </c>
      <c r="G48">
        <v>858</v>
      </c>
      <c r="H48">
        <v>917</v>
      </c>
      <c r="I48">
        <v>947</v>
      </c>
      <c r="J48">
        <v>993</v>
      </c>
      <c r="K48">
        <v>887</v>
      </c>
    </row>
    <row r="49" spans="1:11" s="4" customFormat="1" x14ac:dyDescent="0.35">
      <c r="A49" s="4" t="s">
        <v>9</v>
      </c>
      <c r="B49">
        <v>2474</v>
      </c>
      <c r="C49">
        <v>2600</v>
      </c>
      <c r="D49">
        <v>2554</v>
      </c>
      <c r="E49">
        <v>2656</v>
      </c>
      <c r="F49">
        <v>2509</v>
      </c>
      <c r="G49">
        <v>2558</v>
      </c>
      <c r="H49">
        <v>2610</v>
      </c>
      <c r="I49">
        <v>2591</v>
      </c>
      <c r="J49">
        <v>2984</v>
      </c>
      <c r="K49">
        <v>2464</v>
      </c>
    </row>
    <row r="50" spans="1:11" x14ac:dyDescent="0.35">
      <c r="A50" s="4" t="s">
        <v>3</v>
      </c>
      <c r="B50">
        <v>3694</v>
      </c>
      <c r="C50">
        <v>3572</v>
      </c>
      <c r="D50">
        <v>3664</v>
      </c>
      <c r="E50">
        <v>3795</v>
      </c>
      <c r="F50">
        <v>3665</v>
      </c>
      <c r="G50">
        <v>3535</v>
      </c>
      <c r="H50">
        <v>3742</v>
      </c>
      <c r="I50">
        <v>3787</v>
      </c>
      <c r="J50">
        <v>3695</v>
      </c>
      <c r="K50">
        <v>3618</v>
      </c>
    </row>
    <row r="51" spans="1:11" x14ac:dyDescent="0.35">
      <c r="A51" s="4"/>
    </row>
    <row r="52" spans="1:11" x14ac:dyDescent="0.35">
      <c r="A52" s="4"/>
    </row>
    <row r="53" spans="1:11" x14ac:dyDescent="0.35">
      <c r="A53" s="4"/>
    </row>
    <row r="54" spans="1:11" x14ac:dyDescent="0.35">
      <c r="A54" s="4"/>
    </row>
    <row r="55" spans="1:11" x14ac:dyDescent="0.35">
      <c r="A55" s="1" t="s">
        <v>26</v>
      </c>
    </row>
    <row r="56" spans="1:11" s="7" customFormat="1" x14ac:dyDescent="0.35">
      <c r="A56" s="6" t="s">
        <v>24</v>
      </c>
      <c r="B56" s="5">
        <v>42460</v>
      </c>
      <c r="C56" s="5">
        <v>42825</v>
      </c>
      <c r="D56" s="5">
        <v>43190</v>
      </c>
      <c r="E56" s="5">
        <v>43555</v>
      </c>
      <c r="F56" s="5">
        <v>43921</v>
      </c>
      <c r="G56" s="5">
        <v>44286</v>
      </c>
      <c r="H56" s="5">
        <v>44651</v>
      </c>
      <c r="I56" s="5">
        <v>45016</v>
      </c>
      <c r="J56" s="5">
        <v>45382</v>
      </c>
      <c r="K56" s="5">
        <v>45747</v>
      </c>
    </row>
    <row r="57" spans="1:11" x14ac:dyDescent="0.35">
      <c r="A57" s="4" t="s">
        <v>11</v>
      </c>
      <c r="B57">
        <v>216</v>
      </c>
      <c r="C57">
        <v>216</v>
      </c>
      <c r="D57">
        <v>216</v>
      </c>
      <c r="E57">
        <v>216</v>
      </c>
      <c r="F57">
        <v>216</v>
      </c>
      <c r="G57">
        <v>235</v>
      </c>
      <c r="H57">
        <v>235</v>
      </c>
      <c r="I57">
        <v>235</v>
      </c>
      <c r="J57">
        <v>235</v>
      </c>
      <c r="K57">
        <v>235</v>
      </c>
    </row>
    <row r="58" spans="1:11" x14ac:dyDescent="0.35">
      <c r="A58" s="4" t="s">
        <v>12</v>
      </c>
      <c r="B58">
        <v>6357</v>
      </c>
      <c r="C58">
        <v>6528</v>
      </c>
      <c r="D58">
        <v>7065</v>
      </c>
      <c r="E58">
        <v>7651</v>
      </c>
      <c r="F58">
        <v>8013</v>
      </c>
      <c r="G58">
        <v>47439</v>
      </c>
      <c r="H58">
        <v>48826</v>
      </c>
      <c r="I58">
        <v>50069</v>
      </c>
      <c r="J58">
        <v>50983</v>
      </c>
      <c r="K58">
        <v>49167</v>
      </c>
    </row>
    <row r="59" spans="1:11" x14ac:dyDescent="0.35">
      <c r="A59" s="4" t="s">
        <v>36</v>
      </c>
      <c r="B59">
        <v>177</v>
      </c>
      <c r="C59">
        <v>277</v>
      </c>
      <c r="E59">
        <v>99</v>
      </c>
      <c r="H59">
        <v>1043</v>
      </c>
      <c r="I59">
        <v>1219</v>
      </c>
      <c r="J59">
        <v>1484</v>
      </c>
      <c r="K59">
        <v>1648</v>
      </c>
    </row>
    <row r="60" spans="1:11" x14ac:dyDescent="0.35">
      <c r="A60" s="4" t="s">
        <v>37</v>
      </c>
      <c r="B60">
        <v>8043</v>
      </c>
      <c r="C60">
        <v>8685</v>
      </c>
      <c r="D60">
        <v>10581</v>
      </c>
      <c r="E60">
        <v>10663</v>
      </c>
      <c r="F60">
        <v>11924</v>
      </c>
      <c r="G60">
        <v>21066</v>
      </c>
      <c r="H60">
        <v>20402</v>
      </c>
      <c r="I60">
        <v>21554</v>
      </c>
      <c r="J60">
        <v>25787</v>
      </c>
      <c r="K60">
        <v>28813</v>
      </c>
    </row>
    <row r="61" spans="1:11" s="1" customFormat="1" x14ac:dyDescent="0.35">
      <c r="A61" s="1" t="s">
        <v>13</v>
      </c>
      <c r="B61">
        <v>14793</v>
      </c>
      <c r="C61">
        <v>15706</v>
      </c>
      <c r="D61">
        <v>17862</v>
      </c>
      <c r="E61">
        <v>18629</v>
      </c>
      <c r="F61">
        <v>20153</v>
      </c>
      <c r="G61">
        <v>68740</v>
      </c>
      <c r="H61">
        <v>70506</v>
      </c>
      <c r="I61">
        <v>73077</v>
      </c>
      <c r="J61">
        <v>78489</v>
      </c>
      <c r="K61">
        <v>79863</v>
      </c>
    </row>
    <row r="62" spans="1:11" x14ac:dyDescent="0.35">
      <c r="A62" s="4" t="s">
        <v>14</v>
      </c>
      <c r="B62">
        <v>3258</v>
      </c>
      <c r="C62">
        <v>4419</v>
      </c>
      <c r="D62">
        <v>4528</v>
      </c>
      <c r="E62">
        <v>4715</v>
      </c>
      <c r="F62">
        <v>5479</v>
      </c>
      <c r="G62">
        <v>51443</v>
      </c>
      <c r="H62">
        <v>51473</v>
      </c>
      <c r="I62">
        <v>52678</v>
      </c>
      <c r="J62">
        <v>53744</v>
      </c>
      <c r="K62">
        <v>54335</v>
      </c>
    </row>
    <row r="63" spans="1:11" x14ac:dyDescent="0.35">
      <c r="A63" s="4" t="s">
        <v>15</v>
      </c>
      <c r="B63">
        <v>408</v>
      </c>
      <c r="C63">
        <v>229</v>
      </c>
      <c r="D63">
        <v>461</v>
      </c>
      <c r="E63">
        <v>406</v>
      </c>
      <c r="F63">
        <v>597</v>
      </c>
      <c r="G63">
        <v>745</v>
      </c>
      <c r="H63">
        <v>1313</v>
      </c>
      <c r="I63">
        <v>1132</v>
      </c>
      <c r="J63">
        <v>1025</v>
      </c>
      <c r="K63">
        <v>1009</v>
      </c>
    </row>
    <row r="64" spans="1:11" x14ac:dyDescent="0.35">
      <c r="A64" s="4" t="s">
        <v>16</v>
      </c>
      <c r="B64">
        <v>2592</v>
      </c>
      <c r="C64">
        <v>3794</v>
      </c>
      <c r="D64">
        <v>2873</v>
      </c>
      <c r="E64">
        <v>2716</v>
      </c>
      <c r="F64">
        <v>1255</v>
      </c>
      <c r="G64">
        <v>2709</v>
      </c>
      <c r="H64">
        <v>3521</v>
      </c>
      <c r="I64">
        <v>2882</v>
      </c>
      <c r="J64">
        <v>4625</v>
      </c>
      <c r="K64">
        <v>3810</v>
      </c>
    </row>
    <row r="65" spans="1:11" x14ac:dyDescent="0.35">
      <c r="A65" s="4" t="s">
        <v>38</v>
      </c>
      <c r="B65">
        <v>8535</v>
      </c>
      <c r="C65">
        <v>7264</v>
      </c>
      <c r="D65">
        <v>10000</v>
      </c>
      <c r="E65">
        <v>10792</v>
      </c>
      <c r="F65">
        <v>12822</v>
      </c>
      <c r="G65">
        <v>13843</v>
      </c>
      <c r="H65">
        <v>14199</v>
      </c>
      <c r="I65">
        <v>16385</v>
      </c>
      <c r="J65">
        <v>19095</v>
      </c>
      <c r="K65">
        <v>20709</v>
      </c>
    </row>
    <row r="66" spans="1:11" s="1" customFormat="1" x14ac:dyDescent="0.35">
      <c r="A66" s="1" t="s">
        <v>13</v>
      </c>
      <c r="B66">
        <v>14793</v>
      </c>
      <c r="C66">
        <v>15706</v>
      </c>
      <c r="D66">
        <v>17862</v>
      </c>
      <c r="E66">
        <v>18629</v>
      </c>
      <c r="F66">
        <v>20153</v>
      </c>
      <c r="G66">
        <v>68740</v>
      </c>
      <c r="H66">
        <v>70506</v>
      </c>
      <c r="I66">
        <v>73077</v>
      </c>
      <c r="J66">
        <v>78489</v>
      </c>
      <c r="K66">
        <v>79863</v>
      </c>
    </row>
    <row r="67" spans="1:11" s="4" customFormat="1" x14ac:dyDescent="0.35">
      <c r="A67" s="4" t="s">
        <v>43</v>
      </c>
      <c r="B67">
        <v>1264</v>
      </c>
      <c r="C67">
        <v>1085</v>
      </c>
      <c r="D67">
        <v>1310</v>
      </c>
      <c r="E67">
        <v>1816</v>
      </c>
      <c r="F67">
        <v>1149</v>
      </c>
      <c r="G67">
        <v>1758</v>
      </c>
      <c r="H67">
        <v>2236</v>
      </c>
      <c r="I67">
        <v>3079</v>
      </c>
      <c r="J67">
        <v>2997</v>
      </c>
      <c r="K67">
        <v>3819</v>
      </c>
    </row>
    <row r="68" spans="1:11" x14ac:dyDescent="0.35">
      <c r="A68" s="4" t="s">
        <v>30</v>
      </c>
      <c r="B68">
        <v>2726</v>
      </c>
      <c r="C68">
        <v>2541</v>
      </c>
      <c r="D68">
        <v>2513</v>
      </c>
      <c r="E68">
        <v>2574</v>
      </c>
      <c r="F68">
        <v>2767</v>
      </c>
      <c r="G68">
        <v>3579</v>
      </c>
      <c r="H68">
        <v>4096</v>
      </c>
      <c r="I68">
        <v>4251</v>
      </c>
      <c r="J68">
        <v>4022</v>
      </c>
      <c r="K68">
        <v>4415</v>
      </c>
    </row>
    <row r="69" spans="1:11" x14ac:dyDescent="0.35">
      <c r="A69" s="3" t="s">
        <v>52</v>
      </c>
      <c r="B69">
        <v>3009</v>
      </c>
      <c r="C69">
        <v>1828</v>
      </c>
      <c r="D69">
        <v>3485</v>
      </c>
      <c r="E69">
        <v>3757</v>
      </c>
      <c r="F69">
        <v>5113</v>
      </c>
      <c r="G69">
        <v>4471</v>
      </c>
      <c r="H69">
        <v>3846</v>
      </c>
      <c r="I69">
        <v>4678</v>
      </c>
      <c r="J69">
        <v>7559</v>
      </c>
      <c r="K69">
        <v>7554</v>
      </c>
    </row>
    <row r="70" spans="1:11" x14ac:dyDescent="0.35">
      <c r="A70" s="3" t="s">
        <v>39</v>
      </c>
      <c r="B70">
        <v>2163936971</v>
      </c>
      <c r="C70">
        <v>2164349639</v>
      </c>
      <c r="D70">
        <v>2164528777</v>
      </c>
      <c r="E70">
        <v>2164704405</v>
      </c>
      <c r="F70">
        <v>2164704405</v>
      </c>
      <c r="G70">
        <v>2349567819</v>
      </c>
      <c r="H70">
        <v>2349591262</v>
      </c>
      <c r="I70">
        <v>2349591262</v>
      </c>
      <c r="J70">
        <v>2349591262</v>
      </c>
      <c r="K70">
        <v>2349591262</v>
      </c>
    </row>
    <row r="71" spans="1:11" x14ac:dyDescent="0.35">
      <c r="A71" s="3" t="s">
        <v>40</v>
      </c>
    </row>
    <row r="72" spans="1:11" x14ac:dyDescent="0.35">
      <c r="A72" s="3" t="s">
        <v>53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35">
      <c r="A74" s="4"/>
    </row>
    <row r="75" spans="1:11" x14ac:dyDescent="0.35">
      <c r="A75" s="4"/>
    </row>
    <row r="76" spans="1:11" x14ac:dyDescent="0.35">
      <c r="A76" s="4"/>
    </row>
    <row r="77" spans="1:11" x14ac:dyDescent="0.35">
      <c r="A77" s="4"/>
    </row>
    <row r="78" spans="1:11" x14ac:dyDescent="0.35">
      <c r="A78" s="4"/>
    </row>
    <row r="79" spans="1:11" x14ac:dyDescent="0.35">
      <c r="A79" s="4"/>
    </row>
    <row r="80" spans="1:11" x14ac:dyDescent="0.35">
      <c r="A80" s="1" t="s">
        <v>27</v>
      </c>
    </row>
    <row r="81" spans="1:11" s="7" customFormat="1" x14ac:dyDescent="0.35">
      <c r="A81" s="6" t="s">
        <v>24</v>
      </c>
      <c r="B81" s="5">
        <v>42460</v>
      </c>
      <c r="C81" s="5">
        <v>42825</v>
      </c>
      <c r="D81" s="5">
        <v>43190</v>
      </c>
      <c r="E81" s="5">
        <v>43555</v>
      </c>
      <c r="F81" s="5">
        <v>43921</v>
      </c>
      <c r="G81" s="5">
        <v>44286</v>
      </c>
      <c r="H81" s="5">
        <v>44651</v>
      </c>
      <c r="I81" s="5">
        <v>45016</v>
      </c>
      <c r="J81" s="5">
        <v>45382</v>
      </c>
      <c r="K81" s="5">
        <v>45747</v>
      </c>
    </row>
    <row r="82" spans="1:11" s="1" customFormat="1" x14ac:dyDescent="0.35">
      <c r="A82" s="4" t="s">
        <v>18</v>
      </c>
      <c r="B82">
        <v>4171</v>
      </c>
      <c r="C82">
        <v>5185</v>
      </c>
      <c r="D82">
        <v>6059</v>
      </c>
      <c r="E82">
        <v>5800</v>
      </c>
      <c r="F82">
        <v>7623</v>
      </c>
      <c r="G82">
        <v>9163</v>
      </c>
      <c r="H82">
        <v>9048</v>
      </c>
      <c r="I82">
        <v>9991</v>
      </c>
      <c r="J82">
        <v>15469</v>
      </c>
      <c r="K82">
        <v>11886</v>
      </c>
    </row>
    <row r="83" spans="1:11" s="4" customFormat="1" x14ac:dyDescent="0.35">
      <c r="A83" s="4" t="s">
        <v>19</v>
      </c>
      <c r="B83">
        <v>-282</v>
      </c>
      <c r="C83">
        <v>-1173</v>
      </c>
      <c r="D83">
        <v>-1063</v>
      </c>
      <c r="E83">
        <v>-438</v>
      </c>
      <c r="F83">
        <v>1791</v>
      </c>
      <c r="G83">
        <v>-1228</v>
      </c>
      <c r="H83">
        <v>-1728</v>
      </c>
      <c r="I83">
        <v>-1484</v>
      </c>
      <c r="J83">
        <v>-5324</v>
      </c>
      <c r="K83">
        <v>6473</v>
      </c>
    </row>
    <row r="84" spans="1:11" s="4" customFormat="1" x14ac:dyDescent="0.35">
      <c r="A84" s="4" t="s">
        <v>20</v>
      </c>
      <c r="B84">
        <v>-3864</v>
      </c>
      <c r="C84">
        <v>-4214</v>
      </c>
      <c r="D84">
        <v>-4975</v>
      </c>
      <c r="E84">
        <v>-5390</v>
      </c>
      <c r="F84">
        <v>-6819</v>
      </c>
      <c r="G84">
        <v>-9309</v>
      </c>
      <c r="H84">
        <v>-8015</v>
      </c>
      <c r="I84">
        <v>-8953</v>
      </c>
      <c r="J84">
        <v>-10034</v>
      </c>
      <c r="K84">
        <v>-13101</v>
      </c>
    </row>
    <row r="85" spans="1:11" s="1" customFormat="1" x14ac:dyDescent="0.35">
      <c r="A85" s="4" t="s">
        <v>21</v>
      </c>
      <c r="B85">
        <v>25</v>
      </c>
      <c r="C85">
        <v>-202</v>
      </c>
      <c r="D85">
        <v>21</v>
      </c>
      <c r="E85">
        <v>-28</v>
      </c>
      <c r="F85">
        <v>2595</v>
      </c>
      <c r="G85">
        <v>-1374</v>
      </c>
      <c r="H85">
        <v>-695</v>
      </c>
      <c r="I85">
        <v>-446</v>
      </c>
      <c r="J85">
        <v>111</v>
      </c>
      <c r="K85">
        <v>5258</v>
      </c>
    </row>
    <row r="86" spans="1:11" x14ac:dyDescent="0.35">
      <c r="A86" s="4"/>
    </row>
    <row r="87" spans="1:11" x14ac:dyDescent="0.35">
      <c r="A87" s="4"/>
    </row>
    <row r="88" spans="1:11" x14ac:dyDescent="0.35">
      <c r="A88" s="4"/>
    </row>
    <row r="89" spans="1:11" x14ac:dyDescent="0.35">
      <c r="A89" s="4"/>
    </row>
    <row r="90" spans="1:11" s="1" customFormat="1" x14ac:dyDescent="0.35">
      <c r="A90" s="1" t="s">
        <v>42</v>
      </c>
      <c r="B90">
        <v>869.5</v>
      </c>
      <c r="C90">
        <v>911.75</v>
      </c>
      <c r="D90">
        <v>1333.35</v>
      </c>
      <c r="E90">
        <v>1706.8</v>
      </c>
      <c r="F90">
        <v>2298.5</v>
      </c>
      <c r="G90">
        <v>2431.5</v>
      </c>
      <c r="H90">
        <v>2048.65</v>
      </c>
      <c r="I90">
        <v>2560.35</v>
      </c>
      <c r="J90">
        <v>2264.35</v>
      </c>
      <c r="K90">
        <v>2258.85</v>
      </c>
    </row>
    <row r="92" spans="1:11" s="1" customFormat="1" x14ac:dyDescent="0.35">
      <c r="A92" s="1" t="s">
        <v>41</v>
      </c>
    </row>
    <row r="93" spans="1:11" x14ac:dyDescent="0.35">
      <c r="A93" s="3" t="s">
        <v>54</v>
      </c>
      <c r="B93" s="9">
        <v>216.39</v>
      </c>
      <c r="C93" s="9">
        <v>216.43</v>
      </c>
      <c r="D93" s="9">
        <v>216.45</v>
      </c>
      <c r="E93" s="9">
        <v>216.47</v>
      </c>
      <c r="F93" s="9">
        <v>216.48</v>
      </c>
      <c r="G93" s="9">
        <v>234.96</v>
      </c>
      <c r="H93" s="9">
        <v>234.96</v>
      </c>
      <c r="I93" s="9">
        <v>234.96</v>
      </c>
      <c r="J93" s="9">
        <v>234.96</v>
      </c>
      <c r="K93" s="9">
        <v>234.96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A30B-6FF1-4E12-9FDC-AB993378C3BA}">
  <sheetPr>
    <tabColor rgb="FFFF0000"/>
  </sheetPr>
  <dimension ref="B2:N35"/>
  <sheetViews>
    <sheetView topLeftCell="A4" zoomScale="90" workbookViewId="0">
      <selection activeCell="J16" sqref="J16"/>
    </sheetView>
  </sheetViews>
  <sheetFormatPr defaultRowHeight="14.5" x14ac:dyDescent="0.35"/>
  <cols>
    <col min="2" max="2" width="31.90625" bestFit="1" customWidth="1"/>
    <col min="3" max="3" width="15.54296875" customWidth="1"/>
  </cols>
  <sheetData>
    <row r="2" spans="2:14" ht="15" thickBot="1" x14ac:dyDescent="0.4">
      <c r="B2" s="21"/>
      <c r="C2" s="21">
        <v>41699</v>
      </c>
      <c r="D2" s="21">
        <v>42064</v>
      </c>
      <c r="E2" s="21">
        <v>42430</v>
      </c>
      <c r="F2" s="21">
        <v>42795</v>
      </c>
      <c r="G2" s="21">
        <v>43160</v>
      </c>
      <c r="H2" s="21">
        <v>43525</v>
      </c>
      <c r="I2" s="21">
        <v>43891</v>
      </c>
      <c r="J2" s="21">
        <v>44256</v>
      </c>
      <c r="K2" s="21">
        <v>44621</v>
      </c>
      <c r="L2" s="21">
        <v>44986</v>
      </c>
      <c r="M2" s="21">
        <v>45352</v>
      </c>
      <c r="N2" s="21">
        <v>45717</v>
      </c>
    </row>
    <row r="3" spans="2:14" ht="15" thickBot="1" x14ac:dyDescent="0.4">
      <c r="B3" s="22" t="s">
        <v>92</v>
      </c>
      <c r="C3" s="23">
        <v>3818</v>
      </c>
      <c r="D3" s="23">
        <v>3292</v>
      </c>
      <c r="E3" s="23">
        <v>4171</v>
      </c>
      <c r="F3" s="23">
        <v>5185</v>
      </c>
      <c r="G3" s="23">
        <v>6059</v>
      </c>
      <c r="H3" s="23">
        <v>5800</v>
      </c>
      <c r="I3" s="23">
        <v>7623</v>
      </c>
      <c r="J3" s="23">
        <v>9163</v>
      </c>
      <c r="K3" s="23">
        <v>9048</v>
      </c>
      <c r="L3" s="23">
        <v>9991</v>
      </c>
      <c r="M3" s="23">
        <v>15469</v>
      </c>
      <c r="N3" s="23">
        <v>11886</v>
      </c>
    </row>
    <row r="4" spans="2:14" x14ac:dyDescent="0.35">
      <c r="B4" s="24" t="s">
        <v>93</v>
      </c>
      <c r="C4" s="23">
        <v>4802</v>
      </c>
      <c r="D4" s="23">
        <v>5510</v>
      </c>
      <c r="E4" s="23">
        <v>6025</v>
      </c>
      <c r="F4" s="23">
        <v>6512</v>
      </c>
      <c r="G4" s="23">
        <v>7485</v>
      </c>
      <c r="H4" s="23">
        <v>8909</v>
      </c>
      <c r="I4" s="23">
        <v>9723</v>
      </c>
      <c r="J4" s="23">
        <v>11672</v>
      </c>
      <c r="K4" s="23">
        <v>12829</v>
      </c>
      <c r="L4" s="23">
        <v>14089</v>
      </c>
      <c r="M4" s="23">
        <v>14537</v>
      </c>
      <c r="N4" s="23">
        <v>14942</v>
      </c>
    </row>
    <row r="5" spans="2:14" x14ac:dyDescent="0.35">
      <c r="B5" s="25" t="s">
        <v>43</v>
      </c>
      <c r="C5" s="26">
        <v>-17</v>
      </c>
      <c r="D5" s="26">
        <v>3</v>
      </c>
      <c r="E5" s="26">
        <v>-257</v>
      </c>
      <c r="F5" s="26">
        <v>173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</row>
    <row r="6" spans="2:14" x14ac:dyDescent="0.35">
      <c r="B6" s="25" t="s">
        <v>30</v>
      </c>
      <c r="C6" s="26">
        <v>-201</v>
      </c>
      <c r="D6" s="26">
        <v>91</v>
      </c>
      <c r="E6" s="26">
        <v>89</v>
      </c>
      <c r="F6" s="26">
        <v>37</v>
      </c>
      <c r="G6" s="26">
        <v>-146</v>
      </c>
      <c r="H6" s="26">
        <v>-195</v>
      </c>
      <c r="I6" s="26">
        <v>-331</v>
      </c>
      <c r="J6" s="26">
        <v>-543</v>
      </c>
      <c r="K6" s="26">
        <v>-758</v>
      </c>
      <c r="L6" s="26">
        <v>-339</v>
      </c>
      <c r="M6" s="26">
        <v>74</v>
      </c>
      <c r="N6" s="26">
        <v>-584</v>
      </c>
    </row>
    <row r="7" spans="2:14" x14ac:dyDescent="0.35">
      <c r="B7" s="25" t="s">
        <v>94</v>
      </c>
      <c r="C7" s="26">
        <v>546</v>
      </c>
      <c r="D7" s="26">
        <v>-327</v>
      </c>
      <c r="E7" s="26">
        <v>164</v>
      </c>
      <c r="F7" s="26">
        <v>501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</row>
    <row r="8" spans="2:14" x14ac:dyDescent="0.35">
      <c r="B8" s="25" t="s">
        <v>95</v>
      </c>
      <c r="C8" s="26">
        <v>-4</v>
      </c>
      <c r="D8" s="26">
        <v>-148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</row>
    <row r="9" spans="2:14" x14ac:dyDescent="0.35">
      <c r="B9" s="25" t="s">
        <v>96</v>
      </c>
      <c r="C9" s="26">
        <v>0</v>
      </c>
      <c r="D9" s="26">
        <v>0</v>
      </c>
      <c r="E9" s="26">
        <v>0</v>
      </c>
      <c r="F9" s="26">
        <v>-46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</row>
    <row r="10" spans="2:14" ht="15" thickBot="1" x14ac:dyDescent="0.4">
      <c r="B10" s="25" t="s">
        <v>97</v>
      </c>
      <c r="C10" s="26">
        <v>81</v>
      </c>
      <c r="D10" s="26">
        <v>38</v>
      </c>
      <c r="E10" s="26">
        <v>-77</v>
      </c>
      <c r="F10" s="26">
        <v>-99</v>
      </c>
      <c r="G10" s="26">
        <v>982</v>
      </c>
      <c r="H10" s="26">
        <v>-147</v>
      </c>
      <c r="I10" s="26">
        <v>742</v>
      </c>
      <c r="J10" s="26">
        <v>442</v>
      </c>
      <c r="K10" s="26">
        <v>-242</v>
      </c>
      <c r="L10" s="26">
        <v>-621</v>
      </c>
      <c r="M10" s="27">
        <v>1239</v>
      </c>
      <c r="N10" s="26">
        <v>-204</v>
      </c>
    </row>
    <row r="11" spans="2:14" x14ac:dyDescent="0.35">
      <c r="B11" s="24" t="s">
        <v>98</v>
      </c>
      <c r="C11" s="28">
        <v>405</v>
      </c>
      <c r="D11" s="28">
        <v>-342</v>
      </c>
      <c r="E11" s="28">
        <v>-81</v>
      </c>
      <c r="F11" s="28">
        <v>566</v>
      </c>
      <c r="G11" s="28">
        <v>836</v>
      </c>
      <c r="H11" s="28">
        <v>-342</v>
      </c>
      <c r="I11" s="28">
        <v>411</v>
      </c>
      <c r="J11" s="28">
        <v>-101</v>
      </c>
      <c r="K11" s="23">
        <v>-1000</v>
      </c>
      <c r="L11" s="28">
        <v>-960</v>
      </c>
      <c r="M11" s="23">
        <v>1313</v>
      </c>
      <c r="N11" s="28">
        <v>-788</v>
      </c>
    </row>
    <row r="12" spans="2:14" x14ac:dyDescent="0.35">
      <c r="B12" s="25" t="s">
        <v>99</v>
      </c>
      <c r="C12" s="27">
        <v>-1384</v>
      </c>
      <c r="D12" s="27">
        <v>-1862</v>
      </c>
      <c r="E12" s="27">
        <v>-1765</v>
      </c>
      <c r="F12" s="27">
        <v>-1859</v>
      </c>
      <c r="G12" s="27">
        <v>-2264</v>
      </c>
      <c r="H12" s="27">
        <v>-2767</v>
      </c>
      <c r="I12" s="27">
        <v>-2505</v>
      </c>
      <c r="J12" s="27">
        <v>-2407</v>
      </c>
      <c r="K12" s="27">
        <v>-2784</v>
      </c>
      <c r="L12" s="27">
        <v>-3138</v>
      </c>
      <c r="M12" s="26">
        <v>-381</v>
      </c>
      <c r="N12" s="27">
        <v>-2268</v>
      </c>
    </row>
    <row r="13" spans="2:14" x14ac:dyDescent="0.35">
      <c r="B13" s="25" t="s">
        <v>100</v>
      </c>
      <c r="C13" s="26">
        <v>-5</v>
      </c>
      <c r="D13" s="26">
        <v>-14</v>
      </c>
      <c r="E13" s="26">
        <v>-8</v>
      </c>
      <c r="F13" s="26">
        <v>-21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</row>
    <row r="14" spans="2:14" ht="15" thickBot="1" x14ac:dyDescent="0.4">
      <c r="B14" s="25" t="s">
        <v>101</v>
      </c>
      <c r="C14" s="26">
        <v>0</v>
      </c>
      <c r="D14" s="26">
        <v>0</v>
      </c>
      <c r="E14" s="26">
        <v>0</v>
      </c>
      <c r="F14" s="26">
        <v>-13</v>
      </c>
      <c r="G14" s="26">
        <v>2</v>
      </c>
      <c r="H14" s="26">
        <v>0</v>
      </c>
      <c r="I14" s="26">
        <v>-6</v>
      </c>
      <c r="J14" s="26">
        <v>-1</v>
      </c>
      <c r="K14" s="26">
        <v>3</v>
      </c>
      <c r="L14" s="26">
        <v>0</v>
      </c>
      <c r="M14" s="26">
        <v>0</v>
      </c>
      <c r="N14" s="26">
        <v>0</v>
      </c>
    </row>
    <row r="15" spans="2:14" x14ac:dyDescent="0.35">
      <c r="B15" s="29" t="s">
        <v>102</v>
      </c>
      <c r="C15" s="30">
        <v>-475</v>
      </c>
      <c r="D15" s="30">
        <v>138</v>
      </c>
      <c r="E15" s="30">
        <v>-282</v>
      </c>
      <c r="F15" s="31">
        <v>-1173</v>
      </c>
      <c r="G15" s="31">
        <v>-1063</v>
      </c>
      <c r="H15" s="30">
        <v>-438</v>
      </c>
      <c r="I15" s="31">
        <v>1791</v>
      </c>
      <c r="J15" s="31">
        <v>-1228</v>
      </c>
      <c r="K15" s="31">
        <v>-1728</v>
      </c>
      <c r="L15" s="31">
        <v>-1484</v>
      </c>
      <c r="M15" s="31">
        <v>-5324</v>
      </c>
      <c r="N15" s="31">
        <v>6473</v>
      </c>
    </row>
    <row r="16" spans="2:14" x14ac:dyDescent="0.35">
      <c r="B16" s="32" t="s">
        <v>103</v>
      </c>
      <c r="C16" s="33">
        <v>-606</v>
      </c>
      <c r="D16" s="33">
        <v>-606</v>
      </c>
      <c r="E16" s="33">
        <v>-810</v>
      </c>
      <c r="F16" s="34">
        <v>-1113</v>
      </c>
      <c r="G16" s="33">
        <v>-895</v>
      </c>
      <c r="H16" s="33">
        <v>-767</v>
      </c>
      <c r="I16" s="33">
        <v>-862</v>
      </c>
      <c r="J16" s="34">
        <v>-4163</v>
      </c>
      <c r="K16" s="34">
        <v>-1228</v>
      </c>
      <c r="L16" s="34">
        <v>-1192</v>
      </c>
      <c r="M16" s="34">
        <v>-1477</v>
      </c>
      <c r="N16" s="34">
        <v>-1275</v>
      </c>
    </row>
    <row r="17" spans="2:14" x14ac:dyDescent="0.35">
      <c r="B17" s="32" t="s">
        <v>104</v>
      </c>
      <c r="C17" s="33">
        <v>229</v>
      </c>
      <c r="D17" s="33">
        <v>560</v>
      </c>
      <c r="E17" s="33">
        <v>99</v>
      </c>
      <c r="F17" s="33">
        <v>176</v>
      </c>
      <c r="G17" s="33">
        <v>32</v>
      </c>
      <c r="H17" s="33">
        <v>13</v>
      </c>
      <c r="I17" s="33">
        <v>52</v>
      </c>
      <c r="J17" s="33">
        <v>97</v>
      </c>
      <c r="K17" s="33">
        <v>175</v>
      </c>
      <c r="L17" s="33">
        <v>181</v>
      </c>
      <c r="M17" s="33">
        <v>20</v>
      </c>
      <c r="N17" s="33">
        <v>13</v>
      </c>
    </row>
    <row r="18" spans="2:14" x14ac:dyDescent="0.35">
      <c r="B18" s="32" t="s">
        <v>105</v>
      </c>
      <c r="C18" s="34">
        <v>-9538</v>
      </c>
      <c r="D18" s="34">
        <v>-19353</v>
      </c>
      <c r="E18" s="34">
        <v>-20666</v>
      </c>
      <c r="F18" s="34">
        <v>-31214</v>
      </c>
      <c r="G18" s="34">
        <v>-51855</v>
      </c>
      <c r="H18" s="34">
        <v>-74365</v>
      </c>
      <c r="I18" s="34">
        <v>-36090</v>
      </c>
      <c r="J18" s="34">
        <v>-39920</v>
      </c>
      <c r="K18" s="34">
        <v>-48522</v>
      </c>
      <c r="L18" s="34">
        <v>-22649</v>
      </c>
      <c r="M18" s="34">
        <v>-21337</v>
      </c>
      <c r="N18" s="34">
        <v>-22957</v>
      </c>
    </row>
    <row r="19" spans="2:14" x14ac:dyDescent="0.35">
      <c r="B19" s="32" t="s">
        <v>106</v>
      </c>
      <c r="C19" s="34">
        <v>9213</v>
      </c>
      <c r="D19" s="34">
        <v>19461</v>
      </c>
      <c r="E19" s="34">
        <v>20937</v>
      </c>
      <c r="F19" s="34">
        <v>30083</v>
      </c>
      <c r="G19" s="34">
        <v>52897</v>
      </c>
      <c r="H19" s="34">
        <v>74691</v>
      </c>
      <c r="I19" s="34">
        <v>37690</v>
      </c>
      <c r="J19" s="34">
        <v>38486</v>
      </c>
      <c r="K19" s="34">
        <v>47786</v>
      </c>
      <c r="L19" s="34">
        <v>23462</v>
      </c>
      <c r="M19" s="34">
        <v>19846</v>
      </c>
      <c r="N19" s="34">
        <v>23987</v>
      </c>
    </row>
    <row r="20" spans="2:14" x14ac:dyDescent="0.35">
      <c r="B20" s="32" t="s">
        <v>107</v>
      </c>
      <c r="C20" s="33">
        <v>232</v>
      </c>
      <c r="D20" s="33">
        <v>218</v>
      </c>
      <c r="E20" s="33">
        <v>315</v>
      </c>
      <c r="F20" s="33">
        <v>264</v>
      </c>
      <c r="G20" s="33">
        <v>297</v>
      </c>
      <c r="H20" s="33">
        <v>289</v>
      </c>
      <c r="I20" s="33">
        <v>351</v>
      </c>
      <c r="J20" s="33">
        <v>277</v>
      </c>
      <c r="K20" s="33">
        <v>161</v>
      </c>
      <c r="L20" s="33">
        <v>259</v>
      </c>
      <c r="M20" s="33">
        <v>425</v>
      </c>
      <c r="N20" s="33">
        <v>835</v>
      </c>
    </row>
    <row r="21" spans="2:14" x14ac:dyDescent="0.35">
      <c r="B21" s="32" t="s">
        <v>108</v>
      </c>
      <c r="C21" s="33">
        <v>16</v>
      </c>
      <c r="D21" s="33">
        <v>24</v>
      </c>
      <c r="E21" s="33">
        <v>33</v>
      </c>
      <c r="F21" s="33">
        <v>14</v>
      </c>
      <c r="G21" s="33">
        <v>0</v>
      </c>
      <c r="H21" s="33">
        <v>1</v>
      </c>
      <c r="I21" s="33">
        <v>1</v>
      </c>
      <c r="J21" s="33">
        <v>1</v>
      </c>
      <c r="K21" s="33">
        <v>1</v>
      </c>
      <c r="L21" s="33">
        <v>2</v>
      </c>
      <c r="M21" s="33">
        <v>3</v>
      </c>
      <c r="N21" s="33">
        <v>0</v>
      </c>
    </row>
    <row r="22" spans="2:14" x14ac:dyDescent="0.35">
      <c r="B22" s="32" t="s">
        <v>109</v>
      </c>
      <c r="C22" s="33">
        <v>-101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</row>
    <row r="23" spans="2:14" x14ac:dyDescent="0.35">
      <c r="B23" s="32" t="s">
        <v>110</v>
      </c>
      <c r="C23" s="33">
        <v>-104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</row>
    <row r="24" spans="2:14" x14ac:dyDescent="0.35">
      <c r="B24" s="32" t="s">
        <v>111</v>
      </c>
      <c r="C24" s="33">
        <v>0</v>
      </c>
      <c r="D24" s="33">
        <v>200</v>
      </c>
      <c r="E24" s="33">
        <v>161</v>
      </c>
      <c r="F24" s="33">
        <v>20</v>
      </c>
      <c r="G24" s="33">
        <v>73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</row>
    <row r="25" spans="2:14" x14ac:dyDescent="0.35">
      <c r="B25" s="32" t="s">
        <v>112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-334</v>
      </c>
      <c r="M25" s="33">
        <v>0</v>
      </c>
      <c r="N25" s="33">
        <v>0</v>
      </c>
    </row>
    <row r="26" spans="2:14" ht="15" thickBot="1" x14ac:dyDescent="0.4">
      <c r="B26" s="32" t="s">
        <v>113</v>
      </c>
      <c r="C26" s="33">
        <v>183</v>
      </c>
      <c r="D26" s="33">
        <v>-367</v>
      </c>
      <c r="E26" s="33">
        <v>-351</v>
      </c>
      <c r="F26" s="33">
        <v>597</v>
      </c>
      <c r="G26" s="34">
        <v>-1612</v>
      </c>
      <c r="H26" s="33">
        <v>-300</v>
      </c>
      <c r="I26" s="33">
        <v>649</v>
      </c>
      <c r="J26" s="34">
        <v>3994</v>
      </c>
      <c r="K26" s="33">
        <v>-101</v>
      </c>
      <c r="L26" s="34">
        <v>-1213</v>
      </c>
      <c r="M26" s="34">
        <v>-2804</v>
      </c>
      <c r="N26" s="34">
        <v>5870</v>
      </c>
    </row>
    <row r="27" spans="2:14" x14ac:dyDescent="0.35">
      <c r="B27" s="22" t="s">
        <v>114</v>
      </c>
      <c r="C27" s="23">
        <v>-2960</v>
      </c>
      <c r="D27" s="23">
        <v>-3462</v>
      </c>
      <c r="E27" s="23">
        <v>-3864</v>
      </c>
      <c r="F27" s="23">
        <v>-4214</v>
      </c>
      <c r="G27" s="23">
        <v>-4975</v>
      </c>
      <c r="H27" s="23">
        <v>-5390</v>
      </c>
      <c r="I27" s="23">
        <v>-6819</v>
      </c>
      <c r="J27" s="23">
        <v>-9309</v>
      </c>
      <c r="K27" s="23">
        <v>-8015</v>
      </c>
      <c r="L27" s="23">
        <v>-8953</v>
      </c>
      <c r="M27" s="23">
        <v>-10034</v>
      </c>
      <c r="N27" s="23">
        <v>-13101</v>
      </c>
    </row>
    <row r="28" spans="2:14" x14ac:dyDescent="0.35">
      <c r="B28" s="25" t="s">
        <v>115</v>
      </c>
      <c r="C28" s="26">
        <v>2</v>
      </c>
      <c r="D28" s="26">
        <v>2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</row>
    <row r="29" spans="2:14" x14ac:dyDescent="0.35">
      <c r="B29" s="25" t="s">
        <v>116</v>
      </c>
      <c r="C29" s="26">
        <v>0</v>
      </c>
      <c r="D29" s="26">
        <v>0</v>
      </c>
      <c r="E29" s="26">
        <v>177</v>
      </c>
      <c r="F29" s="26">
        <v>460</v>
      </c>
      <c r="G29" s="26">
        <v>0</v>
      </c>
      <c r="H29" s="26">
        <v>99</v>
      </c>
      <c r="I29" s="26">
        <v>0</v>
      </c>
      <c r="J29" s="26">
        <v>188</v>
      </c>
      <c r="K29" s="26">
        <v>55</v>
      </c>
      <c r="L29" s="26">
        <v>286</v>
      </c>
      <c r="M29" s="26">
        <v>0</v>
      </c>
      <c r="N29" s="26">
        <v>0</v>
      </c>
    </row>
    <row r="30" spans="2:14" x14ac:dyDescent="0.35">
      <c r="B30" s="25" t="s">
        <v>117</v>
      </c>
      <c r="C30" s="26">
        <v>-15</v>
      </c>
      <c r="D30" s="26">
        <v>-3</v>
      </c>
      <c r="E30" s="26">
        <v>0</v>
      </c>
      <c r="F30" s="26">
        <v>-360</v>
      </c>
      <c r="G30" s="26">
        <v>-277</v>
      </c>
      <c r="H30" s="26">
        <v>0</v>
      </c>
      <c r="I30" s="26">
        <v>-99</v>
      </c>
      <c r="J30" s="26">
        <v>-188</v>
      </c>
      <c r="K30" s="26">
        <v>-55</v>
      </c>
      <c r="L30" s="26">
        <v>-208</v>
      </c>
      <c r="M30" s="26">
        <v>-85</v>
      </c>
      <c r="N30" s="26">
        <v>0</v>
      </c>
    </row>
    <row r="31" spans="2:14" x14ac:dyDescent="0.35">
      <c r="B31" s="25" t="s">
        <v>118</v>
      </c>
      <c r="C31" s="26">
        <v>-29</v>
      </c>
      <c r="D31" s="26">
        <v>-18</v>
      </c>
      <c r="E31" s="26">
        <v>-2</v>
      </c>
      <c r="F31" s="26">
        <v>-14</v>
      </c>
      <c r="G31" s="26">
        <v>-6</v>
      </c>
      <c r="H31" s="26">
        <v>-7</v>
      </c>
      <c r="I31" s="26">
        <v>-90</v>
      </c>
      <c r="J31" s="26">
        <v>-92</v>
      </c>
      <c r="K31" s="26">
        <v>-82</v>
      </c>
      <c r="L31" s="26">
        <v>-88</v>
      </c>
      <c r="M31" s="26">
        <v>-110</v>
      </c>
      <c r="N31" s="26">
        <v>-130</v>
      </c>
    </row>
    <row r="32" spans="2:14" x14ac:dyDescent="0.35">
      <c r="B32" s="25" t="s">
        <v>119</v>
      </c>
      <c r="C32" s="27">
        <v>-2481</v>
      </c>
      <c r="D32" s="27">
        <v>-2912</v>
      </c>
      <c r="E32" s="27">
        <v>-3354</v>
      </c>
      <c r="F32" s="27">
        <v>-3572</v>
      </c>
      <c r="G32" s="27">
        <v>-3911</v>
      </c>
      <c r="H32" s="27">
        <v>-4554</v>
      </c>
      <c r="I32" s="27">
        <v>-5196</v>
      </c>
      <c r="J32" s="27">
        <v>-8811</v>
      </c>
      <c r="K32" s="27">
        <v>-7526</v>
      </c>
      <c r="L32" s="27">
        <v>-8474</v>
      </c>
      <c r="M32" s="27">
        <v>-9416</v>
      </c>
      <c r="N32" s="27">
        <v>-12473</v>
      </c>
    </row>
    <row r="33" spans="2:14" x14ac:dyDescent="0.35">
      <c r="B33" s="25" t="s">
        <v>120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-373</v>
      </c>
      <c r="J33" s="26">
        <v>-406</v>
      </c>
      <c r="K33" s="26">
        <v>-407</v>
      </c>
      <c r="L33" s="26">
        <v>-467</v>
      </c>
      <c r="M33" s="26">
        <v>-423</v>
      </c>
      <c r="N33" s="26">
        <v>-498</v>
      </c>
    </row>
    <row r="34" spans="2:14" ht="15" thickBot="1" x14ac:dyDescent="0.4">
      <c r="B34" s="25" t="s">
        <v>121</v>
      </c>
      <c r="C34" s="26">
        <v>-437</v>
      </c>
      <c r="D34" s="26">
        <v>-533</v>
      </c>
      <c r="E34" s="26">
        <v>-685</v>
      </c>
      <c r="F34" s="26">
        <v>-728</v>
      </c>
      <c r="G34" s="26">
        <v>-781</v>
      </c>
      <c r="H34" s="26">
        <v>-928</v>
      </c>
      <c r="I34" s="27">
        <v>-1061</v>
      </c>
      <c r="J34" s="26">
        <v>0</v>
      </c>
      <c r="K34" s="26">
        <v>0</v>
      </c>
      <c r="L34" s="26">
        <v>-2</v>
      </c>
      <c r="M34" s="26">
        <v>0</v>
      </c>
      <c r="N34" s="26">
        <v>0</v>
      </c>
    </row>
    <row r="35" spans="2:14" x14ac:dyDescent="0.35">
      <c r="B35" s="29" t="s">
        <v>21</v>
      </c>
      <c r="C35" s="30">
        <v>383</v>
      </c>
      <c r="D35" s="30">
        <v>-33</v>
      </c>
      <c r="E35" s="30">
        <v>25</v>
      </c>
      <c r="F35" s="30">
        <v>-202</v>
      </c>
      <c r="G35" s="30">
        <v>21</v>
      </c>
      <c r="H35" s="30">
        <v>-28</v>
      </c>
      <c r="I35" s="31">
        <v>2595</v>
      </c>
      <c r="J35" s="31">
        <v>-1374</v>
      </c>
      <c r="K35" s="30">
        <v>-695</v>
      </c>
      <c r="L35" s="30">
        <v>-446</v>
      </c>
      <c r="M35" s="30">
        <v>111</v>
      </c>
      <c r="N35" s="31">
        <v>5258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5CDE-5308-490F-AEE3-ACB115E5097B}">
  <sheetPr>
    <tabColor rgb="FFFF0000"/>
  </sheetPr>
  <dimension ref="B1:N43"/>
  <sheetViews>
    <sheetView showGridLines="0" zoomScale="72" workbookViewId="0">
      <pane ySplit="2" topLeftCell="A3" activePane="bottomLeft" state="frozen"/>
      <selection pane="bottomLeft" activeCell="M14" sqref="M14"/>
    </sheetView>
  </sheetViews>
  <sheetFormatPr defaultRowHeight="14.5" x14ac:dyDescent="0.35"/>
  <cols>
    <col min="1" max="1" width="2.7265625" customWidth="1"/>
    <col min="2" max="2" width="23" bestFit="1" customWidth="1"/>
    <col min="3" max="14" width="9.453125" bestFit="1" customWidth="1"/>
  </cols>
  <sheetData>
    <row r="1" spans="2:14" x14ac:dyDescent="0.35">
      <c r="B1" s="2" t="s">
        <v>26</v>
      </c>
    </row>
    <row r="2" spans="2:14" x14ac:dyDescent="0.35">
      <c r="C2" s="58">
        <v>41699</v>
      </c>
      <c r="D2" s="58">
        <v>42064</v>
      </c>
      <c r="E2" s="58">
        <v>42430</v>
      </c>
      <c r="F2" s="58">
        <v>42795</v>
      </c>
      <c r="G2" s="58">
        <v>43160</v>
      </c>
      <c r="H2" s="58">
        <v>43525</v>
      </c>
      <c r="I2" s="58">
        <v>43891</v>
      </c>
      <c r="J2" s="58">
        <v>44256</v>
      </c>
      <c r="K2" s="58">
        <v>44621</v>
      </c>
      <c r="L2" s="58">
        <v>44986</v>
      </c>
      <c r="M2" s="58">
        <v>45352</v>
      </c>
      <c r="N2" s="58">
        <v>45717</v>
      </c>
    </row>
    <row r="3" spans="2:14" ht="4" customHeight="1" x14ac:dyDescent="0.35"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2:14" x14ac:dyDescent="0.35">
      <c r="B4" s="2" t="s">
        <v>163</v>
      </c>
      <c r="C4" s="66">
        <v>216</v>
      </c>
      <c r="D4" s="66">
        <v>216</v>
      </c>
      <c r="E4" s="66">
        <v>216</v>
      </c>
      <c r="F4" s="66">
        <v>216</v>
      </c>
      <c r="G4" s="66">
        <v>216</v>
      </c>
      <c r="H4" s="66">
        <v>216</v>
      </c>
      <c r="I4" s="66">
        <v>216</v>
      </c>
      <c r="J4" s="66">
        <v>235</v>
      </c>
      <c r="K4" s="66">
        <v>235</v>
      </c>
      <c r="L4" s="66">
        <v>235</v>
      </c>
      <c r="M4" s="66">
        <v>235</v>
      </c>
      <c r="N4" s="66">
        <v>235</v>
      </c>
    </row>
    <row r="5" spans="2:14" x14ac:dyDescent="0.35">
      <c r="B5" s="2" t="s">
        <v>12</v>
      </c>
      <c r="C5" s="59">
        <v>3321</v>
      </c>
      <c r="D5" s="59">
        <v>3811</v>
      </c>
      <c r="E5" s="59">
        <v>6357</v>
      </c>
      <c r="F5" s="59">
        <v>6528</v>
      </c>
      <c r="G5" s="59">
        <v>7065</v>
      </c>
      <c r="H5" s="59">
        <v>7651</v>
      </c>
      <c r="I5" s="59">
        <v>8013</v>
      </c>
      <c r="J5" s="59">
        <v>47439</v>
      </c>
      <c r="K5" s="59">
        <v>48826</v>
      </c>
      <c r="L5" s="59">
        <v>50069</v>
      </c>
      <c r="M5" s="59">
        <v>50983</v>
      </c>
      <c r="N5" s="59">
        <v>49167</v>
      </c>
    </row>
    <row r="6" spans="2:14" x14ac:dyDescent="0.35">
      <c r="B6" s="2" t="s">
        <v>187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</row>
    <row r="7" spans="2:14" x14ac:dyDescent="0.35">
      <c r="B7" t="s">
        <v>164</v>
      </c>
      <c r="C7" s="59">
        <v>8</v>
      </c>
      <c r="D7" s="59">
        <v>7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</row>
    <row r="8" spans="2:14" x14ac:dyDescent="0.35">
      <c r="B8" t="s">
        <v>165</v>
      </c>
      <c r="C8" s="59">
        <v>37</v>
      </c>
      <c r="D8" s="59">
        <v>36</v>
      </c>
      <c r="E8" s="59">
        <v>177</v>
      </c>
      <c r="F8" s="59">
        <v>277</v>
      </c>
      <c r="G8" s="59">
        <v>0</v>
      </c>
      <c r="H8" s="59">
        <v>99</v>
      </c>
      <c r="I8" s="59">
        <v>0</v>
      </c>
      <c r="J8" s="59">
        <v>0</v>
      </c>
      <c r="K8" s="59">
        <v>0</v>
      </c>
      <c r="L8" s="59">
        <v>98</v>
      </c>
      <c r="M8" s="59">
        <v>13</v>
      </c>
      <c r="N8" s="59">
        <v>1</v>
      </c>
    </row>
    <row r="9" spans="2:14" x14ac:dyDescent="0.35">
      <c r="B9" t="s">
        <v>166</v>
      </c>
      <c r="C9" s="59">
        <v>0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1043</v>
      </c>
      <c r="L9" s="59">
        <v>1121</v>
      </c>
      <c r="M9" s="59">
        <v>1471</v>
      </c>
      <c r="N9" s="59">
        <v>1647</v>
      </c>
    </row>
    <row r="10" spans="2:14" x14ac:dyDescent="0.35">
      <c r="B10" t="s">
        <v>188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2:14" x14ac:dyDescent="0.35">
      <c r="B11" t="s">
        <v>167</v>
      </c>
      <c r="C11" s="59">
        <v>22</v>
      </c>
      <c r="D11" s="59">
        <v>25</v>
      </c>
      <c r="E11" s="59">
        <v>20</v>
      </c>
      <c r="F11" s="59">
        <v>22</v>
      </c>
      <c r="G11" s="59">
        <v>20</v>
      </c>
      <c r="H11" s="59">
        <v>18</v>
      </c>
      <c r="I11" s="59">
        <v>17</v>
      </c>
      <c r="J11" s="59">
        <v>20</v>
      </c>
      <c r="K11" s="59">
        <v>26</v>
      </c>
      <c r="L11" s="59">
        <v>218</v>
      </c>
      <c r="M11" s="59">
        <v>205</v>
      </c>
      <c r="N11" s="59">
        <v>207</v>
      </c>
    </row>
    <row r="12" spans="2:14" x14ac:dyDescent="0.35">
      <c r="B12" t="s">
        <v>168</v>
      </c>
      <c r="C12" s="59">
        <v>5825</v>
      </c>
      <c r="D12" s="59">
        <v>5506</v>
      </c>
      <c r="E12" s="59">
        <v>5685</v>
      </c>
      <c r="F12" s="59">
        <v>6186</v>
      </c>
      <c r="G12" s="59">
        <v>7170</v>
      </c>
      <c r="H12" s="59">
        <v>7206</v>
      </c>
      <c r="I12" s="59">
        <v>7535</v>
      </c>
      <c r="J12" s="59">
        <v>8802</v>
      </c>
      <c r="K12" s="59">
        <v>9068</v>
      </c>
      <c r="L12" s="59">
        <v>9574</v>
      </c>
      <c r="M12" s="59">
        <v>10486</v>
      </c>
      <c r="N12" s="59">
        <v>11315</v>
      </c>
    </row>
    <row r="13" spans="2:14" x14ac:dyDescent="0.35">
      <c r="B13" t="s">
        <v>169</v>
      </c>
      <c r="C13" s="59">
        <v>37</v>
      </c>
      <c r="D13" s="59">
        <v>45</v>
      </c>
      <c r="E13" s="59">
        <v>45</v>
      </c>
      <c r="F13" s="59">
        <v>78</v>
      </c>
      <c r="G13" s="59">
        <v>62</v>
      </c>
      <c r="H13" s="59">
        <v>43</v>
      </c>
      <c r="I13" s="59">
        <v>158</v>
      </c>
      <c r="J13" s="59">
        <v>96</v>
      </c>
      <c r="K13" s="59">
        <v>119</v>
      </c>
      <c r="L13" s="59">
        <v>98</v>
      </c>
      <c r="M13" s="59">
        <v>91</v>
      </c>
      <c r="N13" s="59">
        <v>105</v>
      </c>
    </row>
    <row r="14" spans="2:14" ht="15" thickBot="1" x14ac:dyDescent="0.4">
      <c r="B14" t="s">
        <v>170</v>
      </c>
      <c r="C14" s="61">
        <v>4287</v>
      </c>
      <c r="D14" s="61">
        <v>4783</v>
      </c>
      <c r="E14" s="61">
        <v>2293</v>
      </c>
      <c r="F14" s="61">
        <v>2399</v>
      </c>
      <c r="G14" s="61">
        <v>3329</v>
      </c>
      <c r="H14" s="61">
        <v>3396</v>
      </c>
      <c r="I14" s="61">
        <v>4214</v>
      </c>
      <c r="J14" s="61">
        <v>12148</v>
      </c>
      <c r="K14" s="61">
        <v>11189</v>
      </c>
      <c r="L14" s="61">
        <v>11664</v>
      </c>
      <c r="M14" s="61">
        <v>15005</v>
      </c>
      <c r="N14" s="61">
        <v>17186</v>
      </c>
    </row>
    <row r="15" spans="2:14" ht="15" thickBot="1" x14ac:dyDescent="0.4">
      <c r="B15" s="54" t="s">
        <v>84</v>
      </c>
      <c r="C15" s="62">
        <v>13754</v>
      </c>
      <c r="D15" s="62">
        <v>14430</v>
      </c>
      <c r="E15" s="62">
        <v>14793</v>
      </c>
      <c r="F15" s="62">
        <v>15706</v>
      </c>
      <c r="G15" s="62">
        <v>17862</v>
      </c>
      <c r="H15" s="62">
        <v>18629</v>
      </c>
      <c r="I15" s="62">
        <v>20153</v>
      </c>
      <c r="J15" s="62">
        <v>68740</v>
      </c>
      <c r="K15" s="62">
        <v>70506</v>
      </c>
      <c r="L15" s="62">
        <v>73077</v>
      </c>
      <c r="M15" s="62">
        <v>78489</v>
      </c>
      <c r="N15" s="62">
        <v>79863</v>
      </c>
    </row>
    <row r="16" spans="2:14" x14ac:dyDescent="0.35">
      <c r="B16" s="2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 spans="2:14" x14ac:dyDescent="0.35">
      <c r="B17" s="2" t="s">
        <v>189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2:14" x14ac:dyDescent="0.35">
      <c r="B18" t="s">
        <v>171</v>
      </c>
      <c r="C18" s="59">
        <v>133</v>
      </c>
      <c r="D18" s="59">
        <v>102</v>
      </c>
      <c r="E18" s="59">
        <v>88</v>
      </c>
      <c r="F18" s="59">
        <v>89</v>
      </c>
      <c r="G18" s="59">
        <v>87</v>
      </c>
      <c r="H18" s="59">
        <v>86</v>
      </c>
      <c r="I18" s="59">
        <v>59</v>
      </c>
      <c r="J18" s="59">
        <v>477</v>
      </c>
      <c r="K18" s="59">
        <v>477</v>
      </c>
      <c r="L18" s="59">
        <v>609</v>
      </c>
      <c r="M18" s="59">
        <v>633</v>
      </c>
      <c r="N18" s="59">
        <v>628</v>
      </c>
    </row>
    <row r="19" spans="2:14" x14ac:dyDescent="0.35">
      <c r="B19" t="s">
        <v>172</v>
      </c>
      <c r="C19" s="59">
        <v>1133</v>
      </c>
      <c r="D19" s="59">
        <v>1173</v>
      </c>
      <c r="E19" s="59">
        <v>931</v>
      </c>
      <c r="F19" s="59">
        <v>1210</v>
      </c>
      <c r="G19" s="59">
        <v>1343</v>
      </c>
      <c r="H19" s="59">
        <v>1527</v>
      </c>
      <c r="I19" s="59">
        <v>2044</v>
      </c>
      <c r="J19" s="59">
        <v>2602</v>
      </c>
      <c r="K19" s="59">
        <v>2788</v>
      </c>
      <c r="L19" s="59">
        <v>3101</v>
      </c>
      <c r="M19" s="59">
        <v>3590</v>
      </c>
      <c r="N19" s="59">
        <v>3833</v>
      </c>
    </row>
    <row r="20" spans="2:14" x14ac:dyDescent="0.35">
      <c r="B20" t="s">
        <v>173</v>
      </c>
      <c r="C20" s="59">
        <v>3176</v>
      </c>
      <c r="D20" s="59">
        <v>3481</v>
      </c>
      <c r="E20" s="59">
        <v>2370</v>
      </c>
      <c r="F20" s="59">
        <v>3270</v>
      </c>
      <c r="G20" s="59">
        <v>3691</v>
      </c>
      <c r="H20" s="59">
        <v>4092</v>
      </c>
      <c r="I20" s="59">
        <v>5001</v>
      </c>
      <c r="J20" s="59">
        <v>6097</v>
      </c>
      <c r="K20" s="59">
        <v>6566</v>
      </c>
      <c r="L20" s="59">
        <v>7612</v>
      </c>
      <c r="M20" s="59">
        <v>8946</v>
      </c>
      <c r="N20" s="59">
        <v>9900</v>
      </c>
    </row>
    <row r="21" spans="2:14" x14ac:dyDescent="0.35">
      <c r="B21" t="s">
        <v>174</v>
      </c>
      <c r="C21" s="59">
        <v>104</v>
      </c>
      <c r="D21" s="59">
        <v>106</v>
      </c>
      <c r="E21" s="59">
        <v>41</v>
      </c>
      <c r="F21" s="59">
        <v>62</v>
      </c>
      <c r="G21" s="59">
        <v>74</v>
      </c>
      <c r="H21" s="59">
        <v>95</v>
      </c>
      <c r="I21" s="59">
        <v>139</v>
      </c>
      <c r="J21" s="59">
        <v>175</v>
      </c>
      <c r="K21" s="59">
        <v>181</v>
      </c>
      <c r="L21" s="59">
        <v>185</v>
      </c>
      <c r="M21" s="59">
        <v>206</v>
      </c>
      <c r="N21" s="59">
        <v>245</v>
      </c>
    </row>
    <row r="22" spans="2:14" x14ac:dyDescent="0.35">
      <c r="B22" t="s">
        <v>175</v>
      </c>
      <c r="C22" s="59">
        <v>102</v>
      </c>
      <c r="D22" s="59">
        <v>108</v>
      </c>
      <c r="E22" s="59">
        <v>61</v>
      </c>
      <c r="F22" s="59">
        <v>66</v>
      </c>
      <c r="G22" s="59">
        <v>76</v>
      </c>
      <c r="H22" s="59">
        <v>88</v>
      </c>
      <c r="I22" s="59">
        <v>154</v>
      </c>
      <c r="J22" s="59">
        <v>156</v>
      </c>
      <c r="K22" s="59">
        <v>152</v>
      </c>
      <c r="L22" s="59">
        <v>161</v>
      </c>
      <c r="M22" s="59">
        <v>165</v>
      </c>
      <c r="N22" s="59">
        <v>174</v>
      </c>
    </row>
    <row r="23" spans="2:14" x14ac:dyDescent="0.35">
      <c r="B23" t="s">
        <v>176</v>
      </c>
      <c r="C23" s="59">
        <v>0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</row>
    <row r="24" spans="2:14" x14ac:dyDescent="0.35">
      <c r="B24" t="s">
        <v>177</v>
      </c>
      <c r="C24" s="59">
        <v>2</v>
      </c>
      <c r="D24" s="59">
        <v>1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33</v>
      </c>
      <c r="M24" s="59">
        <v>39</v>
      </c>
      <c r="N24" s="59">
        <v>102</v>
      </c>
    </row>
    <row r="25" spans="2:14" x14ac:dyDescent="0.35">
      <c r="B25" t="s">
        <v>178</v>
      </c>
      <c r="C25" s="59">
        <v>247</v>
      </c>
      <c r="D25" s="59">
        <v>247</v>
      </c>
      <c r="E25" s="59">
        <v>85</v>
      </c>
      <c r="F25" s="59">
        <v>455</v>
      </c>
      <c r="G25" s="59">
        <v>455</v>
      </c>
      <c r="H25" s="59">
        <v>511</v>
      </c>
      <c r="I25" s="59">
        <v>511</v>
      </c>
      <c r="J25" s="59">
        <v>45262</v>
      </c>
      <c r="K25" s="59">
        <v>45262</v>
      </c>
      <c r="L25" s="59">
        <v>45692</v>
      </c>
      <c r="M25" s="59">
        <v>45692</v>
      </c>
      <c r="N25" s="59">
        <v>45692</v>
      </c>
    </row>
    <row r="26" spans="2:14" ht="15" thickBot="1" x14ac:dyDescent="0.4">
      <c r="B26" t="s">
        <v>179</v>
      </c>
      <c r="C26" s="61">
        <v>183</v>
      </c>
      <c r="D26" s="61">
        <v>193</v>
      </c>
      <c r="E26" s="61">
        <v>19</v>
      </c>
      <c r="F26" s="61">
        <v>19</v>
      </c>
      <c r="G26" s="61">
        <v>26</v>
      </c>
      <c r="H26" s="61">
        <v>60</v>
      </c>
      <c r="I26" s="61">
        <v>71</v>
      </c>
      <c r="J26" s="61">
        <v>155</v>
      </c>
      <c r="K26" s="61">
        <v>152</v>
      </c>
      <c r="L26" s="61">
        <v>171</v>
      </c>
      <c r="M26" s="61">
        <v>180</v>
      </c>
      <c r="N26" s="61">
        <v>190</v>
      </c>
    </row>
    <row r="27" spans="2:14" x14ac:dyDescent="0.35">
      <c r="B27" s="57" t="s">
        <v>180</v>
      </c>
      <c r="C27" s="63">
        <v>5079</v>
      </c>
      <c r="D27" s="63">
        <v>5412</v>
      </c>
      <c r="E27" s="63">
        <v>3595</v>
      </c>
      <c r="F27" s="63">
        <v>5171</v>
      </c>
      <c r="G27" s="63">
        <v>5752</v>
      </c>
      <c r="H27" s="63">
        <v>6459</v>
      </c>
      <c r="I27" s="63">
        <v>7979</v>
      </c>
      <c r="J27" s="63">
        <v>54924</v>
      </c>
      <c r="K27" s="63">
        <v>55578</v>
      </c>
      <c r="L27" s="63">
        <v>57564</v>
      </c>
      <c r="M27" s="63">
        <v>59451</v>
      </c>
      <c r="N27" s="63">
        <v>60764</v>
      </c>
    </row>
    <row r="28" spans="2:14" ht="15" thickBot="1" x14ac:dyDescent="0.4">
      <c r="B28" s="2" t="s">
        <v>181</v>
      </c>
      <c r="C28" s="64">
        <v>2333</v>
      </c>
      <c r="D28" s="64">
        <v>2591</v>
      </c>
      <c r="E28" s="64">
        <v>337</v>
      </c>
      <c r="F28" s="64">
        <v>752</v>
      </c>
      <c r="G28" s="64">
        <v>1224</v>
      </c>
      <c r="H28" s="64">
        <v>1744</v>
      </c>
      <c r="I28" s="64">
        <v>2500</v>
      </c>
      <c r="J28" s="64">
        <v>3481</v>
      </c>
      <c r="K28" s="64">
        <v>4105</v>
      </c>
      <c r="L28" s="64">
        <v>4886</v>
      </c>
      <c r="M28" s="64">
        <v>5707</v>
      </c>
      <c r="N28" s="64">
        <v>6429</v>
      </c>
    </row>
    <row r="29" spans="2:14" ht="15" thickBot="1" x14ac:dyDescent="0.4">
      <c r="B29" s="54" t="s">
        <v>14</v>
      </c>
      <c r="C29" s="65">
        <f>C27-C28</f>
        <v>2746</v>
      </c>
      <c r="D29" s="65">
        <f t="shared" ref="D29:N29" si="0">D27-D28</f>
        <v>2821</v>
      </c>
      <c r="E29" s="65">
        <f t="shared" si="0"/>
        <v>3258</v>
      </c>
      <c r="F29" s="65">
        <f t="shared" si="0"/>
        <v>4419</v>
      </c>
      <c r="G29" s="65">
        <f t="shared" si="0"/>
        <v>4528</v>
      </c>
      <c r="H29" s="65">
        <f t="shared" si="0"/>
        <v>4715</v>
      </c>
      <c r="I29" s="65">
        <f t="shared" si="0"/>
        <v>5479</v>
      </c>
      <c r="J29" s="65">
        <f t="shared" si="0"/>
        <v>51443</v>
      </c>
      <c r="K29" s="65">
        <f t="shared" si="0"/>
        <v>51473</v>
      </c>
      <c r="L29" s="65">
        <f t="shared" si="0"/>
        <v>52678</v>
      </c>
      <c r="M29" s="65">
        <f t="shared" si="0"/>
        <v>53744</v>
      </c>
      <c r="N29" s="65">
        <f t="shared" si="0"/>
        <v>54335</v>
      </c>
    </row>
    <row r="30" spans="2:14" ht="3.5" customHeight="1" x14ac:dyDescent="0.35">
      <c r="B30" s="2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2:14" x14ac:dyDescent="0.35">
      <c r="B31" s="2" t="s">
        <v>182</v>
      </c>
      <c r="C31" s="66">
        <v>373</v>
      </c>
      <c r="D31" s="66">
        <v>516</v>
      </c>
      <c r="E31" s="66">
        <v>408</v>
      </c>
      <c r="F31" s="66">
        <v>229</v>
      </c>
      <c r="G31" s="66">
        <v>461</v>
      </c>
      <c r="H31" s="66">
        <v>406</v>
      </c>
      <c r="I31" s="66">
        <v>597</v>
      </c>
      <c r="J31" s="66">
        <v>745</v>
      </c>
      <c r="K31" s="66">
        <v>1313</v>
      </c>
      <c r="L31" s="66">
        <v>1132</v>
      </c>
      <c r="M31" s="66">
        <v>1025</v>
      </c>
      <c r="N31" s="66">
        <v>1009</v>
      </c>
    </row>
    <row r="32" spans="2:14" x14ac:dyDescent="0.35">
      <c r="B32" s="2" t="s">
        <v>16</v>
      </c>
      <c r="C32" s="59">
        <v>2838</v>
      </c>
      <c r="D32" s="59">
        <v>3025</v>
      </c>
      <c r="E32" s="59">
        <v>2592</v>
      </c>
      <c r="F32" s="59">
        <v>3794</v>
      </c>
      <c r="G32" s="59">
        <v>2873</v>
      </c>
      <c r="H32" s="59">
        <v>2716</v>
      </c>
      <c r="I32" s="59">
        <v>1255</v>
      </c>
      <c r="J32" s="59">
        <v>2709</v>
      </c>
      <c r="K32" s="59">
        <v>3521</v>
      </c>
      <c r="L32" s="59">
        <v>2882</v>
      </c>
      <c r="M32" s="59">
        <v>4625</v>
      </c>
      <c r="N32" s="59">
        <v>3810</v>
      </c>
    </row>
    <row r="33" spans="2:14" ht="3.5" customHeight="1" x14ac:dyDescent="0.35">
      <c r="B33" s="2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</row>
    <row r="34" spans="2:14" x14ac:dyDescent="0.35">
      <c r="B34" s="2" t="s">
        <v>38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</row>
    <row r="35" spans="2:14" x14ac:dyDescent="0.35">
      <c r="B35" t="s">
        <v>183</v>
      </c>
      <c r="C35" s="59">
        <v>2940</v>
      </c>
      <c r="D35" s="59">
        <v>2849</v>
      </c>
      <c r="E35" s="59">
        <v>2726</v>
      </c>
      <c r="F35" s="59">
        <v>2541</v>
      </c>
      <c r="G35" s="59">
        <v>2513</v>
      </c>
      <c r="H35" s="59">
        <v>2574</v>
      </c>
      <c r="I35" s="59">
        <v>2767</v>
      </c>
      <c r="J35" s="59">
        <v>3579</v>
      </c>
      <c r="K35" s="59">
        <v>4096</v>
      </c>
      <c r="L35" s="59">
        <v>4251</v>
      </c>
      <c r="M35" s="59">
        <v>4022</v>
      </c>
      <c r="N35" s="59">
        <v>4415</v>
      </c>
    </row>
    <row r="36" spans="2:14" x14ac:dyDescent="0.35">
      <c r="B36" s="2" t="s">
        <v>193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2:14" x14ac:dyDescent="0.35">
      <c r="B37" t="s">
        <v>190</v>
      </c>
      <c r="C37" s="59">
        <v>91</v>
      </c>
      <c r="D37" s="59">
        <v>78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197</v>
      </c>
      <c r="L37" s="59">
        <v>407</v>
      </c>
      <c r="M37" s="59">
        <v>200</v>
      </c>
      <c r="N37" s="59">
        <v>313</v>
      </c>
    </row>
    <row r="38" spans="2:14" x14ac:dyDescent="0.35">
      <c r="B38" t="s">
        <v>191</v>
      </c>
      <c r="C38" s="59">
        <v>965</v>
      </c>
      <c r="D38" s="59">
        <v>973</v>
      </c>
      <c r="E38" s="59">
        <v>1294</v>
      </c>
      <c r="F38" s="59">
        <v>1124</v>
      </c>
      <c r="G38" s="59">
        <v>1359</v>
      </c>
      <c r="H38" s="59">
        <v>1848</v>
      </c>
      <c r="I38" s="59">
        <v>1185</v>
      </c>
      <c r="J38" s="59">
        <v>1869</v>
      </c>
      <c r="K38" s="59">
        <v>2142</v>
      </c>
      <c r="L38" s="59">
        <v>2748</v>
      </c>
      <c r="M38" s="59">
        <v>2862</v>
      </c>
      <c r="N38" s="59">
        <v>3574</v>
      </c>
    </row>
    <row r="39" spans="2:14" x14ac:dyDescent="0.35">
      <c r="B39" t="s">
        <v>192</v>
      </c>
      <c r="C39" s="59">
        <v>-39</v>
      </c>
      <c r="D39" s="59">
        <v>-41</v>
      </c>
      <c r="E39" s="59">
        <v>-30</v>
      </c>
      <c r="F39" s="59">
        <v>-39</v>
      </c>
      <c r="G39" s="59">
        <v>-49</v>
      </c>
      <c r="H39" s="59">
        <v>-32</v>
      </c>
      <c r="I39" s="59">
        <v>-36</v>
      </c>
      <c r="J39" s="59">
        <v>-111</v>
      </c>
      <c r="K39" s="59">
        <v>-103</v>
      </c>
      <c r="L39" s="59">
        <v>-76</v>
      </c>
      <c r="M39" s="59">
        <v>-65</v>
      </c>
      <c r="N39" s="59">
        <v>-68</v>
      </c>
    </row>
    <row r="40" spans="2:14" x14ac:dyDescent="0.35">
      <c r="B40" t="s">
        <v>184</v>
      </c>
      <c r="C40" s="59">
        <v>2516</v>
      </c>
      <c r="D40" s="59">
        <v>2689</v>
      </c>
      <c r="E40" s="59">
        <v>3009</v>
      </c>
      <c r="F40" s="59">
        <v>1828</v>
      </c>
      <c r="G40" s="59">
        <v>3485</v>
      </c>
      <c r="H40" s="59">
        <v>3757</v>
      </c>
      <c r="I40" s="59">
        <v>5113</v>
      </c>
      <c r="J40" s="59">
        <v>4471</v>
      </c>
      <c r="K40" s="59">
        <v>3846</v>
      </c>
      <c r="L40" s="59">
        <v>4678</v>
      </c>
      <c r="M40" s="59">
        <v>7559</v>
      </c>
      <c r="N40" s="59">
        <v>7554</v>
      </c>
    </row>
    <row r="41" spans="2:14" x14ac:dyDescent="0.35">
      <c r="B41" t="s">
        <v>185</v>
      </c>
      <c r="C41" s="59">
        <v>0</v>
      </c>
      <c r="D41" s="59">
        <v>0</v>
      </c>
      <c r="E41" s="59">
        <v>0</v>
      </c>
      <c r="F41" s="59">
        <v>71</v>
      </c>
      <c r="G41" s="59">
        <v>40</v>
      </c>
      <c r="H41" s="59">
        <v>26</v>
      </c>
      <c r="I41" s="59">
        <v>19</v>
      </c>
      <c r="J41" s="59">
        <v>78</v>
      </c>
      <c r="K41" s="59">
        <v>170</v>
      </c>
      <c r="L41" s="59">
        <v>188</v>
      </c>
      <c r="M41" s="59">
        <v>172</v>
      </c>
      <c r="N41" s="59">
        <v>242</v>
      </c>
    </row>
    <row r="42" spans="2:14" ht="15" thickBot="1" x14ac:dyDescent="0.4">
      <c r="B42" s="2" t="s">
        <v>186</v>
      </c>
      <c r="C42" s="61">
        <v>1324</v>
      </c>
      <c r="D42" s="61">
        <v>1519</v>
      </c>
      <c r="E42" s="61">
        <v>1536</v>
      </c>
      <c r="F42" s="61">
        <v>1739</v>
      </c>
      <c r="G42" s="61">
        <v>2652</v>
      </c>
      <c r="H42" s="61">
        <v>2619</v>
      </c>
      <c r="I42" s="61">
        <v>3774</v>
      </c>
      <c r="J42" s="61">
        <v>3957</v>
      </c>
      <c r="K42" s="61">
        <v>3851</v>
      </c>
      <c r="L42" s="61">
        <v>4189</v>
      </c>
      <c r="M42" s="61">
        <v>4345</v>
      </c>
      <c r="N42" s="61">
        <v>4679</v>
      </c>
    </row>
    <row r="43" spans="2:14" ht="15" thickBot="1" x14ac:dyDescent="0.4">
      <c r="B43" s="54" t="s">
        <v>89</v>
      </c>
      <c r="C43" s="62">
        <v>13754</v>
      </c>
      <c r="D43" s="62">
        <v>14430</v>
      </c>
      <c r="E43" s="62">
        <v>14793</v>
      </c>
      <c r="F43" s="62">
        <v>15706</v>
      </c>
      <c r="G43" s="62">
        <v>17862</v>
      </c>
      <c r="H43" s="62">
        <v>18629</v>
      </c>
      <c r="I43" s="62">
        <v>20153</v>
      </c>
      <c r="J43" s="62">
        <v>68740</v>
      </c>
      <c r="K43" s="62">
        <v>70506</v>
      </c>
      <c r="L43" s="62">
        <v>73077</v>
      </c>
      <c r="M43" s="62">
        <v>78489</v>
      </c>
      <c r="N43" s="62">
        <v>79863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E044-9DF9-444E-8991-524D5F0D98F3}">
  <sheetPr>
    <tabColor rgb="FF0000FF"/>
  </sheetPr>
  <dimension ref="A1"/>
  <sheetViews>
    <sheetView showGridLines="0" topLeftCell="E1" zoomScale="72" workbookViewId="0">
      <selection activeCell="J25" sqref="J25"/>
    </sheetView>
  </sheetViews>
  <sheetFormatPr defaultRowHeight="14.5" x14ac:dyDescent="0.35"/>
  <cols>
    <col min="1" max="1" width="1.9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4028-8B34-44A2-8448-C483475D0C02}">
  <sheetPr>
    <tabColor rgb="FF00B0F0"/>
    <pageSetUpPr autoPageBreaks="0"/>
  </sheetPr>
  <dimension ref="A2:N77"/>
  <sheetViews>
    <sheetView showGridLines="0" zoomScale="61" zoomScaleNormal="25" workbookViewId="0">
      <pane ySplit="3" topLeftCell="A50" activePane="bottomLeft" state="frozen"/>
      <selection pane="bottomLeft" activeCell="K85" sqref="K85"/>
    </sheetView>
  </sheetViews>
  <sheetFormatPr defaultRowHeight="14.5" x14ac:dyDescent="0.35"/>
  <cols>
    <col min="1" max="1" width="1.81640625" customWidth="1"/>
    <col min="2" max="2" width="26.08984375" bestFit="1" customWidth="1"/>
    <col min="3" max="3" width="3.54296875" customWidth="1"/>
    <col min="4" max="14" width="10.6328125" customWidth="1"/>
  </cols>
  <sheetData>
    <row r="2" spans="1:14" x14ac:dyDescent="0.35">
      <c r="B2" s="126" t="s">
        <v>55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221"/>
    </row>
    <row r="3" spans="1:14" x14ac:dyDescent="0.35">
      <c r="B3" s="11" t="s">
        <v>56</v>
      </c>
      <c r="C3" s="11"/>
      <c r="D3" s="12">
        <f>'Data Sheet'!B16</f>
        <v>42460</v>
      </c>
      <c r="E3" s="12">
        <f>'Data Sheet'!C16</f>
        <v>42825</v>
      </c>
      <c r="F3" s="12">
        <f>'Data Sheet'!D16</f>
        <v>43190</v>
      </c>
      <c r="G3" s="12">
        <f>'Data Sheet'!E16</f>
        <v>43555</v>
      </c>
      <c r="H3" s="12">
        <f>'Data Sheet'!F16</f>
        <v>43921</v>
      </c>
      <c r="I3" s="12">
        <f>'Data Sheet'!G16</f>
        <v>44286</v>
      </c>
      <c r="J3" s="12">
        <f>'Data Sheet'!H16</f>
        <v>44651</v>
      </c>
      <c r="K3" s="12">
        <f>'Data Sheet'!I16</f>
        <v>45016</v>
      </c>
      <c r="L3" s="12">
        <f>'Data Sheet'!J16</f>
        <v>45382</v>
      </c>
      <c r="M3" s="12">
        <f>'Data Sheet'!K16</f>
        <v>45747</v>
      </c>
      <c r="N3" s="222"/>
    </row>
    <row r="4" spans="1:14" s="220" customFormat="1" x14ac:dyDescent="0.35">
      <c r="A4" s="223" t="s">
        <v>57</v>
      </c>
      <c r="B4" s="224" t="s">
        <v>58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</row>
    <row r="5" spans="1:14" x14ac:dyDescent="0.35">
      <c r="B5" s="2" t="s">
        <v>1</v>
      </c>
      <c r="D5" s="14">
        <f>IFERROR('Data Sheet'!B17,0)</f>
        <v>32186</v>
      </c>
      <c r="E5" s="14">
        <f>IFERROR('Data Sheet'!C17,0)</f>
        <v>33162</v>
      </c>
      <c r="F5" s="14">
        <f>IFERROR('Data Sheet'!D17,0)</f>
        <v>35545</v>
      </c>
      <c r="G5" s="14">
        <f>IFERROR('Data Sheet'!E17,0)</f>
        <v>39310</v>
      </c>
      <c r="H5" s="14">
        <f>IFERROR('Data Sheet'!F17,0)</f>
        <v>39783</v>
      </c>
      <c r="I5" s="14">
        <f>IFERROR('Data Sheet'!G17,0)</f>
        <v>47028</v>
      </c>
      <c r="J5" s="14">
        <f>IFERROR('Data Sheet'!H17,0)</f>
        <v>52446</v>
      </c>
      <c r="K5" s="14">
        <f>IFERROR('Data Sheet'!I17,0)</f>
        <v>60580</v>
      </c>
      <c r="L5" s="14">
        <f>IFERROR('Data Sheet'!J17,0)</f>
        <v>61896</v>
      </c>
      <c r="M5" s="14">
        <f>IFERROR('Data Sheet'!K17,0)</f>
        <v>63121</v>
      </c>
    </row>
    <row r="6" spans="1:14" s="17" customFormat="1" x14ac:dyDescent="0.35">
      <c r="B6" s="18" t="s">
        <v>10</v>
      </c>
      <c r="C6" s="19"/>
      <c r="D6" s="19" t="s">
        <v>59</v>
      </c>
      <c r="E6" s="20">
        <f>E5/D5-1</f>
        <v>3.03237432424035E-2</v>
      </c>
      <c r="F6" s="20">
        <f t="shared" ref="F6:M6" si="0">F5/E5-1</f>
        <v>7.1859357095470644E-2</v>
      </c>
      <c r="G6" s="20">
        <f t="shared" si="0"/>
        <v>0.1059220706147137</v>
      </c>
      <c r="H6" s="20">
        <f t="shared" si="0"/>
        <v>1.2032561689137689E-2</v>
      </c>
      <c r="I6" s="20">
        <f t="shared" si="0"/>
        <v>0.18211296282331646</v>
      </c>
      <c r="J6" s="20">
        <f t="shared" si="0"/>
        <v>0.11520796121459553</v>
      </c>
      <c r="K6" s="20">
        <f t="shared" si="0"/>
        <v>0.15509285741524614</v>
      </c>
      <c r="L6" s="20">
        <f t="shared" si="0"/>
        <v>2.1723341036645749E-2</v>
      </c>
      <c r="M6" s="20">
        <f t="shared" si="0"/>
        <v>1.9791262763344974E-2</v>
      </c>
    </row>
    <row r="7" spans="1:14" x14ac:dyDescent="0.35">
      <c r="B7" s="2"/>
    </row>
    <row r="8" spans="1:14" x14ac:dyDescent="0.35">
      <c r="B8" s="2" t="s">
        <v>60</v>
      </c>
      <c r="D8" s="14">
        <f>IFERROR(SUM('Data Sheet'!B18,'Data Sheet'!B20,'Data Sheet'!B21,'Data Sheet'!B22,)-1*'Data Sheet'!B19,0)</f>
        <v>18222</v>
      </c>
      <c r="E8" s="14">
        <f>IFERROR(SUM('Data Sheet'!C18,'Data Sheet'!C20,'Data Sheet'!C21,'Data Sheet'!C22,)-1*'Data Sheet'!C19,0)</f>
        <v>18675</v>
      </c>
      <c r="F8" s="14">
        <f>IFERROR(SUM('Data Sheet'!D18,'Data Sheet'!D20,'Data Sheet'!D21,'Data Sheet'!D22,)-1*'Data Sheet'!D19,0)</f>
        <v>19314</v>
      </c>
      <c r="G8" s="14">
        <f>IFERROR(SUM('Data Sheet'!E18,'Data Sheet'!E20,'Data Sheet'!E21,'Data Sheet'!E22,)-1*'Data Sheet'!E19,0)</f>
        <v>21081</v>
      </c>
      <c r="H8" s="14">
        <f>IFERROR(SUM('Data Sheet'!F18,'Data Sheet'!F20,'Data Sheet'!F21,'Data Sheet'!F22,)-1*'Data Sheet'!F19,0)</f>
        <v>20614</v>
      </c>
      <c r="I8" s="14">
        <f>IFERROR(SUM('Data Sheet'!G18,'Data Sheet'!G20,'Data Sheet'!G21,'Data Sheet'!G22,)-1*'Data Sheet'!G19,0)</f>
        <v>25301</v>
      </c>
      <c r="J8" s="14">
        <f>IFERROR(SUM('Data Sheet'!H18,'Data Sheet'!H20,'Data Sheet'!H21,'Data Sheet'!H22,)-1*'Data Sheet'!H19,0)</f>
        <v>29066</v>
      </c>
      <c r="K8" s="14">
        <f>IFERROR(SUM('Data Sheet'!I18,'Data Sheet'!I20,'Data Sheet'!I21,'Data Sheet'!I22,)-1*'Data Sheet'!I19,0)</f>
        <v>35381</v>
      </c>
      <c r="L8" s="14">
        <f>IFERROR(SUM('Data Sheet'!J18,'Data Sheet'!J20,'Data Sheet'!J21,'Data Sheet'!J22,)-1*'Data Sheet'!J19,0)</f>
        <v>33651</v>
      </c>
      <c r="M8" s="14">
        <f>IFERROR(SUM('Data Sheet'!K18,'Data Sheet'!K20,'Data Sheet'!K21,'Data Sheet'!K22,)-1*'Data Sheet'!K19,0)</f>
        <v>34529</v>
      </c>
    </row>
    <row r="9" spans="1:14" s="17" customFormat="1" x14ac:dyDescent="0.35">
      <c r="B9" s="18" t="s">
        <v>61</v>
      </c>
      <c r="D9" s="20">
        <f>D8/D5</f>
        <v>0.56614677188839868</v>
      </c>
      <c r="E9" s="20">
        <f t="shared" ref="E9:M9" si="1">E8/E5</f>
        <v>0.5631445630540981</v>
      </c>
      <c r="F9" s="20">
        <f t="shared" si="1"/>
        <v>0.54336756224504146</v>
      </c>
      <c r="G9" s="20">
        <f t="shared" si="1"/>
        <v>0.53627575680488426</v>
      </c>
      <c r="H9" s="20">
        <f t="shared" si="1"/>
        <v>0.51816102355277383</v>
      </c>
      <c r="I9" s="20">
        <f t="shared" si="1"/>
        <v>0.53799863910861612</v>
      </c>
      <c r="J9" s="20">
        <f t="shared" si="1"/>
        <v>0.55420813789421497</v>
      </c>
      <c r="K9" s="20">
        <f t="shared" si="1"/>
        <v>0.58403763618355897</v>
      </c>
      <c r="L9" s="20">
        <f t="shared" si="1"/>
        <v>0.54367002714230317</v>
      </c>
      <c r="M9" s="20">
        <f t="shared" si="1"/>
        <v>0.54702872261212587</v>
      </c>
    </row>
    <row r="10" spans="1:14" x14ac:dyDescent="0.35">
      <c r="B10" s="2"/>
    </row>
    <row r="11" spans="1:14" s="160" customFormat="1" x14ac:dyDescent="0.35">
      <c r="B11" s="169" t="s">
        <v>62</v>
      </c>
      <c r="C11" s="56"/>
      <c r="D11" s="150">
        <f>D5-D8</f>
        <v>13964</v>
      </c>
      <c r="E11" s="150">
        <f t="shared" ref="E11:M11" si="2">E5-E8</f>
        <v>14487</v>
      </c>
      <c r="F11" s="150">
        <f t="shared" si="2"/>
        <v>16231</v>
      </c>
      <c r="G11" s="150">
        <f t="shared" si="2"/>
        <v>18229</v>
      </c>
      <c r="H11" s="150">
        <f t="shared" si="2"/>
        <v>19169</v>
      </c>
      <c r="I11" s="150">
        <f t="shared" si="2"/>
        <v>21727</v>
      </c>
      <c r="J11" s="150">
        <f t="shared" si="2"/>
        <v>23380</v>
      </c>
      <c r="K11" s="150">
        <f t="shared" si="2"/>
        <v>25199</v>
      </c>
      <c r="L11" s="150">
        <f t="shared" si="2"/>
        <v>28245</v>
      </c>
      <c r="M11" s="150">
        <f t="shared" si="2"/>
        <v>28592</v>
      </c>
    </row>
    <row r="12" spans="1:14" s="17" customFormat="1" x14ac:dyDescent="0.35">
      <c r="B12" s="18" t="s">
        <v>63</v>
      </c>
      <c r="D12" s="17" t="s">
        <v>59</v>
      </c>
      <c r="E12" s="20">
        <f>E11/D11-1</f>
        <v>3.7453451733027832E-2</v>
      </c>
      <c r="F12" s="20">
        <f t="shared" ref="F12:M12" si="3">F11/E11-1</f>
        <v>0.12038379236556906</v>
      </c>
      <c r="G12" s="20">
        <f t="shared" si="3"/>
        <v>0.12309777586100679</v>
      </c>
      <c r="H12" s="20">
        <f t="shared" si="3"/>
        <v>5.1566185747983884E-2</v>
      </c>
      <c r="I12" s="20">
        <f t="shared" si="3"/>
        <v>0.1334446241327143</v>
      </c>
      <c r="J12" s="20">
        <f t="shared" si="3"/>
        <v>7.6080452892714145E-2</v>
      </c>
      <c r="K12" s="20">
        <f t="shared" si="3"/>
        <v>7.7801539777587747E-2</v>
      </c>
      <c r="L12" s="20">
        <f t="shared" si="3"/>
        <v>0.12087781261161168</v>
      </c>
      <c r="M12" s="20">
        <f t="shared" si="3"/>
        <v>1.2285360240750665E-2</v>
      </c>
    </row>
    <row r="13" spans="1:14" x14ac:dyDescent="0.35">
      <c r="B13" s="2"/>
    </row>
    <row r="14" spans="1:14" x14ac:dyDescent="0.35">
      <c r="B14" s="2" t="s">
        <v>64</v>
      </c>
      <c r="D14" s="14">
        <f>IFERROR(SUM('Data Sheet'!B23,'Data Sheet'!B24),0)</f>
        <v>8054</v>
      </c>
      <c r="E14" s="14">
        <f>IFERROR(SUM('Data Sheet'!C23,'Data Sheet'!C24),0)</f>
        <v>8159</v>
      </c>
      <c r="F14" s="14">
        <f>IFERROR(SUM('Data Sheet'!D23,'Data Sheet'!D24),0)</f>
        <v>8732</v>
      </c>
      <c r="G14" s="14">
        <f>IFERROR(SUM('Data Sheet'!E23,'Data Sheet'!E24),0)</f>
        <v>9349</v>
      </c>
      <c r="H14" s="14">
        <f>IFERROR(SUM('Data Sheet'!F23,'Data Sheet'!F24),0)</f>
        <v>9308</v>
      </c>
      <c r="I14" s="14">
        <f>IFERROR(SUM('Data Sheet'!G23,'Data Sheet'!G24),0)</f>
        <v>10101</v>
      </c>
      <c r="J14" s="14">
        <f>IFERROR(SUM('Data Sheet'!H23,'Data Sheet'!H24),0)</f>
        <v>10523</v>
      </c>
      <c r="K14" s="14">
        <f>IFERROR(SUM('Data Sheet'!I23,'Data Sheet'!I24),0)</f>
        <v>11052</v>
      </c>
      <c r="L14" s="14">
        <f>IFERROR(SUM('Data Sheet'!J23,'Data Sheet'!J24),0)</f>
        <v>13586</v>
      </c>
      <c r="M14" s="14">
        <f>IFERROR(SUM('Data Sheet'!K23,'Data Sheet'!K24),0)</f>
        <v>13749</v>
      </c>
    </row>
    <row r="15" spans="1:14" s="17" customFormat="1" x14ac:dyDescent="0.35">
      <c r="B15" s="18" t="s">
        <v>65</v>
      </c>
      <c r="D15" s="20">
        <f>D14/D5</f>
        <v>0.25023302056794877</v>
      </c>
      <c r="E15" s="20">
        <f t="shared" ref="E15:M15" si="4">E14/E5</f>
        <v>0.24603461793619202</v>
      </c>
      <c r="F15" s="20">
        <f t="shared" si="4"/>
        <v>0.24566043044028696</v>
      </c>
      <c r="G15" s="20">
        <f t="shared" si="4"/>
        <v>0.23782752480284916</v>
      </c>
      <c r="H15" s="20">
        <f t="shared" si="4"/>
        <v>0.23396928336224015</v>
      </c>
      <c r="I15" s="20">
        <f t="shared" si="4"/>
        <v>0.21478693544271499</v>
      </c>
      <c r="J15" s="20">
        <f t="shared" si="4"/>
        <v>0.20064447240971667</v>
      </c>
      <c r="K15" s="20">
        <f t="shared" si="4"/>
        <v>0.18243644767249917</v>
      </c>
      <c r="L15" s="20">
        <f t="shared" si="4"/>
        <v>0.21949722114514669</v>
      </c>
      <c r="M15" s="20">
        <f t="shared" si="4"/>
        <v>0.21781974303322191</v>
      </c>
    </row>
    <row r="16" spans="1:14" x14ac:dyDescent="0.35">
      <c r="B16" s="2"/>
    </row>
    <row r="17" spans="2:13" s="160" customFormat="1" x14ac:dyDescent="0.35">
      <c r="B17" s="169" t="s">
        <v>66</v>
      </c>
      <c r="C17" s="56"/>
      <c r="D17" s="150">
        <f>D11-D14</f>
        <v>5910</v>
      </c>
      <c r="E17" s="150">
        <f t="shared" ref="E17:M17" si="5">E11-E14</f>
        <v>6328</v>
      </c>
      <c r="F17" s="150">
        <f t="shared" si="5"/>
        <v>7499</v>
      </c>
      <c r="G17" s="150">
        <f t="shared" si="5"/>
        <v>8880</v>
      </c>
      <c r="H17" s="150">
        <f t="shared" si="5"/>
        <v>9861</v>
      </c>
      <c r="I17" s="150">
        <f t="shared" si="5"/>
        <v>11626</v>
      </c>
      <c r="J17" s="150">
        <f t="shared" si="5"/>
        <v>12857</v>
      </c>
      <c r="K17" s="150">
        <f t="shared" si="5"/>
        <v>14147</v>
      </c>
      <c r="L17" s="150">
        <f t="shared" si="5"/>
        <v>14659</v>
      </c>
      <c r="M17" s="150">
        <f t="shared" si="5"/>
        <v>14843</v>
      </c>
    </row>
    <row r="18" spans="2:13" s="17" customFormat="1" x14ac:dyDescent="0.35">
      <c r="B18" s="18" t="s">
        <v>67</v>
      </c>
      <c r="D18" s="20">
        <f>D17/D5</f>
        <v>0.18362020754365252</v>
      </c>
      <c r="E18" s="20">
        <f t="shared" ref="E18:M18" si="6">E17/E5</f>
        <v>0.1908208190097099</v>
      </c>
      <c r="F18" s="20">
        <f t="shared" si="6"/>
        <v>0.21097200731467156</v>
      </c>
      <c r="G18" s="20">
        <f t="shared" si="6"/>
        <v>0.2258967183922666</v>
      </c>
      <c r="H18" s="20">
        <f t="shared" si="6"/>
        <v>0.24786969308498605</v>
      </c>
      <c r="I18" s="20">
        <f t="shared" si="6"/>
        <v>0.24721442544866887</v>
      </c>
      <c r="J18" s="20">
        <f t="shared" si="6"/>
        <v>0.24514738969606834</v>
      </c>
      <c r="K18" s="20">
        <f t="shared" si="6"/>
        <v>0.23352591614394189</v>
      </c>
      <c r="L18" s="20">
        <f t="shared" si="6"/>
        <v>0.23683275171255008</v>
      </c>
      <c r="M18" s="20">
        <f t="shared" si="6"/>
        <v>0.23515153435465216</v>
      </c>
    </row>
    <row r="19" spans="2:13" x14ac:dyDescent="0.35">
      <c r="B19" s="16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2:13" x14ac:dyDescent="0.35">
      <c r="B20" s="2" t="s">
        <v>4</v>
      </c>
      <c r="D20" s="14">
        <f>IFERROR('Data Sheet'!B25,0)</f>
        <v>486</v>
      </c>
      <c r="E20" s="14">
        <f>IFERROR('Data Sheet'!C25,0)</f>
        <v>606</v>
      </c>
      <c r="F20" s="14">
        <f>IFERROR('Data Sheet'!D25,0)</f>
        <v>353</v>
      </c>
      <c r="G20" s="14">
        <f>IFERROR('Data Sheet'!E25,0)</f>
        <v>322</v>
      </c>
      <c r="H20" s="14">
        <f>IFERROR('Data Sheet'!F25,0)</f>
        <v>424</v>
      </c>
      <c r="I20" s="14">
        <f>IFERROR('Data Sheet'!G25,0)</f>
        <v>170</v>
      </c>
      <c r="J20" s="14">
        <f>IFERROR('Data Sheet'!H25,0)</f>
        <v>219</v>
      </c>
      <c r="K20" s="14">
        <f>IFERROR('Data Sheet'!I25,0)</f>
        <v>448</v>
      </c>
      <c r="L20" s="14">
        <f>IFERROR('Data Sheet'!J25,0)</f>
        <v>817</v>
      </c>
      <c r="M20" s="14">
        <f>IFERROR('Data Sheet'!K25,0)</f>
        <v>1322</v>
      </c>
    </row>
    <row r="21" spans="2:13" x14ac:dyDescent="0.35">
      <c r="B21" s="2"/>
    </row>
    <row r="22" spans="2:13" x14ac:dyDescent="0.35">
      <c r="B22" s="2" t="s">
        <v>5</v>
      </c>
      <c r="D22" s="14">
        <f>IFERROR('Data Sheet'!B26,0)</f>
        <v>353</v>
      </c>
      <c r="E22" s="14">
        <f>IFERROR('Data Sheet'!C26,0)</f>
        <v>432</v>
      </c>
      <c r="F22" s="14">
        <f>IFERROR('Data Sheet'!D26,0)</f>
        <v>520</v>
      </c>
      <c r="G22" s="14">
        <f>IFERROR('Data Sheet'!E26,0)</f>
        <v>565</v>
      </c>
      <c r="H22" s="14">
        <f>IFERROR('Data Sheet'!F26,0)</f>
        <v>1002</v>
      </c>
      <c r="I22" s="14">
        <f>IFERROR('Data Sheet'!G26,0)</f>
        <v>1074</v>
      </c>
      <c r="J22" s="14">
        <f>IFERROR('Data Sheet'!H26,0)</f>
        <v>1091</v>
      </c>
      <c r="K22" s="14">
        <f>IFERROR('Data Sheet'!I26,0)</f>
        <v>1137</v>
      </c>
      <c r="L22" s="14">
        <f>IFERROR('Data Sheet'!J26,0)</f>
        <v>1216</v>
      </c>
      <c r="M22" s="14">
        <f>IFERROR('Data Sheet'!K26,0)</f>
        <v>1355</v>
      </c>
    </row>
    <row r="23" spans="2:13" s="17" customFormat="1" x14ac:dyDescent="0.35">
      <c r="B23" s="18" t="s">
        <v>71</v>
      </c>
      <c r="D23" s="20">
        <f>D22/D5</f>
        <v>1.0967501398123409E-2</v>
      </c>
      <c r="E23" s="20">
        <f t="shared" ref="E23:M23" si="7">E22/E5</f>
        <v>1.3026958567034558E-2</v>
      </c>
      <c r="F23" s="20">
        <f t="shared" si="7"/>
        <v>1.4629343086228723E-2</v>
      </c>
      <c r="G23" s="20">
        <f t="shared" si="7"/>
        <v>1.437293309590435E-2</v>
      </c>
      <c r="H23" s="20">
        <f t="shared" si="7"/>
        <v>2.5186637508483524E-2</v>
      </c>
      <c r="I23" s="20">
        <f t="shared" si="7"/>
        <v>2.2837458535340648E-2</v>
      </c>
      <c r="J23" s="20">
        <f t="shared" si="7"/>
        <v>2.0802349082866187E-2</v>
      </c>
      <c r="K23" s="20">
        <f t="shared" si="7"/>
        <v>1.8768570485308684E-2</v>
      </c>
      <c r="L23" s="20">
        <f t="shared" si="7"/>
        <v>1.9645857567532635E-2</v>
      </c>
      <c r="M23" s="20">
        <f t="shared" si="7"/>
        <v>2.1466706801223048E-2</v>
      </c>
    </row>
    <row r="24" spans="2:13" x14ac:dyDescent="0.35">
      <c r="B24" s="2"/>
    </row>
    <row r="25" spans="2:13" s="160" customFormat="1" x14ac:dyDescent="0.35">
      <c r="B25" s="169" t="s">
        <v>68</v>
      </c>
      <c r="C25" s="56"/>
      <c r="D25" s="150">
        <f>D17+D20-D22</f>
        <v>6043</v>
      </c>
      <c r="E25" s="150">
        <f t="shared" ref="E25:M25" si="8">E17-E22</f>
        <v>5896</v>
      </c>
      <c r="F25" s="150">
        <f t="shared" si="8"/>
        <v>6979</v>
      </c>
      <c r="G25" s="150">
        <f t="shared" si="8"/>
        <v>8315</v>
      </c>
      <c r="H25" s="150">
        <f t="shared" si="8"/>
        <v>8859</v>
      </c>
      <c r="I25" s="150">
        <f t="shared" si="8"/>
        <v>10552</v>
      </c>
      <c r="J25" s="150">
        <f t="shared" si="8"/>
        <v>11766</v>
      </c>
      <c r="K25" s="150">
        <f t="shared" si="8"/>
        <v>13010</v>
      </c>
      <c r="L25" s="150">
        <f t="shared" si="8"/>
        <v>13443</v>
      </c>
      <c r="M25" s="150">
        <f t="shared" si="8"/>
        <v>13488</v>
      </c>
    </row>
    <row r="26" spans="2:13" s="17" customFormat="1" x14ac:dyDescent="0.35">
      <c r="B26" s="18" t="s">
        <v>73</v>
      </c>
      <c r="D26" s="20">
        <f>D25/D5</f>
        <v>0.18775243894861121</v>
      </c>
      <c r="E26" s="20">
        <f t="shared" ref="E26:M26" si="9">E25/E5</f>
        <v>0.17779386044267534</v>
      </c>
      <c r="F26" s="20">
        <f t="shared" si="9"/>
        <v>0.19634266422844282</v>
      </c>
      <c r="G26" s="20">
        <f t="shared" si="9"/>
        <v>0.21152378529636226</v>
      </c>
      <c r="H26" s="20">
        <f t="shared" si="9"/>
        <v>0.22268305557650253</v>
      </c>
      <c r="I26" s="20">
        <f t="shared" si="9"/>
        <v>0.22437696691332823</v>
      </c>
      <c r="J26" s="20">
        <f t="shared" si="9"/>
        <v>0.22434504061320215</v>
      </c>
      <c r="K26" s="20">
        <f t="shared" si="9"/>
        <v>0.21475734565863322</v>
      </c>
      <c r="L26" s="20">
        <f t="shared" si="9"/>
        <v>0.21718689414501746</v>
      </c>
      <c r="M26" s="20">
        <f t="shared" si="9"/>
        <v>0.21368482755342913</v>
      </c>
    </row>
    <row r="27" spans="2:13" x14ac:dyDescent="0.35">
      <c r="B27" s="2"/>
    </row>
    <row r="28" spans="2:13" x14ac:dyDescent="0.35">
      <c r="B28" s="2" t="s">
        <v>6</v>
      </c>
      <c r="D28" s="14">
        <f>IFERROR('Data Sheet'!B27,0)</f>
        <v>17</v>
      </c>
      <c r="E28" s="14">
        <f>IFERROR('Data Sheet'!C27,0)</f>
        <v>35</v>
      </c>
      <c r="F28" s="14">
        <f>IFERROR('Data Sheet'!D27,0)</f>
        <v>26</v>
      </c>
      <c r="G28" s="14">
        <f>IFERROR('Data Sheet'!E27,0)</f>
        <v>33</v>
      </c>
      <c r="H28" s="14">
        <f>IFERROR('Data Sheet'!F27,0)</f>
        <v>118</v>
      </c>
      <c r="I28" s="14">
        <f>IFERROR('Data Sheet'!G27,0)</f>
        <v>117</v>
      </c>
      <c r="J28" s="14">
        <f>IFERROR('Data Sheet'!H27,0)</f>
        <v>106</v>
      </c>
      <c r="K28" s="14">
        <f>IFERROR('Data Sheet'!I27,0)</f>
        <v>114</v>
      </c>
      <c r="L28" s="14">
        <f>IFERROR('Data Sheet'!J27,0)</f>
        <v>334</v>
      </c>
      <c r="M28" s="14">
        <f>IFERROR('Data Sheet'!K27,0)</f>
        <v>395</v>
      </c>
    </row>
    <row r="29" spans="2:13" x14ac:dyDescent="0.35">
      <c r="B29" s="2"/>
    </row>
    <row r="30" spans="2:13" s="160" customFormat="1" x14ac:dyDescent="0.35">
      <c r="B30" s="169" t="s">
        <v>154</v>
      </c>
      <c r="C30" s="56"/>
      <c r="D30" s="150">
        <f>D25-D28</f>
        <v>6026</v>
      </c>
      <c r="E30" s="150">
        <f t="shared" ref="E30:M30" si="10">E25-E28</f>
        <v>5861</v>
      </c>
      <c r="F30" s="150">
        <f t="shared" si="10"/>
        <v>6953</v>
      </c>
      <c r="G30" s="150">
        <f t="shared" si="10"/>
        <v>8282</v>
      </c>
      <c r="H30" s="150">
        <f t="shared" si="10"/>
        <v>8741</v>
      </c>
      <c r="I30" s="150">
        <f t="shared" si="10"/>
        <v>10435</v>
      </c>
      <c r="J30" s="150">
        <f t="shared" si="10"/>
        <v>11660</v>
      </c>
      <c r="K30" s="150">
        <f t="shared" si="10"/>
        <v>12896</v>
      </c>
      <c r="L30" s="150">
        <f t="shared" si="10"/>
        <v>13109</v>
      </c>
      <c r="M30" s="150">
        <f t="shared" si="10"/>
        <v>13093</v>
      </c>
    </row>
    <row r="31" spans="2:13" s="17" customFormat="1" x14ac:dyDescent="0.35">
      <c r="B31" s="18" t="s">
        <v>72</v>
      </c>
      <c r="D31" s="20">
        <f>D30/D5</f>
        <v>0.18722425899459391</v>
      </c>
      <c r="E31" s="20">
        <f t="shared" ref="E31:M31" si="11">E30/E5</f>
        <v>0.17673843555877208</v>
      </c>
      <c r="F31" s="20">
        <f t="shared" si="11"/>
        <v>0.19561119707413138</v>
      </c>
      <c r="G31" s="20">
        <f t="shared" si="11"/>
        <v>0.21068430424828288</v>
      </c>
      <c r="H31" s="20">
        <f t="shared" si="11"/>
        <v>0.21971696453258929</v>
      </c>
      <c r="I31" s="20">
        <f t="shared" si="11"/>
        <v>0.22188908735221571</v>
      </c>
      <c r="J31" s="20">
        <f t="shared" si="11"/>
        <v>0.22232391412119132</v>
      </c>
      <c r="K31" s="20">
        <f t="shared" si="11"/>
        <v>0.21287553648068669</v>
      </c>
      <c r="L31" s="20">
        <f t="shared" si="11"/>
        <v>0.2117907457670932</v>
      </c>
      <c r="M31" s="20">
        <f t="shared" si="11"/>
        <v>0.20742700527558183</v>
      </c>
    </row>
    <row r="32" spans="2:13" x14ac:dyDescent="0.35">
      <c r="B32" s="2"/>
    </row>
    <row r="33" spans="2:13" x14ac:dyDescent="0.35">
      <c r="B33" s="2" t="s">
        <v>69</v>
      </c>
      <c r="D33" s="14">
        <f>IFERROR('Data Sheet'!B29,0)</f>
        <v>1875</v>
      </c>
      <c r="E33" s="14">
        <f>IFERROR('Data Sheet'!C29,0)</f>
        <v>1977</v>
      </c>
      <c r="F33" s="14">
        <f>IFERROR('Data Sheet'!D29,0)</f>
        <v>2079</v>
      </c>
      <c r="G33" s="14">
        <f>IFERROR('Data Sheet'!E29,0)</f>
        <v>2544</v>
      </c>
      <c r="H33" s="14">
        <f>IFERROR('Data Sheet'!F29,0)</f>
        <v>2409</v>
      </c>
      <c r="I33" s="14">
        <f>IFERROR('Data Sheet'!G29,0)</f>
        <v>2606</v>
      </c>
      <c r="J33" s="14">
        <f>IFERROR('Data Sheet'!H29,0)</f>
        <v>2987</v>
      </c>
      <c r="K33" s="14">
        <f>IFERROR('Data Sheet'!I29,0)</f>
        <v>3201</v>
      </c>
      <c r="L33" s="14">
        <f>IFERROR('Data Sheet'!J29,0)</f>
        <v>3644</v>
      </c>
      <c r="M33" s="14">
        <f>IFERROR('Data Sheet'!K29,0)</f>
        <v>3744</v>
      </c>
    </row>
    <row r="34" spans="2:13" s="17" customFormat="1" x14ac:dyDescent="0.35">
      <c r="B34" s="18" t="s">
        <v>74</v>
      </c>
      <c r="D34" s="20">
        <f>D33/D30</f>
        <v>0.31115167607036176</v>
      </c>
      <c r="E34" s="20">
        <f t="shared" ref="E34:M34" si="12">E33/E30</f>
        <v>0.33731445145879541</v>
      </c>
      <c r="F34" s="20">
        <f t="shared" si="12"/>
        <v>0.29900762260894576</v>
      </c>
      <c r="G34" s="20">
        <f t="shared" si="12"/>
        <v>0.30717218063269741</v>
      </c>
      <c r="H34" s="20">
        <f t="shared" si="12"/>
        <v>0.27559775769362771</v>
      </c>
      <c r="I34" s="20">
        <f t="shared" si="12"/>
        <v>0.24973646382367035</v>
      </c>
      <c r="J34" s="20">
        <f t="shared" si="12"/>
        <v>0.25617495711835336</v>
      </c>
      <c r="K34" s="20">
        <f t="shared" si="12"/>
        <v>0.24821650124069478</v>
      </c>
      <c r="L34" s="20">
        <f t="shared" si="12"/>
        <v>0.27797696239224962</v>
      </c>
      <c r="M34" s="20">
        <f t="shared" si="12"/>
        <v>0.28595432673947913</v>
      </c>
    </row>
    <row r="35" spans="2:13" x14ac:dyDescent="0.35">
      <c r="B35" s="2"/>
    </row>
    <row r="36" spans="2:13" s="160" customFormat="1" x14ac:dyDescent="0.35">
      <c r="B36" s="169" t="s">
        <v>70</v>
      </c>
      <c r="C36" s="56"/>
      <c r="D36" s="150">
        <f>D30-D33</f>
        <v>4151</v>
      </c>
      <c r="E36" s="150">
        <f t="shared" ref="E36:M36" si="13">E30-E33</f>
        <v>3884</v>
      </c>
      <c r="F36" s="150">
        <f t="shared" si="13"/>
        <v>4874</v>
      </c>
      <c r="G36" s="150">
        <f t="shared" si="13"/>
        <v>5738</v>
      </c>
      <c r="H36" s="150">
        <f t="shared" si="13"/>
        <v>6332</v>
      </c>
      <c r="I36" s="150">
        <f t="shared" si="13"/>
        <v>7829</v>
      </c>
      <c r="J36" s="150">
        <f t="shared" si="13"/>
        <v>8673</v>
      </c>
      <c r="K36" s="150">
        <f t="shared" si="13"/>
        <v>9695</v>
      </c>
      <c r="L36" s="150">
        <f t="shared" si="13"/>
        <v>9465</v>
      </c>
      <c r="M36" s="150">
        <f t="shared" si="13"/>
        <v>9349</v>
      </c>
    </row>
    <row r="37" spans="2:13" s="17" customFormat="1" x14ac:dyDescent="0.35">
      <c r="B37" s="18" t="s">
        <v>75</v>
      </c>
      <c r="D37" s="20">
        <f>D36/D5</f>
        <v>0.12896911700739452</v>
      </c>
      <c r="E37" s="20">
        <f t="shared" ref="E37:M37" si="14">E36/E5</f>
        <v>0.11712200711657922</v>
      </c>
      <c r="F37" s="20">
        <f t="shared" si="14"/>
        <v>0.1371219580813054</v>
      </c>
      <c r="G37" s="20">
        <f t="shared" si="14"/>
        <v>0.14596794708725516</v>
      </c>
      <c r="H37" s="20">
        <f t="shared" si="14"/>
        <v>0.15916346178015736</v>
      </c>
      <c r="I37" s="20">
        <f t="shared" si="14"/>
        <v>0.16647529131581185</v>
      </c>
      <c r="J37" s="20">
        <f t="shared" si="14"/>
        <v>0.16537009495481067</v>
      </c>
      <c r="K37" s="20">
        <f t="shared" si="14"/>
        <v>0.16003631561571477</v>
      </c>
      <c r="L37" s="20">
        <f t="shared" si="14"/>
        <v>0.15291779759596744</v>
      </c>
      <c r="M37" s="20">
        <f t="shared" si="14"/>
        <v>0.14811235563441644</v>
      </c>
    </row>
    <row r="38" spans="2:13" x14ac:dyDescent="0.35">
      <c r="B38" s="2"/>
    </row>
    <row r="39" spans="2:13" x14ac:dyDescent="0.35">
      <c r="B39" s="2" t="s">
        <v>76</v>
      </c>
      <c r="D39">
        <f>IFERROR('Data Sheet'!B93,0)</f>
        <v>216.39</v>
      </c>
      <c r="E39">
        <f>IFERROR('Data Sheet'!C93,0)</f>
        <v>216.43</v>
      </c>
      <c r="F39">
        <f>IFERROR('Data Sheet'!D93,0)</f>
        <v>216.45</v>
      </c>
      <c r="G39">
        <f>IFERROR('Data Sheet'!E93,0)</f>
        <v>216.47</v>
      </c>
      <c r="H39">
        <f>IFERROR('Data Sheet'!F93,0)</f>
        <v>216.48</v>
      </c>
      <c r="I39">
        <f>IFERROR('Data Sheet'!G93,0)</f>
        <v>234.96</v>
      </c>
      <c r="J39">
        <f>IFERROR('Data Sheet'!H93,0)</f>
        <v>234.96</v>
      </c>
      <c r="K39">
        <f>IFERROR('Data Sheet'!I93,0)</f>
        <v>234.96</v>
      </c>
      <c r="L39">
        <f>IFERROR('Data Sheet'!J93,0)</f>
        <v>234.96</v>
      </c>
      <c r="M39">
        <f>IFERROR('Data Sheet'!K93,0)</f>
        <v>234.96</v>
      </c>
    </row>
    <row r="40" spans="2:13" x14ac:dyDescent="0.35">
      <c r="B40" s="2"/>
    </row>
    <row r="41" spans="2:13" s="160" customFormat="1" x14ac:dyDescent="0.35">
      <c r="B41" s="169" t="s">
        <v>77</v>
      </c>
      <c r="C41" s="56"/>
      <c r="D41" s="162">
        <f>D36/D39</f>
        <v>19.182956698553539</v>
      </c>
      <c r="E41" s="162">
        <f t="shared" ref="E41:M41" si="15">E36/E39</f>
        <v>17.945756133622879</v>
      </c>
      <c r="F41" s="162">
        <f t="shared" si="15"/>
        <v>22.51790251790252</v>
      </c>
      <c r="G41" s="162">
        <f t="shared" si="15"/>
        <v>26.507137247655564</v>
      </c>
      <c r="H41" s="162">
        <f t="shared" si="15"/>
        <v>29.249815225424982</v>
      </c>
      <c r="I41" s="162">
        <f t="shared" si="15"/>
        <v>33.320565202587673</v>
      </c>
      <c r="J41" s="162">
        <f t="shared" si="15"/>
        <v>36.912665985699689</v>
      </c>
      <c r="K41" s="162">
        <f t="shared" si="15"/>
        <v>41.262342526387471</v>
      </c>
      <c r="L41" s="162">
        <f t="shared" si="15"/>
        <v>40.283452502553622</v>
      </c>
      <c r="M41" s="162">
        <f t="shared" si="15"/>
        <v>39.789751447054819</v>
      </c>
    </row>
    <row r="42" spans="2:13" s="17" customFormat="1" x14ac:dyDescent="0.35">
      <c r="B42" s="18" t="s">
        <v>78</v>
      </c>
      <c r="E42" s="20">
        <f>E41/D41-1</f>
        <v>-6.449477963029282E-2</v>
      </c>
      <c r="F42" s="20">
        <f t="shared" ref="F42:M42" si="16">F41/E41-1</f>
        <v>0.25477591193348159</v>
      </c>
      <c r="G42" s="20">
        <f t="shared" si="16"/>
        <v>0.17715836217789205</v>
      </c>
      <c r="H42" s="20">
        <f t="shared" si="16"/>
        <v>0.10346941475213423</v>
      </c>
      <c r="I42" s="20">
        <f t="shared" si="16"/>
        <v>0.1391718185496178</v>
      </c>
      <c r="J42" s="20">
        <f t="shared" si="16"/>
        <v>0.10780431728190054</v>
      </c>
      <c r="K42" s="20">
        <f t="shared" si="16"/>
        <v>0.11783696529459253</v>
      </c>
      <c r="L42" s="20">
        <f t="shared" si="16"/>
        <v>-2.3723568849922771E-2</v>
      </c>
      <c r="M42" s="20">
        <f t="shared" si="16"/>
        <v>-1.2255678816692983E-2</v>
      </c>
    </row>
    <row r="43" spans="2:13" x14ac:dyDescent="0.35">
      <c r="B43" s="2"/>
    </row>
    <row r="44" spans="2:13" s="160" customFormat="1" x14ac:dyDescent="0.35">
      <c r="B44" s="215" t="s">
        <v>79</v>
      </c>
      <c r="D44" s="161">
        <f>IFERROR('Data Sheet'!B31/'Historical Financial Statements'!D39,0)</f>
        <v>15.971163177596008</v>
      </c>
      <c r="E44" s="161">
        <f>IFERROR('Data Sheet'!C31/'Historical Financial Statements'!E39,0)</f>
        <v>16.966224645381878</v>
      </c>
      <c r="F44" s="161">
        <f>IFERROR('Data Sheet'!D31/'Historical Financial Statements'!F39,0)</f>
        <v>19.95841995841996</v>
      </c>
      <c r="G44" s="161">
        <f>IFERROR('Data Sheet'!E31/'Historical Financial Statements'!G39,0)</f>
        <v>21.95223356585208</v>
      </c>
      <c r="H44" s="161">
        <f>IFERROR('Data Sheet'!F31/'Historical Financial Statements'!H39,0)</f>
        <v>24.944567627494457</v>
      </c>
      <c r="I44" s="161">
        <f>IFERROR('Data Sheet'!G31/'Historical Financial Statements'!I39,0)</f>
        <v>40.506894790602651</v>
      </c>
      <c r="J44" s="161">
        <f>IFERROR('Data Sheet'!H31/'Historical Financial Statements'!J39,0)</f>
        <v>34.005788219271366</v>
      </c>
      <c r="K44" s="161">
        <f>IFERROR('Data Sheet'!I31/'Historical Financial Statements'!K39,0)</f>
        <v>39.006639427987743</v>
      </c>
      <c r="L44" s="161">
        <f>IFERROR('Data Sheet'!J31/'Historical Financial Statements'!L39,0)</f>
        <v>42.007150153217566</v>
      </c>
      <c r="M44" s="161">
        <f>IFERROR('Data Sheet'!K31/'Historical Financial Statements'!M39,0)</f>
        <v>53.009022812393596</v>
      </c>
    </row>
    <row r="45" spans="2:13" s="17" customFormat="1" x14ac:dyDescent="0.35">
      <c r="B45" s="18" t="s">
        <v>80</v>
      </c>
      <c r="D45" s="20">
        <f>D44/D41</f>
        <v>0.83257046494820519</v>
      </c>
      <c r="E45" s="20">
        <f t="shared" ref="E45:M45" si="17">E44/E41</f>
        <v>0.94541709577754895</v>
      </c>
      <c r="F45" s="20">
        <f t="shared" si="17"/>
        <v>0.88633565859663521</v>
      </c>
      <c r="G45" s="20">
        <f t="shared" si="17"/>
        <v>0.82816312303938655</v>
      </c>
      <c r="H45" s="20">
        <f t="shared" si="17"/>
        <v>0.85281111813013266</v>
      </c>
      <c r="I45" s="20">
        <f t="shared" si="17"/>
        <v>1.2156724996806743</v>
      </c>
      <c r="J45" s="20">
        <f t="shared" si="17"/>
        <v>0.92124985587455333</v>
      </c>
      <c r="K45" s="20">
        <f t="shared" si="17"/>
        <v>0.94533264569365649</v>
      </c>
      <c r="L45" s="20">
        <f t="shared" si="17"/>
        <v>1.0427892234548337</v>
      </c>
      <c r="M45" s="20">
        <f t="shared" si="17"/>
        <v>1.3322280457802973</v>
      </c>
    </row>
    <row r="46" spans="2:13" x14ac:dyDescent="0.35">
      <c r="B46" s="2"/>
    </row>
    <row r="47" spans="2:13" s="216" customFormat="1" x14ac:dyDescent="0.35">
      <c r="B47" s="217" t="s">
        <v>81</v>
      </c>
      <c r="C47" s="218"/>
      <c r="D47" s="219">
        <f>IFERROR(IF(D41&gt;D44,1-D45,0),0)</f>
        <v>0.16742953505179481</v>
      </c>
      <c r="E47" s="219">
        <f t="shared" ref="E47:M47" si="18">IFERROR(IF(E41&gt;E44,1-E45,0),0)</f>
        <v>5.4582904222451045E-2</v>
      </c>
      <c r="F47" s="219">
        <f t="shared" si="18"/>
        <v>0.11366434140336479</v>
      </c>
      <c r="G47" s="219">
        <f t="shared" si="18"/>
        <v>0.17183687696061345</v>
      </c>
      <c r="H47" s="219">
        <f t="shared" si="18"/>
        <v>0.14718888186986734</v>
      </c>
      <c r="I47" s="219">
        <f t="shared" si="18"/>
        <v>0</v>
      </c>
      <c r="J47" s="219">
        <f t="shared" si="18"/>
        <v>7.8750144125446675E-2</v>
      </c>
      <c r="K47" s="219">
        <f t="shared" si="18"/>
        <v>5.4667354306343507E-2</v>
      </c>
      <c r="L47" s="219">
        <f t="shared" si="18"/>
        <v>0</v>
      </c>
      <c r="M47" s="219">
        <f t="shared" si="18"/>
        <v>0</v>
      </c>
    </row>
    <row r="50" spans="1:13" s="220" customFormat="1" x14ac:dyDescent="0.35">
      <c r="A50" s="223" t="s">
        <v>57</v>
      </c>
      <c r="B50" s="225" t="s">
        <v>82</v>
      </c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</row>
    <row r="51" spans="1:13" x14ac:dyDescent="0.35">
      <c r="B51" t="s">
        <v>83</v>
      </c>
      <c r="D51" s="14">
        <f>IFERROR('Data Sheet'!B57,0)</f>
        <v>216</v>
      </c>
      <c r="E51" s="14">
        <f>IFERROR('Data Sheet'!C57,0)</f>
        <v>216</v>
      </c>
      <c r="F51" s="14">
        <f>IFERROR('Data Sheet'!D57,0)</f>
        <v>216</v>
      </c>
      <c r="G51" s="14">
        <f>IFERROR('Data Sheet'!E57,0)</f>
        <v>216</v>
      </c>
      <c r="H51" s="14">
        <f>IFERROR('Data Sheet'!F57,0)</f>
        <v>216</v>
      </c>
      <c r="I51" s="14">
        <f>IFERROR('Data Sheet'!G57,0)</f>
        <v>235</v>
      </c>
      <c r="J51" s="14">
        <f>IFERROR('Data Sheet'!H57,0)</f>
        <v>235</v>
      </c>
      <c r="K51" s="14">
        <f>IFERROR('Data Sheet'!I57,0)</f>
        <v>235</v>
      </c>
      <c r="L51" s="14">
        <f>IFERROR('Data Sheet'!J57,0)</f>
        <v>235</v>
      </c>
      <c r="M51" s="14">
        <f>IFERROR('Data Sheet'!K57,0)</f>
        <v>235</v>
      </c>
    </row>
    <row r="52" spans="1:13" x14ac:dyDescent="0.35">
      <c r="B52" t="s">
        <v>12</v>
      </c>
      <c r="D52" s="14">
        <f>IFERROR('Data Sheet'!B58,0)</f>
        <v>6357</v>
      </c>
      <c r="E52" s="14">
        <f>IFERROR('Data Sheet'!C58,0)</f>
        <v>6528</v>
      </c>
      <c r="F52" s="14">
        <f>IFERROR('Data Sheet'!D58,0)</f>
        <v>7065</v>
      </c>
      <c r="G52" s="14">
        <f>IFERROR('Data Sheet'!E58,0)</f>
        <v>7651</v>
      </c>
      <c r="H52" s="14">
        <f>IFERROR('Data Sheet'!F58,0)</f>
        <v>8013</v>
      </c>
      <c r="I52" s="14">
        <f>IFERROR('Data Sheet'!G58,0)</f>
        <v>47439</v>
      </c>
      <c r="J52" s="14">
        <f>IFERROR('Data Sheet'!H58,0)</f>
        <v>48826</v>
      </c>
      <c r="K52" s="14">
        <f>IFERROR('Data Sheet'!I58,0)</f>
        <v>50069</v>
      </c>
      <c r="L52" s="14">
        <f>IFERROR('Data Sheet'!J58,0)</f>
        <v>50983</v>
      </c>
      <c r="M52" s="14">
        <f>IFERROR('Data Sheet'!K58,0)</f>
        <v>49167</v>
      </c>
    </row>
    <row r="53" spans="1:13" x14ac:dyDescent="0.35">
      <c r="B53" t="s">
        <v>36</v>
      </c>
      <c r="D53" s="14">
        <f>IFERROR('Data Sheet'!B59,0)</f>
        <v>177</v>
      </c>
      <c r="E53" s="14">
        <f>IFERROR('Data Sheet'!C59,0)</f>
        <v>277</v>
      </c>
      <c r="F53" s="14">
        <f>IFERROR('Data Sheet'!D59,0)</f>
        <v>0</v>
      </c>
      <c r="G53" s="14">
        <f>IFERROR('Data Sheet'!E59,0)</f>
        <v>99</v>
      </c>
      <c r="H53" s="14">
        <f>IFERROR('Data Sheet'!F59,0)</f>
        <v>0</v>
      </c>
      <c r="I53" s="14">
        <f>IFERROR('Data Sheet'!G59,0)</f>
        <v>0</v>
      </c>
      <c r="J53" s="14">
        <f>IFERROR('Data Sheet'!H59,0)</f>
        <v>1043</v>
      </c>
      <c r="K53" s="14">
        <f>IFERROR('Data Sheet'!I59,0)</f>
        <v>1219</v>
      </c>
      <c r="L53" s="14">
        <f>IFERROR('Data Sheet'!J59,0)</f>
        <v>1484</v>
      </c>
      <c r="M53" s="14">
        <f>IFERROR('Data Sheet'!K59,0)</f>
        <v>1648</v>
      </c>
    </row>
    <row r="54" spans="1:13" x14ac:dyDescent="0.35">
      <c r="B54" t="s">
        <v>37</v>
      </c>
      <c r="D54" s="14">
        <f>IFERROR('Data Sheet'!B60,0)</f>
        <v>8043</v>
      </c>
      <c r="E54" s="14">
        <f>IFERROR('Data Sheet'!C60,0)</f>
        <v>8685</v>
      </c>
      <c r="F54" s="14">
        <f>IFERROR('Data Sheet'!D60,0)</f>
        <v>10581</v>
      </c>
      <c r="G54" s="14">
        <f>IFERROR('Data Sheet'!E60,0)</f>
        <v>10663</v>
      </c>
      <c r="H54" s="14">
        <f>IFERROR('Data Sheet'!F60,0)</f>
        <v>11924</v>
      </c>
      <c r="I54" s="14">
        <f>IFERROR('Data Sheet'!G60,0)</f>
        <v>21066</v>
      </c>
      <c r="J54" s="14">
        <f>IFERROR('Data Sheet'!H60,0)</f>
        <v>20402</v>
      </c>
      <c r="K54" s="14">
        <f>IFERROR('Data Sheet'!I60,0)</f>
        <v>21554</v>
      </c>
      <c r="L54" s="14">
        <f>IFERROR('Data Sheet'!J60,0)</f>
        <v>25787</v>
      </c>
      <c r="M54" s="14">
        <f>IFERROR('Data Sheet'!K60,0)</f>
        <v>28813</v>
      </c>
    </row>
    <row r="55" spans="1:13" s="215" customFormat="1" x14ac:dyDescent="0.35">
      <c r="B55" s="169" t="s">
        <v>84</v>
      </c>
      <c r="C55" s="169"/>
      <c r="D55" s="226">
        <f>IFERROR(SUM(D51:D54),0)</f>
        <v>14793</v>
      </c>
      <c r="E55" s="226">
        <f t="shared" ref="E55:M55" si="19">IFERROR(SUM(E51:E54),0)</f>
        <v>15706</v>
      </c>
      <c r="F55" s="226">
        <f t="shared" si="19"/>
        <v>17862</v>
      </c>
      <c r="G55" s="226">
        <f t="shared" si="19"/>
        <v>18629</v>
      </c>
      <c r="H55" s="226">
        <f t="shared" si="19"/>
        <v>20153</v>
      </c>
      <c r="I55" s="226">
        <f t="shared" si="19"/>
        <v>68740</v>
      </c>
      <c r="J55" s="226">
        <f t="shared" si="19"/>
        <v>70506</v>
      </c>
      <c r="K55" s="226">
        <f t="shared" si="19"/>
        <v>73077</v>
      </c>
      <c r="L55" s="226">
        <f t="shared" si="19"/>
        <v>78489</v>
      </c>
      <c r="M55" s="226">
        <f t="shared" si="19"/>
        <v>79863</v>
      </c>
    </row>
    <row r="57" spans="1:13" x14ac:dyDescent="0.35">
      <c r="B57" t="s">
        <v>14</v>
      </c>
      <c r="D57" s="14">
        <f>IFERROR('Data Sheet'!B62,0)</f>
        <v>3258</v>
      </c>
      <c r="E57" s="14">
        <f>IFERROR('Data Sheet'!C62,0)</f>
        <v>4419</v>
      </c>
      <c r="F57" s="14">
        <f>IFERROR('Data Sheet'!D62,0)</f>
        <v>4528</v>
      </c>
      <c r="G57" s="14">
        <f>IFERROR('Data Sheet'!E62,0)</f>
        <v>4715</v>
      </c>
      <c r="H57" s="14">
        <f>IFERROR('Data Sheet'!F62,0)</f>
        <v>5479</v>
      </c>
      <c r="I57" s="14">
        <f>IFERROR('Data Sheet'!G62,0)</f>
        <v>51443</v>
      </c>
      <c r="J57" s="14">
        <f>IFERROR('Data Sheet'!H62,0)</f>
        <v>51473</v>
      </c>
      <c r="K57" s="14">
        <f>IFERROR('Data Sheet'!I62,0)</f>
        <v>52678</v>
      </c>
      <c r="L57" s="14">
        <f>IFERROR('Data Sheet'!J62,0)</f>
        <v>53744</v>
      </c>
      <c r="M57" s="14">
        <f>IFERROR('Data Sheet'!K62,0)</f>
        <v>54335</v>
      </c>
    </row>
    <row r="58" spans="1:13" x14ac:dyDescent="0.35">
      <c r="B58" t="s">
        <v>15</v>
      </c>
      <c r="D58" s="14">
        <f>IFERROR('Data Sheet'!B63,0)</f>
        <v>408</v>
      </c>
      <c r="E58" s="14">
        <f>IFERROR('Data Sheet'!C63,0)</f>
        <v>229</v>
      </c>
      <c r="F58" s="14">
        <f>IFERROR('Data Sheet'!D63,0)</f>
        <v>461</v>
      </c>
      <c r="G58" s="14">
        <f>IFERROR('Data Sheet'!E63,0)</f>
        <v>406</v>
      </c>
      <c r="H58" s="14">
        <f>IFERROR('Data Sheet'!F63,0)</f>
        <v>597</v>
      </c>
      <c r="I58" s="14">
        <f>IFERROR('Data Sheet'!G63,0)</f>
        <v>745</v>
      </c>
      <c r="J58" s="14">
        <f>IFERROR('Data Sheet'!H63,0)</f>
        <v>1313</v>
      </c>
      <c r="K58" s="14">
        <f>IFERROR('Data Sheet'!I63,0)</f>
        <v>1132</v>
      </c>
      <c r="L58" s="14">
        <f>IFERROR('Data Sheet'!J63,0)</f>
        <v>1025</v>
      </c>
      <c r="M58" s="14">
        <f>IFERROR('Data Sheet'!K63,0)</f>
        <v>1009</v>
      </c>
    </row>
    <row r="59" spans="1:13" x14ac:dyDescent="0.35">
      <c r="B59" t="s">
        <v>16</v>
      </c>
      <c r="D59" s="14">
        <f>IFERROR('Data Sheet'!B64,0)</f>
        <v>2592</v>
      </c>
      <c r="E59" s="14">
        <f>IFERROR('Data Sheet'!C64,0)</f>
        <v>3794</v>
      </c>
      <c r="F59" s="14">
        <f>IFERROR('Data Sheet'!D64,0)</f>
        <v>2873</v>
      </c>
      <c r="G59" s="14">
        <f>IFERROR('Data Sheet'!E64,0)</f>
        <v>2716</v>
      </c>
      <c r="H59" s="14">
        <f>IFERROR('Data Sheet'!F64,0)</f>
        <v>1255</v>
      </c>
      <c r="I59" s="14">
        <f>IFERROR('Data Sheet'!G64,0)</f>
        <v>2709</v>
      </c>
      <c r="J59" s="14">
        <f>IFERROR('Data Sheet'!H64,0)</f>
        <v>3521</v>
      </c>
      <c r="K59" s="14">
        <f>IFERROR('Data Sheet'!I64,0)</f>
        <v>2882</v>
      </c>
      <c r="L59" s="14">
        <f>IFERROR('Data Sheet'!J64,0)</f>
        <v>4625</v>
      </c>
      <c r="M59" s="14">
        <f>IFERROR('Data Sheet'!K64,0)</f>
        <v>3810</v>
      </c>
    </row>
    <row r="60" spans="1:13" x14ac:dyDescent="0.35">
      <c r="B60" t="s">
        <v>38</v>
      </c>
      <c r="D60" s="14">
        <f>IFERROR('Data Sheet'!B65-SUM('Data Sheet'!B67:B69),0)</f>
        <v>1536</v>
      </c>
      <c r="E60" s="14">
        <f>IFERROR('Data Sheet'!C65-SUM('Data Sheet'!C67:C69),0)</f>
        <v>1810</v>
      </c>
      <c r="F60" s="14">
        <f>IFERROR('Data Sheet'!D65-SUM('Data Sheet'!D67:D69),0)</f>
        <v>2692</v>
      </c>
      <c r="G60" s="14">
        <f>IFERROR('Data Sheet'!E65-SUM('Data Sheet'!E67:E69),0)</f>
        <v>2645</v>
      </c>
      <c r="H60" s="14">
        <f>IFERROR('Data Sheet'!F65-SUM('Data Sheet'!F67:F69),0)</f>
        <v>3793</v>
      </c>
      <c r="I60" s="14">
        <f>IFERROR('Data Sheet'!G65-SUM('Data Sheet'!G67:G69),0)</f>
        <v>4035</v>
      </c>
      <c r="J60" s="14">
        <f>IFERROR('Data Sheet'!H65-SUM('Data Sheet'!H67:H69),0)</f>
        <v>4021</v>
      </c>
      <c r="K60" s="14">
        <f>IFERROR('Data Sheet'!I65-SUM('Data Sheet'!I67:I69),0)</f>
        <v>4377</v>
      </c>
      <c r="L60" s="14">
        <f>IFERROR('Data Sheet'!J65-SUM('Data Sheet'!J67:J69),0)</f>
        <v>4517</v>
      </c>
      <c r="M60" s="14">
        <f>IFERROR('Data Sheet'!K65-SUM('Data Sheet'!K67:K69),0)</f>
        <v>4921</v>
      </c>
    </row>
    <row r="61" spans="1:13" s="215" customFormat="1" x14ac:dyDescent="0.35">
      <c r="B61" s="169" t="s">
        <v>85</v>
      </c>
      <c r="C61" s="169"/>
      <c r="D61" s="226">
        <f>SUM(D57:D60)</f>
        <v>7794</v>
      </c>
      <c r="E61" s="226">
        <f t="shared" ref="E61:M61" si="20">SUM(E57:E60)</f>
        <v>10252</v>
      </c>
      <c r="F61" s="226">
        <f t="shared" si="20"/>
        <v>10554</v>
      </c>
      <c r="G61" s="226">
        <f t="shared" si="20"/>
        <v>10482</v>
      </c>
      <c r="H61" s="226">
        <f t="shared" si="20"/>
        <v>11124</v>
      </c>
      <c r="I61" s="226">
        <f t="shared" si="20"/>
        <v>58932</v>
      </c>
      <c r="J61" s="226">
        <f t="shared" si="20"/>
        <v>60328</v>
      </c>
      <c r="K61" s="226">
        <f t="shared" si="20"/>
        <v>61069</v>
      </c>
      <c r="L61" s="226">
        <f t="shared" si="20"/>
        <v>63911</v>
      </c>
      <c r="M61" s="226">
        <f t="shared" si="20"/>
        <v>64075</v>
      </c>
    </row>
    <row r="63" spans="1:13" x14ac:dyDescent="0.35">
      <c r="B63" t="s">
        <v>86</v>
      </c>
      <c r="D63" s="14">
        <f>IFERROR('Data Sheet'!B67,0)</f>
        <v>1264</v>
      </c>
      <c r="E63" s="14">
        <f>IFERROR('Data Sheet'!C67,0)</f>
        <v>1085</v>
      </c>
      <c r="F63" s="14">
        <f>IFERROR('Data Sheet'!D67,0)</f>
        <v>1310</v>
      </c>
      <c r="G63" s="14">
        <f>IFERROR('Data Sheet'!E67,0)</f>
        <v>1816</v>
      </c>
      <c r="H63" s="14">
        <f>IFERROR('Data Sheet'!F67,0)</f>
        <v>1149</v>
      </c>
      <c r="I63" s="14">
        <f>IFERROR('Data Sheet'!G67,0)</f>
        <v>1758</v>
      </c>
      <c r="J63" s="14">
        <f>IFERROR('Data Sheet'!H67,0)</f>
        <v>2236</v>
      </c>
      <c r="K63" s="14">
        <f>IFERROR('Data Sheet'!I67,0)</f>
        <v>3079</v>
      </c>
      <c r="L63" s="14">
        <f>IFERROR('Data Sheet'!J67,0)</f>
        <v>2997</v>
      </c>
      <c r="M63" s="14">
        <f>IFERROR('Data Sheet'!K67,0)</f>
        <v>3819</v>
      </c>
    </row>
    <row r="64" spans="1:13" x14ac:dyDescent="0.35">
      <c r="B64" t="s">
        <v>30</v>
      </c>
      <c r="D64" s="14">
        <f>IFERROR('Data Sheet'!B68,0)</f>
        <v>2726</v>
      </c>
      <c r="E64" s="14">
        <f>IFERROR('Data Sheet'!C68,0)</f>
        <v>2541</v>
      </c>
      <c r="F64" s="14">
        <f>IFERROR('Data Sheet'!D68,0)</f>
        <v>2513</v>
      </c>
      <c r="G64" s="14">
        <f>IFERROR('Data Sheet'!E68,0)</f>
        <v>2574</v>
      </c>
      <c r="H64" s="14">
        <f>IFERROR('Data Sheet'!F68,0)</f>
        <v>2767</v>
      </c>
      <c r="I64" s="14">
        <f>IFERROR('Data Sheet'!G68,0)</f>
        <v>3579</v>
      </c>
      <c r="J64" s="14">
        <f>IFERROR('Data Sheet'!H68,0)</f>
        <v>4096</v>
      </c>
      <c r="K64" s="14">
        <f>IFERROR('Data Sheet'!I68,0)</f>
        <v>4251</v>
      </c>
      <c r="L64" s="14">
        <f>IFERROR('Data Sheet'!J68,0)</f>
        <v>4022</v>
      </c>
      <c r="M64" s="14">
        <f>IFERROR('Data Sheet'!K68,0)</f>
        <v>4415</v>
      </c>
    </row>
    <row r="65" spans="1:13" x14ac:dyDescent="0.35">
      <c r="B65" t="s">
        <v>87</v>
      </c>
      <c r="D65" s="14">
        <f>IFERROR('Data Sheet'!B69,0)</f>
        <v>3009</v>
      </c>
      <c r="E65" s="14">
        <f>IFERROR('Data Sheet'!C69,0)</f>
        <v>1828</v>
      </c>
      <c r="F65" s="14">
        <f>IFERROR('Data Sheet'!D69,0)</f>
        <v>3485</v>
      </c>
      <c r="G65" s="14">
        <f>IFERROR('Data Sheet'!E69,0)</f>
        <v>3757</v>
      </c>
      <c r="H65" s="14">
        <f>IFERROR('Data Sheet'!F69,0)</f>
        <v>5113</v>
      </c>
      <c r="I65" s="14">
        <f>IFERROR('Data Sheet'!G69,0)</f>
        <v>4471</v>
      </c>
      <c r="J65" s="14">
        <f>IFERROR('Data Sheet'!H69,0)</f>
        <v>3846</v>
      </c>
      <c r="K65" s="14">
        <f>IFERROR('Data Sheet'!I69,0)</f>
        <v>4678</v>
      </c>
      <c r="L65" s="14">
        <f>IFERROR('Data Sheet'!J69,0)</f>
        <v>7559</v>
      </c>
      <c r="M65" s="14">
        <f>IFERROR('Data Sheet'!K69,0)</f>
        <v>7554</v>
      </c>
    </row>
    <row r="66" spans="1:13" s="215" customFormat="1" x14ac:dyDescent="0.35">
      <c r="B66" s="169" t="s">
        <v>88</v>
      </c>
      <c r="C66" s="169"/>
      <c r="D66" s="226">
        <f>SUM(D63:D65)</f>
        <v>6999</v>
      </c>
      <c r="E66" s="226">
        <f t="shared" ref="E66:M66" si="21">SUM(E63:E65)</f>
        <v>5454</v>
      </c>
      <c r="F66" s="226">
        <f t="shared" si="21"/>
        <v>7308</v>
      </c>
      <c r="G66" s="226">
        <f t="shared" si="21"/>
        <v>8147</v>
      </c>
      <c r="H66" s="226">
        <f t="shared" si="21"/>
        <v>9029</v>
      </c>
      <c r="I66" s="226">
        <f t="shared" si="21"/>
        <v>9808</v>
      </c>
      <c r="J66" s="226">
        <f t="shared" si="21"/>
        <v>10178</v>
      </c>
      <c r="K66" s="226">
        <f t="shared" si="21"/>
        <v>12008</v>
      </c>
      <c r="L66" s="226">
        <f t="shared" si="21"/>
        <v>14578</v>
      </c>
      <c r="M66" s="226">
        <f t="shared" si="21"/>
        <v>15788</v>
      </c>
    </row>
    <row r="68" spans="1:13" s="215" customFormat="1" x14ac:dyDescent="0.35">
      <c r="B68" s="169" t="s">
        <v>89</v>
      </c>
      <c r="C68" s="169"/>
      <c r="D68" s="226">
        <f>D66+D61</f>
        <v>14793</v>
      </c>
      <c r="E68" s="226">
        <f t="shared" ref="E68:M68" si="22">E66+E61</f>
        <v>15706</v>
      </c>
      <c r="F68" s="226">
        <f t="shared" si="22"/>
        <v>17862</v>
      </c>
      <c r="G68" s="226">
        <f t="shared" si="22"/>
        <v>18629</v>
      </c>
      <c r="H68" s="226">
        <f t="shared" si="22"/>
        <v>20153</v>
      </c>
      <c r="I68" s="226">
        <f t="shared" si="22"/>
        <v>68740</v>
      </c>
      <c r="J68" s="226">
        <f t="shared" si="22"/>
        <v>70506</v>
      </c>
      <c r="K68" s="226">
        <f t="shared" si="22"/>
        <v>73077</v>
      </c>
      <c r="L68" s="226">
        <f t="shared" si="22"/>
        <v>78489</v>
      </c>
      <c r="M68" s="226">
        <f t="shared" si="22"/>
        <v>79863</v>
      </c>
    </row>
    <row r="70" spans="1:13" s="2" customFormat="1" x14ac:dyDescent="0.35">
      <c r="B70" s="2" t="s">
        <v>90</v>
      </c>
      <c r="D70" s="2" t="b">
        <f>D68=D55</f>
        <v>1</v>
      </c>
      <c r="E70" s="2" t="b">
        <f t="shared" ref="E70:M70" si="23">E68=E55</f>
        <v>1</v>
      </c>
      <c r="F70" s="2" t="b">
        <f t="shared" si="23"/>
        <v>1</v>
      </c>
      <c r="G70" s="2" t="b">
        <f t="shared" si="23"/>
        <v>1</v>
      </c>
      <c r="H70" s="2" t="b">
        <f t="shared" si="23"/>
        <v>1</v>
      </c>
      <c r="I70" s="2" t="b">
        <f t="shared" si="23"/>
        <v>1</v>
      </c>
      <c r="J70" s="2" t="b">
        <f t="shared" si="23"/>
        <v>1</v>
      </c>
      <c r="K70" s="2" t="b">
        <f t="shared" si="23"/>
        <v>1</v>
      </c>
      <c r="L70" s="2" t="b">
        <f t="shared" si="23"/>
        <v>1</v>
      </c>
      <c r="M70" s="2" t="b">
        <f t="shared" si="23"/>
        <v>1</v>
      </c>
    </row>
    <row r="73" spans="1:13" s="220" customFormat="1" x14ac:dyDescent="0.35">
      <c r="A73" s="223" t="s">
        <v>57</v>
      </c>
      <c r="B73" s="225" t="s">
        <v>91</v>
      </c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</row>
    <row r="74" spans="1:13" x14ac:dyDescent="0.35">
      <c r="B74" s="227" t="s">
        <v>18</v>
      </c>
      <c r="C74" s="56"/>
      <c r="D74" s="56">
        <v>4171</v>
      </c>
      <c r="E74" s="56">
        <v>5185</v>
      </c>
      <c r="F74" s="56">
        <v>6059</v>
      </c>
      <c r="G74" s="56">
        <v>5800</v>
      </c>
      <c r="H74" s="56">
        <v>7623</v>
      </c>
      <c r="I74" s="56">
        <v>9163</v>
      </c>
      <c r="J74" s="56">
        <v>9048</v>
      </c>
      <c r="K74" s="56">
        <v>9991</v>
      </c>
      <c r="L74" s="56">
        <v>15469</v>
      </c>
      <c r="M74" s="56">
        <v>11886</v>
      </c>
    </row>
    <row r="75" spans="1:13" x14ac:dyDescent="0.35">
      <c r="B75" s="227" t="s">
        <v>19</v>
      </c>
      <c r="C75" s="56"/>
      <c r="D75" s="56">
        <v>-282</v>
      </c>
      <c r="E75" s="56">
        <v>-1173</v>
      </c>
      <c r="F75" s="56">
        <v>-1063</v>
      </c>
      <c r="G75" s="56">
        <v>-438</v>
      </c>
      <c r="H75" s="56">
        <v>1791</v>
      </c>
      <c r="I75" s="56">
        <v>-1228</v>
      </c>
      <c r="J75" s="56">
        <v>-1728</v>
      </c>
      <c r="K75" s="56">
        <v>-1484</v>
      </c>
      <c r="L75" s="56">
        <v>-5324</v>
      </c>
      <c r="M75" s="56">
        <v>6473</v>
      </c>
    </row>
    <row r="76" spans="1:13" x14ac:dyDescent="0.35">
      <c r="B76" s="227" t="s">
        <v>20</v>
      </c>
      <c r="C76" s="56"/>
      <c r="D76" s="56">
        <v>-3864</v>
      </c>
      <c r="E76" s="56">
        <v>-4214</v>
      </c>
      <c r="F76" s="56">
        <v>-4975</v>
      </c>
      <c r="G76" s="56">
        <v>-5390</v>
      </c>
      <c r="H76" s="56">
        <v>-6819</v>
      </c>
      <c r="I76" s="56">
        <v>-9309</v>
      </c>
      <c r="J76" s="56">
        <v>-8015</v>
      </c>
      <c r="K76" s="56">
        <v>-8953</v>
      </c>
      <c r="L76" s="56">
        <v>-10034</v>
      </c>
      <c r="M76" s="56">
        <v>-13101</v>
      </c>
    </row>
    <row r="77" spans="1:13" x14ac:dyDescent="0.35">
      <c r="B77" s="227" t="s">
        <v>21</v>
      </c>
      <c r="C77" s="56"/>
      <c r="D77" s="56">
        <v>25</v>
      </c>
      <c r="E77" s="56">
        <v>-202</v>
      </c>
      <c r="F77" s="56">
        <v>21</v>
      </c>
      <c r="G77" s="56">
        <v>-28</v>
      </c>
      <c r="H77" s="56">
        <v>2595</v>
      </c>
      <c r="I77" s="56">
        <v>-1374</v>
      </c>
      <c r="J77" s="56">
        <v>-695</v>
      </c>
      <c r="K77" s="56">
        <v>-446</v>
      </c>
      <c r="L77" s="56">
        <v>111</v>
      </c>
      <c r="M77" s="56">
        <v>5258</v>
      </c>
    </row>
  </sheetData>
  <mergeCells count="1">
    <mergeCell ref="B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4082-0075-4AD9-BC2B-F6518CF2EC5D}">
  <sheetPr>
    <tabColor rgb="FF00B0F0"/>
  </sheetPr>
  <dimension ref="B2:Q34"/>
  <sheetViews>
    <sheetView showGridLines="0" zoomScale="78" workbookViewId="0">
      <selection activeCell="D33" sqref="D33"/>
    </sheetView>
  </sheetViews>
  <sheetFormatPr defaultRowHeight="14.5" x14ac:dyDescent="0.35"/>
  <cols>
    <col min="1" max="1" width="2.08984375" customWidth="1"/>
    <col min="2" max="2" width="24.54296875" bestFit="1" customWidth="1"/>
    <col min="3" max="3" width="1.7265625" customWidth="1"/>
    <col min="14" max="14" width="2.6328125" customWidth="1"/>
    <col min="15" max="15" width="14.1796875" customWidth="1"/>
    <col min="16" max="17" width="10.36328125" bestFit="1" customWidth="1"/>
  </cols>
  <sheetData>
    <row r="2" spans="2:17" x14ac:dyDescent="0.35">
      <c r="B2" s="127" t="s">
        <v>122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</row>
    <row r="3" spans="2:17" s="2" customFormat="1" x14ac:dyDescent="0.35">
      <c r="B3" s="42" t="s">
        <v>56</v>
      </c>
      <c r="C3" s="42"/>
      <c r="D3" s="43">
        <f>'Data Sheet'!B16</f>
        <v>42460</v>
      </c>
      <c r="E3" s="43">
        <f>'Data Sheet'!C16</f>
        <v>42825</v>
      </c>
      <c r="F3" s="43">
        <f>'Data Sheet'!D16</f>
        <v>43190</v>
      </c>
      <c r="G3" s="43">
        <f>'Data Sheet'!E16</f>
        <v>43555</v>
      </c>
      <c r="H3" s="43">
        <f>'Data Sheet'!F16</f>
        <v>43921</v>
      </c>
      <c r="I3" s="43">
        <f>'Data Sheet'!G16</f>
        <v>44286</v>
      </c>
      <c r="J3" s="43">
        <f>'Data Sheet'!H16</f>
        <v>44651</v>
      </c>
      <c r="K3" s="43">
        <f>'Data Sheet'!I16</f>
        <v>45016</v>
      </c>
      <c r="L3" s="43">
        <f>'Data Sheet'!J16</f>
        <v>45382</v>
      </c>
      <c r="M3" s="43">
        <f>'Data Sheet'!K16</f>
        <v>45747</v>
      </c>
      <c r="N3" s="43"/>
      <c r="O3" s="76" t="s">
        <v>196</v>
      </c>
      <c r="P3" s="76" t="s">
        <v>197</v>
      </c>
      <c r="Q3" s="76" t="s">
        <v>198</v>
      </c>
    </row>
    <row r="4" spans="2:17" ht="4" customHeight="1" thickBot="1" x14ac:dyDescent="0.4"/>
    <row r="5" spans="2:17" x14ac:dyDescent="0.35">
      <c r="B5" s="36" t="s">
        <v>10</v>
      </c>
      <c r="C5" s="36"/>
      <c r="D5" s="67" t="str">
        <f>'Historical Financial Statements'!D6</f>
        <v>-</v>
      </c>
      <c r="E5" s="68">
        <f>'Historical Financial Statements'!E6</f>
        <v>3.03237432424035E-2</v>
      </c>
      <c r="F5" s="68">
        <f>'Historical Financial Statements'!F6</f>
        <v>7.1859357095470644E-2</v>
      </c>
      <c r="G5" s="68">
        <f>'Historical Financial Statements'!G6</f>
        <v>0.1059220706147137</v>
      </c>
      <c r="H5" s="68">
        <f>'Historical Financial Statements'!H6</f>
        <v>1.2032561689137689E-2</v>
      </c>
      <c r="I5" s="68">
        <f>'Historical Financial Statements'!I6</f>
        <v>0.18211296282331646</v>
      </c>
      <c r="J5" s="68">
        <f>'Historical Financial Statements'!J6</f>
        <v>0.11520796121459553</v>
      </c>
      <c r="K5" s="68">
        <f>'Historical Financial Statements'!K6</f>
        <v>0.15509285741524614</v>
      </c>
      <c r="L5" s="68">
        <f>'Historical Financial Statements'!L6</f>
        <v>2.1723341036645749E-2</v>
      </c>
      <c r="M5" s="68">
        <f>'Historical Financial Statements'!M6</f>
        <v>1.9791262763344974E-2</v>
      </c>
      <c r="O5" s="56"/>
      <c r="P5" s="77">
        <f>AVERAGE(D5:M5)</f>
        <v>7.9340679766097155E-2</v>
      </c>
      <c r="Q5" s="77">
        <f>MEDIAN(E5:M5)</f>
        <v>7.1859357095470644E-2</v>
      </c>
    </row>
    <row r="6" spans="2:17" x14ac:dyDescent="0.35">
      <c r="B6" t="s">
        <v>123</v>
      </c>
      <c r="D6" s="69" t="s">
        <v>59</v>
      </c>
      <c r="E6" s="70">
        <f>IFERROR('Historical Financial Statements'!E17/'Historical Financial Statements'!D17-1,0)</f>
        <v>7.0727580372250465E-2</v>
      </c>
      <c r="F6" s="70">
        <f>IFERROR('Historical Financial Statements'!F17/'Historical Financial Statements'!E17-1,0)</f>
        <v>0.1850505689001265</v>
      </c>
      <c r="G6" s="70">
        <f>IFERROR('Historical Financial Statements'!G17/'Historical Financial Statements'!F17-1,0)</f>
        <v>0.1841578877183625</v>
      </c>
      <c r="H6" s="70">
        <f>IFERROR('Historical Financial Statements'!H17/'Historical Financial Statements'!G17-1,0)</f>
        <v>0.11047297297297298</v>
      </c>
      <c r="I6" s="70">
        <f>IFERROR('Historical Financial Statements'!I17/'Historical Financial Statements'!H17-1,0)</f>
        <v>0.1789879322583916</v>
      </c>
      <c r="J6" s="70">
        <f>IFERROR('Historical Financial Statements'!J17/'Historical Financial Statements'!I17-1,0)</f>
        <v>0.10588336487183891</v>
      </c>
      <c r="K6" s="70">
        <f>IFERROR('Historical Financial Statements'!K17/'Historical Financial Statements'!J17-1,0)</f>
        <v>0.10033444816053505</v>
      </c>
      <c r="L6" s="70">
        <f>IFERROR('Historical Financial Statements'!L17/'Historical Financial Statements'!K17-1,0)</f>
        <v>3.6191418675337594E-2</v>
      </c>
      <c r="M6" s="70">
        <f>IFERROR('Historical Financial Statements'!M17/'Historical Financial Statements'!L17-1,0)</f>
        <v>1.255201582645471E-2</v>
      </c>
      <c r="O6" s="56"/>
      <c r="P6" s="77">
        <f t="shared" ref="P6:P8" si="0">AVERAGE(D6:M6)</f>
        <v>0.10937313219514115</v>
      </c>
      <c r="Q6" s="77">
        <f t="shared" ref="Q6:Q9" si="1">MEDIAN(E6:M6)</f>
        <v>0.10588336487183891</v>
      </c>
    </row>
    <row r="7" spans="2:17" x14ac:dyDescent="0.35">
      <c r="B7" t="s">
        <v>124</v>
      </c>
      <c r="D7" s="69" t="s">
        <v>59</v>
      </c>
      <c r="E7" s="70">
        <f>IFERROR('Historical Financial Statements'!E25/'Historical Financial Statements'!D25-1,0)</f>
        <v>-2.432566605990405E-2</v>
      </c>
      <c r="F7" s="70">
        <f>IFERROR('Historical Financial Statements'!F25/'Historical Financial Statements'!E25-1,0)</f>
        <v>0.18368385345997296</v>
      </c>
      <c r="G7" s="70">
        <f>IFERROR('Historical Financial Statements'!G25/'Historical Financial Statements'!F25-1,0)</f>
        <v>0.19143143716864874</v>
      </c>
      <c r="H7" s="70">
        <f>IFERROR('Historical Financial Statements'!H25/'Historical Financial Statements'!G25-1,0)</f>
        <v>6.5423932651833994E-2</v>
      </c>
      <c r="I7" s="70">
        <f>IFERROR('Historical Financial Statements'!I25/'Historical Financial Statements'!H25-1,0)</f>
        <v>0.19110509086804384</v>
      </c>
      <c r="J7" s="70">
        <f>IFERROR('Historical Financial Statements'!J25/'Historical Financial Statements'!I25-1,0)</f>
        <v>0.11504927975739188</v>
      </c>
      <c r="K7" s="70">
        <f>IFERROR('Historical Financial Statements'!K25/'Historical Financial Statements'!J25-1,0)</f>
        <v>0.10572836987931322</v>
      </c>
      <c r="L7" s="70">
        <f>IFERROR('Historical Financial Statements'!L25/'Historical Financial Statements'!K25-1,0)</f>
        <v>3.3282090699461975E-2</v>
      </c>
      <c r="M7" s="70">
        <f>IFERROR('Historical Financial Statements'!M25/'Historical Financial Statements'!L25-1,0)</f>
        <v>3.3474670832402964E-3</v>
      </c>
      <c r="N7" s="13"/>
      <c r="O7" s="56"/>
      <c r="P7" s="77">
        <f t="shared" si="0"/>
        <v>9.6080650612000315E-2</v>
      </c>
      <c r="Q7" s="77">
        <f t="shared" si="1"/>
        <v>0.10572836987931322</v>
      </c>
    </row>
    <row r="8" spans="2:17" x14ac:dyDescent="0.35">
      <c r="B8" t="s">
        <v>125</v>
      </c>
      <c r="D8" s="69" t="s">
        <v>59</v>
      </c>
      <c r="E8" s="70">
        <f>IFERROR('Historical Financial Statements'!E36/'Historical Financial Statements'!D36-1,0)</f>
        <v>-6.4321850156588756E-2</v>
      </c>
      <c r="F8" s="70">
        <f>IFERROR('Historical Financial Statements'!F36/'Historical Financial Statements'!E36-1,0)</f>
        <v>0.2548918640576725</v>
      </c>
      <c r="G8" s="70">
        <f>IFERROR('Historical Financial Statements'!G36/'Historical Financial Statements'!F36-1,0)</f>
        <v>0.17726713171932706</v>
      </c>
      <c r="H8" s="70">
        <f>IFERROR('Historical Financial Statements'!H36/'Historical Financial Statements'!G36-1,0)</f>
        <v>0.10352039037992333</v>
      </c>
      <c r="I8" s="70">
        <f>IFERROR('Historical Financial Statements'!I36/'Historical Financial Statements'!H36-1,0)</f>
        <v>0.23641819330385339</v>
      </c>
      <c r="J8" s="70">
        <f>IFERROR('Historical Financial Statements'!J36/'Historical Financial Statements'!I36-1,0)</f>
        <v>0.10780431728190054</v>
      </c>
      <c r="K8" s="70">
        <f>IFERROR('Historical Financial Statements'!K36/'Historical Financial Statements'!J36-1,0)</f>
        <v>0.11783696529459231</v>
      </c>
      <c r="L8" s="70">
        <f>IFERROR('Historical Financial Statements'!L36/'Historical Financial Statements'!K36-1,0)</f>
        <v>-2.372356884992266E-2</v>
      </c>
      <c r="M8" s="70">
        <f>IFERROR('Historical Financial Statements'!M36/'Historical Financial Statements'!L36-1,0)</f>
        <v>-1.2255678816693094E-2</v>
      </c>
      <c r="O8" s="56"/>
      <c r="P8" s="77">
        <f t="shared" si="0"/>
        <v>9.971530713489607E-2</v>
      </c>
      <c r="Q8" s="77">
        <f t="shared" si="1"/>
        <v>0.10780431728190054</v>
      </c>
    </row>
    <row r="9" spans="2:17" ht="15" thickBot="1" x14ac:dyDescent="0.4">
      <c r="B9" s="39" t="s">
        <v>126</v>
      </c>
      <c r="C9" s="39"/>
      <c r="D9" s="40" t="s">
        <v>59</v>
      </c>
      <c r="E9" s="41">
        <f>IFERROR('Historical Financial Statements'!E44/'Historical Financial Statements'!D44-1,0)</f>
        <v>6.2303631659196945E-2</v>
      </c>
      <c r="F9" s="41">
        <f>IFERROR('Historical Financial Statements'!F44/'Historical Financial Statements'!E44-1,0)</f>
        <v>0.17636188224423521</v>
      </c>
      <c r="G9" s="41">
        <f>IFERROR('Historical Financial Statements'!G44/'Historical Financial Statements'!F44-1,0)</f>
        <v>9.989836928904694E-2</v>
      </c>
      <c r="H9" s="41">
        <f>IFERROR('Historical Financial Statements'!H44/'Historical Financial Statements'!G44-1,0)</f>
        <v>0.13631114358664265</v>
      </c>
      <c r="I9" s="41">
        <f>IFERROR('Historical Financial Statements'!I44/'Historical Financial Statements'!H44-1,0)</f>
        <v>0.62387640449438186</v>
      </c>
      <c r="J9" s="41">
        <f>IFERROR('Historical Financial Statements'!J44/'Historical Financial Statements'!I44-1,0)</f>
        <v>-0.16049382716049365</v>
      </c>
      <c r="K9" s="41">
        <f>IFERROR('Historical Financial Statements'!K44/'Historical Financial Statements'!J44-1,0)</f>
        <v>0.14705882352941169</v>
      </c>
      <c r="L9" s="41">
        <f>IFERROR('Historical Financial Statements'!L44/'Historical Financial Statements'!K44-1,0)</f>
        <v>7.6923076923076872E-2</v>
      </c>
      <c r="M9" s="41">
        <f>IFERROR('Historical Financial Statements'!M44/'Historical Financial Statements'!L44-1,0)</f>
        <v>0.26190476190476186</v>
      </c>
      <c r="O9" s="56"/>
      <c r="P9" s="77">
        <f>AVERAGE(D9:M9)</f>
        <v>0.15823825183002893</v>
      </c>
      <c r="Q9" s="77">
        <f t="shared" si="1"/>
        <v>0.13631114358664265</v>
      </c>
    </row>
    <row r="10" spans="2:17" ht="15" thickBot="1" x14ac:dyDescent="0.4">
      <c r="O10" s="56"/>
      <c r="P10" s="56"/>
      <c r="Q10" s="56"/>
    </row>
    <row r="11" spans="2:17" x14ac:dyDescent="0.35">
      <c r="B11" s="36" t="s">
        <v>127</v>
      </c>
      <c r="C11" s="36"/>
      <c r="D11" s="68">
        <f>IFERROR('Historical Financial Statements'!D11/'Historical Financial Statements'!D5,0)</f>
        <v>0.43385322811160132</v>
      </c>
      <c r="E11" s="68">
        <f>IFERROR('Historical Financial Statements'!E11/'Historical Financial Statements'!E5,0)</f>
        <v>0.43685543694590195</v>
      </c>
      <c r="F11" s="68">
        <f>IFERROR('Historical Financial Statements'!F11/'Historical Financial Statements'!F5,0)</f>
        <v>0.45663243775495849</v>
      </c>
      <c r="G11" s="68">
        <f>IFERROR('Historical Financial Statements'!G11/'Historical Financial Statements'!G5,0)</f>
        <v>0.46372424319511574</v>
      </c>
      <c r="H11" s="68">
        <f>IFERROR('Historical Financial Statements'!H11/'Historical Financial Statements'!H5,0)</f>
        <v>0.48183897644722617</v>
      </c>
      <c r="I11" s="68">
        <f>IFERROR('Historical Financial Statements'!I11/'Historical Financial Statements'!I5,0)</f>
        <v>0.46200136089138388</v>
      </c>
      <c r="J11" s="68">
        <f>IFERROR('Historical Financial Statements'!J11/'Historical Financial Statements'!J5,0)</f>
        <v>0.44579186210578498</v>
      </c>
      <c r="K11" s="68">
        <f>IFERROR('Historical Financial Statements'!K11/'Historical Financial Statements'!K5,0)</f>
        <v>0.41596236381644108</v>
      </c>
      <c r="L11" s="68">
        <f>IFERROR('Historical Financial Statements'!L11/'Historical Financial Statements'!L5,0)</f>
        <v>0.45632997285769678</v>
      </c>
      <c r="M11" s="68">
        <f>IFERROR('Historical Financial Statements'!M11/'Historical Financial Statements'!M5,0)</f>
        <v>0.45297127738787407</v>
      </c>
      <c r="O11" s="56"/>
      <c r="P11" s="77">
        <f>AVERAGE(D11:M11)</f>
        <v>0.45059611595139842</v>
      </c>
      <c r="Q11" s="77">
        <f>MEDIAN(D11:M11)</f>
        <v>0.45465062512278542</v>
      </c>
    </row>
    <row r="12" spans="2:17" x14ac:dyDescent="0.35">
      <c r="B12" t="s">
        <v>128</v>
      </c>
      <c r="D12" s="70">
        <f>IFERROR('Historical Financial Statements'!D18,0)</f>
        <v>0.18362020754365252</v>
      </c>
      <c r="E12" s="70">
        <f>IFERROR('Historical Financial Statements'!E18,0)</f>
        <v>0.1908208190097099</v>
      </c>
      <c r="F12" s="70">
        <f>IFERROR('Historical Financial Statements'!F18,0)</f>
        <v>0.21097200731467156</v>
      </c>
      <c r="G12" s="70">
        <f>IFERROR('Historical Financial Statements'!G18,0)</f>
        <v>0.2258967183922666</v>
      </c>
      <c r="H12" s="70">
        <f>IFERROR('Historical Financial Statements'!H18,0)</f>
        <v>0.24786969308498605</v>
      </c>
      <c r="I12" s="70">
        <f>IFERROR('Historical Financial Statements'!I18,0)</f>
        <v>0.24721442544866887</v>
      </c>
      <c r="J12" s="70">
        <f>IFERROR('Historical Financial Statements'!J18,0)</f>
        <v>0.24514738969606834</v>
      </c>
      <c r="K12" s="70">
        <f>IFERROR('Historical Financial Statements'!K18,0)</f>
        <v>0.23352591614394189</v>
      </c>
      <c r="L12" s="70">
        <f>IFERROR('Historical Financial Statements'!L18,0)</f>
        <v>0.23683275171255008</v>
      </c>
      <c r="M12" s="70">
        <f>IFERROR('Historical Financial Statements'!M18,0)</f>
        <v>0.23515153435465216</v>
      </c>
      <c r="O12" s="56"/>
      <c r="P12" s="77">
        <f t="shared" ref="P12:P15" si="2">AVERAGE(D12:M12)</f>
        <v>0.22570514627011679</v>
      </c>
      <c r="Q12" s="77">
        <f t="shared" ref="Q12:Q15" si="3">MEDIAN(D12:M12)</f>
        <v>0.23433872524929703</v>
      </c>
    </row>
    <row r="13" spans="2:17" x14ac:dyDescent="0.35">
      <c r="B13" t="s">
        <v>129</v>
      </c>
      <c r="D13" s="70">
        <f>IFERROR('Historical Financial Statements'!D26,0)</f>
        <v>0.18775243894861121</v>
      </c>
      <c r="E13" s="70">
        <f>IFERROR('Historical Financial Statements'!E26,0)</f>
        <v>0.17779386044267534</v>
      </c>
      <c r="F13" s="70">
        <f>IFERROR('Historical Financial Statements'!F26,0)</f>
        <v>0.19634266422844282</v>
      </c>
      <c r="G13" s="70">
        <f>IFERROR('Historical Financial Statements'!G26,0)</f>
        <v>0.21152378529636226</v>
      </c>
      <c r="H13" s="70">
        <f>IFERROR('Historical Financial Statements'!H26,0)</f>
        <v>0.22268305557650253</v>
      </c>
      <c r="I13" s="70">
        <f>IFERROR('Historical Financial Statements'!I26,0)</f>
        <v>0.22437696691332823</v>
      </c>
      <c r="J13" s="70">
        <f>IFERROR('Historical Financial Statements'!J26,0)</f>
        <v>0.22434504061320215</v>
      </c>
      <c r="K13" s="70">
        <f>IFERROR('Historical Financial Statements'!K26,0)</f>
        <v>0.21475734565863322</v>
      </c>
      <c r="L13" s="70">
        <f>IFERROR('Historical Financial Statements'!L26,0)</f>
        <v>0.21718689414501746</v>
      </c>
      <c r="M13" s="70">
        <f>IFERROR('Historical Financial Statements'!M26,0)</f>
        <v>0.21368482755342913</v>
      </c>
      <c r="O13" s="56"/>
      <c r="P13" s="77">
        <f t="shared" si="2"/>
        <v>0.20904468793762043</v>
      </c>
      <c r="Q13" s="77">
        <f t="shared" si="3"/>
        <v>0.21422108660603117</v>
      </c>
    </row>
    <row r="14" spans="2:17" x14ac:dyDescent="0.35">
      <c r="B14" t="s">
        <v>130</v>
      </c>
      <c r="D14" s="70">
        <f>IFERROR('Historical Financial Statements'!D31,0)</f>
        <v>0.18722425899459391</v>
      </c>
      <c r="E14" s="70">
        <f>IFERROR('Historical Financial Statements'!E31,0)</f>
        <v>0.17673843555877208</v>
      </c>
      <c r="F14" s="70">
        <f>IFERROR('Historical Financial Statements'!F31,0)</f>
        <v>0.19561119707413138</v>
      </c>
      <c r="G14" s="70">
        <f>IFERROR('Historical Financial Statements'!G31,0)</f>
        <v>0.21068430424828288</v>
      </c>
      <c r="H14" s="70">
        <f>IFERROR('Historical Financial Statements'!H31,0)</f>
        <v>0.21971696453258929</v>
      </c>
      <c r="I14" s="70">
        <f>IFERROR('Historical Financial Statements'!I31,0)</f>
        <v>0.22188908735221571</v>
      </c>
      <c r="J14" s="70">
        <f>IFERROR('Historical Financial Statements'!J31,0)</f>
        <v>0.22232391412119132</v>
      </c>
      <c r="K14" s="70">
        <f>IFERROR('Historical Financial Statements'!K31,0)</f>
        <v>0.21287553648068669</v>
      </c>
      <c r="L14" s="70">
        <f>IFERROR('Historical Financial Statements'!L31,0)</f>
        <v>0.2117907457670932</v>
      </c>
      <c r="M14" s="70">
        <f>IFERROR('Historical Financial Statements'!M31,0)</f>
        <v>0.20742700527558183</v>
      </c>
      <c r="O14" s="56"/>
      <c r="P14" s="77">
        <f t="shared" si="2"/>
        <v>0.20662814494051379</v>
      </c>
      <c r="Q14" s="77">
        <f t="shared" si="3"/>
        <v>0.21123752500768805</v>
      </c>
    </row>
    <row r="15" spans="2:17" ht="15" thickBot="1" x14ac:dyDescent="0.4">
      <c r="B15" s="39" t="s">
        <v>131</v>
      </c>
      <c r="C15" s="39"/>
      <c r="D15" s="71">
        <f>IFERROR('Historical Financial Statements'!D37,0)</f>
        <v>0.12896911700739452</v>
      </c>
      <c r="E15" s="71">
        <f>IFERROR('Historical Financial Statements'!E37,0)</f>
        <v>0.11712200711657922</v>
      </c>
      <c r="F15" s="71">
        <f>IFERROR('Historical Financial Statements'!F37,0)</f>
        <v>0.1371219580813054</v>
      </c>
      <c r="G15" s="71">
        <f>IFERROR('Historical Financial Statements'!G37,0)</f>
        <v>0.14596794708725516</v>
      </c>
      <c r="H15" s="71">
        <f>IFERROR('Historical Financial Statements'!H37,0)</f>
        <v>0.15916346178015736</v>
      </c>
      <c r="I15" s="71">
        <f>IFERROR('Historical Financial Statements'!I37,0)</f>
        <v>0.16647529131581185</v>
      </c>
      <c r="J15" s="71">
        <f>IFERROR('Historical Financial Statements'!J37,0)</f>
        <v>0.16537009495481067</v>
      </c>
      <c r="K15" s="71">
        <f>IFERROR('Historical Financial Statements'!K37,0)</f>
        <v>0.16003631561571477</v>
      </c>
      <c r="L15" s="71">
        <f>IFERROR('Historical Financial Statements'!L37,0)</f>
        <v>0.15291779759596744</v>
      </c>
      <c r="M15" s="71">
        <f>IFERROR('Historical Financial Statements'!M37,0)</f>
        <v>0.14811235563441644</v>
      </c>
      <c r="O15" s="56"/>
      <c r="P15" s="77">
        <f t="shared" si="2"/>
        <v>0.14812563461894129</v>
      </c>
      <c r="Q15" s="77">
        <f t="shared" si="3"/>
        <v>0.15051507661519192</v>
      </c>
    </row>
    <row r="16" spans="2:17" ht="15" thickBot="1" x14ac:dyDescent="0.4">
      <c r="O16" s="56"/>
      <c r="P16" s="56"/>
      <c r="Q16" s="56"/>
    </row>
    <row r="17" spans="2:17" x14ac:dyDescent="0.35">
      <c r="B17" s="36" t="s">
        <v>132</v>
      </c>
      <c r="C17" s="36"/>
      <c r="D17" s="68">
        <f>IFERROR('Historical Financial Statements'!D15,0)</f>
        <v>0.25023302056794877</v>
      </c>
      <c r="E17" s="68">
        <f>IFERROR('Historical Financial Statements'!E15,0)</f>
        <v>0.24603461793619202</v>
      </c>
      <c r="F17" s="68">
        <f>IFERROR('Historical Financial Statements'!F15,0)</f>
        <v>0.24566043044028696</v>
      </c>
      <c r="G17" s="68">
        <f>IFERROR('Historical Financial Statements'!G15,0)</f>
        <v>0.23782752480284916</v>
      </c>
      <c r="H17" s="68">
        <f>IFERROR('Historical Financial Statements'!H15,0)</f>
        <v>0.23396928336224015</v>
      </c>
      <c r="I17" s="68">
        <f>IFERROR('Historical Financial Statements'!I15,0)</f>
        <v>0.21478693544271499</v>
      </c>
      <c r="J17" s="68">
        <f>IFERROR('Historical Financial Statements'!J15,0)</f>
        <v>0.20064447240971667</v>
      </c>
      <c r="K17" s="68">
        <f>IFERROR('Historical Financial Statements'!K15,0)</f>
        <v>0.18243644767249917</v>
      </c>
      <c r="L17" s="68">
        <f>IFERROR('Historical Financial Statements'!L15,0)</f>
        <v>0.21949722114514669</v>
      </c>
      <c r="M17" s="68">
        <f>IFERROR('Historical Financial Statements'!M15,0)</f>
        <v>0.21781974303322191</v>
      </c>
      <c r="O17" s="56"/>
      <c r="P17" s="77">
        <f>AVERAGE(D17:M17)</f>
        <v>0.22489096968128167</v>
      </c>
      <c r="Q17" s="77">
        <f>MEDIAN(D17:M17)</f>
        <v>0.22673325225369342</v>
      </c>
    </row>
    <row r="18" spans="2:17" ht="15" thickBot="1" x14ac:dyDescent="0.4">
      <c r="B18" s="39" t="s">
        <v>133</v>
      </c>
      <c r="C18" s="39"/>
      <c r="D18" s="71">
        <f>IFERROR('Historical Financial Statements'!D23,0)</f>
        <v>1.0967501398123409E-2</v>
      </c>
      <c r="E18" s="71">
        <f>IFERROR('Historical Financial Statements'!E23,0)</f>
        <v>1.3026958567034558E-2</v>
      </c>
      <c r="F18" s="71">
        <f>IFERROR('Historical Financial Statements'!F23,0)</f>
        <v>1.4629343086228723E-2</v>
      </c>
      <c r="G18" s="71">
        <f>IFERROR('Historical Financial Statements'!G23,0)</f>
        <v>1.437293309590435E-2</v>
      </c>
      <c r="H18" s="71">
        <f>IFERROR('Historical Financial Statements'!H23,0)</f>
        <v>2.5186637508483524E-2</v>
      </c>
      <c r="I18" s="71">
        <f>IFERROR('Historical Financial Statements'!I23,0)</f>
        <v>2.2837458535340648E-2</v>
      </c>
      <c r="J18" s="71">
        <f>IFERROR('Historical Financial Statements'!J23,0)</f>
        <v>2.0802349082866187E-2</v>
      </c>
      <c r="K18" s="71">
        <f>IFERROR('Historical Financial Statements'!K23,0)</f>
        <v>1.8768570485308684E-2</v>
      </c>
      <c r="L18" s="71">
        <f>IFERROR('Historical Financial Statements'!L23,0)</f>
        <v>1.9645857567532635E-2</v>
      </c>
      <c r="M18" s="71">
        <f>IFERROR('Historical Financial Statements'!M23,0)</f>
        <v>2.1466706801223048E-2</v>
      </c>
      <c r="O18" s="56"/>
      <c r="P18" s="77">
        <f>AVERAGE(D18:M18)</f>
        <v>1.8170431612804579E-2</v>
      </c>
      <c r="Q18" s="77">
        <f>MEDIAN(D18:M18)</f>
        <v>1.9207214026420658E-2</v>
      </c>
    </row>
    <row r="19" spans="2:17" ht="15" thickBot="1" x14ac:dyDescent="0.4">
      <c r="O19" s="56"/>
      <c r="P19" s="56"/>
      <c r="Q19" s="56"/>
    </row>
    <row r="20" spans="2:17" x14ac:dyDescent="0.35">
      <c r="B20" s="36" t="s">
        <v>134</v>
      </c>
      <c r="C20" s="36"/>
      <c r="D20" s="68">
        <f>IFERROR('Historical Financial Statements'!D25/SUM('Historical Financial Statements'!D51:D53),0)</f>
        <v>0.89525925925925931</v>
      </c>
      <c r="E20" s="68">
        <f>IFERROR('Historical Financial Statements'!E25/SUM('Historical Financial Statements'!E51:E53),0)</f>
        <v>0.83976641504059246</v>
      </c>
      <c r="F20" s="68">
        <f>IFERROR('Historical Financial Statements'!F25/SUM('Historical Financial Statements'!F51:F53),0)</f>
        <v>0.95852218101909081</v>
      </c>
      <c r="G20" s="68">
        <f>IFERROR('Historical Financial Statements'!G25/SUM('Historical Financial Statements'!G51:G53),0)</f>
        <v>1.0438111975897564</v>
      </c>
      <c r="H20" s="68">
        <f>IFERROR('Historical Financial Statements'!H25/SUM('Historical Financial Statements'!H51:H53),0)</f>
        <v>1.0765585125774699</v>
      </c>
      <c r="I20" s="68">
        <f>IFERROR('Historical Financial Statements'!I25/SUM('Historical Financial Statements'!I51:I53),0)</f>
        <v>0.22133657758946176</v>
      </c>
      <c r="J20" s="68">
        <f>IFERROR('Historical Financial Statements'!J25/SUM('Historical Financial Statements'!J51:J53),0)</f>
        <v>0.23483155037521955</v>
      </c>
      <c r="K20" s="68">
        <f>IFERROR('Historical Financial Statements'!K25/SUM('Historical Financial Statements'!K51:K53),0)</f>
        <v>0.25250858839741475</v>
      </c>
      <c r="L20" s="68">
        <f>IFERROR('Historical Financial Statements'!L25/SUM('Historical Financial Statements'!L51:L53),0)</f>
        <v>0.25507570870175705</v>
      </c>
      <c r="M20" s="68">
        <f>IFERROR('Historical Financial Statements'!M25/SUM('Historical Financial Statements'!M51:M53),0)</f>
        <v>0.26421155729676787</v>
      </c>
      <c r="O20" s="56"/>
      <c r="P20" s="77">
        <f>AVERAGE(D20:M20)</f>
        <v>0.60418815478467913</v>
      </c>
      <c r="Q20" s="77">
        <f>MEDIAN(D20:M20)</f>
        <v>0.5519889861686802</v>
      </c>
    </row>
    <row r="21" spans="2:17" x14ac:dyDescent="0.35">
      <c r="B21" t="s">
        <v>135</v>
      </c>
      <c r="D21" s="70">
        <f>IFERROR('Historical Financial Statements'!D47,0)</f>
        <v>0.16742953505179481</v>
      </c>
      <c r="E21" s="70">
        <f>IFERROR('Historical Financial Statements'!E47,0)</f>
        <v>5.4582904222451045E-2</v>
      </c>
      <c r="F21" s="70">
        <f>IFERROR('Historical Financial Statements'!F47,0)</f>
        <v>0.11366434140336479</v>
      </c>
      <c r="G21" s="70">
        <f>IFERROR('Historical Financial Statements'!G47,0)</f>
        <v>0.17183687696061345</v>
      </c>
      <c r="H21" s="70">
        <f>IFERROR('Historical Financial Statements'!H47,0)</f>
        <v>0.14718888186986734</v>
      </c>
      <c r="I21" s="70">
        <f>IFERROR('Historical Financial Statements'!I47,0)</f>
        <v>0</v>
      </c>
      <c r="J21" s="70">
        <f>IFERROR('Historical Financial Statements'!J47,0)</f>
        <v>7.8750144125446675E-2</v>
      </c>
      <c r="K21" s="70">
        <f>IFERROR('Historical Financial Statements'!K47,0)</f>
        <v>5.4667354306343507E-2</v>
      </c>
      <c r="L21" s="70">
        <f>IFERROR('Historical Financial Statements'!L47,0)</f>
        <v>0</v>
      </c>
      <c r="M21" s="70">
        <f>IFERROR('Historical Financial Statements'!M47,0)</f>
        <v>0</v>
      </c>
      <c r="O21" s="56"/>
      <c r="P21" s="77">
        <f t="shared" ref="P21:P23" si="4">AVERAGE(D21:M21)</f>
        <v>7.8812003793988158E-2</v>
      </c>
      <c r="Q21" s="77">
        <f t="shared" ref="Q21:Q24" si="5">MEDIAN(D21:M21)</f>
        <v>6.6708749215895091E-2</v>
      </c>
    </row>
    <row r="22" spans="2:17" x14ac:dyDescent="0.35">
      <c r="B22" t="s">
        <v>136</v>
      </c>
      <c r="D22" s="70">
        <f>IFERROR('Historical Financial Statements'!D36/SUM('Historical Financial Statements'!D51:D52),0)</f>
        <v>0.6315228966986155</v>
      </c>
      <c r="E22" s="70">
        <f>IFERROR('Historical Financial Statements'!E36/SUM('Historical Financial Statements'!E51:E52),0)</f>
        <v>0.57591933570581255</v>
      </c>
      <c r="F22" s="70">
        <f>IFERROR('Historical Financial Statements'!F36/SUM('Historical Financial Statements'!F51:F52),0)</f>
        <v>0.6694135420958659</v>
      </c>
      <c r="G22" s="70">
        <f>IFERROR('Historical Financial Statements'!G36/SUM('Historical Financial Statements'!G51:G52),0)</f>
        <v>0.72937587390364811</v>
      </c>
      <c r="H22" s="70">
        <f>IFERROR('Historical Financial Statements'!H36/SUM('Historical Financial Statements'!H51:H52),0)</f>
        <v>0.76947381212784061</v>
      </c>
      <c r="I22" s="70">
        <f>IFERROR('Historical Financial Statements'!I36/SUM('Historical Financial Statements'!I51:I52),0)</f>
        <v>0.16421949070772329</v>
      </c>
      <c r="J22" s="70">
        <f>IFERROR('Historical Financial Statements'!J36/SUM('Historical Financial Statements'!J51:J52),0)</f>
        <v>0.1767799270296162</v>
      </c>
      <c r="K22" s="70">
        <f>IFERROR('Historical Financial Statements'!K36/SUM('Historical Financial Statements'!K51:K52),0)</f>
        <v>0.19272821246819338</v>
      </c>
      <c r="L22" s="70">
        <f>IFERROR('Historical Financial Statements'!L36/SUM('Historical Financial Statements'!L51:L52),0)</f>
        <v>0.18479831309305322</v>
      </c>
      <c r="M22" s="70">
        <f>IFERROR('Historical Financial Statements'!M36/SUM('Historical Financial Statements'!M51:M52),0)</f>
        <v>0.18924335047164081</v>
      </c>
      <c r="O22" s="56"/>
      <c r="P22" s="77">
        <f t="shared" si="4"/>
        <v>0.42834747543020091</v>
      </c>
      <c r="Q22" s="77">
        <f t="shared" si="5"/>
        <v>0.38432377408700297</v>
      </c>
    </row>
    <row r="23" spans="2:17" x14ac:dyDescent="0.35">
      <c r="B23" t="s">
        <v>137</v>
      </c>
      <c r="D23" s="70">
        <f>IFERROR(D21*D22,0)</f>
        <v>0.10573558496881183</v>
      </c>
      <c r="E23" s="70">
        <f t="shared" ref="E23:M23" si="6">IFERROR(E21*E22,0)</f>
        <v>3.1435349940687994E-2</v>
      </c>
      <c r="F23" s="70">
        <f t="shared" si="6"/>
        <v>7.6088449388820215E-2</v>
      </c>
      <c r="G23" s="70">
        <f t="shared" si="6"/>
        <v>0.12533367230202108</v>
      </c>
      <c r="H23" s="70">
        <f t="shared" si="6"/>
        <v>0.11325799003524123</v>
      </c>
      <c r="I23" s="70">
        <f t="shared" si="6"/>
        <v>0</v>
      </c>
      <c r="J23" s="70">
        <f t="shared" si="6"/>
        <v>1.3921444732068222E-2</v>
      </c>
      <c r="K23" s="70">
        <f t="shared" si="6"/>
        <v>1.0535941475826979E-2</v>
      </c>
      <c r="L23" s="70">
        <f t="shared" si="6"/>
        <v>0</v>
      </c>
      <c r="M23" s="70">
        <f t="shared" si="6"/>
        <v>0</v>
      </c>
      <c r="O23" s="56"/>
      <c r="P23" s="77">
        <f t="shared" si="4"/>
        <v>4.763084328434776E-2</v>
      </c>
      <c r="Q23" s="77">
        <f t="shared" si="5"/>
        <v>2.2678397336378109E-2</v>
      </c>
    </row>
    <row r="24" spans="2:17" ht="15" thickBot="1" x14ac:dyDescent="0.4">
      <c r="B24" s="39" t="s">
        <v>138</v>
      </c>
      <c r="C24" s="39"/>
      <c r="D24" s="72">
        <f>IFERROR('Historical Financial Statements'!D25/'Historical Financial Statements'!D28,0)</f>
        <v>355.47058823529414</v>
      </c>
      <c r="E24" s="72">
        <f>IFERROR('Historical Financial Statements'!E25/'Historical Financial Statements'!E28,0)</f>
        <v>168.45714285714286</v>
      </c>
      <c r="F24" s="72">
        <f>IFERROR('Historical Financial Statements'!F25/'Historical Financial Statements'!F28,0)</f>
        <v>268.42307692307691</v>
      </c>
      <c r="G24" s="72">
        <f>IFERROR('Historical Financial Statements'!G25/'Historical Financial Statements'!G28,0)</f>
        <v>251.96969696969697</v>
      </c>
      <c r="H24" s="72">
        <f>IFERROR('Historical Financial Statements'!H25/'Historical Financial Statements'!H28,0)</f>
        <v>75.076271186440678</v>
      </c>
      <c r="I24" s="72">
        <f>IFERROR('Historical Financial Statements'!I25/'Historical Financial Statements'!I28,0)</f>
        <v>90.188034188034194</v>
      </c>
      <c r="J24" s="72">
        <f>IFERROR('Historical Financial Statements'!J25/'Historical Financial Statements'!J28,0)</f>
        <v>111</v>
      </c>
      <c r="K24" s="72">
        <f>IFERROR('Historical Financial Statements'!K25/'Historical Financial Statements'!K28,0)</f>
        <v>114.12280701754386</v>
      </c>
      <c r="L24" s="72">
        <f>IFERROR('Historical Financial Statements'!L25/'Historical Financial Statements'!L28,0)</f>
        <v>40.248502994011979</v>
      </c>
      <c r="M24" s="72">
        <f>IFERROR('Historical Financial Statements'!M25/'Historical Financial Statements'!M28,0)</f>
        <v>34.146835443037972</v>
      </c>
      <c r="O24" s="56"/>
      <c r="P24" s="78">
        <f>AVERAGE(D24:M24)</f>
        <v>150.91029558142796</v>
      </c>
      <c r="Q24" s="79">
        <f t="shared" si="5"/>
        <v>112.56140350877193</v>
      </c>
    </row>
    <row r="25" spans="2:17" ht="15" thickBot="1" x14ac:dyDescent="0.4">
      <c r="O25" s="56"/>
      <c r="P25" s="56"/>
      <c r="Q25" s="56"/>
    </row>
    <row r="26" spans="2:17" x14ac:dyDescent="0.35">
      <c r="B26" s="36" t="s">
        <v>141</v>
      </c>
      <c r="C26" s="36"/>
      <c r="D26" s="73">
        <f>IFERROR('Historical Financial Statements'!D5/'Historical Financial Statements'!D63,0)</f>
        <v>25.463607594936708</v>
      </c>
      <c r="E26" s="73">
        <f>IFERROR('Historical Financial Statements'!E5/'Historical Financial Statements'!E63,0)</f>
        <v>30.56405529953917</v>
      </c>
      <c r="F26" s="73">
        <f>IFERROR('Historical Financial Statements'!F5/'Historical Financial Statements'!F63,0)</f>
        <v>27.133587786259543</v>
      </c>
      <c r="G26" s="73">
        <f>IFERROR('Historical Financial Statements'!G5/'Historical Financial Statements'!G63,0)</f>
        <v>21.646475770925111</v>
      </c>
      <c r="H26" s="73">
        <f>IFERROR('Historical Financial Statements'!H5/'Historical Financial Statements'!H63,0)</f>
        <v>34.624020887728463</v>
      </c>
      <c r="I26" s="73">
        <f>IFERROR('Historical Financial Statements'!I5/'Historical Financial Statements'!I63,0)</f>
        <v>26.750853242320819</v>
      </c>
      <c r="J26" s="73">
        <f>IFERROR('Historical Financial Statements'!J5/'Historical Financial Statements'!J63,0)</f>
        <v>23.455277280858677</v>
      </c>
      <c r="K26" s="73">
        <f>IFERROR('Historical Financial Statements'!K5/'Historical Financial Statements'!K63,0)</f>
        <v>19.67521922702176</v>
      </c>
      <c r="L26" s="73">
        <f>IFERROR('Historical Financial Statements'!L5/'Historical Financial Statements'!L63,0)</f>
        <v>20.652652652652652</v>
      </c>
      <c r="M26" s="73">
        <f>IFERROR('Historical Financial Statements'!M5/'Historical Financial Statements'!M63,0)</f>
        <v>16.52814873003404</v>
      </c>
      <c r="O26" s="56"/>
      <c r="P26" s="74">
        <f>AVERAGE(D26:M26)</f>
        <v>24.649389847227695</v>
      </c>
      <c r="Q26" s="74">
        <f>MEDIAN(D26:M26)</f>
        <v>24.459442437897692</v>
      </c>
    </row>
    <row r="27" spans="2:17" x14ac:dyDescent="0.35">
      <c r="B27" t="s">
        <v>142</v>
      </c>
      <c r="D27" s="74">
        <f>IFERROR('Historical Financial Statements'!D5/'Historical Financial Statements'!D54,0)</f>
        <v>4.0017406440382945</v>
      </c>
      <c r="E27" s="74">
        <f>IFERROR('Historical Financial Statements'!E5/'Historical Financial Statements'!E54,0)</f>
        <v>3.818307426597582</v>
      </c>
      <c r="F27" s="74">
        <f>IFERROR('Historical Financial Statements'!F5/'Historical Financial Statements'!F54,0)</f>
        <v>3.3593233153766184</v>
      </c>
      <c r="G27" s="74">
        <f>IFERROR('Historical Financial Statements'!G5/'Historical Financial Statements'!G54,0)</f>
        <v>3.6865797617931162</v>
      </c>
      <c r="H27" s="74">
        <f>IFERROR('Historical Financial Statements'!H5/'Historical Financial Statements'!H54,0)</f>
        <v>3.3363804092586382</v>
      </c>
      <c r="I27" s="74">
        <f>IFERROR('Historical Financial Statements'!I5/'Historical Financial Statements'!I54,0)</f>
        <v>2.2324124181144973</v>
      </c>
      <c r="J27" s="74">
        <f>IFERROR('Historical Financial Statements'!J5/'Historical Financial Statements'!J54,0)</f>
        <v>2.5706303303597688</v>
      </c>
      <c r="K27" s="74">
        <f>IFERROR('Historical Financial Statements'!K5/'Historical Financial Statements'!K54,0)</f>
        <v>2.8106151990349817</v>
      </c>
      <c r="L27" s="74">
        <f>IFERROR('Historical Financial Statements'!L5/'Historical Financial Statements'!L54,0)</f>
        <v>2.4002792104548805</v>
      </c>
      <c r="M27" s="74">
        <f>IFERROR('Historical Financial Statements'!M5/'Historical Financial Statements'!M54,0)</f>
        <v>2.1907125255960853</v>
      </c>
      <c r="O27" s="56"/>
      <c r="P27" s="74">
        <f>AVERAGE(D27:M27)</f>
        <v>3.040698124062446</v>
      </c>
      <c r="Q27" s="74">
        <f t="shared" ref="Q27:Q30" si="7">MEDIAN(D27:M27)</f>
        <v>3.0734978041468102</v>
      </c>
    </row>
    <row r="28" spans="2:17" x14ac:dyDescent="0.35">
      <c r="B28" t="s">
        <v>140</v>
      </c>
      <c r="D28" s="74">
        <f>IFERROR('Historical Financial Statements'!D5/'Historical Financial Statements'!D64,0)</f>
        <v>11.807043286867204</v>
      </c>
      <c r="E28" s="74">
        <f>IFERROR('Historical Financial Statements'!E5/'Historical Financial Statements'!E64,0)</f>
        <v>13.050767414403778</v>
      </c>
      <c r="F28" s="74">
        <f>IFERROR('Historical Financial Statements'!F5/'Historical Financial Statements'!F64,0)</f>
        <v>14.144448865897333</v>
      </c>
      <c r="G28" s="74">
        <f>IFERROR('Historical Financial Statements'!G5/'Historical Financial Statements'!G64,0)</f>
        <v>15.271950271950272</v>
      </c>
      <c r="H28" s="74">
        <f>IFERROR('Historical Financial Statements'!H5/'Historical Financial Statements'!H64,0)</f>
        <v>14.377665341525118</v>
      </c>
      <c r="I28" s="74">
        <f>IFERROR('Historical Financial Statements'!I5/'Historical Financial Statements'!I64,0)</f>
        <v>13.139983235540655</v>
      </c>
      <c r="J28" s="74">
        <f>IFERROR('Historical Financial Statements'!J5/'Historical Financial Statements'!J64,0)</f>
        <v>12.80419921875</v>
      </c>
      <c r="K28" s="74">
        <f>IFERROR('Historical Financial Statements'!K5/'Historical Financial Statements'!K64,0)</f>
        <v>14.250764525993883</v>
      </c>
      <c r="L28" s="74">
        <f>IFERROR('Historical Financial Statements'!L5/'Historical Financial Statements'!L64,0)</f>
        <v>15.389358528095475</v>
      </c>
      <c r="M28" s="74">
        <f>IFERROR('Historical Financial Statements'!M5/'Historical Financial Statements'!M64,0)</f>
        <v>14.296942242355605</v>
      </c>
      <c r="O28" s="56"/>
      <c r="P28" s="74">
        <f t="shared" ref="P28:P30" si="8">AVERAGE(D28:M28)</f>
        <v>13.853312293137932</v>
      </c>
      <c r="Q28" s="74">
        <f t="shared" si="7"/>
        <v>14.197606695945609</v>
      </c>
    </row>
    <row r="29" spans="2:17" x14ac:dyDescent="0.35">
      <c r="B29" t="s">
        <v>139</v>
      </c>
      <c r="D29" s="74">
        <f>IFERROR('Historical Financial Statements'!D5/'Historical Financial Statements'!D57,0)</f>
        <v>9.8790669122160839</v>
      </c>
      <c r="E29" s="74">
        <f>IFERROR('Historical Financial Statements'!E5/'Historical Financial Statements'!E57,0)</f>
        <v>7.5044127630685677</v>
      </c>
      <c r="F29" s="74">
        <f>IFERROR('Historical Financial Statements'!F5/'Historical Financial Statements'!F57,0)</f>
        <v>7.8500441696113077</v>
      </c>
      <c r="G29" s="74">
        <f>IFERROR('Historical Financial Statements'!G5/'Historical Financial Statements'!G57,0)</f>
        <v>8.3372216330858961</v>
      </c>
      <c r="H29" s="74">
        <f>IFERROR('Historical Financial Statements'!H5/'Historical Financial Statements'!H57,0)</f>
        <v>7.2609965322139081</v>
      </c>
      <c r="I29" s="74">
        <f>IFERROR('Historical Financial Statements'!I5/'Historical Financial Statements'!I57,0)</f>
        <v>0.91417685593763975</v>
      </c>
      <c r="J29" s="74">
        <f>IFERROR('Historical Financial Statements'!J5/'Historical Financial Statements'!J57,0)</f>
        <v>1.018903114254075</v>
      </c>
      <c r="K29" s="74">
        <f>IFERROR('Historical Financial Statements'!K5/'Historical Financial Statements'!K57,0)</f>
        <v>1.1500056949770303</v>
      </c>
      <c r="L29" s="74">
        <f>IFERROR('Historical Financial Statements'!L5/'Historical Financial Statements'!L57,0)</f>
        <v>1.1516820482286394</v>
      </c>
      <c r="M29" s="74">
        <f>IFERROR('Historical Financial Statements'!M5/'Historical Financial Statements'!M57,0)</f>
        <v>1.1617005613324745</v>
      </c>
      <c r="O29" s="56"/>
      <c r="P29" s="74">
        <f t="shared" si="8"/>
        <v>4.6228210284925622</v>
      </c>
      <c r="Q29" s="74">
        <f t="shared" si="7"/>
        <v>4.2113485467731913</v>
      </c>
    </row>
    <row r="30" spans="2:17" ht="15" thickBot="1" x14ac:dyDescent="0.4">
      <c r="B30" s="39" t="s">
        <v>143</v>
      </c>
      <c r="C30" s="39"/>
      <c r="D30" s="72">
        <f>IFERROR('Historical Financial Statements'!D5/SUM('Historical Financial Statements'!D51:D52),0)</f>
        <v>4.8966986155484555</v>
      </c>
      <c r="E30" s="72">
        <f>IFERROR('Historical Financial Statements'!E5/SUM('Historical Financial Statements'!E51:E52),0)</f>
        <v>4.9172597864768681</v>
      </c>
      <c r="F30" s="72">
        <f>IFERROR('Historical Financial Statements'!F5/SUM('Historical Financial Statements'!F51:F52),0)</f>
        <v>4.8818843565444308</v>
      </c>
      <c r="G30" s="72">
        <f>IFERROR('Historical Financial Statements'!G5/SUM('Historical Financial Statements'!G51:G52),0)</f>
        <v>4.9968221685521801</v>
      </c>
      <c r="H30" s="72">
        <f>IFERROR('Historical Financial Statements'!H5/SUM('Historical Financial Statements'!H51:H52),0)</f>
        <v>4.8344877870944218</v>
      </c>
      <c r="I30" s="72">
        <f>IFERROR('Historical Financial Statements'!I5/SUM('Historical Financial Statements'!I51:I52),0)</f>
        <v>0.98644963711876499</v>
      </c>
      <c r="J30" s="72">
        <f>IFERROR('Historical Financial Statements'!J5/SUM('Historical Financial Statements'!J51:J52),0)</f>
        <v>1.0689957399971464</v>
      </c>
      <c r="K30" s="72">
        <f>IFERROR('Historical Financial Statements'!K5/SUM('Historical Financial Statements'!K51:K52),0)</f>
        <v>1.2042779898218829</v>
      </c>
      <c r="L30" s="72">
        <f>IFERROR('Historical Financial Statements'!L5/SUM('Historical Financial Statements'!L51:L52),0)</f>
        <v>1.2084813932601819</v>
      </c>
      <c r="M30" s="72">
        <f>IFERROR('Historical Financial Statements'!M5/SUM('Historical Financial Statements'!M51:M52),0)</f>
        <v>1.2777013076393668</v>
      </c>
      <c r="O30" s="56"/>
      <c r="P30" s="74">
        <f t="shared" si="8"/>
        <v>3.0273058782053694</v>
      </c>
      <c r="Q30" s="74">
        <f t="shared" si="7"/>
        <v>3.0560945473668943</v>
      </c>
    </row>
    <row r="31" spans="2:17" ht="15" thickBot="1" x14ac:dyDescent="0.4">
      <c r="O31" s="56"/>
      <c r="P31" s="56"/>
      <c r="Q31" s="56"/>
    </row>
    <row r="32" spans="2:17" x14ac:dyDescent="0.35">
      <c r="B32" s="36" t="s">
        <v>144</v>
      </c>
      <c r="C32" s="36"/>
      <c r="D32" s="73">
        <f>IFERROR('Historical Financial Statements'!D76/'Historical Financial Statements'!D5,0)</f>
        <v>-0.12005219660722052</v>
      </c>
      <c r="E32" s="73">
        <f>IFERROR('Historical Financial Statements'!E76/'Historical Financial Statements'!E5,0)</f>
        <v>-0.12707315602195285</v>
      </c>
      <c r="F32" s="73">
        <f>IFERROR('Historical Financial Statements'!F76/'Historical Financial Statements'!F5,0)</f>
        <v>-0.13996342664228442</v>
      </c>
      <c r="G32" s="73">
        <f>IFERROR('Historical Financial Statements'!G76/'Historical Financial Statements'!G5,0)</f>
        <v>-0.13711523785296362</v>
      </c>
      <c r="H32" s="73">
        <f>IFERROR('Historical Financial Statements'!H76/'Historical Financial Statements'!H5,0)</f>
        <v>-0.17140487142749417</v>
      </c>
      <c r="I32" s="73">
        <f>IFERROR('Historical Financial Statements'!I76/'Historical Financial Statements'!I5,0)</f>
        <v>-0.1979459045674917</v>
      </c>
      <c r="J32" s="73">
        <f>IFERROR('Historical Financial Statements'!J76/'Historical Financial Statements'!J5,0)</f>
        <v>-0.15282385691949815</v>
      </c>
      <c r="K32" s="73">
        <f>IFERROR('Historical Financial Statements'!K76/'Historical Financial Statements'!K5,0)</f>
        <v>-0.14778804886101024</v>
      </c>
      <c r="L32" s="73">
        <f>IFERROR('Historical Financial Statements'!L76/'Historical Financial Statements'!L5,0)</f>
        <v>-0.16211063719788033</v>
      </c>
      <c r="M32" s="73">
        <f>IFERROR('Historical Financial Statements'!M76/'Historical Financial Statements'!M5,0)</f>
        <v>-0.20755374597994328</v>
      </c>
      <c r="O32" s="56"/>
      <c r="P32" s="74">
        <f>AVERAGE(D32:M32)</f>
        <v>-0.1563831082077739</v>
      </c>
      <c r="Q32" s="74">
        <f>MEDIAN(D32:M32)</f>
        <v>-0.1503059528902542</v>
      </c>
    </row>
    <row r="33" spans="2:17" x14ac:dyDescent="0.35">
      <c r="B33" t="s">
        <v>145</v>
      </c>
      <c r="D33" s="74">
        <f>IFERROR('Historical Financial Statements'!D76/'Historical Financial Statements'!D68,0)</f>
        <v>-0.26120462380855808</v>
      </c>
      <c r="E33" s="74">
        <f>IFERROR('Historical Financial Statements'!E76/'Historical Financial Statements'!E68,0)</f>
        <v>-0.26830510632879156</v>
      </c>
      <c r="F33" s="74">
        <f>IFERROR('Historical Financial Statements'!F76/'Historical Financial Statements'!F68,0)</f>
        <v>-0.27852424140633747</v>
      </c>
      <c r="G33" s="74">
        <f>IFERROR('Historical Financial Statements'!G76/'Historical Financial Statements'!G68,0)</f>
        <v>-0.28933383434430188</v>
      </c>
      <c r="H33" s="74">
        <f>IFERROR('Historical Financial Statements'!H76/'Historical Financial Statements'!H68,0)</f>
        <v>-0.3383615342628889</v>
      </c>
      <c r="I33" s="74">
        <f>IFERROR('Historical Financial Statements'!I76/'Historical Financial Statements'!I68,0)</f>
        <v>-0.13542333430317138</v>
      </c>
      <c r="J33" s="74">
        <f>IFERROR('Historical Financial Statements'!J76/'Historical Financial Statements'!J68,0)</f>
        <v>-0.11367826851615466</v>
      </c>
      <c r="K33" s="74">
        <f>IFERROR('Historical Financial Statements'!K76/'Historical Financial Statements'!K68,0)</f>
        <v>-0.12251460787936012</v>
      </c>
      <c r="L33" s="74">
        <f>IFERROR('Historical Financial Statements'!L76/'Historical Financial Statements'!L68,0)</f>
        <v>-0.12783956987603359</v>
      </c>
      <c r="M33" s="74">
        <f>IFERROR('Historical Financial Statements'!M76/'Historical Financial Statements'!M68,0)</f>
        <v>-0.16404342436422373</v>
      </c>
      <c r="O33" s="56"/>
      <c r="P33" s="74">
        <f t="shared" ref="P33:P34" si="9">AVERAGE(D33:M33)</f>
        <v>-0.20992285450898213</v>
      </c>
      <c r="Q33" s="74">
        <f t="shared" ref="Q33:Q34" si="10">MEDIAN(D33:M33)</f>
        <v>-0.21262402408639092</v>
      </c>
    </row>
    <row r="34" spans="2:17" ht="15" thickBot="1" x14ac:dyDescent="0.4">
      <c r="B34" s="39" t="s">
        <v>146</v>
      </c>
      <c r="C34" s="39"/>
      <c r="D34" s="72">
        <f>IFERROR('Historical Financial Statements'!D76/'Historical Financial Statements'!D53,0)</f>
        <v>-21.83050847457627</v>
      </c>
      <c r="E34" s="72">
        <f>IFERROR('Historical Financial Statements'!E76/'Historical Financial Statements'!E53,0)</f>
        <v>-15.212996389891696</v>
      </c>
      <c r="F34" s="72">
        <f>IFERROR('Historical Financial Statements'!F76/'Historical Financial Statements'!F53,0)</f>
        <v>0</v>
      </c>
      <c r="G34" s="72">
        <f>IFERROR('Historical Financial Statements'!G76/'Historical Financial Statements'!G53,0)</f>
        <v>-54.444444444444443</v>
      </c>
      <c r="H34" s="72">
        <f>IFERROR('Historical Financial Statements'!H76/'Historical Financial Statements'!H53,0)</f>
        <v>0</v>
      </c>
      <c r="I34" s="72">
        <f>IFERROR('Historical Financial Statements'!I76/'Historical Financial Statements'!I53,0)</f>
        <v>0</v>
      </c>
      <c r="J34" s="72">
        <f>IFERROR('Historical Financial Statements'!J76/'Historical Financial Statements'!J53,0)</f>
        <v>-7.6845637583892614</v>
      </c>
      <c r="K34" s="72">
        <f>IFERROR('Historical Financial Statements'!K76/'Historical Financial Statements'!K53,0)</f>
        <v>-7.3445447087776863</v>
      </c>
      <c r="L34" s="72">
        <f>IFERROR('Historical Financial Statements'!L76/'Historical Financial Statements'!L53,0)</f>
        <v>-6.7614555256064692</v>
      </c>
      <c r="M34" s="72">
        <f>IFERROR('Historical Financial Statements'!M76/'Historical Financial Statements'!M53,0)</f>
        <v>-7.9496359223300974</v>
      </c>
      <c r="O34" s="56"/>
      <c r="P34" s="74">
        <f t="shared" si="9"/>
        <v>-12.122814922401592</v>
      </c>
      <c r="Q34" s="74">
        <f t="shared" si="10"/>
        <v>-7.5145542335834739</v>
      </c>
    </row>
  </sheetData>
  <mergeCells count="1">
    <mergeCell ref="B2:Q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AB4F93C-1C18-4BAA-8AF5-C3A471CFB6A2}">
          <x14:colorSeries rgb="FF0275D8"/>
          <x14:colorNegative theme="1" tint="0.249977111117893"/>
          <x14:colorAxis rgb="FF000000"/>
          <x14:colorMarkers theme="1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'Ratio Analysis'!E5:M5</xm:f>
              <xm:sqref>O5</xm:sqref>
            </x14:sparkline>
            <x14:sparkline>
              <xm:f>'Ratio Analysis'!E6:M6</xm:f>
              <xm:sqref>O6</xm:sqref>
            </x14:sparkline>
            <x14:sparkline>
              <xm:f>'Ratio Analysis'!E7:M7</xm:f>
              <xm:sqref>O7</xm:sqref>
            </x14:sparkline>
            <x14:sparkline>
              <xm:f>'Ratio Analysis'!E8:M8</xm:f>
              <xm:sqref>O8</xm:sqref>
            </x14:sparkline>
            <x14:sparkline>
              <xm:f>'Ratio Analysis'!E9:M9</xm:f>
              <xm:sqref>O9</xm:sqref>
            </x14:sparkline>
          </x14:sparklines>
        </x14:sparklineGroup>
        <x14:sparklineGroup displayEmptyCellsAs="gap" markers="1" xr2:uid="{6D9579C2-B846-416E-921E-D8573C8F42E2}">
          <x14:colorSeries rgb="FF0275D8"/>
          <x14:colorNegative rgb="FFD00000"/>
          <x14:colorAxis rgb="FF000000"/>
          <x14:colorMarkers theme="1"/>
          <x14:colorFirst rgb="FFD00000"/>
          <x14:colorLast rgb="FFD00000"/>
          <x14:colorHigh theme="1"/>
          <x14:colorLow rgb="FFD00000"/>
          <x14:sparklines>
            <x14:sparkline>
              <xm:f>'Ratio Analysis'!D11:M11</xm:f>
              <xm:sqref>O11</xm:sqref>
            </x14:sparkline>
            <x14:sparkline>
              <xm:f>'Ratio Analysis'!D12:M12</xm:f>
              <xm:sqref>O12</xm:sqref>
            </x14:sparkline>
            <x14:sparkline>
              <xm:f>'Ratio Analysis'!D13:M13</xm:f>
              <xm:sqref>O13</xm:sqref>
            </x14:sparkline>
            <x14:sparkline>
              <xm:f>'Ratio Analysis'!D14:M14</xm:f>
              <xm:sqref>O14</xm:sqref>
            </x14:sparkline>
            <x14:sparkline>
              <xm:f>'Ratio Analysis'!D15:M15</xm:f>
              <xm:sqref>O15</xm:sqref>
            </x14:sparkline>
          </x14:sparklines>
        </x14:sparklineGroup>
        <x14:sparklineGroup displayEmptyCellsAs="gap" markers="1" xr2:uid="{63C98098-D231-4342-9F04-CD0DD6F07E86}">
          <x14:colorSeries rgb="FF0275D8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Analysis'!D17:M17</xm:f>
              <xm:sqref>O17</xm:sqref>
            </x14:sparkline>
            <x14:sparkline>
              <xm:f>'Ratio Analysis'!D18:M18</xm:f>
              <xm:sqref>O18</xm:sqref>
            </x14:sparkline>
          </x14:sparklines>
        </x14:sparklineGroup>
        <x14:sparklineGroup displayEmptyCellsAs="gap" markers="1" xr2:uid="{2F9B7A49-C344-4592-9314-99030918B764}">
          <x14:colorSeries rgb="FF0275D8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Analysis'!D20:M20</xm:f>
              <xm:sqref>O20</xm:sqref>
            </x14:sparkline>
            <x14:sparkline>
              <xm:f>'Ratio Analysis'!D21:M21</xm:f>
              <xm:sqref>O21</xm:sqref>
            </x14:sparkline>
            <x14:sparkline>
              <xm:f>'Ratio Analysis'!D22:M22</xm:f>
              <xm:sqref>O22</xm:sqref>
            </x14:sparkline>
            <x14:sparkline>
              <xm:f>'Ratio Analysis'!D23:M23</xm:f>
              <xm:sqref>O23</xm:sqref>
            </x14:sparkline>
            <x14:sparkline>
              <xm:f>'Ratio Analysis'!D24:M24</xm:f>
              <xm:sqref>O24</xm:sqref>
            </x14:sparkline>
          </x14:sparklines>
        </x14:sparklineGroup>
        <x14:sparklineGroup displayEmptyCellsAs="gap" markers="1" xr2:uid="{141AE217-221A-42E1-9F0D-96221DC3527E}">
          <x14:colorSeries rgb="FF0275D8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Analysis'!D26:M26</xm:f>
              <xm:sqref>O26</xm:sqref>
            </x14:sparkline>
            <x14:sparkline>
              <xm:f>'Ratio Analysis'!D27:M27</xm:f>
              <xm:sqref>O27</xm:sqref>
            </x14:sparkline>
            <x14:sparkline>
              <xm:f>'Ratio Analysis'!D28:M28</xm:f>
              <xm:sqref>O28</xm:sqref>
            </x14:sparkline>
            <x14:sparkline>
              <xm:f>'Ratio Analysis'!D29:M29</xm:f>
              <xm:sqref>O29</xm:sqref>
            </x14:sparkline>
            <x14:sparkline>
              <xm:f>'Ratio Analysis'!D30:M30</xm:f>
              <xm:sqref>O30</xm:sqref>
            </x14:sparkline>
          </x14:sparklines>
        </x14:sparklineGroup>
        <x14:sparklineGroup displayEmptyCellsAs="gap" markers="1" xr2:uid="{F16636FE-DB37-418E-8D38-D4FB2E85718C}">
          <x14:colorSeries rgb="FF0275D8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Analysis'!D32:M32</xm:f>
              <xm:sqref>O32</xm:sqref>
            </x14:sparkline>
            <x14:sparkline>
              <xm:f>'Ratio Analysis'!D33:M33</xm:f>
              <xm:sqref>O33</xm:sqref>
            </x14:sparkline>
            <x14:sparkline>
              <xm:f>'Ratio Analysis'!D34:M34</xm:f>
              <xm:sqref>O34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BAA4-20BC-4644-977C-A268F6C2C30C}">
  <sheetPr>
    <tabColor rgb="FF00B0F0"/>
  </sheetPr>
  <dimension ref="B2:Q39"/>
  <sheetViews>
    <sheetView showGridLines="0" zoomScale="88" workbookViewId="0">
      <selection activeCell="H27" sqref="H27"/>
    </sheetView>
  </sheetViews>
  <sheetFormatPr defaultRowHeight="14.5" x14ac:dyDescent="0.35"/>
  <cols>
    <col min="1" max="1" width="2.6328125" customWidth="1"/>
    <col min="2" max="2" width="8.54296875" customWidth="1"/>
    <col min="3" max="3" width="9.36328125" customWidth="1"/>
    <col min="4" max="4" width="10.1796875" customWidth="1"/>
    <col min="5" max="5" width="10.08984375" customWidth="1"/>
    <col min="6" max="6" width="2.7265625" customWidth="1"/>
    <col min="7" max="7" width="8.08984375" customWidth="1"/>
    <col min="8" max="8" width="10.7265625" customWidth="1"/>
    <col min="9" max="9" width="10.54296875" customWidth="1"/>
    <col min="10" max="10" width="13.54296875" customWidth="1"/>
    <col min="11" max="11" width="1.453125" customWidth="1"/>
    <col min="12" max="13" width="9.26953125" bestFit="1" customWidth="1"/>
    <col min="14" max="14" width="9.6328125" bestFit="1" customWidth="1"/>
    <col min="15" max="15" width="12.81640625" customWidth="1"/>
  </cols>
  <sheetData>
    <row r="2" spans="2:15" x14ac:dyDescent="0.35">
      <c r="B2" s="129" t="s">
        <v>199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</row>
    <row r="3" spans="2:15" ht="3" customHeight="1" x14ac:dyDescent="0.35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2:15" x14ac:dyDescent="0.35">
      <c r="B4" s="128" t="s">
        <v>152</v>
      </c>
      <c r="C4" s="128"/>
      <c r="D4" s="128"/>
      <c r="E4" s="128"/>
      <c r="G4" s="128" t="s">
        <v>153</v>
      </c>
      <c r="H4" s="128"/>
      <c r="I4" s="128"/>
      <c r="J4" s="128"/>
      <c r="L4" s="128" t="s">
        <v>161</v>
      </c>
      <c r="M4" s="128"/>
      <c r="N4" s="128"/>
      <c r="O4" s="128"/>
    </row>
    <row r="5" spans="2:15" ht="27.5" customHeight="1" x14ac:dyDescent="0.35">
      <c r="B5" s="48" t="s">
        <v>147</v>
      </c>
      <c r="C5" s="45" t="s">
        <v>148</v>
      </c>
      <c r="D5" s="46" t="s">
        <v>1</v>
      </c>
      <c r="E5" s="49" t="s">
        <v>149</v>
      </c>
      <c r="G5" s="48" t="s">
        <v>147</v>
      </c>
      <c r="H5" s="45" t="s">
        <v>148</v>
      </c>
      <c r="I5" s="46" t="s">
        <v>66</v>
      </c>
      <c r="J5" s="50" t="s">
        <v>160</v>
      </c>
      <c r="L5" s="48" t="s">
        <v>147</v>
      </c>
      <c r="M5" s="45" t="s">
        <v>148</v>
      </c>
      <c r="N5" s="46" t="s">
        <v>70</v>
      </c>
      <c r="O5" s="49" t="s">
        <v>162</v>
      </c>
    </row>
    <row r="6" spans="2:15" x14ac:dyDescent="0.35">
      <c r="B6" s="180">
        <v>1</v>
      </c>
      <c r="C6" s="181">
        <v>2014</v>
      </c>
      <c r="D6" s="150">
        <v>29234</v>
      </c>
      <c r="E6" s="69" t="s">
        <v>59</v>
      </c>
      <c r="G6" s="180">
        <v>1</v>
      </c>
      <c r="H6" s="181">
        <v>2016</v>
      </c>
      <c r="I6" s="150">
        <v>5910</v>
      </c>
      <c r="J6" s="69" t="s">
        <v>59</v>
      </c>
      <c r="L6" s="8">
        <v>1</v>
      </c>
      <c r="M6" s="47">
        <v>2016</v>
      </c>
      <c r="N6" s="14">
        <v>4151</v>
      </c>
      <c r="O6" s="52" t="s">
        <v>59</v>
      </c>
    </row>
    <row r="7" spans="2:15" x14ac:dyDescent="0.35">
      <c r="B7" s="180">
        <f>B6+1</f>
        <v>2</v>
      </c>
      <c r="C7" s="181">
        <f>C6+1</f>
        <v>2015</v>
      </c>
      <c r="D7" s="150">
        <v>31972</v>
      </c>
      <c r="E7" s="70">
        <f>D7/D6-1</f>
        <v>9.3658069371280073E-2</v>
      </c>
      <c r="G7" s="180">
        <f>G6+1</f>
        <v>2</v>
      </c>
      <c r="H7" s="181">
        <f>H6+1</f>
        <v>2017</v>
      </c>
      <c r="I7" s="150">
        <v>6328</v>
      </c>
      <c r="J7" s="70">
        <f>I7/I6-1</f>
        <v>7.0727580372250465E-2</v>
      </c>
      <c r="L7" s="180">
        <f>L6+1</f>
        <v>2</v>
      </c>
      <c r="M7" s="181">
        <f>M6+1</f>
        <v>2017</v>
      </c>
      <c r="N7" s="150">
        <v>3884</v>
      </c>
      <c r="O7" s="70">
        <f>N7/N6-1</f>
        <v>-6.4321850156588756E-2</v>
      </c>
    </row>
    <row r="8" spans="2:15" x14ac:dyDescent="0.35">
      <c r="B8" s="180">
        <f t="shared" ref="B8:B22" si="0">B7+1</f>
        <v>3</v>
      </c>
      <c r="C8" s="181">
        <f t="shared" ref="C8:C22" si="1">C7+1</f>
        <v>2016</v>
      </c>
      <c r="D8" s="150">
        <v>32186</v>
      </c>
      <c r="E8" s="70">
        <f t="shared" ref="E8:E22" si="2">D8/D7-1</f>
        <v>6.6933566871012484E-3</v>
      </c>
      <c r="G8" s="180">
        <f t="shared" ref="G8:G22" si="3">G7+1</f>
        <v>3</v>
      </c>
      <c r="H8" s="181">
        <f t="shared" ref="H8:H15" si="4">H7+1</f>
        <v>2018</v>
      </c>
      <c r="I8" s="150">
        <v>7499</v>
      </c>
      <c r="J8" s="70">
        <f t="shared" ref="J8:J22" si="5">I8/I7-1</f>
        <v>0.1850505689001265</v>
      </c>
      <c r="L8" s="180">
        <f t="shared" ref="L8:L22" si="6">L7+1</f>
        <v>3</v>
      </c>
      <c r="M8" s="181">
        <f t="shared" ref="M8:M15" si="7">M7+1</f>
        <v>2018</v>
      </c>
      <c r="N8" s="150">
        <v>4874</v>
      </c>
      <c r="O8" s="70">
        <f t="shared" ref="O8:O22" si="8">N8/N7-1</f>
        <v>0.2548918640576725</v>
      </c>
    </row>
    <row r="9" spans="2:15" x14ac:dyDescent="0.35">
      <c r="B9" s="180">
        <f t="shared" si="0"/>
        <v>4</v>
      </c>
      <c r="C9" s="181">
        <f t="shared" si="1"/>
        <v>2017</v>
      </c>
      <c r="D9" s="150">
        <v>33162</v>
      </c>
      <c r="E9" s="70">
        <f t="shared" si="2"/>
        <v>3.03237432424035E-2</v>
      </c>
      <c r="G9" s="180">
        <f t="shared" si="3"/>
        <v>4</v>
      </c>
      <c r="H9" s="181">
        <f t="shared" si="4"/>
        <v>2019</v>
      </c>
      <c r="I9" s="150">
        <v>8880</v>
      </c>
      <c r="J9" s="70">
        <f t="shared" si="5"/>
        <v>0.1841578877183625</v>
      </c>
      <c r="L9" s="180">
        <f t="shared" si="6"/>
        <v>4</v>
      </c>
      <c r="M9" s="181">
        <f t="shared" si="7"/>
        <v>2019</v>
      </c>
      <c r="N9" s="150">
        <v>5738</v>
      </c>
      <c r="O9" s="70">
        <f t="shared" si="8"/>
        <v>0.17726713171932706</v>
      </c>
    </row>
    <row r="10" spans="2:15" x14ac:dyDescent="0.35">
      <c r="B10" s="180">
        <f t="shared" si="0"/>
        <v>5</v>
      </c>
      <c r="C10" s="181">
        <f t="shared" si="1"/>
        <v>2018</v>
      </c>
      <c r="D10" s="150">
        <v>35545</v>
      </c>
      <c r="E10" s="70">
        <f t="shared" si="2"/>
        <v>7.1859357095470644E-2</v>
      </c>
      <c r="G10" s="180">
        <f t="shared" si="3"/>
        <v>5</v>
      </c>
      <c r="H10" s="181">
        <f t="shared" si="4"/>
        <v>2020</v>
      </c>
      <c r="I10" s="150">
        <v>9861</v>
      </c>
      <c r="J10" s="70">
        <f t="shared" si="5"/>
        <v>0.11047297297297298</v>
      </c>
      <c r="L10" s="180">
        <f t="shared" si="6"/>
        <v>5</v>
      </c>
      <c r="M10" s="181">
        <f t="shared" si="7"/>
        <v>2020</v>
      </c>
      <c r="N10" s="150">
        <v>6332</v>
      </c>
      <c r="O10" s="70">
        <f t="shared" si="8"/>
        <v>0.10352039037992333</v>
      </c>
    </row>
    <row r="11" spans="2:15" x14ac:dyDescent="0.35">
      <c r="B11" s="180">
        <f t="shared" si="0"/>
        <v>6</v>
      </c>
      <c r="C11" s="181">
        <f t="shared" si="1"/>
        <v>2019</v>
      </c>
      <c r="D11" s="150">
        <v>39310</v>
      </c>
      <c r="E11" s="70">
        <f t="shared" si="2"/>
        <v>0.1059220706147137</v>
      </c>
      <c r="G11" s="180">
        <f t="shared" si="3"/>
        <v>6</v>
      </c>
      <c r="H11" s="181">
        <f t="shared" si="4"/>
        <v>2021</v>
      </c>
      <c r="I11" s="150">
        <v>11626</v>
      </c>
      <c r="J11" s="70">
        <f t="shared" si="5"/>
        <v>0.1789879322583916</v>
      </c>
      <c r="L11" s="180">
        <f t="shared" si="6"/>
        <v>6</v>
      </c>
      <c r="M11" s="181">
        <f t="shared" si="7"/>
        <v>2021</v>
      </c>
      <c r="N11" s="150">
        <v>7829</v>
      </c>
      <c r="O11" s="70">
        <f t="shared" si="8"/>
        <v>0.23641819330385339</v>
      </c>
    </row>
    <row r="12" spans="2:15" x14ac:dyDescent="0.35">
      <c r="B12" s="180">
        <f t="shared" si="0"/>
        <v>7</v>
      </c>
      <c r="C12" s="181">
        <f t="shared" si="1"/>
        <v>2020</v>
      </c>
      <c r="D12" s="150">
        <v>39783</v>
      </c>
      <c r="E12" s="70">
        <f t="shared" si="2"/>
        <v>1.2032561689137689E-2</v>
      </c>
      <c r="G12" s="180">
        <f t="shared" si="3"/>
        <v>7</v>
      </c>
      <c r="H12" s="181">
        <f t="shared" si="4"/>
        <v>2022</v>
      </c>
      <c r="I12" s="150">
        <v>12857</v>
      </c>
      <c r="J12" s="70">
        <f t="shared" si="5"/>
        <v>0.10588336487183891</v>
      </c>
      <c r="L12" s="180">
        <f t="shared" si="6"/>
        <v>7</v>
      </c>
      <c r="M12" s="181">
        <f t="shared" si="7"/>
        <v>2022</v>
      </c>
      <c r="N12" s="150">
        <v>8673</v>
      </c>
      <c r="O12" s="70">
        <f t="shared" si="8"/>
        <v>0.10780431728190054</v>
      </c>
    </row>
    <row r="13" spans="2:15" x14ac:dyDescent="0.35">
      <c r="B13" s="180">
        <f t="shared" si="0"/>
        <v>8</v>
      </c>
      <c r="C13" s="181">
        <f t="shared" si="1"/>
        <v>2021</v>
      </c>
      <c r="D13" s="150">
        <v>47028</v>
      </c>
      <c r="E13" s="70">
        <f t="shared" si="2"/>
        <v>0.18211296282331646</v>
      </c>
      <c r="G13" s="180">
        <f t="shared" si="3"/>
        <v>8</v>
      </c>
      <c r="H13" s="181">
        <f t="shared" si="4"/>
        <v>2023</v>
      </c>
      <c r="I13" s="150">
        <v>14147</v>
      </c>
      <c r="J13" s="70">
        <f t="shared" si="5"/>
        <v>0.10033444816053505</v>
      </c>
      <c r="L13" s="180">
        <f t="shared" si="6"/>
        <v>8</v>
      </c>
      <c r="M13" s="181">
        <f t="shared" si="7"/>
        <v>2023</v>
      </c>
      <c r="N13" s="150">
        <v>9695</v>
      </c>
      <c r="O13" s="70">
        <f t="shared" si="8"/>
        <v>0.11783696529459231</v>
      </c>
    </row>
    <row r="14" spans="2:15" x14ac:dyDescent="0.35">
      <c r="B14" s="180">
        <f t="shared" si="0"/>
        <v>9</v>
      </c>
      <c r="C14" s="181">
        <f t="shared" si="1"/>
        <v>2022</v>
      </c>
      <c r="D14" s="150">
        <v>52446</v>
      </c>
      <c r="E14" s="70">
        <f t="shared" si="2"/>
        <v>0.11520796121459553</v>
      </c>
      <c r="G14" s="180">
        <f t="shared" si="3"/>
        <v>9</v>
      </c>
      <c r="H14" s="181">
        <f t="shared" si="4"/>
        <v>2024</v>
      </c>
      <c r="I14" s="150">
        <v>14659</v>
      </c>
      <c r="J14" s="70">
        <f t="shared" si="5"/>
        <v>3.6191418675337594E-2</v>
      </c>
      <c r="L14" s="180">
        <f t="shared" si="6"/>
        <v>9</v>
      </c>
      <c r="M14" s="181">
        <f t="shared" si="7"/>
        <v>2024</v>
      </c>
      <c r="N14" s="150">
        <v>9465</v>
      </c>
      <c r="O14" s="70">
        <f t="shared" si="8"/>
        <v>-2.372356884992266E-2</v>
      </c>
    </row>
    <row r="15" spans="2:15" x14ac:dyDescent="0.35">
      <c r="B15" s="180">
        <f t="shared" si="0"/>
        <v>10</v>
      </c>
      <c r="C15" s="181">
        <f t="shared" si="1"/>
        <v>2023</v>
      </c>
      <c r="D15" s="150">
        <v>60580</v>
      </c>
      <c r="E15" s="70">
        <f t="shared" si="2"/>
        <v>0.15509285741524614</v>
      </c>
      <c r="G15" s="180">
        <f t="shared" si="3"/>
        <v>10</v>
      </c>
      <c r="H15" s="181">
        <f t="shared" si="4"/>
        <v>2025</v>
      </c>
      <c r="I15" s="150">
        <v>14843</v>
      </c>
      <c r="J15" s="70">
        <f t="shared" si="5"/>
        <v>1.255201582645471E-2</v>
      </c>
      <c r="L15" s="180">
        <f t="shared" si="6"/>
        <v>10</v>
      </c>
      <c r="M15" s="181">
        <f t="shared" si="7"/>
        <v>2025</v>
      </c>
      <c r="N15" s="150">
        <v>9349</v>
      </c>
      <c r="O15" s="70">
        <f t="shared" si="8"/>
        <v>-1.2255678816693094E-2</v>
      </c>
    </row>
    <row r="16" spans="2:15" x14ac:dyDescent="0.35">
      <c r="B16" s="180">
        <f t="shared" si="0"/>
        <v>11</v>
      </c>
      <c r="C16" s="181">
        <f t="shared" si="1"/>
        <v>2024</v>
      </c>
      <c r="D16" s="150">
        <v>61896</v>
      </c>
      <c r="E16" s="70">
        <f t="shared" si="2"/>
        <v>2.1723341036645749E-2</v>
      </c>
      <c r="G16" s="180">
        <f t="shared" si="3"/>
        <v>11</v>
      </c>
      <c r="H16" s="181" t="s">
        <v>155</v>
      </c>
      <c r="I16" s="183">
        <f>$C$27+G16*$C$28</f>
        <v>16849.333333333336</v>
      </c>
      <c r="J16" s="184">
        <f t="shared" si="5"/>
        <v>0.13517033843113491</v>
      </c>
      <c r="L16" s="180">
        <f t="shared" si="6"/>
        <v>11</v>
      </c>
      <c r="M16" s="182">
        <v>2026</v>
      </c>
      <c r="N16" s="183">
        <f>$C$30+L16*$C$31</f>
        <v>11007.533333333333</v>
      </c>
      <c r="O16" s="184">
        <f t="shared" si="8"/>
        <v>0.17740221770599351</v>
      </c>
    </row>
    <row r="17" spans="2:15" x14ac:dyDescent="0.35">
      <c r="B17" s="180">
        <f t="shared" si="0"/>
        <v>12</v>
      </c>
      <c r="C17" s="181">
        <f t="shared" si="1"/>
        <v>2025</v>
      </c>
      <c r="D17" s="150">
        <v>63121</v>
      </c>
      <c r="E17" s="70">
        <f t="shared" si="2"/>
        <v>1.9791262763344974E-2</v>
      </c>
      <c r="G17" s="180">
        <f t="shared" si="3"/>
        <v>12</v>
      </c>
      <c r="H17" s="181" t="s">
        <v>156</v>
      </c>
      <c r="I17" s="183">
        <f t="shared" ref="I17:I22" si="9">$C$27+G17*$C$28</f>
        <v>17974.484848484852</v>
      </c>
      <c r="J17" s="184">
        <f t="shared" si="5"/>
        <v>6.6777212658355456E-2</v>
      </c>
      <c r="L17" s="180">
        <f t="shared" si="6"/>
        <v>12</v>
      </c>
      <c r="M17" s="182">
        <f>M16+1</f>
        <v>2027</v>
      </c>
      <c r="N17" s="183">
        <f t="shared" ref="N17:N22" si="10">$C$30+L17*$C$31</f>
        <v>11736.357575757575</v>
      </c>
      <c r="O17" s="184">
        <f t="shared" si="8"/>
        <v>6.6211404531221874E-2</v>
      </c>
    </row>
    <row r="18" spans="2:15" x14ac:dyDescent="0.35">
      <c r="B18" s="180">
        <f t="shared" si="0"/>
        <v>13</v>
      </c>
      <c r="C18" s="182">
        <f t="shared" si="1"/>
        <v>2026</v>
      </c>
      <c r="D18" s="183">
        <f>$C$24+B18*$C$25</f>
        <v>65950.090909090912</v>
      </c>
      <c r="E18" s="184">
        <f t="shared" si="2"/>
        <v>4.4820121815099867E-2</v>
      </c>
      <c r="G18" s="180">
        <f t="shared" si="3"/>
        <v>13</v>
      </c>
      <c r="H18" s="181" t="s">
        <v>157</v>
      </c>
      <c r="I18" s="183">
        <f t="shared" si="9"/>
        <v>19099.636363636368</v>
      </c>
      <c r="J18" s="184">
        <f t="shared" si="5"/>
        <v>6.259714949473838E-2</v>
      </c>
      <c r="L18" s="180">
        <f t="shared" si="6"/>
        <v>13</v>
      </c>
      <c r="M18" s="182">
        <f t="shared" ref="M18:M22" si="11">M17+1</f>
        <v>2028</v>
      </c>
      <c r="N18" s="183">
        <f t="shared" si="10"/>
        <v>12465.181818181818</v>
      </c>
      <c r="O18" s="184">
        <f t="shared" si="8"/>
        <v>6.209969641089419E-2</v>
      </c>
    </row>
    <row r="19" spans="2:15" x14ac:dyDescent="0.35">
      <c r="B19" s="180">
        <f t="shared" si="0"/>
        <v>14</v>
      </c>
      <c r="C19" s="182">
        <f t="shared" si="1"/>
        <v>2027</v>
      </c>
      <c r="D19" s="183">
        <f t="shared" ref="D19:D22" si="12">$C$24+B19*$C$25</f>
        <v>69349.297202797199</v>
      </c>
      <c r="E19" s="184">
        <f t="shared" si="2"/>
        <v>5.1542101714339372E-2</v>
      </c>
      <c r="G19" s="180">
        <f t="shared" si="3"/>
        <v>14</v>
      </c>
      <c r="H19" s="182" t="s">
        <v>158</v>
      </c>
      <c r="I19" s="183">
        <f t="shared" si="9"/>
        <v>20224.78787878788</v>
      </c>
      <c r="J19" s="184">
        <f t="shared" si="5"/>
        <v>5.8909577843779148E-2</v>
      </c>
      <c r="L19" s="180">
        <f t="shared" si="6"/>
        <v>14</v>
      </c>
      <c r="M19" s="182">
        <f t="shared" si="11"/>
        <v>2029</v>
      </c>
      <c r="N19" s="183">
        <f t="shared" si="10"/>
        <v>13194.00606060606</v>
      </c>
      <c r="O19" s="184">
        <f t="shared" si="8"/>
        <v>5.8468801583076102E-2</v>
      </c>
    </row>
    <row r="20" spans="2:15" x14ac:dyDescent="0.35">
      <c r="B20" s="180">
        <f t="shared" si="0"/>
        <v>15</v>
      </c>
      <c r="C20" s="182">
        <f t="shared" si="1"/>
        <v>2028</v>
      </c>
      <c r="D20" s="183">
        <f t="shared" si="12"/>
        <v>72748.503496503501</v>
      </c>
      <c r="E20" s="184">
        <f t="shared" si="2"/>
        <v>4.9015728072427933E-2</v>
      </c>
      <c r="G20" s="180">
        <f t="shared" si="3"/>
        <v>15</v>
      </c>
      <c r="H20" s="182" t="s">
        <v>159</v>
      </c>
      <c r="I20" s="183">
        <f t="shared" si="9"/>
        <v>21349.939393939396</v>
      </c>
      <c r="J20" s="184">
        <f t="shared" si="5"/>
        <v>5.5632302395200561E-2</v>
      </c>
      <c r="L20" s="180">
        <f t="shared" si="6"/>
        <v>15</v>
      </c>
      <c r="M20" s="182">
        <f t="shared" si="11"/>
        <v>2030</v>
      </c>
      <c r="N20" s="183">
        <f t="shared" si="10"/>
        <v>13922.830303030303</v>
      </c>
      <c r="O20" s="184">
        <f t="shared" si="8"/>
        <v>5.5239041052158377E-2</v>
      </c>
    </row>
    <row r="21" spans="2:15" x14ac:dyDescent="0.35">
      <c r="B21" s="180">
        <f t="shared" si="0"/>
        <v>16</v>
      </c>
      <c r="C21" s="182">
        <f t="shared" si="1"/>
        <v>2029</v>
      </c>
      <c r="D21" s="183">
        <f t="shared" si="12"/>
        <v>76147.709790209788</v>
      </c>
      <c r="E21" s="184">
        <f t="shared" si="2"/>
        <v>4.6725446302406271E-2</v>
      </c>
      <c r="G21" s="180">
        <f t="shared" si="3"/>
        <v>16</v>
      </c>
      <c r="H21" s="182" t="s">
        <v>194</v>
      </c>
      <c r="I21" s="183">
        <f>$C$27+G21*$C$28</f>
        <v>22475.090909090912</v>
      </c>
      <c r="J21" s="184">
        <f t="shared" si="5"/>
        <v>5.2700454759647242E-2</v>
      </c>
      <c r="L21" s="180">
        <f t="shared" si="6"/>
        <v>16</v>
      </c>
      <c r="M21" s="182">
        <f t="shared" si="11"/>
        <v>2031</v>
      </c>
      <c r="N21" s="183">
        <f t="shared" si="10"/>
        <v>14651.654545454545</v>
      </c>
      <c r="O21" s="184">
        <f t="shared" si="8"/>
        <v>5.2347419781853866E-2</v>
      </c>
    </row>
    <row r="22" spans="2:15" x14ac:dyDescent="0.35">
      <c r="B22" s="180">
        <f t="shared" si="0"/>
        <v>17</v>
      </c>
      <c r="C22" s="182">
        <f t="shared" si="1"/>
        <v>2030</v>
      </c>
      <c r="D22" s="183">
        <f t="shared" si="12"/>
        <v>79546.91608391609</v>
      </c>
      <c r="E22" s="184">
        <f t="shared" si="2"/>
        <v>4.4639639236311313E-2</v>
      </c>
      <c r="G22" s="180">
        <f t="shared" si="3"/>
        <v>17</v>
      </c>
      <c r="H22" s="182" t="s">
        <v>195</v>
      </c>
      <c r="I22" s="183">
        <f t="shared" si="9"/>
        <v>23600.242424242428</v>
      </c>
      <c r="J22" s="184">
        <f t="shared" si="5"/>
        <v>5.0062156353565923E-2</v>
      </c>
      <c r="L22" s="180">
        <f t="shared" si="6"/>
        <v>17</v>
      </c>
      <c r="M22" s="182">
        <f t="shared" si="11"/>
        <v>2032</v>
      </c>
      <c r="N22" s="183">
        <f t="shared" si="10"/>
        <v>15380.478787878787</v>
      </c>
      <c r="O22" s="184">
        <f t="shared" si="8"/>
        <v>4.974347710445759E-2</v>
      </c>
    </row>
    <row r="24" spans="2:15" x14ac:dyDescent="0.35">
      <c r="B24" t="s">
        <v>150</v>
      </c>
      <c r="C24">
        <v>21760.409090909092</v>
      </c>
      <c r="H24" s="51"/>
    </row>
    <row r="25" spans="2:15" x14ac:dyDescent="0.35">
      <c r="B25" t="s">
        <v>151</v>
      </c>
      <c r="C25">
        <v>3399.2062937062938</v>
      </c>
      <c r="G25" s="44"/>
    </row>
    <row r="26" spans="2:15" x14ac:dyDescent="0.35">
      <c r="I26" s="51"/>
      <c r="J26" s="51"/>
    </row>
    <row r="27" spans="2:15" x14ac:dyDescent="0.35">
      <c r="B27" t="s">
        <v>150</v>
      </c>
      <c r="C27">
        <v>4472.6666666666652</v>
      </c>
      <c r="D27" s="14"/>
      <c r="E27" s="14"/>
      <c r="F27" s="14"/>
      <c r="G27" s="14"/>
    </row>
    <row r="28" spans="2:15" x14ac:dyDescent="0.35">
      <c r="B28" t="s">
        <v>151</v>
      </c>
      <c r="C28">
        <v>1125.1515151515155</v>
      </c>
    </row>
    <row r="30" spans="2:15" x14ac:dyDescent="0.35">
      <c r="B30" t="s">
        <v>150</v>
      </c>
      <c r="C30">
        <v>2990.4666666666672</v>
      </c>
      <c r="G30" s="44"/>
    </row>
    <row r="31" spans="2:15" x14ac:dyDescent="0.35">
      <c r="B31" t="s">
        <v>151</v>
      </c>
      <c r="C31">
        <v>728.82424242424236</v>
      </c>
    </row>
    <row r="32" spans="2:15" x14ac:dyDescent="0.35">
      <c r="H32" s="44"/>
    </row>
    <row r="34" spans="8:17" x14ac:dyDescent="0.35">
      <c r="I34" s="44"/>
      <c r="J34" s="44"/>
      <c r="K34" s="44"/>
      <c r="L34" s="44"/>
      <c r="M34" s="44"/>
      <c r="N34" s="44"/>
    </row>
    <row r="37" spans="8:17" x14ac:dyDescent="0.35">
      <c r="H37" s="44"/>
    </row>
    <row r="39" spans="8:17" x14ac:dyDescent="0.35">
      <c r="I39" s="44"/>
      <c r="J39" s="44"/>
      <c r="K39" s="44"/>
      <c r="L39" s="44"/>
      <c r="M39" s="44"/>
      <c r="N39" s="44"/>
      <c r="O39" s="44"/>
      <c r="P39" s="44"/>
      <c r="Q39" s="44"/>
    </row>
  </sheetData>
  <mergeCells count="4">
    <mergeCell ref="B4:E4"/>
    <mergeCell ref="G4:J4"/>
    <mergeCell ref="L4:O4"/>
    <mergeCell ref="B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1E42-129A-42BA-8D6F-BF2C02640726}">
  <sheetPr>
    <tabColor rgb="FF00B0F0"/>
  </sheetPr>
  <dimension ref="B2:M62"/>
  <sheetViews>
    <sheetView showGridLines="0" topLeftCell="A2" zoomScale="58" workbookViewId="0">
      <selection activeCell="U29" sqref="U29"/>
    </sheetView>
  </sheetViews>
  <sheetFormatPr defaultRowHeight="14.5" x14ac:dyDescent="0.35"/>
  <cols>
    <col min="1" max="1" width="1.81640625" customWidth="1"/>
    <col min="2" max="2" width="21.81640625" customWidth="1"/>
    <col min="3" max="3" width="10.08984375" bestFit="1" customWidth="1"/>
  </cols>
  <sheetData>
    <row r="2" spans="2:12" x14ac:dyDescent="0.35">
      <c r="B2" s="128" t="s">
        <v>247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2:12" x14ac:dyDescent="0.35">
      <c r="B3" s="116" t="s">
        <v>248</v>
      </c>
    </row>
    <row r="4" spans="2:12" x14ac:dyDescent="0.35">
      <c r="B4" s="117" t="s">
        <v>249</v>
      </c>
      <c r="C4" s="118">
        <f>'Data Sheet'!B16</f>
        <v>42460</v>
      </c>
      <c r="D4" s="118">
        <f>'Data Sheet'!C16</f>
        <v>42825</v>
      </c>
      <c r="E4" s="118">
        <f>'Data Sheet'!D16</f>
        <v>43190</v>
      </c>
      <c r="F4" s="118">
        <f>'Data Sheet'!E16</f>
        <v>43555</v>
      </c>
      <c r="G4" s="118">
        <f>'Data Sheet'!F16</f>
        <v>43921</v>
      </c>
      <c r="H4" s="118">
        <f>'Data Sheet'!G16</f>
        <v>44286</v>
      </c>
      <c r="I4" s="118">
        <f>'Data Sheet'!H16</f>
        <v>44651</v>
      </c>
      <c r="J4" s="118">
        <f>'Data Sheet'!I16</f>
        <v>45016</v>
      </c>
      <c r="K4" s="118">
        <f>'Data Sheet'!J16</f>
        <v>45382</v>
      </c>
      <c r="L4" s="118">
        <f>'Data Sheet'!K16</f>
        <v>45747</v>
      </c>
    </row>
    <row r="5" spans="2:12" x14ac:dyDescent="0.35">
      <c r="B5" s="120" t="str">
        <f>'Data Sheet'!A17</f>
        <v>Sales</v>
      </c>
      <c r="C5" s="122">
        <f>'Data Sheet'!B17/'Data Sheet'!B$17</f>
        <v>1</v>
      </c>
      <c r="D5" s="122">
        <f>'Data Sheet'!C17/'Data Sheet'!C$17</f>
        <v>1</v>
      </c>
      <c r="E5" s="122">
        <f>'Data Sheet'!D17/'Data Sheet'!D$17</f>
        <v>1</v>
      </c>
      <c r="F5" s="122">
        <f>'Data Sheet'!E17/'Data Sheet'!E$17</f>
        <v>1</v>
      </c>
      <c r="G5" s="122">
        <f>'Data Sheet'!F17/'Data Sheet'!F$17</f>
        <v>1</v>
      </c>
      <c r="H5" s="122">
        <f>'Data Sheet'!G17/'Data Sheet'!G$17</f>
        <v>1</v>
      </c>
      <c r="I5" s="122">
        <f>'Data Sheet'!H17/'Data Sheet'!H$17</f>
        <v>1</v>
      </c>
      <c r="J5" s="122">
        <f>'Data Sheet'!I17/'Data Sheet'!I$17</f>
        <v>1</v>
      </c>
      <c r="K5" s="122">
        <f>'Data Sheet'!J17/'Data Sheet'!J$17</f>
        <v>1</v>
      </c>
      <c r="L5" s="122">
        <f>'Data Sheet'!K17/'Data Sheet'!K$17</f>
        <v>1</v>
      </c>
    </row>
    <row r="6" spans="2:12" x14ac:dyDescent="0.35">
      <c r="B6" s="121" t="str">
        <f>'Data Sheet'!A18</f>
        <v>Raw Material Cost</v>
      </c>
      <c r="C6" s="119">
        <f>'Data Sheet'!B18/'Data Sheet'!B$17</f>
        <v>0.40961908904492639</v>
      </c>
      <c r="D6" s="119">
        <f>'Data Sheet'!C18/'Data Sheet'!C$17</f>
        <v>0.41028888486822268</v>
      </c>
      <c r="E6" s="119">
        <f>'Data Sheet'!D18/'Data Sheet'!D$17</f>
        <v>0.40042200028133351</v>
      </c>
      <c r="F6" s="119">
        <f>'Data Sheet'!E18/'Data Sheet'!E$17</f>
        <v>0.40307809717629101</v>
      </c>
      <c r="G6" s="119">
        <f>'Data Sheet'!F18/'Data Sheet'!F$17</f>
        <v>0.39456551793479627</v>
      </c>
      <c r="H6" s="119">
        <f>'Data Sheet'!G18/'Data Sheet'!G$17</f>
        <v>0.42827677128519182</v>
      </c>
      <c r="I6" s="119">
        <f>'Data Sheet'!H18/'Data Sheet'!H$17</f>
        <v>0.43608664149792165</v>
      </c>
      <c r="J6" s="119">
        <f>'Data Sheet'!I18/'Data Sheet'!I$17</f>
        <v>0.46924727632882141</v>
      </c>
      <c r="K6" s="119">
        <f>'Data Sheet'!J18/'Data Sheet'!J$17</f>
        <v>0.43333979578648057</v>
      </c>
      <c r="L6" s="119">
        <f>'Data Sheet'!K18/'Data Sheet'!K$17</f>
        <v>0.43319972750748564</v>
      </c>
    </row>
    <row r="7" spans="2:12" x14ac:dyDescent="0.35">
      <c r="B7" s="121" t="str">
        <f>'Data Sheet'!A19</f>
        <v>Change in Inventory</v>
      </c>
      <c r="C7" s="119">
        <f>'Data Sheet'!B19/'Data Sheet'!B$17</f>
        <v>-2.5787609519666937E-3</v>
      </c>
      <c r="D7" s="119">
        <f>'Data Sheet'!C19/'Data Sheet'!C$17</f>
        <v>-4.3423195223448521E-3</v>
      </c>
      <c r="E7" s="119">
        <f>'Data Sheet'!D19/'Data Sheet'!D$17</f>
        <v>2.0256013504009003E-3</v>
      </c>
      <c r="F7" s="119">
        <f>'Data Sheet'!E19/'Data Sheet'!E$17</f>
        <v>-3.0526583566522515E-4</v>
      </c>
      <c r="G7" s="119">
        <f>'Data Sheet'!F19/'Data Sheet'!F$17</f>
        <v>2.7147273961239727E-3</v>
      </c>
      <c r="H7" s="119">
        <f>'Data Sheet'!G19/'Data Sheet'!G$17</f>
        <v>8.6118907884664454E-3</v>
      </c>
      <c r="I7" s="119">
        <f>'Data Sheet'!H19/'Data Sheet'!H$17</f>
        <v>4.1947908324753078E-4</v>
      </c>
      <c r="J7" s="119">
        <f>'Data Sheet'!I19/'Data Sheet'!I$17</f>
        <v>1.2380323539121821E-3</v>
      </c>
      <c r="K7" s="119">
        <f>'Data Sheet'!J19/'Data Sheet'!J$17</f>
        <v>1.7771746154840378E-4</v>
      </c>
      <c r="L7" s="119">
        <f>'Data Sheet'!K19/'Data Sheet'!K$17</f>
        <v>2.4239159709130084E-3</v>
      </c>
    </row>
    <row r="8" spans="2:12" x14ac:dyDescent="0.35">
      <c r="B8" s="121" t="str">
        <f>'Data Sheet'!A20</f>
        <v>Power and Fuel</v>
      </c>
      <c r="C8" s="119">
        <f>'Data Sheet'!B20/'Data Sheet'!B$17</f>
        <v>9.6004473994904613E-3</v>
      </c>
      <c r="D8" s="119">
        <f>'Data Sheet'!C20/'Data Sheet'!C$17</f>
        <v>8.8957240214703574E-3</v>
      </c>
      <c r="E8" s="119">
        <f>'Data Sheet'!D20/'Data Sheet'!D$17</f>
        <v>8.2993388662259103E-3</v>
      </c>
      <c r="F8" s="119">
        <f>'Data Sheet'!E20/'Data Sheet'!E$17</f>
        <v>7.8351564487407783E-3</v>
      </c>
      <c r="G8" s="119">
        <f>'Data Sheet'!F20/'Data Sheet'!F$17</f>
        <v>7.5157730688987755E-3</v>
      </c>
      <c r="H8" s="119">
        <f>'Data Sheet'!G20/'Data Sheet'!G$17</f>
        <v>7.2084715488645061E-3</v>
      </c>
      <c r="I8" s="119">
        <f>'Data Sheet'!H20/'Data Sheet'!H$17</f>
        <v>6.0633794760324902E-3</v>
      </c>
      <c r="J8" s="119">
        <f>'Data Sheet'!I20/'Data Sheet'!I$17</f>
        <v>6.3387256520303732E-3</v>
      </c>
      <c r="K8" s="119">
        <f>'Data Sheet'!J20/'Data Sheet'!J$17</f>
        <v>7.2056352591443711E-3</v>
      </c>
      <c r="L8" s="119">
        <f>'Data Sheet'!K20/'Data Sheet'!K$17</f>
        <v>6.7647850952931672E-3</v>
      </c>
    </row>
    <row r="9" spans="2:12" x14ac:dyDescent="0.35">
      <c r="B9" s="121" t="str">
        <f>'Data Sheet'!A21</f>
        <v>Other Mfr. Exp</v>
      </c>
      <c r="C9" s="119">
        <f>'Data Sheet'!B21/'Data Sheet'!B$17</f>
        <v>9.21518672714845E-2</v>
      </c>
      <c r="D9" s="119">
        <f>'Data Sheet'!C21/'Data Sheet'!C$17</f>
        <v>8.7057475423677699E-2</v>
      </c>
      <c r="E9" s="119">
        <f>'Data Sheet'!D21/'Data Sheet'!D$17</f>
        <v>8.4343789562526375E-2</v>
      </c>
      <c r="F9" s="119">
        <f>'Data Sheet'!E21/'Data Sheet'!E$17</f>
        <v>7.7359450521495801E-2</v>
      </c>
      <c r="G9" s="119">
        <f>'Data Sheet'!F21/'Data Sheet'!F$17</f>
        <v>7.3046276047558006E-2</v>
      </c>
      <c r="H9" s="119">
        <f>'Data Sheet'!G21/'Data Sheet'!G$17</f>
        <v>6.0984945139066091E-2</v>
      </c>
      <c r="I9" s="119">
        <f>'Data Sheet'!H21/'Data Sheet'!H$17</f>
        <v>6.3951492964191739E-2</v>
      </c>
      <c r="J9" s="119">
        <f>'Data Sheet'!I21/'Data Sheet'!I$17</f>
        <v>6.2578408715747769E-2</v>
      </c>
      <c r="K9" s="119">
        <f>'Data Sheet'!J21/'Data Sheet'!J$17</f>
        <v>5.4688509758304249E-2</v>
      </c>
      <c r="L9" s="119">
        <f>'Data Sheet'!K21/'Data Sheet'!K$17</f>
        <v>6.074048256523186E-2</v>
      </c>
    </row>
    <row r="10" spans="2:12" x14ac:dyDescent="0.35">
      <c r="B10" s="121" t="str">
        <f>'Data Sheet'!A22</f>
        <v>Employee Cost</v>
      </c>
      <c r="C10" s="119">
        <f>'Data Sheet'!B22/'Data Sheet'!B$17</f>
        <v>5.2196607220530662E-2</v>
      </c>
      <c r="D10" s="119">
        <f>'Data Sheet'!C22/'Data Sheet'!C$17</f>
        <v>5.2560159218382488E-2</v>
      </c>
      <c r="E10" s="119">
        <f>'Data Sheet'!D22/'Data Sheet'!D$17</f>
        <v>5.2328034885356589E-2</v>
      </c>
      <c r="F10" s="119">
        <f>'Data Sheet'!E22/'Data Sheet'!E$17</f>
        <v>4.7697786822691428E-2</v>
      </c>
      <c r="G10" s="119">
        <f>'Data Sheet'!F22/'Data Sheet'!F$17</f>
        <v>4.574818389764472E-2</v>
      </c>
      <c r="H10" s="119">
        <f>'Data Sheet'!G22/'Data Sheet'!G$17</f>
        <v>5.0140341923960191E-2</v>
      </c>
      <c r="I10" s="119">
        <f>'Data Sheet'!H22/'Data Sheet'!H$17</f>
        <v>4.8526103039316627E-2</v>
      </c>
      <c r="J10" s="119">
        <f>'Data Sheet'!I22/'Data Sheet'!I$17</f>
        <v>4.7111257840871577E-2</v>
      </c>
      <c r="K10" s="119">
        <f>'Data Sheet'!J22/'Data Sheet'!J$17</f>
        <v>4.8613803799922452E-2</v>
      </c>
      <c r="L10" s="119">
        <f>'Data Sheet'!K22/'Data Sheet'!K$17</f>
        <v>4.8747643415028276E-2</v>
      </c>
    </row>
    <row r="11" spans="2:12" x14ac:dyDescent="0.35">
      <c r="B11" s="121" t="str">
        <f>'Data Sheet'!A23</f>
        <v>Selling and admin</v>
      </c>
      <c r="C11" s="119">
        <f>'Data Sheet'!B23/'Data Sheet'!B$17</f>
        <v>0.20943888647237929</v>
      </c>
      <c r="D11" s="119">
        <f>'Data Sheet'!C23/'Data Sheet'!C$17</f>
        <v>0.20170677281225499</v>
      </c>
      <c r="E11" s="119">
        <f>'Data Sheet'!D23/'Data Sheet'!D$17</f>
        <v>0.20402306934871289</v>
      </c>
      <c r="F11" s="119">
        <f>'Data Sheet'!E23/'Data Sheet'!E$17</f>
        <v>0.19832103790384126</v>
      </c>
      <c r="G11" s="119">
        <f>'Data Sheet'!F23/'Data Sheet'!F$17</f>
        <v>0.19153909961541363</v>
      </c>
      <c r="H11" s="119">
        <f>'Data Sheet'!G23/'Data Sheet'!G$17</f>
        <v>0.16811261376201411</v>
      </c>
      <c r="I11" s="119">
        <f>'Data Sheet'!H23/'Data Sheet'!H$17</f>
        <v>0.15566487434694734</v>
      </c>
      <c r="J11" s="119">
        <f>'Data Sheet'!I23/'Data Sheet'!I$17</f>
        <v>0.14501485638824696</v>
      </c>
      <c r="K11" s="119">
        <f>'Data Sheet'!J23/'Data Sheet'!J$17</f>
        <v>0.1741631123174357</v>
      </c>
      <c r="L11" s="119">
        <f>'Data Sheet'!K23/'Data Sheet'!K$17</f>
        <v>0.16940479396714248</v>
      </c>
    </row>
    <row r="12" spans="2:12" x14ac:dyDescent="0.35">
      <c r="B12" s="121" t="str">
        <f>'Data Sheet'!A24</f>
        <v>Other Expenses</v>
      </c>
      <c r="C12" s="119">
        <f>'Data Sheet'!B24/'Data Sheet'!B$17</f>
        <v>4.0794134095569499E-2</v>
      </c>
      <c r="D12" s="119">
        <f>'Data Sheet'!C24/'Data Sheet'!C$17</f>
        <v>4.4327845123937039E-2</v>
      </c>
      <c r="E12" s="119">
        <f>'Data Sheet'!D24/'Data Sheet'!D$17</f>
        <v>4.1637361091574059E-2</v>
      </c>
      <c r="F12" s="119">
        <f>'Data Sheet'!E24/'Data Sheet'!E$17</f>
        <v>3.9506486899007889E-2</v>
      </c>
      <c r="G12" s="119">
        <f>'Data Sheet'!F24/'Data Sheet'!F$17</f>
        <v>4.2430183746826534E-2</v>
      </c>
      <c r="H12" s="119">
        <f>'Data Sheet'!G24/'Data Sheet'!G$17</f>
        <v>4.6674321680700862E-2</v>
      </c>
      <c r="I12" s="119">
        <f>'Data Sheet'!H24/'Data Sheet'!H$17</f>
        <v>4.4979598062769327E-2</v>
      </c>
      <c r="J12" s="119">
        <f>'Data Sheet'!I24/'Data Sheet'!I$17</f>
        <v>3.742159128425223E-2</v>
      </c>
      <c r="K12" s="119">
        <f>'Data Sheet'!J24/'Data Sheet'!J$17</f>
        <v>4.5334108827711002E-2</v>
      </c>
      <c r="L12" s="119">
        <f>'Data Sheet'!K24/'Data Sheet'!K$17</f>
        <v>4.8414949066079432E-2</v>
      </c>
    </row>
    <row r="13" spans="2:12" x14ac:dyDescent="0.35">
      <c r="B13" s="121" t="str">
        <f>'Data Sheet'!A25</f>
        <v>Other Income</v>
      </c>
      <c r="C13" s="119">
        <f>'Data Sheet'!B25/'Data Sheet'!B$17</f>
        <v>1.5099732803082085E-2</v>
      </c>
      <c r="D13" s="119">
        <f>'Data Sheet'!C25/'Data Sheet'!C$17</f>
        <v>1.8273927989867923E-2</v>
      </c>
      <c r="E13" s="119">
        <f>'Data Sheet'!D25/'Data Sheet'!D$17</f>
        <v>9.9310732873821913E-3</v>
      </c>
      <c r="F13" s="119">
        <f>'Data Sheet'!E25/'Data Sheet'!E$17</f>
        <v>8.1912999236835402E-3</v>
      </c>
      <c r="G13" s="119">
        <f>'Data Sheet'!F25/'Data Sheet'!F$17</f>
        <v>1.0657818666264484E-2</v>
      </c>
      <c r="H13" s="119">
        <f>'Data Sheet'!G25/'Data Sheet'!G$17</f>
        <v>3.6148677383686313E-3</v>
      </c>
      <c r="I13" s="119">
        <f>'Data Sheet'!H25/'Data Sheet'!H$17</f>
        <v>4.1757236014186017E-3</v>
      </c>
      <c r="J13" s="119">
        <f>'Data Sheet'!I25/'Data Sheet'!I$17</f>
        <v>7.3951799273687686E-3</v>
      </c>
      <c r="K13" s="119">
        <f>'Data Sheet'!J25/'Data Sheet'!J$17</f>
        <v>1.3199560553185989E-2</v>
      </c>
      <c r="L13" s="119">
        <f>'Data Sheet'!K25/'Data Sheet'!K$17</f>
        <v>2.0943901395732007E-2</v>
      </c>
    </row>
    <row r="14" spans="2:12" x14ac:dyDescent="0.35">
      <c r="B14" s="121" t="str">
        <f>'Data Sheet'!A26</f>
        <v>Depreciation</v>
      </c>
      <c r="C14" s="119">
        <f>'Data Sheet'!B26/'Data Sheet'!B$17</f>
        <v>1.0967501398123409E-2</v>
      </c>
      <c r="D14" s="119">
        <f>'Data Sheet'!C26/'Data Sheet'!C$17</f>
        <v>1.3026958567034558E-2</v>
      </c>
      <c r="E14" s="119">
        <f>'Data Sheet'!D26/'Data Sheet'!D$17</f>
        <v>1.4629343086228723E-2</v>
      </c>
      <c r="F14" s="119">
        <f>'Data Sheet'!E26/'Data Sheet'!E$17</f>
        <v>1.437293309590435E-2</v>
      </c>
      <c r="G14" s="119">
        <f>'Data Sheet'!F26/'Data Sheet'!F$17</f>
        <v>2.5186637508483524E-2</v>
      </c>
      <c r="H14" s="119">
        <f>'Data Sheet'!G26/'Data Sheet'!G$17</f>
        <v>2.2837458535340648E-2</v>
      </c>
      <c r="I14" s="119">
        <f>'Data Sheet'!H26/'Data Sheet'!H$17</f>
        <v>2.0802349082866187E-2</v>
      </c>
      <c r="J14" s="119">
        <f>'Data Sheet'!I26/'Data Sheet'!I$17</f>
        <v>1.8768570485308684E-2</v>
      </c>
      <c r="K14" s="119">
        <f>'Data Sheet'!J26/'Data Sheet'!J$17</f>
        <v>1.9645857567532635E-2</v>
      </c>
      <c r="L14" s="119">
        <f>'Data Sheet'!K26/'Data Sheet'!K$17</f>
        <v>2.1466706801223048E-2</v>
      </c>
    </row>
    <row r="15" spans="2:12" x14ac:dyDescent="0.35">
      <c r="B15" s="121" t="str">
        <f>'Data Sheet'!A27</f>
        <v>Interest</v>
      </c>
      <c r="C15" s="119">
        <f>'Data Sheet'!B27/'Data Sheet'!B$17</f>
        <v>5.2817995401727462E-4</v>
      </c>
      <c r="D15" s="119">
        <f>'Data Sheet'!C27/'Data Sheet'!C$17</f>
        <v>1.0554248839032628E-3</v>
      </c>
      <c r="E15" s="119">
        <f>'Data Sheet'!D27/'Data Sheet'!D$17</f>
        <v>7.3146715431143621E-4</v>
      </c>
      <c r="F15" s="119">
        <f>'Data Sheet'!E27/'Data Sheet'!E$17</f>
        <v>8.3948104807936915E-4</v>
      </c>
      <c r="G15" s="119">
        <f>'Data Sheet'!F27/'Data Sheet'!F$17</f>
        <v>2.9660910439132291E-3</v>
      </c>
      <c r="H15" s="119">
        <f>'Data Sheet'!G27/'Data Sheet'!G$17</f>
        <v>2.4878795611125285E-3</v>
      </c>
      <c r="I15" s="119">
        <f>'Data Sheet'!H27/'Data Sheet'!H$17</f>
        <v>2.0211264920108303E-3</v>
      </c>
      <c r="J15" s="119">
        <f>'Data Sheet'!I27/'Data Sheet'!I$17</f>
        <v>1.881809177946517E-3</v>
      </c>
      <c r="K15" s="119">
        <f>'Data Sheet'!J27/'Data Sheet'!J$17</f>
        <v>5.3961483779242604E-3</v>
      </c>
      <c r="L15" s="119">
        <f>'Data Sheet'!K27/'Data Sheet'!K$17</f>
        <v>6.2578222778473091E-3</v>
      </c>
    </row>
    <row r="16" spans="2:12" x14ac:dyDescent="0.35">
      <c r="B16" s="121" t="str">
        <f>'Data Sheet'!A28</f>
        <v>Profit before tax</v>
      </c>
      <c r="C16" s="119">
        <f>'Data Sheet'!B28/'Data Sheet'!B$17</f>
        <v>0.18722425899459391</v>
      </c>
      <c r="D16" s="119">
        <f>'Data Sheet'!C28/'Data Sheet'!C$17</f>
        <v>0.19501236354864002</v>
      </c>
      <c r="E16" s="119">
        <f>'Data Sheet'!D28/'Data Sheet'!D$17</f>
        <v>0.20554227036151357</v>
      </c>
      <c r="F16" s="119">
        <f>'Data Sheet'!E28/'Data Sheet'!E$17</f>
        <v>0.21887560417196641</v>
      </c>
      <c r="G16" s="119">
        <f>'Data Sheet'!F28/'Data Sheet'!F$17</f>
        <v>0.23037478319885379</v>
      </c>
      <c r="H16" s="119">
        <f>'Data Sheet'!G28/'Data Sheet'!G$17</f>
        <v>0.22550395509058432</v>
      </c>
      <c r="I16" s="119">
        <f>'Data Sheet'!H28/'Data Sheet'!H$17</f>
        <v>0.22649963772260992</v>
      </c>
      <c r="J16" s="119">
        <f>'Data Sheet'!I28/'Data Sheet'!I$17</f>
        <v>0.22027071640805546</v>
      </c>
      <c r="K16" s="119">
        <f>'Data Sheet'!J28/'Data Sheet'!J$17</f>
        <v>0.22499030632027917</v>
      </c>
      <c r="L16" s="119">
        <f>'Data Sheet'!K28/'Data Sheet'!K$17</f>
        <v>0.22837090667131382</v>
      </c>
    </row>
    <row r="17" spans="2:13" x14ac:dyDescent="0.35">
      <c r="B17" s="121" t="str">
        <f>'Data Sheet'!A29</f>
        <v>Tax</v>
      </c>
      <c r="C17" s="119">
        <f>'Data Sheet'!B29/'Data Sheet'!B$17</f>
        <v>5.8255141987199402E-2</v>
      </c>
      <c r="D17" s="119">
        <f>'Data Sheet'!C29/'Data Sheet'!C$17</f>
        <v>5.9616428442192872E-2</v>
      </c>
      <c r="E17" s="119">
        <f>'Data Sheet'!D29/'Data Sheet'!D$17</f>
        <v>5.8489238992825994E-2</v>
      </c>
      <c r="F17" s="119">
        <f>'Data Sheet'!E29/'Data Sheet'!E$17</f>
        <v>6.4716357161027735E-2</v>
      </c>
      <c r="G17" s="119">
        <f>'Data Sheet'!F29/'Data Sheet'!F$17</f>
        <v>6.0553502752431945E-2</v>
      </c>
      <c r="H17" s="119">
        <f>'Data Sheet'!G29/'Data Sheet'!G$17</f>
        <v>5.5413796036403846E-2</v>
      </c>
      <c r="I17" s="119">
        <f>'Data Sheet'!H29/'Data Sheet'!H$17</f>
        <v>5.6953819166380655E-2</v>
      </c>
      <c r="J17" s="119">
        <f>'Data Sheet'!I29/'Data Sheet'!I$17</f>
        <v>5.2839220864971941E-2</v>
      </c>
      <c r="K17" s="119">
        <f>'Data Sheet'!J29/'Data Sheet'!J$17</f>
        <v>5.8872948171125761E-2</v>
      </c>
      <c r="L17" s="119">
        <f>'Data Sheet'!K29/'Data Sheet'!K$17</f>
        <v>5.9314649641165382E-2</v>
      </c>
    </row>
    <row r="18" spans="2:13" x14ac:dyDescent="0.35">
      <c r="B18" s="121" t="str">
        <f>'Data Sheet'!A30</f>
        <v>Net profit</v>
      </c>
      <c r="C18" s="119">
        <f>'Data Sheet'!B30/'Data Sheet'!B$17</f>
        <v>0.12896911700739452</v>
      </c>
      <c r="D18" s="119">
        <f>'Data Sheet'!C30/'Data Sheet'!C$17</f>
        <v>0.13497376515288584</v>
      </c>
      <c r="E18" s="119">
        <f>'Data Sheet'!D30/'Data Sheet'!D$17</f>
        <v>0.14668729779153186</v>
      </c>
      <c r="F18" s="119">
        <f>'Data Sheet'!E30/'Data Sheet'!E$17</f>
        <v>0.15400661409310609</v>
      </c>
      <c r="G18" s="119">
        <f>'Data Sheet'!F30/'Data Sheet'!F$17</f>
        <v>0.16962018952819044</v>
      </c>
      <c r="H18" s="119">
        <f>'Data Sheet'!G30/'Data Sheet'!G$17</f>
        <v>0.17000510334268945</v>
      </c>
      <c r="I18" s="119">
        <f>'Data Sheet'!H30/'Data Sheet'!H$17</f>
        <v>0.16929794455249209</v>
      </c>
      <c r="J18" s="119">
        <f>'Data Sheet'!I30/'Data Sheet'!I$17</f>
        <v>0.16705183228788378</v>
      </c>
      <c r="K18" s="119">
        <f>'Data Sheet'!J30/'Data Sheet'!J$17</f>
        <v>0.16603657748481324</v>
      </c>
      <c r="L18" s="119">
        <f>'Data Sheet'!K30/'Data Sheet'!K$17</f>
        <v>0.16870772009315441</v>
      </c>
    </row>
    <row r="19" spans="2:13" x14ac:dyDescent="0.35">
      <c r="B19" s="121" t="str">
        <f>'Data Sheet'!A31</f>
        <v>Dividend Amount</v>
      </c>
      <c r="C19" s="119">
        <f>'Data Sheet'!B31/'Data Sheet'!B$17</f>
        <v>0.10737587771080594</v>
      </c>
      <c r="D19" s="119">
        <f>'Data Sheet'!C31/'Data Sheet'!C$17</f>
        <v>0.11072914781979373</v>
      </c>
      <c r="E19" s="119">
        <f>'Data Sheet'!D31/'Data Sheet'!D$17</f>
        <v>0.12153608102405401</v>
      </c>
      <c r="F19" s="119">
        <f>'Data Sheet'!E31/'Data Sheet'!E$17</f>
        <v>0.12088527092342916</v>
      </c>
      <c r="G19" s="119">
        <f>'Data Sheet'!F31/'Data Sheet'!F$17</f>
        <v>0.13573636980619863</v>
      </c>
      <c r="H19" s="119">
        <f>'Data Sheet'!G31/'Data Sheet'!G$17</f>
        <v>0.20237943352896148</v>
      </c>
      <c r="I19" s="119">
        <f>'Data Sheet'!H31/'Data Sheet'!H$17</f>
        <v>0.15234717614308049</v>
      </c>
      <c r="J19" s="119">
        <f>'Data Sheet'!I31/'Data Sheet'!I$17</f>
        <v>0.15128755364806867</v>
      </c>
      <c r="K19" s="119">
        <f>'Data Sheet'!J31/'Data Sheet'!J$17</f>
        <v>0.1594610314075223</v>
      </c>
      <c r="L19" s="119">
        <f>'Data Sheet'!K31/'Data Sheet'!K$17</f>
        <v>0.19731943410275501</v>
      </c>
    </row>
    <row r="21" spans="2:13" x14ac:dyDescent="0.35">
      <c r="B21" t="s">
        <v>62</v>
      </c>
      <c r="C21" s="77">
        <f>C5-SUM(C6:C10)</f>
        <v>0.43901075001553469</v>
      </c>
      <c r="D21" s="77">
        <f t="shared" ref="D21:L21" si="0">D5-SUM(D6:D10)</f>
        <v>0.44554007599059153</v>
      </c>
      <c r="E21" s="77">
        <f t="shared" si="0"/>
        <v>0.45258123505415671</v>
      </c>
      <c r="F21" s="77">
        <f t="shared" si="0"/>
        <v>0.46433477486644625</v>
      </c>
      <c r="G21" s="77">
        <f t="shared" si="0"/>
        <v>0.4764095216549783</v>
      </c>
      <c r="H21" s="77">
        <f t="shared" si="0"/>
        <v>0.44477757931445094</v>
      </c>
      <c r="I21" s="77">
        <f t="shared" si="0"/>
        <v>0.44495290393928999</v>
      </c>
      <c r="J21" s="77">
        <f t="shared" si="0"/>
        <v>0.41348629910861667</v>
      </c>
      <c r="K21" s="77">
        <f t="shared" si="0"/>
        <v>0.45597453793459997</v>
      </c>
      <c r="L21" s="77">
        <f t="shared" si="0"/>
        <v>0.4481234454460481</v>
      </c>
    </row>
    <row r="22" spans="2:13" x14ac:dyDescent="0.35">
      <c r="B22" t="s">
        <v>66</v>
      </c>
      <c r="C22" s="77">
        <f>C21-C11</f>
        <v>0.2295718635431554</v>
      </c>
      <c r="D22" s="77">
        <f t="shared" ref="D22:L22" si="1">D21-D11</f>
        <v>0.24383330317833654</v>
      </c>
      <c r="E22" s="77">
        <f t="shared" si="1"/>
        <v>0.24855816570544381</v>
      </c>
      <c r="F22" s="77">
        <f t="shared" si="1"/>
        <v>0.266013736962605</v>
      </c>
      <c r="G22" s="77">
        <f t="shared" si="1"/>
        <v>0.2848704220395647</v>
      </c>
      <c r="H22" s="77">
        <f t="shared" si="1"/>
        <v>0.2766649655524368</v>
      </c>
      <c r="I22" s="77">
        <f t="shared" si="1"/>
        <v>0.28928802959234268</v>
      </c>
      <c r="J22" s="77">
        <f t="shared" si="1"/>
        <v>0.26847144272036971</v>
      </c>
      <c r="K22" s="77">
        <f t="shared" si="1"/>
        <v>0.28181142561716427</v>
      </c>
      <c r="L22" s="77">
        <f t="shared" si="1"/>
        <v>0.27871865147890562</v>
      </c>
    </row>
    <row r="23" spans="2:13" x14ac:dyDescent="0.35">
      <c r="B23" t="s">
        <v>250</v>
      </c>
      <c r="C23" s="77">
        <f>C22-C14</f>
        <v>0.21860436214503198</v>
      </c>
      <c r="D23" s="77">
        <f t="shared" ref="D23:L23" si="2">D22-D14</f>
        <v>0.23080634461130198</v>
      </c>
      <c r="E23" s="77">
        <f t="shared" si="2"/>
        <v>0.23392882261921508</v>
      </c>
      <c r="F23" s="77">
        <f t="shared" si="2"/>
        <v>0.25164080386670062</v>
      </c>
      <c r="G23" s="77">
        <f t="shared" si="2"/>
        <v>0.25968378453108115</v>
      </c>
      <c r="H23" s="77">
        <f t="shared" si="2"/>
        <v>0.25382750701709617</v>
      </c>
      <c r="I23" s="77">
        <f t="shared" si="2"/>
        <v>0.26848568050947647</v>
      </c>
      <c r="J23" s="77">
        <f t="shared" si="2"/>
        <v>0.24970287223506102</v>
      </c>
      <c r="K23" s="77">
        <f t="shared" si="2"/>
        <v>0.26216556804963165</v>
      </c>
      <c r="L23" s="77">
        <f t="shared" si="2"/>
        <v>0.25725194467768259</v>
      </c>
    </row>
    <row r="25" spans="2:13" ht="14.5" customHeight="1" x14ac:dyDescent="0.35">
      <c r="B25" s="115" t="s">
        <v>82</v>
      </c>
    </row>
    <row r="26" spans="2:13" x14ac:dyDescent="0.35">
      <c r="B26" s="117" t="s">
        <v>249</v>
      </c>
      <c r="C26" s="118">
        <f>C4</f>
        <v>42460</v>
      </c>
      <c r="D26" s="118">
        <f t="shared" ref="D26:L26" si="3">D4</f>
        <v>42825</v>
      </c>
      <c r="E26" s="118">
        <f t="shared" si="3"/>
        <v>43190</v>
      </c>
      <c r="F26" s="118">
        <f t="shared" si="3"/>
        <v>43555</v>
      </c>
      <c r="G26" s="118">
        <f t="shared" si="3"/>
        <v>43921</v>
      </c>
      <c r="H26" s="118">
        <f t="shared" si="3"/>
        <v>44286</v>
      </c>
      <c r="I26" s="118">
        <f t="shared" si="3"/>
        <v>44651</v>
      </c>
      <c r="J26" s="118">
        <f t="shared" si="3"/>
        <v>45016</v>
      </c>
      <c r="K26" s="118">
        <f t="shared" si="3"/>
        <v>45382</v>
      </c>
      <c r="L26" s="118">
        <f t="shared" si="3"/>
        <v>45747</v>
      </c>
      <c r="M26" s="10"/>
    </row>
    <row r="27" spans="2:13" ht="15" thickBot="1" x14ac:dyDescent="0.4">
      <c r="B27" s="80" t="str">
        <f>'Balance Sheet Data'!B15</f>
        <v>Total Liabilities</v>
      </c>
      <c r="C27" s="123">
        <f>'Balance Sheet Data'!E15/'Balance Sheet Data'!E$15</f>
        <v>1</v>
      </c>
      <c r="D27" s="123">
        <f>'Balance Sheet Data'!F15/'Balance Sheet Data'!F$15</f>
        <v>1</v>
      </c>
      <c r="E27" s="123">
        <f>'Balance Sheet Data'!G15/'Balance Sheet Data'!G$15</f>
        <v>1</v>
      </c>
      <c r="F27" s="123">
        <f>'Balance Sheet Data'!H15/'Balance Sheet Data'!H$15</f>
        <v>1</v>
      </c>
      <c r="G27" s="123">
        <f>'Balance Sheet Data'!I15/'Balance Sheet Data'!I$15</f>
        <v>1</v>
      </c>
      <c r="H27" s="123">
        <f>'Balance Sheet Data'!J15/'Balance Sheet Data'!J$15</f>
        <v>1</v>
      </c>
      <c r="I27" s="123">
        <f>'Balance Sheet Data'!K15/'Balance Sheet Data'!K$15</f>
        <v>1</v>
      </c>
      <c r="J27" s="123">
        <f>'Balance Sheet Data'!L15/'Balance Sheet Data'!L$15</f>
        <v>1</v>
      </c>
      <c r="K27" s="123">
        <f>'Balance Sheet Data'!M15/'Balance Sheet Data'!M$15</f>
        <v>1</v>
      </c>
      <c r="L27" s="123">
        <f>'Balance Sheet Data'!N15/'Balance Sheet Data'!N$15</f>
        <v>1</v>
      </c>
    </row>
    <row r="28" spans="2:13" x14ac:dyDescent="0.35">
      <c r="B28" t="str">
        <f>'Balance Sheet Data'!B4</f>
        <v>Equity Capital</v>
      </c>
      <c r="C28" s="68">
        <f>'Balance Sheet Data'!E4/'Balance Sheet Data'!E$15</f>
        <v>1.4601500709795174E-2</v>
      </c>
      <c r="D28" s="68">
        <f>'Balance Sheet Data'!F4/'Balance Sheet Data'!F$15</f>
        <v>1.3752705972239909E-2</v>
      </c>
      <c r="E28" s="68">
        <f>'Balance Sheet Data'!G4/'Balance Sheet Data'!G$15</f>
        <v>1.2092710782667115E-2</v>
      </c>
      <c r="F28" s="68">
        <f>'Balance Sheet Data'!H4/'Balance Sheet Data'!H$15</f>
        <v>1.1594825272424714E-2</v>
      </c>
      <c r="G28" s="68">
        <f>'Balance Sheet Data'!I4/'Balance Sheet Data'!I$15</f>
        <v>1.0718007244578972E-2</v>
      </c>
      <c r="H28" s="68">
        <f>'Balance Sheet Data'!J4/'Balance Sheet Data'!J$15</f>
        <v>3.4186790805935409E-3</v>
      </c>
      <c r="I28" s="68">
        <f>'Balance Sheet Data'!K4/'Balance Sheet Data'!K$15</f>
        <v>3.3330496695316712E-3</v>
      </c>
      <c r="J28" s="68">
        <f>'Balance Sheet Data'!L4/'Balance Sheet Data'!L$15</f>
        <v>3.2157860886462223E-3</v>
      </c>
      <c r="K28" s="68">
        <f>'Balance Sheet Data'!M4/'Balance Sheet Data'!M$15</f>
        <v>2.9940501216731007E-3</v>
      </c>
      <c r="L28" s="68">
        <f>'Balance Sheet Data'!N4/'Balance Sheet Data'!N$15</f>
        <v>2.9425390982056772E-3</v>
      </c>
    </row>
    <row r="29" spans="2:13" x14ac:dyDescent="0.35">
      <c r="B29" t="str">
        <f>'Balance Sheet Data'!B5</f>
        <v>Reserves</v>
      </c>
      <c r="C29" s="70">
        <f>'Balance Sheet Data'!E5/'Balance Sheet Data'!E$15</f>
        <v>0.42973027783411072</v>
      </c>
      <c r="D29" s="70">
        <f>'Balance Sheet Data'!F5/'Balance Sheet Data'!F$15</f>
        <v>0.41563733604991721</v>
      </c>
      <c r="E29" s="70">
        <f>'Balance Sheet Data'!G5/'Balance Sheet Data'!G$15</f>
        <v>0.3955324151830702</v>
      </c>
      <c r="F29" s="70">
        <f>'Balance Sheet Data'!H5/'Balance Sheet Data'!H$15</f>
        <v>0.41070374147834021</v>
      </c>
      <c r="G29" s="70">
        <f>'Balance Sheet Data'!I5/'Balance Sheet Data'!I$15</f>
        <v>0.39760829653153379</v>
      </c>
      <c r="H29" s="70">
        <f>'Balance Sheet Data'!J5/'Balance Sheet Data'!J$15</f>
        <v>0.69012219959266807</v>
      </c>
      <c r="I29" s="70">
        <f>'Balance Sheet Data'!K5/'Balance Sheet Data'!K$15</f>
        <v>0.69250843899809944</v>
      </c>
      <c r="J29" s="70">
        <f>'Balance Sheet Data'!L5/'Balance Sheet Data'!L$15</f>
        <v>0.68515401562735201</v>
      </c>
      <c r="K29" s="70">
        <f>'Balance Sheet Data'!M5/'Balance Sheet Data'!M$15</f>
        <v>0.64955598873727527</v>
      </c>
      <c r="L29" s="70">
        <f>'Balance Sheet Data'!N5/'Balance Sheet Data'!N$15</f>
        <v>0.6156417865594831</v>
      </c>
    </row>
    <row r="30" spans="2:13" x14ac:dyDescent="0.35">
      <c r="B30" t="str">
        <f>'Balance Sheet Data'!B7</f>
        <v>Long term Borrowings</v>
      </c>
      <c r="C30" s="77">
        <f>'Balance Sheet Data'!E7/'Balance Sheet Data'!E$15</f>
        <v>0</v>
      </c>
      <c r="D30" s="77">
        <f>'Balance Sheet Data'!F7/'Balance Sheet Data'!F$15</f>
        <v>0</v>
      </c>
      <c r="E30" s="77">
        <f>'Balance Sheet Data'!G7/'Balance Sheet Data'!G$15</f>
        <v>0</v>
      </c>
      <c r="F30" s="77">
        <f>'Balance Sheet Data'!H7/'Balance Sheet Data'!H$15</f>
        <v>0</v>
      </c>
      <c r="G30" s="77">
        <f>'Balance Sheet Data'!I7/'Balance Sheet Data'!I$15</f>
        <v>0</v>
      </c>
      <c r="H30" s="77">
        <f>'Balance Sheet Data'!J7/'Balance Sheet Data'!J$15</f>
        <v>0</v>
      </c>
      <c r="I30" s="77">
        <f>'Balance Sheet Data'!K7/'Balance Sheet Data'!K$15</f>
        <v>0</v>
      </c>
      <c r="J30" s="77">
        <f>'Balance Sheet Data'!L7/'Balance Sheet Data'!L$15</f>
        <v>0</v>
      </c>
      <c r="K30" s="77">
        <f>'Balance Sheet Data'!M7/'Balance Sheet Data'!M$15</f>
        <v>0</v>
      </c>
      <c r="L30" s="77">
        <f>'Balance Sheet Data'!N7/'Balance Sheet Data'!N$15</f>
        <v>0</v>
      </c>
    </row>
    <row r="31" spans="2:13" x14ac:dyDescent="0.35">
      <c r="B31" t="str">
        <f>'Balance Sheet Data'!B8</f>
        <v>Short term Borrowings</v>
      </c>
      <c r="C31" s="77">
        <f>'Balance Sheet Data'!E8/'Balance Sheet Data'!E$15</f>
        <v>1.1965118637193267E-2</v>
      </c>
      <c r="D31" s="77">
        <f>'Balance Sheet Data'!F8/'Balance Sheet Data'!F$15</f>
        <v>1.7636572010696547E-2</v>
      </c>
      <c r="E31" s="77">
        <f>'Balance Sheet Data'!G8/'Balance Sheet Data'!G$15</f>
        <v>0</v>
      </c>
      <c r="F31" s="77">
        <f>'Balance Sheet Data'!H8/'Balance Sheet Data'!H$15</f>
        <v>5.3142949165279939E-3</v>
      </c>
      <c r="G31" s="77">
        <f>'Balance Sheet Data'!I8/'Balance Sheet Data'!I$15</f>
        <v>0</v>
      </c>
      <c r="H31" s="77">
        <f>'Balance Sheet Data'!J8/'Balance Sheet Data'!J$15</f>
        <v>0</v>
      </c>
      <c r="I31" s="77">
        <f>'Balance Sheet Data'!K8/'Balance Sheet Data'!K$15</f>
        <v>0</v>
      </c>
      <c r="J31" s="77">
        <f>'Balance Sheet Data'!L8/'Balance Sheet Data'!L$15</f>
        <v>1.3410512199460844E-3</v>
      </c>
      <c r="K31" s="77">
        <f>'Balance Sheet Data'!M8/'Balance Sheet Data'!M$15</f>
        <v>1.6562830460319281E-4</v>
      </c>
      <c r="L31" s="77">
        <f>'Balance Sheet Data'!N8/'Balance Sheet Data'!N$15</f>
        <v>1.2521442971087988E-5</v>
      </c>
    </row>
    <row r="32" spans="2:13" x14ac:dyDescent="0.35">
      <c r="B32" t="str">
        <f>'Balance Sheet Data'!B9</f>
        <v>Lease Liabilities</v>
      </c>
      <c r="C32" s="77">
        <f>'Balance Sheet Data'!E9/'Balance Sheet Data'!E$15</f>
        <v>0</v>
      </c>
      <c r="D32" s="77">
        <f>'Balance Sheet Data'!F9/'Balance Sheet Data'!F$15</f>
        <v>0</v>
      </c>
      <c r="E32" s="77">
        <f>'Balance Sheet Data'!G9/'Balance Sheet Data'!G$15</f>
        <v>0</v>
      </c>
      <c r="F32" s="77">
        <f>'Balance Sheet Data'!H9/'Balance Sheet Data'!H$15</f>
        <v>0</v>
      </c>
      <c r="G32" s="77">
        <f>'Balance Sheet Data'!I9/'Balance Sheet Data'!I$15</f>
        <v>0</v>
      </c>
      <c r="H32" s="77">
        <f>'Balance Sheet Data'!J9/'Balance Sheet Data'!J$15</f>
        <v>0</v>
      </c>
      <c r="I32" s="77">
        <f>'Balance Sheet Data'!K9/'Balance Sheet Data'!K$15</f>
        <v>1.4793067256687375E-2</v>
      </c>
      <c r="J32" s="77">
        <f>'Balance Sheet Data'!L9/'Balance Sheet Data'!L$15</f>
        <v>1.5339983852648576E-2</v>
      </c>
      <c r="K32" s="77">
        <f>'Balance Sheet Data'!M9/'Balance Sheet Data'!M$15</f>
        <v>1.8741479697792048E-2</v>
      </c>
      <c r="L32" s="77">
        <f>'Balance Sheet Data'!N9/'Balance Sheet Data'!N$15</f>
        <v>2.0622816573381917E-2</v>
      </c>
    </row>
    <row r="33" spans="2:12" x14ac:dyDescent="0.35">
      <c r="B33" t="str">
        <f>'Balance Sheet Data'!B11</f>
        <v>Non controlling int</v>
      </c>
      <c r="C33" s="70">
        <f>'Balance Sheet Data'!C11/'Balance Sheet Data'!C$15</f>
        <v>1.599534680820125E-3</v>
      </c>
      <c r="D33" s="70">
        <f>'Balance Sheet Data'!D11/'Balance Sheet Data'!D$15</f>
        <v>1.7325017325017325E-3</v>
      </c>
      <c r="E33" s="70">
        <f>'Balance Sheet Data'!E11/'Balance Sheet Data'!E$15</f>
        <v>1.3519908064625161E-3</v>
      </c>
      <c r="F33" s="70">
        <f>'Balance Sheet Data'!F11/'Balance Sheet Data'!F$15</f>
        <v>1.4007385712466573E-3</v>
      </c>
      <c r="G33" s="70">
        <f>'Balance Sheet Data'!G11/'Balance Sheet Data'!G$15</f>
        <v>1.1196954428395476E-3</v>
      </c>
      <c r="H33" s="70">
        <f>'Balance Sheet Data'!H11/'Balance Sheet Data'!H$15</f>
        <v>9.6623543936872616E-4</v>
      </c>
      <c r="I33" s="70">
        <f>'Balance Sheet Data'!I11/'Balance Sheet Data'!I$15</f>
        <v>8.4354686647149311E-4</v>
      </c>
      <c r="J33" s="70">
        <f>'Balance Sheet Data'!J11/'Balance Sheet Data'!J$15</f>
        <v>2.9095141111434392E-4</v>
      </c>
      <c r="K33" s="70">
        <f>'Balance Sheet Data'!K11/'Balance Sheet Data'!K$15</f>
        <v>3.6876294216095084E-4</v>
      </c>
      <c r="L33" s="70">
        <f>'Balance Sheet Data'!L11/'Balance Sheet Data'!L$15</f>
        <v>2.9831547545739424E-3</v>
      </c>
    </row>
    <row r="34" spans="2:12" x14ac:dyDescent="0.35">
      <c r="B34" t="str">
        <f>'Balance Sheet Data'!B12</f>
        <v>Trade Payables</v>
      </c>
      <c r="C34" s="70">
        <f>'Balance Sheet Data'!C12/'Balance Sheet Data'!C$15</f>
        <v>0.42351315980805582</v>
      </c>
      <c r="D34" s="70">
        <f>'Balance Sheet Data'!D12/'Balance Sheet Data'!D$15</f>
        <v>0.38156618156618155</v>
      </c>
      <c r="E34" s="70">
        <f>'Balance Sheet Data'!E12/'Balance Sheet Data'!E$15</f>
        <v>0.38430338673697018</v>
      </c>
      <c r="F34" s="70">
        <f>'Balance Sheet Data'!F12/'Balance Sheet Data'!F$15</f>
        <v>0.39386221826053736</v>
      </c>
      <c r="G34" s="70">
        <f>'Balance Sheet Data'!G12/'Balance Sheet Data'!G$15</f>
        <v>0.40141081625797781</v>
      </c>
      <c r="H34" s="70">
        <f>'Balance Sheet Data'!H12/'Balance Sheet Data'!H$15</f>
        <v>0.38681625422728005</v>
      </c>
      <c r="I34" s="70">
        <f>'Balance Sheet Data'!I12/'Balance Sheet Data'!I$15</f>
        <v>0.3738897434625118</v>
      </c>
      <c r="J34" s="70">
        <f>'Balance Sheet Data'!J12/'Balance Sheet Data'!J$15</f>
        <v>0.12804771603142276</v>
      </c>
      <c r="K34" s="70">
        <f>'Balance Sheet Data'!K12/'Balance Sheet Data'!K$15</f>
        <v>0.12861316767367317</v>
      </c>
      <c r="L34" s="70">
        <f>'Balance Sheet Data'!L12/'Balance Sheet Data'!L$15</f>
        <v>0.1310124936710593</v>
      </c>
    </row>
    <row r="35" spans="2:12" x14ac:dyDescent="0.35">
      <c r="B35" t="str">
        <f>'Balance Sheet Data'!B13</f>
        <v>Advance from Customers</v>
      </c>
      <c r="C35" s="70">
        <f>'Balance Sheet Data'!C13/'Balance Sheet Data'!C$15</f>
        <v>2.6901265086520286E-3</v>
      </c>
      <c r="D35" s="70">
        <f>'Balance Sheet Data'!D13/'Balance Sheet Data'!D$15</f>
        <v>3.1185031185031187E-3</v>
      </c>
      <c r="E35" s="70">
        <f>'Balance Sheet Data'!E13/'Balance Sheet Data'!E$15</f>
        <v>3.0419793145406611E-3</v>
      </c>
      <c r="F35" s="70">
        <f>'Balance Sheet Data'!F13/'Balance Sheet Data'!F$15</f>
        <v>4.9662549344199666E-3</v>
      </c>
      <c r="G35" s="70">
        <f>'Balance Sheet Data'!G13/'Balance Sheet Data'!G$15</f>
        <v>3.4710558728025978E-3</v>
      </c>
      <c r="H35" s="70">
        <f>'Balance Sheet Data'!H13/'Balance Sheet Data'!H$15</f>
        <v>2.3082291051586237E-3</v>
      </c>
      <c r="I35" s="70">
        <f>'Balance Sheet Data'!I13/'Balance Sheet Data'!I$15</f>
        <v>7.8400238177938775E-3</v>
      </c>
      <c r="J35" s="70">
        <f>'Balance Sheet Data'!J13/'Balance Sheet Data'!J$15</f>
        <v>1.3965667733488508E-3</v>
      </c>
      <c r="K35" s="70">
        <f>'Balance Sheet Data'!K13/'Balance Sheet Data'!K$15</f>
        <v>1.6877996198905057E-3</v>
      </c>
      <c r="L35" s="70">
        <f>'Balance Sheet Data'!L13/'Balance Sheet Data'!L$15</f>
        <v>1.3410512199460844E-3</v>
      </c>
    </row>
    <row r="36" spans="2:12" x14ac:dyDescent="0.35">
      <c r="B36" t="str">
        <f>'Balance Sheet Data'!B14</f>
        <v>Other liability items</v>
      </c>
      <c r="C36" s="70">
        <f>'Balance Sheet Data'!C14/'Balance Sheet Data'!C$15</f>
        <v>0.31169114439435802</v>
      </c>
      <c r="D36" s="70">
        <f>'Balance Sheet Data'!D14/'Balance Sheet Data'!D$15</f>
        <v>0.33146223146223147</v>
      </c>
      <c r="E36" s="70">
        <f>'Balance Sheet Data'!E14/'Balance Sheet Data'!E$15</f>
        <v>0.15500574596092748</v>
      </c>
      <c r="F36" s="70">
        <f>'Balance Sheet Data'!F14/'Balance Sheet Data'!F$15</f>
        <v>0.15274417420094233</v>
      </c>
      <c r="G36" s="70">
        <f>'Balance Sheet Data'!G14/'Balance Sheet Data'!G$15</f>
        <v>0.18637330646064271</v>
      </c>
      <c r="H36" s="70">
        <f>'Balance Sheet Data'!H14/'Balance Sheet Data'!H$15</f>
        <v>0.18229641956089968</v>
      </c>
      <c r="I36" s="70">
        <f>'Balance Sheet Data'!I14/'Balance Sheet Data'!I$15</f>
        <v>0.2091003820771101</v>
      </c>
      <c r="J36" s="70">
        <f>'Balance Sheet Data'!J14/'Balance Sheet Data'!J$15</f>
        <v>0.17672388711085249</v>
      </c>
      <c r="K36" s="70">
        <f>'Balance Sheet Data'!K14/'Balance Sheet Data'!K$15</f>
        <v>0.15869571383995687</v>
      </c>
      <c r="L36" s="70">
        <f>'Balance Sheet Data'!L14/'Balance Sheet Data'!L$15</f>
        <v>0.15961246356582784</v>
      </c>
    </row>
    <row r="38" spans="2:12" ht="15" thickBot="1" x14ac:dyDescent="0.4">
      <c r="B38" s="80" t="s">
        <v>89</v>
      </c>
      <c r="C38" s="123">
        <f>'Balance Sheet Data'!C43/'Balance Sheet Data'!C$43</f>
        <v>1</v>
      </c>
      <c r="D38" s="123">
        <f>'Balance Sheet Data'!D43/'Balance Sheet Data'!D$43</f>
        <v>1</v>
      </c>
      <c r="E38" s="123">
        <f>'Balance Sheet Data'!E43/'Balance Sheet Data'!E$43</f>
        <v>1</v>
      </c>
      <c r="F38" s="123">
        <f>'Balance Sheet Data'!F43/'Balance Sheet Data'!F$43</f>
        <v>1</v>
      </c>
      <c r="G38" s="123">
        <f>'Balance Sheet Data'!G43/'Balance Sheet Data'!G$43</f>
        <v>1</v>
      </c>
      <c r="H38" s="123">
        <f>'Balance Sheet Data'!H43/'Balance Sheet Data'!H$43</f>
        <v>1</v>
      </c>
      <c r="I38" s="123">
        <f>'Balance Sheet Data'!I43/'Balance Sheet Data'!I$43</f>
        <v>1</v>
      </c>
      <c r="J38" s="123">
        <f>'Balance Sheet Data'!J43/'Balance Sheet Data'!J$43</f>
        <v>1</v>
      </c>
      <c r="K38" s="123">
        <f>'Balance Sheet Data'!K43/'Balance Sheet Data'!K$43</f>
        <v>1</v>
      </c>
      <c r="L38" s="123">
        <f>'Balance Sheet Data'!L43/'Balance Sheet Data'!L$43</f>
        <v>1</v>
      </c>
    </row>
    <row r="39" spans="2:12" x14ac:dyDescent="0.35">
      <c r="B39" t="str">
        <f>'Balance Sheet Data'!B18</f>
        <v>Land</v>
      </c>
      <c r="C39" s="119">
        <f>'Balance Sheet Data'!E18/'Balance Sheet Data'!E$43</f>
        <v>5.9487595484350704E-3</v>
      </c>
      <c r="D39" s="119">
        <f>'Balance Sheet Data'!F18/'Balance Sheet Data'!F$43</f>
        <v>5.6666242200432955E-3</v>
      </c>
      <c r="E39" s="119">
        <f>'Balance Sheet Data'!G18/'Balance Sheet Data'!G$43</f>
        <v>4.8706751763520325E-3</v>
      </c>
      <c r="F39" s="119">
        <f>'Balance Sheet Data'!H18/'Balance Sheet Data'!H$43</f>
        <v>4.6164582103172475E-3</v>
      </c>
      <c r="G39" s="119">
        <f>'Balance Sheet Data'!I18/'Balance Sheet Data'!I$43</f>
        <v>2.9276038306951819E-3</v>
      </c>
      <c r="H39" s="119">
        <f>'Balance Sheet Data'!J18/'Balance Sheet Data'!J$43</f>
        <v>6.9391911550771021E-3</v>
      </c>
      <c r="I39" s="119">
        <f>'Balance Sheet Data'!K18/'Balance Sheet Data'!K$43</f>
        <v>6.7653816696451362E-3</v>
      </c>
      <c r="J39" s="119">
        <f>'Balance Sheet Data'!L18/'Balance Sheet Data'!L$43</f>
        <v>8.3336754382363817E-3</v>
      </c>
      <c r="K39" s="119">
        <f>'Balance Sheet Data'!M18/'Balance Sheet Data'!M$43</f>
        <v>8.0648243702939257E-3</v>
      </c>
      <c r="L39" s="119">
        <f>'Balance Sheet Data'!N18/'Balance Sheet Data'!N$43</f>
        <v>7.863466185843257E-3</v>
      </c>
    </row>
    <row r="40" spans="2:12" x14ac:dyDescent="0.35">
      <c r="B40" t="str">
        <f>'Balance Sheet Data'!B19</f>
        <v>Building</v>
      </c>
      <c r="C40" s="70">
        <f>'Balance Sheet Data'!E19/'Balance Sheet Data'!E$43</f>
        <v>6.2935172040830129E-2</v>
      </c>
      <c r="D40" s="70">
        <f>'Balance Sheet Data'!F19/'Balance Sheet Data'!F$43</f>
        <v>7.7040621418566158E-2</v>
      </c>
      <c r="E40" s="70">
        <f>'Balance Sheet Data'!G19/'Balance Sheet Data'!G$43</f>
        <v>7.5187548986675623E-2</v>
      </c>
      <c r="F40" s="70">
        <f>'Balance Sheet Data'!H19/'Balance Sheet Data'!H$43</f>
        <v>8.1968973106446935E-2</v>
      </c>
      <c r="G40" s="70">
        <f>'Balance Sheet Data'!I19/'Balance Sheet Data'!I$43</f>
        <v>0.10142410559221952</v>
      </c>
      <c r="H40" s="70">
        <f>'Balance Sheet Data'!J19/'Balance Sheet Data'!J$43</f>
        <v>3.7852778585976139E-2</v>
      </c>
      <c r="I40" s="70">
        <f>'Balance Sheet Data'!K19/'Balance Sheet Data'!K$43</f>
        <v>3.9542733951720421E-2</v>
      </c>
      <c r="J40" s="70">
        <f>'Balance Sheet Data'!L19/'Balance Sheet Data'!L$43</f>
        <v>4.2434692174008234E-2</v>
      </c>
      <c r="K40" s="70">
        <f>'Balance Sheet Data'!M19/'Balance Sheet Data'!M$43</f>
        <v>4.5738893348112472E-2</v>
      </c>
      <c r="L40" s="70">
        <f>'Balance Sheet Data'!N19/'Balance Sheet Data'!N$43</f>
        <v>4.799469090818026E-2</v>
      </c>
    </row>
    <row r="41" spans="2:12" x14ac:dyDescent="0.35">
      <c r="B41" t="str">
        <f>'Balance Sheet Data'!B20</f>
        <v>Plant Machinery</v>
      </c>
      <c r="C41" s="70">
        <f>'Balance Sheet Data'!E20/'Balance Sheet Data'!E$43</f>
        <v>0.16021091056580816</v>
      </c>
      <c r="D41" s="70">
        <f>'Balance Sheet Data'!F20/'Balance Sheet Data'!F$43</f>
        <v>0.20820068763529861</v>
      </c>
      <c r="E41" s="70">
        <f>'Balance Sheet Data'!G20/'Balance Sheet Data'!G$43</f>
        <v>0.20663979397603852</v>
      </c>
      <c r="F41" s="70">
        <f>'Balance Sheet Data'!H20/'Balance Sheet Data'!H$43</f>
        <v>0.21965752321649043</v>
      </c>
      <c r="G41" s="70">
        <f>'Balance Sheet Data'!I20/'Balance Sheet Data'!I$43</f>
        <v>0.24815163995434922</v>
      </c>
      <c r="H41" s="70">
        <f>'Balance Sheet Data'!J20/'Balance Sheet Data'!J$43</f>
        <v>8.8696537678207746E-2</v>
      </c>
      <c r="I41" s="70">
        <f>'Balance Sheet Data'!K20/'Balance Sheet Data'!K$43</f>
        <v>9.3126826085723202E-2</v>
      </c>
      <c r="J41" s="70">
        <f>'Balance Sheet Data'!L20/'Balance Sheet Data'!L$43</f>
        <v>0.10416410087989381</v>
      </c>
      <c r="K41" s="70">
        <f>'Balance Sheet Data'!M20/'Balance Sheet Data'!M$43</f>
        <v>0.11397775484462791</v>
      </c>
      <c r="L41" s="70">
        <f>'Balance Sheet Data'!N20/'Balance Sheet Data'!N$43</f>
        <v>0.12396228541377108</v>
      </c>
    </row>
    <row r="42" spans="2:12" x14ac:dyDescent="0.35">
      <c r="B42" t="str">
        <f>'Balance Sheet Data'!B21</f>
        <v>Equipments</v>
      </c>
      <c r="C42" s="70">
        <f>'Balance Sheet Data'!E21/'Balance Sheet Data'!E$43</f>
        <v>2.771581153248158E-3</v>
      </c>
      <c r="D42" s="70">
        <f>'Balance Sheet Data'!F21/'Balance Sheet Data'!F$43</f>
        <v>3.9475359735133067E-3</v>
      </c>
      <c r="E42" s="70">
        <f>'Balance Sheet Data'!G21/'Balance Sheet Data'!G$43</f>
        <v>4.1428731385063262E-3</v>
      </c>
      <c r="F42" s="70">
        <f>'Balance Sheet Data'!H21/'Balance Sheet Data'!H$43</f>
        <v>5.0995759300016107E-3</v>
      </c>
      <c r="G42" s="70">
        <f>'Balance Sheet Data'!I21/'Balance Sheet Data'!I$43</f>
        <v>6.8972361435022077E-3</v>
      </c>
      <c r="H42" s="70">
        <f>'Balance Sheet Data'!J21/'Balance Sheet Data'!J$43</f>
        <v>2.5458248472505093E-3</v>
      </c>
      <c r="I42" s="70">
        <f>'Balance Sheet Data'!K21/'Balance Sheet Data'!K$43</f>
        <v>2.5671574050435426E-3</v>
      </c>
      <c r="J42" s="70">
        <f>'Balance Sheet Data'!L21/'Balance Sheet Data'!L$43</f>
        <v>2.5315762825512816E-3</v>
      </c>
      <c r="K42" s="70">
        <f>'Balance Sheet Data'!M21/'Balance Sheet Data'!M$43</f>
        <v>2.6245715960198242E-3</v>
      </c>
      <c r="L42" s="70">
        <f>'Balance Sheet Data'!N21/'Balance Sheet Data'!N$43</f>
        <v>3.0677535279165571E-3</v>
      </c>
    </row>
    <row r="43" spans="2:12" x14ac:dyDescent="0.35">
      <c r="B43" t="str">
        <f>'Balance Sheet Data'!B22</f>
        <v>Furniture n fittings</v>
      </c>
      <c r="C43" s="70">
        <f>'Balance Sheet Data'!E22/'Balance Sheet Data'!E$43</f>
        <v>4.1235719597106741E-3</v>
      </c>
      <c r="D43" s="70">
        <f>'Balance Sheet Data'!F22/'Balance Sheet Data'!F$43</f>
        <v>4.2022157137399721E-3</v>
      </c>
      <c r="E43" s="70">
        <f>'Balance Sheet Data'!G22/'Balance Sheet Data'!G$43</f>
        <v>4.2548426827902809E-3</v>
      </c>
      <c r="F43" s="70">
        <f>'Balance Sheet Data'!H22/'Balance Sheet Data'!H$43</f>
        <v>4.7238177035804395E-3</v>
      </c>
      <c r="G43" s="70">
        <f>'Balance Sheet Data'!I22/'Balance Sheet Data'!I$43</f>
        <v>7.6415422021535251E-3</v>
      </c>
      <c r="H43" s="70">
        <f>'Balance Sheet Data'!J22/'Balance Sheet Data'!J$43</f>
        <v>2.2694210066918825E-3</v>
      </c>
      <c r="I43" s="70">
        <f>'Balance Sheet Data'!K22/'Balance Sheet Data'!K$43</f>
        <v>2.1558448926332512E-3</v>
      </c>
      <c r="J43" s="70">
        <f>'Balance Sheet Data'!L22/'Balance Sheet Data'!L$43</f>
        <v>2.2031555756257099E-3</v>
      </c>
      <c r="K43" s="70">
        <f>'Balance Sheet Data'!M22/'Balance Sheet Data'!M$43</f>
        <v>2.1022054045789856E-3</v>
      </c>
      <c r="L43" s="70">
        <f>'Balance Sheet Data'!N22/'Balance Sheet Data'!N$43</f>
        <v>2.17873107696931E-3</v>
      </c>
    </row>
    <row r="44" spans="2:12" x14ac:dyDescent="0.35">
      <c r="B44" t="str">
        <f>'Balance Sheet Data'!B23</f>
        <v>Railway sidings</v>
      </c>
      <c r="C44" s="70">
        <f>'Balance Sheet Data'!E23/'Balance Sheet Data'!E$43</f>
        <v>0</v>
      </c>
      <c r="D44" s="70">
        <f>'Balance Sheet Data'!F23/'Balance Sheet Data'!F$43</f>
        <v>0</v>
      </c>
      <c r="E44" s="70">
        <f>'Balance Sheet Data'!G23/'Balance Sheet Data'!G$43</f>
        <v>0</v>
      </c>
      <c r="F44" s="70">
        <f>'Balance Sheet Data'!H23/'Balance Sheet Data'!H$43</f>
        <v>0</v>
      </c>
      <c r="G44" s="70">
        <f>'Balance Sheet Data'!I23/'Balance Sheet Data'!I$43</f>
        <v>0</v>
      </c>
      <c r="H44" s="70">
        <f>'Balance Sheet Data'!J23/'Balance Sheet Data'!J$43</f>
        <v>0</v>
      </c>
      <c r="I44" s="70">
        <f>'Balance Sheet Data'!K23/'Balance Sheet Data'!K$43</f>
        <v>0</v>
      </c>
      <c r="J44" s="70">
        <f>'Balance Sheet Data'!L23/'Balance Sheet Data'!L$43</f>
        <v>0</v>
      </c>
      <c r="K44" s="70">
        <f>'Balance Sheet Data'!M23/'Balance Sheet Data'!M$43</f>
        <v>0</v>
      </c>
      <c r="L44" s="70">
        <f>'Balance Sheet Data'!N23/'Balance Sheet Data'!N$43</f>
        <v>0</v>
      </c>
    </row>
    <row r="45" spans="2:12" x14ac:dyDescent="0.35">
      <c r="B45" t="str">
        <f>'Balance Sheet Data'!B24</f>
        <v>Vehicles</v>
      </c>
      <c r="C45" s="70">
        <f>'Balance Sheet Data'!E24/'Balance Sheet Data'!E$43</f>
        <v>0</v>
      </c>
      <c r="D45" s="70">
        <f>'Balance Sheet Data'!F24/'Balance Sheet Data'!F$43</f>
        <v>0</v>
      </c>
      <c r="E45" s="70">
        <f>'Balance Sheet Data'!G24/'Balance Sheet Data'!G$43</f>
        <v>0</v>
      </c>
      <c r="F45" s="70">
        <f>'Balance Sheet Data'!H24/'Balance Sheet Data'!H$43</f>
        <v>0</v>
      </c>
      <c r="G45" s="70">
        <f>'Balance Sheet Data'!I24/'Balance Sheet Data'!I$43</f>
        <v>0</v>
      </c>
      <c r="H45" s="70">
        <f>'Balance Sheet Data'!J24/'Balance Sheet Data'!J$43</f>
        <v>0</v>
      </c>
      <c r="I45" s="70">
        <f>'Balance Sheet Data'!K24/'Balance Sheet Data'!K$43</f>
        <v>0</v>
      </c>
      <c r="J45" s="70">
        <f>'Balance Sheet Data'!L24/'Balance Sheet Data'!L$43</f>
        <v>4.5157847202266103E-4</v>
      </c>
      <c r="K45" s="70">
        <f>'Balance Sheet Data'!M24/'Balance Sheet Data'!M$43</f>
        <v>4.9688491380957842E-4</v>
      </c>
      <c r="L45" s="70">
        <f>'Balance Sheet Data'!N24/'Balance Sheet Data'!N$43</f>
        <v>1.2771871830509747E-3</v>
      </c>
    </row>
    <row r="46" spans="2:12" x14ac:dyDescent="0.35">
      <c r="B46" t="str">
        <f>'Balance Sheet Data'!B25</f>
        <v>Intangible Assets</v>
      </c>
      <c r="C46" s="70">
        <f>'Balance Sheet Data'!E25/'Balance Sheet Data'!E$43</f>
        <v>5.7459609274656933E-3</v>
      </c>
      <c r="D46" s="70">
        <f>'Balance Sheet Data'!F25/'Balance Sheet Data'!F$43</f>
        <v>2.896982045078314E-2</v>
      </c>
      <c r="E46" s="70">
        <f>'Balance Sheet Data'!G25/'Balance Sheet Data'!G$43</f>
        <v>2.5473071324599708E-2</v>
      </c>
      <c r="F46" s="70">
        <f>'Balance Sheet Data'!H25/'Balance Sheet Data'!H$43</f>
        <v>2.7430350528745505E-2</v>
      </c>
      <c r="G46" s="70">
        <f>'Balance Sheet Data'!I25/'Balance Sheet Data'!I$43</f>
        <v>2.5356026398054881E-2</v>
      </c>
      <c r="H46" s="70">
        <f>'Balance Sheet Data'!J25/'Balance Sheet Data'!J$43</f>
        <v>0.65845213849287165</v>
      </c>
      <c r="I46" s="70">
        <f>'Balance Sheet Data'!K25/'Balance Sheet Data'!K$43</f>
        <v>0.64195954954188295</v>
      </c>
      <c r="J46" s="70">
        <f>'Balance Sheet Data'!L25/'Balance Sheet Data'!L$43</f>
        <v>0.62525828920180082</v>
      </c>
      <c r="K46" s="70">
        <f>'Balance Sheet Data'!M25/'Balance Sheet Data'!M$43</f>
        <v>0.58214526876377581</v>
      </c>
      <c r="L46" s="70">
        <f>'Balance Sheet Data'!N25/'Balance Sheet Data'!N$43</f>
        <v>0.57212977223495232</v>
      </c>
    </row>
    <row r="47" spans="2:12" ht="15" thickBot="1" x14ac:dyDescent="0.4">
      <c r="B47" t="str">
        <f>'Balance Sheet Data'!B26</f>
        <v>Other fixed assets</v>
      </c>
      <c r="C47" s="125">
        <f>'Balance Sheet Data'!E26/'Balance Sheet Data'!E$43</f>
        <v>1.2843912661393902E-3</v>
      </c>
      <c r="D47" s="125">
        <f>'Balance Sheet Data'!F26/'Balance Sheet Data'!F$43</f>
        <v>1.2097287660766587E-3</v>
      </c>
      <c r="E47" s="125">
        <f>'Balance Sheet Data'!G26/'Balance Sheet Data'!G$43</f>
        <v>1.455604075691412E-3</v>
      </c>
      <c r="F47" s="125">
        <f>'Balance Sheet Data'!H26/'Balance Sheet Data'!H$43</f>
        <v>3.2207847978957538E-3</v>
      </c>
      <c r="G47" s="125">
        <f>'Balance Sheet Data'!I26/'Balance Sheet Data'!I$43</f>
        <v>3.5230486776162357E-3</v>
      </c>
      <c r="H47" s="125">
        <f>'Balance Sheet Data'!J26/'Balance Sheet Data'!J$43</f>
        <v>2.2548734361361651E-3</v>
      </c>
      <c r="I47" s="125">
        <f>'Balance Sheet Data'!K26/'Balance Sheet Data'!K$43</f>
        <v>2.1558448926332512E-3</v>
      </c>
      <c r="J47" s="125">
        <f>'Balance Sheet Data'!L26/'Balance Sheet Data'!L$43</f>
        <v>2.3399975368446979E-3</v>
      </c>
      <c r="K47" s="125">
        <f>'Balance Sheet Data'!M26/'Balance Sheet Data'!M$43</f>
        <v>2.293314986813439E-3</v>
      </c>
      <c r="L47" s="125">
        <f>'Balance Sheet Data'!N26/'Balance Sheet Data'!N$43</f>
        <v>2.3790741645067178E-3</v>
      </c>
    </row>
    <row r="48" spans="2:12" x14ac:dyDescent="0.35">
      <c r="B48" t="s">
        <v>180</v>
      </c>
      <c r="C48" s="37">
        <f>'Balance Sheet Data'!E27/'Balance Sheet Data'!E$43</f>
        <v>0.24302034746163725</v>
      </c>
      <c r="D48" s="37">
        <f>'Balance Sheet Data'!F27/'Balance Sheet Data'!F$43</f>
        <v>0.32923723417802114</v>
      </c>
      <c r="E48" s="37">
        <f>'Balance Sheet Data'!G27/'Balance Sheet Data'!G$43</f>
        <v>0.32202440936065391</v>
      </c>
      <c r="F48" s="37">
        <f>'Balance Sheet Data'!H27/'Balance Sheet Data'!H$43</f>
        <v>0.34671748349347792</v>
      </c>
      <c r="G48" s="37">
        <f>'Balance Sheet Data'!I27/'Balance Sheet Data'!I$43</f>
        <v>0.39592120279859078</v>
      </c>
      <c r="H48" s="37">
        <f>'Balance Sheet Data'!J27/'Balance Sheet Data'!J$43</f>
        <v>0.79901076520221126</v>
      </c>
      <c r="I48" s="37">
        <f>'Balance Sheet Data'!K27/'Balance Sheet Data'!K$43</f>
        <v>0.78827333843928171</v>
      </c>
      <c r="J48" s="37">
        <f>'Balance Sheet Data'!L27/'Balance Sheet Data'!L$43</f>
        <v>0.78771706556098364</v>
      </c>
      <c r="K48" s="37">
        <f>'Balance Sheet Data'!M27/'Balance Sheet Data'!M$43</f>
        <v>0.75744371822803191</v>
      </c>
      <c r="L48" s="37">
        <f>'Balance Sheet Data'!N27/'Balance Sheet Data'!N$43</f>
        <v>0.76085296069519048</v>
      </c>
    </row>
    <row r="49" spans="2:12" ht="15" thickBot="1" x14ac:dyDescent="0.4">
      <c r="B49" t="str">
        <f>'Balance Sheet Data'!B28</f>
        <v>Accumulated Depreciation</v>
      </c>
      <c r="C49" s="38">
        <f>'Balance Sheet Data'!E28/'Balance Sheet Data'!E$43</f>
        <v>2.2781045088893396E-2</v>
      </c>
      <c r="D49" s="38">
        <f>'Balance Sheet Data'!F28/'Balance Sheet Data'!F$43</f>
        <v>4.7879791162613011E-2</v>
      </c>
      <c r="E49" s="38">
        <f>'Balance Sheet Data'!G28/'Balance Sheet Data'!G$43</f>
        <v>6.8525361101780313E-2</v>
      </c>
      <c r="F49" s="38">
        <f>'Balance Sheet Data'!H28/'Balance Sheet Data'!H$43</f>
        <v>9.3617478125503251E-2</v>
      </c>
      <c r="G49" s="38">
        <f>'Balance Sheet Data'!I28/'Balance Sheet Data'!I$43</f>
        <v>0.12405100977521957</v>
      </c>
      <c r="H49" s="38">
        <f>'Balance Sheet Data'!J28/'Balance Sheet Data'!J$43</f>
        <v>5.0640093104451556E-2</v>
      </c>
      <c r="I49" s="38">
        <f>'Balance Sheet Data'!K28/'Balance Sheet Data'!K$43</f>
        <v>5.8221995291180891E-2</v>
      </c>
      <c r="J49" s="38">
        <f>'Balance Sheet Data'!L28/'Balance Sheet Data'!L$43</f>
        <v>6.6860982251597631E-2</v>
      </c>
      <c r="K49" s="38">
        <f>'Balance Sheet Data'!M28/'Balance Sheet Data'!M$43</f>
        <v>7.2710825720801647E-2</v>
      </c>
      <c r="L49" s="38">
        <f>'Balance Sheet Data'!N28/'Balance Sheet Data'!N$43</f>
        <v>8.0500356861124681E-2</v>
      </c>
    </row>
    <row r="50" spans="2:12" ht="15" thickBot="1" x14ac:dyDescent="0.4">
      <c r="B50" t="s">
        <v>14</v>
      </c>
      <c r="C50" s="89">
        <f>C48-C49</f>
        <v>0.22023930237274386</v>
      </c>
      <c r="D50" s="89">
        <f t="shared" ref="D50:L50" si="4">D48-D49</f>
        <v>0.2813574430154081</v>
      </c>
      <c r="E50" s="89">
        <f t="shared" si="4"/>
        <v>0.25349904825887359</v>
      </c>
      <c r="F50" s="89">
        <f t="shared" si="4"/>
        <v>0.25310000536797467</v>
      </c>
      <c r="G50" s="89">
        <f t="shared" si="4"/>
        <v>0.27187019302337123</v>
      </c>
      <c r="H50" s="89">
        <f t="shared" si="4"/>
        <v>0.74837067209775965</v>
      </c>
      <c r="I50" s="89">
        <f t="shared" si="4"/>
        <v>0.73005134314810083</v>
      </c>
      <c r="J50" s="89">
        <f t="shared" si="4"/>
        <v>0.720856083309386</v>
      </c>
      <c r="K50" s="89">
        <f t="shared" si="4"/>
        <v>0.68473289250723024</v>
      </c>
      <c r="L50" s="89">
        <f t="shared" si="4"/>
        <v>0.68035260383406582</v>
      </c>
    </row>
    <row r="51" spans="2:12" ht="2.5" customHeight="1" x14ac:dyDescent="0.35"/>
    <row r="52" spans="2:12" x14ac:dyDescent="0.35">
      <c r="B52" t="str">
        <f>'Balance Sheet Data'!B31</f>
        <v>CWIP</v>
      </c>
      <c r="C52" s="124">
        <f>'Balance Sheet Data'!E31/'Balance Sheet Data'!E$43</f>
        <v>2.7580612451835327E-2</v>
      </c>
      <c r="D52" s="124">
        <f>'Balance Sheet Data'!F31/'Balance Sheet Data'!F$43</f>
        <v>1.458041512797657E-2</v>
      </c>
      <c r="E52" s="124">
        <f>'Balance Sheet Data'!G31/'Balance Sheet Data'!G$43</f>
        <v>2.5808979957451572E-2</v>
      </c>
      <c r="F52" s="124">
        <f>'Balance Sheet Data'!H31/'Balance Sheet Data'!H$43</f>
        <v>2.1793977132427936E-2</v>
      </c>
      <c r="G52" s="124">
        <f>'Balance Sheet Data'!I31/'Balance Sheet Data'!I$43</f>
        <v>2.9623381134322432E-2</v>
      </c>
      <c r="H52" s="124">
        <f>'Balance Sheet Data'!J31/'Balance Sheet Data'!J$43</f>
        <v>1.0837940064009311E-2</v>
      </c>
      <c r="I52" s="124">
        <f>'Balance Sheet Data'!K31/'Balance Sheet Data'!K$43</f>
        <v>1.8622528579128019E-2</v>
      </c>
      <c r="J52" s="124">
        <f>'Balance Sheet Data'!L31/'Balance Sheet Data'!L$43</f>
        <v>1.5490510009989463E-2</v>
      </c>
      <c r="K52" s="124">
        <f>'Balance Sheet Data'!M31/'Balance Sheet Data'!M$43</f>
        <v>1.305915478602097E-2</v>
      </c>
      <c r="L52" s="124">
        <f>'Balance Sheet Data'!N31/'Balance Sheet Data'!N$43</f>
        <v>1.263413595782778E-2</v>
      </c>
    </row>
    <row r="53" spans="2:12" x14ac:dyDescent="0.35">
      <c r="B53" t="str">
        <f>'Balance Sheet Data'!B32</f>
        <v>Investments</v>
      </c>
      <c r="C53" s="77">
        <f>'Balance Sheet Data'!E32/'Balance Sheet Data'!E$43</f>
        <v>0.17521800851754207</v>
      </c>
      <c r="D53" s="77">
        <f>'Balance Sheet Data'!F32/'Balance Sheet Data'!F$43</f>
        <v>0.24156373360499173</v>
      </c>
      <c r="E53" s="77">
        <f>'Balance Sheet Data'!G32/'Balance Sheet Data'!G$43</f>
        <v>0.16084425036390101</v>
      </c>
      <c r="F53" s="77">
        <f>'Balance Sheet Data'!H32/'Balance Sheet Data'!H$43</f>
        <v>0.14579419185141446</v>
      </c>
      <c r="G53" s="77">
        <f>'Balance Sheet Data'!I32/'Balance Sheet Data'!I$43</f>
        <v>6.2273606907160224E-2</v>
      </c>
      <c r="H53" s="77">
        <f>'Balance Sheet Data'!J32/'Balance Sheet Data'!J$43</f>
        <v>3.9409368635437883E-2</v>
      </c>
      <c r="I53" s="77">
        <f>'Balance Sheet Data'!K32/'Balance Sheet Data'!K$43</f>
        <v>4.9939012282642609E-2</v>
      </c>
      <c r="J53" s="77">
        <f>'Balance Sheet Data'!L32/'Balance Sheet Data'!L$43</f>
        <v>3.9437853223312398E-2</v>
      </c>
      <c r="K53" s="77">
        <f>'Balance Sheet Data'!M32/'Balance Sheet Data'!M$43</f>
        <v>5.8925454522289748E-2</v>
      </c>
      <c r="L53" s="77">
        <f>'Balance Sheet Data'!N32/'Balance Sheet Data'!N$43</f>
        <v>4.7706697719845238E-2</v>
      </c>
    </row>
    <row r="54" spans="2:12" ht="3" customHeight="1" x14ac:dyDescent="0.35">
      <c r="C54" s="86"/>
      <c r="D54" s="86"/>
      <c r="E54" s="86"/>
      <c r="F54" s="86"/>
      <c r="G54" s="86"/>
      <c r="H54" s="86"/>
      <c r="I54" s="86"/>
      <c r="J54" s="86"/>
      <c r="K54" s="86"/>
      <c r="L54" s="86"/>
    </row>
    <row r="55" spans="2:12" x14ac:dyDescent="0.35">
      <c r="B55" t="str">
        <f>'Balance Sheet Data'!B35</f>
        <v>Inventories</v>
      </c>
      <c r="C55" s="124">
        <f>'Balance Sheet Data'!E35/'Balance Sheet Data'!E$43</f>
        <v>0.18427634692084094</v>
      </c>
      <c r="D55" s="124">
        <f>'Balance Sheet Data'!F35/'Balance Sheet Data'!F$43</f>
        <v>0.16178530497898891</v>
      </c>
      <c r="E55" s="124">
        <f>'Balance Sheet Data'!G35/'Balance Sheet Data'!G$43</f>
        <v>0.14068973239278917</v>
      </c>
      <c r="F55" s="124">
        <f>'Balance Sheet Data'!H35/'Balance Sheet Data'!H$43</f>
        <v>0.13817166782972784</v>
      </c>
      <c r="G55" s="124">
        <f>'Balance Sheet Data'!I35/'Balance Sheet Data'!I$43</f>
        <v>0.13729965761921303</v>
      </c>
      <c r="H55" s="124">
        <f>'Balance Sheet Data'!J35/'Balance Sheet Data'!J$43</f>
        <v>5.2065755018911843E-2</v>
      </c>
      <c r="I55" s="124">
        <f>'Balance Sheet Data'!K35/'Balance Sheet Data'!K$43</f>
        <v>5.8094346580432873E-2</v>
      </c>
      <c r="J55" s="124">
        <f>'Balance Sheet Data'!L35/'Balance Sheet Data'!L$43</f>
        <v>5.8171517714191878E-2</v>
      </c>
      <c r="K55" s="124">
        <f>'Balance Sheet Data'!M35/'Balance Sheet Data'!M$43</f>
        <v>5.1242849316464729E-2</v>
      </c>
      <c r="L55" s="124">
        <f>'Balance Sheet Data'!N35/'Balance Sheet Data'!N$43</f>
        <v>5.5282170717353467E-2</v>
      </c>
    </row>
    <row r="56" spans="2:12" x14ac:dyDescent="0.35">
      <c r="B56" t="str">
        <f>'Balance Sheet Data'!B37</f>
        <v>Receivables over 6m</v>
      </c>
      <c r="C56" s="70">
        <f>'Balance Sheet Data'!E37/'Balance Sheet Data'!E$43</f>
        <v>0</v>
      </c>
      <c r="D56" s="70">
        <f>'Balance Sheet Data'!F37/'Balance Sheet Data'!F$43</f>
        <v>0</v>
      </c>
      <c r="E56" s="70">
        <f>'Balance Sheet Data'!G37/'Balance Sheet Data'!G$43</f>
        <v>0</v>
      </c>
      <c r="F56" s="70">
        <f>'Balance Sheet Data'!H37/'Balance Sheet Data'!H$43</f>
        <v>0</v>
      </c>
      <c r="G56" s="70">
        <f>'Balance Sheet Data'!I37/'Balance Sheet Data'!I$43</f>
        <v>0</v>
      </c>
      <c r="H56" s="70">
        <f>'Balance Sheet Data'!J37/'Balance Sheet Data'!J$43</f>
        <v>0</v>
      </c>
      <c r="I56" s="70">
        <f>'Balance Sheet Data'!K37/'Balance Sheet Data'!K$43</f>
        <v>2.7940884463733581E-3</v>
      </c>
      <c r="J56" s="70">
        <f>'Balance Sheet Data'!L37/'Balance Sheet Data'!L$43</f>
        <v>5.5694678216128193E-3</v>
      </c>
      <c r="K56" s="70">
        <f>'Balance Sheet Data'!M37/'Balance Sheet Data'!M$43</f>
        <v>2.5481277631260431E-3</v>
      </c>
      <c r="L56" s="70">
        <f>'Balance Sheet Data'!N37/'Balance Sheet Data'!N$43</f>
        <v>3.9192116499505401E-3</v>
      </c>
    </row>
    <row r="57" spans="2:12" x14ac:dyDescent="0.35">
      <c r="B57" t="str">
        <f>'Balance Sheet Data'!B38</f>
        <v>Receivables under 6m</v>
      </c>
      <c r="C57" s="70">
        <f>'Balance Sheet Data'!E38/'Balance Sheet Data'!E$43</f>
        <v>8.7473805178124794E-2</v>
      </c>
      <c r="D57" s="70">
        <f>'Balance Sheet Data'!F38/'Balance Sheet Data'!F$43</f>
        <v>7.1565007003692852E-2</v>
      </c>
      <c r="E57" s="70">
        <f>'Balance Sheet Data'!G38/'Balance Sheet Data'!G$43</f>
        <v>7.608330534094726E-2</v>
      </c>
      <c r="F57" s="70">
        <f>'Balance Sheet Data'!H38/'Balance Sheet Data'!H$43</f>
        <v>9.9200171775189222E-2</v>
      </c>
      <c r="G57" s="70">
        <f>'Balance Sheet Data'!I38/'Balance Sheet Data'!I$43</f>
        <v>5.8800178633454075E-2</v>
      </c>
      <c r="H57" s="70">
        <f>'Balance Sheet Data'!J38/'Balance Sheet Data'!J$43</f>
        <v>2.7189409368635439E-2</v>
      </c>
      <c r="I57" s="70">
        <f>'Balance Sheet Data'!K38/'Balance Sheet Data'!K$43</f>
        <v>3.0380393158029102E-2</v>
      </c>
      <c r="J57" s="70">
        <f>'Balance Sheet Data'!L38/'Balance Sheet Data'!L$43</f>
        <v>3.7604170942977952E-2</v>
      </c>
      <c r="K57" s="70">
        <f>'Balance Sheet Data'!M38/'Balance Sheet Data'!M$43</f>
        <v>3.6463708290333678E-2</v>
      </c>
      <c r="L57" s="70">
        <f>'Balance Sheet Data'!N38/'Balance Sheet Data'!N$43</f>
        <v>4.4751637178668473E-2</v>
      </c>
    </row>
    <row r="58" spans="2:12" x14ac:dyDescent="0.35">
      <c r="B58" t="str">
        <f>'Balance Sheet Data'!B39</f>
        <v>Prov for Doubtful</v>
      </c>
      <c r="C58" s="70">
        <f>'Balance Sheet Data'!E39/'Balance Sheet Data'!E$43</f>
        <v>-2.0279862096937739E-3</v>
      </c>
      <c r="D58" s="70">
        <f>'Balance Sheet Data'!F39/'Balance Sheet Data'!F$43</f>
        <v>-2.4831274672099833E-3</v>
      </c>
      <c r="E58" s="70">
        <f>'Balance Sheet Data'!G39/'Balance Sheet Data'!G$43</f>
        <v>-2.7432538349568916E-3</v>
      </c>
      <c r="F58" s="70">
        <f>'Balance Sheet Data'!H39/'Balance Sheet Data'!H$43</f>
        <v>-1.7177518922110687E-3</v>
      </c>
      <c r="G58" s="70">
        <f>'Balance Sheet Data'!I39/'Balance Sheet Data'!I$43</f>
        <v>-1.7863345407631618E-3</v>
      </c>
      <c r="H58" s="70">
        <f>'Balance Sheet Data'!J39/'Balance Sheet Data'!J$43</f>
        <v>-1.6147803316846087E-3</v>
      </c>
      <c r="I58" s="70">
        <f>'Balance Sheet Data'!K39/'Balance Sheet Data'!K$43</f>
        <v>-1.46086857856069E-3</v>
      </c>
      <c r="J58" s="70">
        <f>'Balance Sheet Data'!L39/'Balance Sheet Data'!L$43</f>
        <v>-1.0399989052643102E-3</v>
      </c>
      <c r="K58" s="70">
        <f>'Balance Sheet Data'!M39/'Balance Sheet Data'!M$43</f>
        <v>-8.2814152301596399E-4</v>
      </c>
      <c r="L58" s="70">
        <f>'Balance Sheet Data'!N39/'Balance Sheet Data'!N$43</f>
        <v>-8.5145812203398321E-4</v>
      </c>
    </row>
    <row r="59" spans="2:12" x14ac:dyDescent="0.35">
      <c r="B59" t="str">
        <f>'Balance Sheet Data'!B40</f>
        <v>Cash Equivalents</v>
      </c>
      <c r="C59" s="70">
        <f>'Balance Sheet Data'!E40/'Balance Sheet Data'!E$43</f>
        <v>0.20340701683228554</v>
      </c>
      <c r="D59" s="70">
        <f>'Balance Sheet Data'!F40/'Balance Sheet Data'!F$43</f>
        <v>0.11638864128358589</v>
      </c>
      <c r="E59" s="70">
        <f>'Balance Sheet Data'!G40/'Balance Sheet Data'!G$43</f>
        <v>0.19510693091479117</v>
      </c>
      <c r="F59" s="70">
        <f>'Balance Sheet Data'!H40/'Balance Sheet Data'!H$43</f>
        <v>0.20167480809490579</v>
      </c>
      <c r="G59" s="70">
        <f>'Balance Sheet Data'!I40/'Balance Sheet Data'!I$43</f>
        <v>0.25370912519227906</v>
      </c>
      <c r="H59" s="70">
        <f>'Balance Sheet Data'!J40/'Balance Sheet Data'!J$43</f>
        <v>6.5042187954611586E-2</v>
      </c>
      <c r="I59" s="70">
        <f>'Balance Sheet Data'!K40/'Balance Sheet Data'!K$43</f>
        <v>5.4548549059654498E-2</v>
      </c>
      <c r="J59" s="70">
        <f>'Balance Sheet Data'!L40/'Balance Sheet Data'!L$43</f>
        <v>6.4014669458242676E-2</v>
      </c>
      <c r="K59" s="70">
        <f>'Balance Sheet Data'!M40/'Balance Sheet Data'!M$43</f>
        <v>9.6306488807348795E-2</v>
      </c>
      <c r="L59" s="70">
        <f>'Balance Sheet Data'!N40/'Balance Sheet Data'!N$43</f>
        <v>9.4586980203598667E-2</v>
      </c>
    </row>
    <row r="60" spans="2:12" x14ac:dyDescent="0.35">
      <c r="B60" t="str">
        <f>'Balance Sheet Data'!B41</f>
        <v>Loans n Advances</v>
      </c>
      <c r="C60" s="70">
        <f>'Balance Sheet Data'!E41/'Balance Sheet Data'!E$43</f>
        <v>0</v>
      </c>
      <c r="D60" s="70">
        <f>'Balance Sheet Data'!F41/'Balance Sheet Data'!F$43</f>
        <v>4.520565389023303E-3</v>
      </c>
      <c r="E60" s="70">
        <f>'Balance Sheet Data'!G41/'Balance Sheet Data'!G$43</f>
        <v>2.2393908856790951E-3</v>
      </c>
      <c r="F60" s="70">
        <f>'Balance Sheet Data'!H41/'Balance Sheet Data'!H$43</f>
        <v>1.3956734124214933E-3</v>
      </c>
      <c r="G60" s="70">
        <f>'Balance Sheet Data'!I41/'Balance Sheet Data'!I$43</f>
        <v>9.4278767429166878E-4</v>
      </c>
      <c r="H60" s="70">
        <f>'Balance Sheet Data'!J41/'Balance Sheet Data'!J$43</f>
        <v>1.1347105033459412E-3</v>
      </c>
      <c r="I60" s="70">
        <f>'Balance Sheet Data'!K41/'Balance Sheet Data'!K$43</f>
        <v>2.411142314129294E-3</v>
      </c>
      <c r="J60" s="70">
        <f>'Balance Sheet Data'!L41/'Balance Sheet Data'!L$43</f>
        <v>2.5726288709169778E-3</v>
      </c>
      <c r="K60" s="70">
        <f>'Balance Sheet Data'!M41/'Balance Sheet Data'!M$43</f>
        <v>2.1913898762883971E-3</v>
      </c>
      <c r="L60" s="70">
        <f>'Balance Sheet Data'!N41/'Balance Sheet Data'!N$43</f>
        <v>3.030189199003293E-3</v>
      </c>
    </row>
    <row r="61" spans="2:12" x14ac:dyDescent="0.35">
      <c r="B61" t="str">
        <f>'Balance Sheet Data'!B42</f>
        <v>Other asset items</v>
      </c>
      <c r="C61" s="70">
        <f>'Balance Sheet Data'!E42/'Balance Sheet Data'!E$43</f>
        <v>0.10383289393632124</v>
      </c>
      <c r="D61" s="70">
        <f>'Balance Sheet Data'!F42/'Balance Sheet Data'!F$43</f>
        <v>0.11072201706354259</v>
      </c>
      <c r="E61" s="70">
        <f>'Balance Sheet Data'!G42/'Balance Sheet Data'!G$43</f>
        <v>0.14847161572052403</v>
      </c>
      <c r="F61" s="70">
        <f>'Balance Sheet Data'!H42/'Balance Sheet Data'!H$43</f>
        <v>0.14058725642814965</v>
      </c>
      <c r="G61" s="70">
        <f>'Balance Sheet Data'!I42/'Balance Sheet Data'!I$43</f>
        <v>0.18726740435667147</v>
      </c>
      <c r="H61" s="70">
        <f>'Balance Sheet Data'!J42/'Balance Sheet Data'!J$43</f>
        <v>5.7564736688972939E-2</v>
      </c>
      <c r="I61" s="70">
        <f>'Balance Sheet Data'!K42/'Balance Sheet Data'!K$43</f>
        <v>5.4619465010070062E-2</v>
      </c>
      <c r="J61" s="70">
        <f>'Balance Sheet Data'!L42/'Balance Sheet Data'!L$43</f>
        <v>5.7323097554634155E-2</v>
      </c>
      <c r="K61" s="70">
        <f>'Balance Sheet Data'!M42/'Balance Sheet Data'!M$43</f>
        <v>5.5358075653913284E-2</v>
      </c>
      <c r="L61" s="70">
        <f>'Balance Sheet Data'!N42/'Balance Sheet Data'!N$43</f>
        <v>5.8587831661720699E-2</v>
      </c>
    </row>
    <row r="62" spans="2:12" x14ac:dyDescent="0.35">
      <c r="L62" s="13"/>
    </row>
  </sheetData>
  <mergeCells count="1">
    <mergeCell ref="B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7501-3461-4BE2-BD20-B4C37D0AF44E}">
  <sheetPr>
    <tabColor rgb="FF0000FF"/>
  </sheetPr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8709-CFFE-4D09-AAF0-B013B4B2163D}">
  <sheetPr>
    <tabColor rgb="FF00B050"/>
  </sheetPr>
  <dimension ref="B2:K43"/>
  <sheetViews>
    <sheetView showGridLines="0" topLeftCell="D15" zoomScale="93" workbookViewId="0">
      <selection activeCell="J43" sqref="J43"/>
    </sheetView>
  </sheetViews>
  <sheetFormatPr defaultRowHeight="14.5" x14ac:dyDescent="0.35"/>
  <cols>
    <col min="1" max="1" width="1.81640625" customWidth="1"/>
    <col min="2" max="2" width="20.6328125" customWidth="1"/>
    <col min="3" max="3" width="12.1796875" bestFit="1" customWidth="1"/>
    <col min="4" max="4" width="9.54296875" bestFit="1" customWidth="1"/>
    <col min="5" max="5" width="11.453125" bestFit="1" customWidth="1"/>
    <col min="10" max="10" width="9.36328125" bestFit="1" customWidth="1"/>
    <col min="11" max="11" width="8.7265625" hidden="1" customWidth="1"/>
  </cols>
  <sheetData>
    <row r="2" spans="2:11" x14ac:dyDescent="0.35">
      <c r="B2" s="127" t="s">
        <v>212</v>
      </c>
      <c r="C2" s="127"/>
      <c r="D2" s="127"/>
      <c r="E2" s="127"/>
      <c r="F2" s="127"/>
      <c r="G2" s="127"/>
      <c r="H2" s="127"/>
      <c r="I2" s="127"/>
      <c r="J2" s="127"/>
      <c r="K2" s="127"/>
    </row>
    <row r="3" spans="2:11" ht="5.5" customHeight="1" x14ac:dyDescent="0.35"/>
    <row r="4" spans="2:11" x14ac:dyDescent="0.35">
      <c r="B4" s="130" t="s">
        <v>213</v>
      </c>
      <c r="C4" s="130"/>
      <c r="D4" s="130"/>
    </row>
    <row r="5" spans="2:11" ht="5" customHeight="1" x14ac:dyDescent="0.35"/>
    <row r="6" spans="2:11" x14ac:dyDescent="0.35">
      <c r="B6" s="2" t="s">
        <v>214</v>
      </c>
      <c r="C6" s="2"/>
      <c r="D6" s="2"/>
      <c r="E6" s="2"/>
      <c r="F6" s="2"/>
      <c r="G6" s="2"/>
      <c r="H6" s="2"/>
    </row>
    <row r="7" spans="2:11" x14ac:dyDescent="0.35">
      <c r="B7" s="81"/>
      <c r="C7" s="81"/>
      <c r="D7" s="81"/>
      <c r="E7" s="81"/>
      <c r="F7" s="81"/>
      <c r="G7" s="81" t="s">
        <v>220</v>
      </c>
      <c r="H7" s="81" t="s">
        <v>220</v>
      </c>
      <c r="I7" s="81" t="s">
        <v>223</v>
      </c>
      <c r="J7" s="81" t="s">
        <v>225</v>
      </c>
    </row>
    <row r="8" spans="2:11" x14ac:dyDescent="0.35">
      <c r="B8" s="82" t="s">
        <v>215</v>
      </c>
      <c r="C8" s="82" t="s">
        <v>216</v>
      </c>
      <c r="D8" s="82" t="s">
        <v>217</v>
      </c>
      <c r="E8" s="82" t="s">
        <v>218</v>
      </c>
      <c r="F8" s="82" t="s">
        <v>219</v>
      </c>
      <c r="G8" s="82" t="s">
        <v>221</v>
      </c>
      <c r="H8" s="82" t="s">
        <v>222</v>
      </c>
      <c r="I8" s="82" t="s">
        <v>224</v>
      </c>
      <c r="J8" s="82" t="s">
        <v>224</v>
      </c>
    </row>
    <row r="9" spans="2:11" x14ac:dyDescent="0.35">
      <c r="B9" s="101" t="str">
        <f>'Beta Comps'!C4</f>
        <v>Hind. Unilever</v>
      </c>
      <c r="C9" s="101" t="s">
        <v>226</v>
      </c>
      <c r="D9" s="102">
        <f>'Beta Comps'!F4</f>
        <v>1648</v>
      </c>
      <c r="E9" s="102">
        <f>'Beta Comps'!E4</f>
        <v>579313.64</v>
      </c>
      <c r="F9" s="103">
        <v>0.3</v>
      </c>
      <c r="G9" s="104">
        <f>D9/E9</f>
        <v>2.844745723577301E-3</v>
      </c>
      <c r="H9" s="104">
        <f>D9/SUM(D9:E9)</f>
        <v>2.8366761013687582E-3</v>
      </c>
      <c r="I9" s="101">
        <v>0.54100000000000004</v>
      </c>
      <c r="J9" s="105">
        <f>I9/(1+(1-F9)*G9)</f>
        <v>0.53992483579262796</v>
      </c>
    </row>
    <row r="10" spans="2:11" x14ac:dyDescent="0.35">
      <c r="B10" s="106" t="str">
        <f>'Beta Comps'!C5</f>
        <v>ITC</v>
      </c>
      <c r="C10" s="106" t="s">
        <v>226</v>
      </c>
      <c r="D10" s="107">
        <f>'Beta Comps'!F5</f>
        <v>284.54000000000002</v>
      </c>
      <c r="E10" s="107">
        <f>'Beta Comps'!E5</f>
        <v>525986.36</v>
      </c>
      <c r="F10" s="108">
        <v>0.3</v>
      </c>
      <c r="G10" s="70">
        <f t="shared" ref="G10:G15" si="0">D10/E10</f>
        <v>5.4096459839757065E-4</v>
      </c>
      <c r="H10" s="70">
        <f t="shared" ref="H10:H15" si="1">D10/SUM(D10:E10)</f>
        <v>5.4067211392459661E-4</v>
      </c>
      <c r="I10" s="106">
        <v>0.48799999999999999</v>
      </c>
      <c r="J10" s="109">
        <f t="shared" ref="J10:J15" si="2">I10/(1+(1-F10)*G10)</f>
        <v>0.4878152764434206</v>
      </c>
    </row>
    <row r="11" spans="2:11" x14ac:dyDescent="0.35">
      <c r="B11" s="106" t="str">
        <f>'Beta Comps'!C6</f>
        <v>Nestle India</v>
      </c>
      <c r="C11" s="106" t="s">
        <v>226</v>
      </c>
      <c r="D11" s="107">
        <f>'Beta Comps'!F6</f>
        <v>1166.8499999999999</v>
      </c>
      <c r="E11" s="107">
        <f>'Beta Comps'!E6</f>
        <v>238339.65</v>
      </c>
      <c r="F11" s="108">
        <v>0.3</v>
      </c>
      <c r="G11" s="70">
        <f t="shared" si="0"/>
        <v>4.8957443715302931E-3</v>
      </c>
      <c r="H11" s="70">
        <f t="shared" si="1"/>
        <v>4.8718928296309283E-3</v>
      </c>
      <c r="I11" s="106">
        <v>0.51400000000000001</v>
      </c>
      <c r="J11" s="109">
        <f t="shared" si="2"/>
        <v>0.51224452721731994</v>
      </c>
    </row>
    <row r="12" spans="2:11" x14ac:dyDescent="0.35">
      <c r="B12" s="106" t="str">
        <f>'Beta Comps'!C7</f>
        <v>Varun Beverages</v>
      </c>
      <c r="C12" s="106" t="s">
        <v>226</v>
      </c>
      <c r="D12" s="107">
        <f>'Beta Comps'!F7</f>
        <v>2826.25</v>
      </c>
      <c r="E12" s="107">
        <f>'Beta Comps'!E7</f>
        <v>165477.19</v>
      </c>
      <c r="F12" s="108">
        <v>0.3</v>
      </c>
      <c r="G12" s="70">
        <f t="shared" si="0"/>
        <v>1.7079393238427606E-2</v>
      </c>
      <c r="H12" s="70">
        <f t="shared" si="1"/>
        <v>1.6792586057658713E-2</v>
      </c>
      <c r="I12" s="106">
        <v>0.873</v>
      </c>
      <c r="J12" s="109">
        <f t="shared" si="2"/>
        <v>0.86268609150134834</v>
      </c>
    </row>
    <row r="13" spans="2:11" x14ac:dyDescent="0.35">
      <c r="B13" s="106" t="str">
        <f>'Beta Comps'!C8</f>
        <v>Britannia Inds.</v>
      </c>
      <c r="C13" s="106" t="s">
        <v>226</v>
      </c>
      <c r="D13" s="107">
        <f>'Beta Comps'!F8</f>
        <v>1246.51</v>
      </c>
      <c r="E13" s="107">
        <f>'Beta Comps'!E8</f>
        <v>136688.46</v>
      </c>
      <c r="F13" s="108">
        <v>0.3</v>
      </c>
      <c r="G13" s="70">
        <f t="shared" si="0"/>
        <v>9.1193506752508587E-3</v>
      </c>
      <c r="H13" s="70">
        <f t="shared" si="1"/>
        <v>9.0369396535193366E-3</v>
      </c>
      <c r="I13" s="106">
        <v>0.94099999999999995</v>
      </c>
      <c r="J13" s="109">
        <f t="shared" si="2"/>
        <v>0.93503118590639678</v>
      </c>
    </row>
    <row r="14" spans="2:11" x14ac:dyDescent="0.35">
      <c r="B14" s="106" t="str">
        <f>'Beta Comps'!C9</f>
        <v>Godrej Consumer</v>
      </c>
      <c r="C14" s="106" t="s">
        <v>226</v>
      </c>
      <c r="D14" s="107">
        <f>'Beta Comps'!F9</f>
        <v>4009.19</v>
      </c>
      <c r="E14" s="107">
        <f>'Beta Comps'!E9</f>
        <v>126633.98</v>
      </c>
      <c r="F14" s="108">
        <v>0.3</v>
      </c>
      <c r="G14" s="70">
        <f t="shared" si="0"/>
        <v>3.1659669861122584E-2</v>
      </c>
      <c r="H14" s="70">
        <f t="shared" si="1"/>
        <v>3.0688094907678681E-2</v>
      </c>
      <c r="I14" s="106">
        <v>0.47299999999999998</v>
      </c>
      <c r="J14" s="109">
        <f t="shared" si="2"/>
        <v>0.46274475762063583</v>
      </c>
    </row>
    <row r="15" spans="2:11" ht="15" thickBot="1" x14ac:dyDescent="0.4">
      <c r="B15" s="110" t="str">
        <f>'Beta Comps'!C10</f>
        <v>Tata Consumer</v>
      </c>
      <c r="C15" s="110" t="s">
        <v>226</v>
      </c>
      <c r="D15" s="111">
        <f>'Beta Comps'!F10</f>
        <v>2392.6799999999998</v>
      </c>
      <c r="E15" s="111">
        <f>'Beta Comps'!E10</f>
        <v>107854.42</v>
      </c>
      <c r="F15" s="112">
        <v>0.3</v>
      </c>
      <c r="G15" s="71">
        <f t="shared" si="0"/>
        <v>2.2184348124073171E-2</v>
      </c>
      <c r="H15" s="71">
        <f t="shared" si="1"/>
        <v>2.1702883794675779E-2</v>
      </c>
      <c r="I15" s="110">
        <v>0.51600000000000001</v>
      </c>
      <c r="J15" s="113">
        <f t="shared" si="2"/>
        <v>0.50810954468291303</v>
      </c>
    </row>
    <row r="16" spans="2:11" ht="5.5" customHeight="1" thickBot="1" x14ac:dyDescent="0.4"/>
    <row r="17" spans="2:10" x14ac:dyDescent="0.35">
      <c r="C17" s="84"/>
      <c r="E17" s="36" t="s">
        <v>197</v>
      </c>
      <c r="F17" s="96">
        <f>AVERAGE(F9:F15)</f>
        <v>0.3</v>
      </c>
      <c r="G17" s="96">
        <f>AVERAGE(G9:G15)</f>
        <v>1.261774522748277E-2</v>
      </c>
      <c r="H17" s="96">
        <f>AVERAGE(H9:H15)</f>
        <v>1.2352820779779542E-2</v>
      </c>
      <c r="I17" s="97">
        <f>AVERAGE(I9:I15)</f>
        <v>0.62085714285714289</v>
      </c>
      <c r="J17" s="97">
        <f>AVERAGE(J9:J15)</f>
        <v>0.61550803130923748</v>
      </c>
    </row>
    <row r="18" spans="2:10" ht="15" thickBot="1" x14ac:dyDescent="0.4">
      <c r="C18" s="84"/>
      <c r="E18" s="39" t="s">
        <v>198</v>
      </c>
      <c r="F18" s="98">
        <f>MEDIAN(F9:F15)</f>
        <v>0.3</v>
      </c>
      <c r="G18" s="98">
        <f>MEDIAN(G9:G15)</f>
        <v>9.1193506752508587E-3</v>
      </c>
      <c r="H18" s="98">
        <f>MEDIAN(H9:H15)</f>
        <v>9.0369396535193366E-3</v>
      </c>
      <c r="I18" s="99">
        <f>MEDIAN(I9:I15)</f>
        <v>0.51600000000000001</v>
      </c>
      <c r="J18" s="100">
        <f>MEDIAN(J9:J15)</f>
        <v>0.51224452721731994</v>
      </c>
    </row>
    <row r="19" spans="2:10" ht="5.5" customHeight="1" x14ac:dyDescent="0.35"/>
    <row r="20" spans="2:10" ht="15" thickBot="1" x14ac:dyDescent="0.4">
      <c r="B20" s="80" t="s">
        <v>227</v>
      </c>
      <c r="C20" s="39"/>
      <c r="D20" s="39"/>
      <c r="G20" s="80" t="s">
        <v>230</v>
      </c>
      <c r="H20" s="80"/>
      <c r="I20" s="80"/>
      <c r="J20" s="80"/>
    </row>
    <row r="21" spans="2:10" ht="6.5" customHeight="1" x14ac:dyDescent="0.35"/>
    <row r="22" spans="2:10" x14ac:dyDescent="0.35">
      <c r="B22" s="56" t="s">
        <v>228</v>
      </c>
      <c r="C22" s="56"/>
      <c r="D22" s="70">
        <f>'Data Sheet'!K27/WACC!D9</f>
        <v>0.23968446601941748</v>
      </c>
      <c r="G22" t="s">
        <v>231</v>
      </c>
      <c r="J22" s="83">
        <v>7.3910000000000003E-2</v>
      </c>
    </row>
    <row r="23" spans="2:10" x14ac:dyDescent="0.35">
      <c r="B23" s="86" t="s">
        <v>219</v>
      </c>
      <c r="C23" s="86"/>
      <c r="D23" s="202">
        <f>F17</f>
        <v>0.3</v>
      </c>
      <c r="G23" t="s">
        <v>232</v>
      </c>
      <c r="J23" s="83">
        <f>Rm!H6-WACC!J22</f>
        <v>9.263799999999997E-2</v>
      </c>
    </row>
    <row r="24" spans="2:10" x14ac:dyDescent="0.35">
      <c r="B24" s="203" t="s">
        <v>229</v>
      </c>
      <c r="C24" s="203"/>
      <c r="D24" s="204">
        <f>D22*(1-D23)</f>
        <v>0.16777912621359223</v>
      </c>
      <c r="G24" t="s">
        <v>233</v>
      </c>
      <c r="J24" s="85">
        <f>J32</f>
        <v>0.51682670360863325</v>
      </c>
    </row>
    <row r="25" spans="2:10" x14ac:dyDescent="0.35">
      <c r="G25" s="93" t="s">
        <v>234</v>
      </c>
      <c r="H25" s="93"/>
      <c r="I25" s="93"/>
      <c r="J25" s="94">
        <f>J22+J23*J24</f>
        <v>0.12178779216889656</v>
      </c>
    </row>
    <row r="27" spans="2:10" ht="15" thickBot="1" x14ac:dyDescent="0.4">
      <c r="B27" s="80" t="s">
        <v>235</v>
      </c>
      <c r="C27" s="39"/>
      <c r="D27" s="39"/>
      <c r="E27" s="39"/>
      <c r="G27" s="80" t="s">
        <v>240</v>
      </c>
      <c r="H27" s="39"/>
      <c r="I27" s="39"/>
      <c r="J27" s="39"/>
    </row>
    <row r="28" spans="2:10" ht="5" customHeight="1" x14ac:dyDescent="0.35">
      <c r="B28" s="2"/>
    </row>
    <row r="29" spans="2:10" x14ac:dyDescent="0.35">
      <c r="D29" s="82" t="s">
        <v>236</v>
      </c>
      <c r="E29" s="82" t="s">
        <v>237</v>
      </c>
      <c r="G29" t="s">
        <v>241</v>
      </c>
      <c r="J29" s="85">
        <f>J18</f>
        <v>0.51224452721731994</v>
      </c>
    </row>
    <row r="30" spans="2:10" x14ac:dyDescent="0.35">
      <c r="B30" s="56" t="s">
        <v>217</v>
      </c>
      <c r="C30" s="59">
        <f>D9</f>
        <v>1648</v>
      </c>
      <c r="D30" s="119">
        <f>C30/$C$32</f>
        <v>2.8366761013687582E-3</v>
      </c>
      <c r="E30" s="124">
        <f>G17</f>
        <v>1.261774522748277E-2</v>
      </c>
      <c r="G30" t="s">
        <v>242</v>
      </c>
      <c r="J30" s="75">
        <f>E34</f>
        <v>1.2778987232649598E-2</v>
      </c>
    </row>
    <row r="31" spans="2:10" x14ac:dyDescent="0.35">
      <c r="B31" s="56" t="s">
        <v>44</v>
      </c>
      <c r="C31" s="59">
        <f>E9</f>
        <v>579313.64</v>
      </c>
      <c r="D31" s="70">
        <f>C31/$C$32</f>
        <v>0.99716332389863127</v>
      </c>
      <c r="E31" s="77">
        <f>E32-E30</f>
        <v>0.98738225477251718</v>
      </c>
      <c r="G31" t="s">
        <v>219</v>
      </c>
      <c r="J31" s="75">
        <f>F17</f>
        <v>0.3</v>
      </c>
    </row>
    <row r="32" spans="2:10" x14ac:dyDescent="0.35">
      <c r="B32" s="56" t="s">
        <v>238</v>
      </c>
      <c r="C32" s="162">
        <f>C30+C31</f>
        <v>580961.64</v>
      </c>
      <c r="D32" s="70">
        <f>C32/$C$32</f>
        <v>1</v>
      </c>
      <c r="E32" s="70">
        <f>D32</f>
        <v>1</v>
      </c>
      <c r="G32" s="87" t="s">
        <v>233</v>
      </c>
      <c r="H32" s="87"/>
      <c r="I32" s="87"/>
      <c r="J32" s="95">
        <f>J29*(1+(1-J31)*J30)</f>
        <v>0.51682670360863325</v>
      </c>
    </row>
    <row r="33" spans="2:10" ht="6" customHeight="1" x14ac:dyDescent="0.35"/>
    <row r="34" spans="2:10" x14ac:dyDescent="0.35">
      <c r="B34" s="114" t="s">
        <v>239</v>
      </c>
      <c r="C34" s="114"/>
      <c r="D34" s="92">
        <f>D30/D31</f>
        <v>2.844745723577301E-3</v>
      </c>
      <c r="E34" s="92">
        <f>E30/E31</f>
        <v>1.2778987232649598E-2</v>
      </c>
    </row>
    <row r="35" spans="2:10" ht="15" thickBot="1" x14ac:dyDescent="0.4">
      <c r="G35" s="80" t="s">
        <v>246</v>
      </c>
      <c r="H35" s="39"/>
      <c r="I35" s="39"/>
      <c r="J35" s="39"/>
    </row>
    <row r="36" spans="2:10" ht="3.5" customHeight="1" x14ac:dyDescent="0.35"/>
    <row r="37" spans="2:10" x14ac:dyDescent="0.35">
      <c r="G37" t="s">
        <v>230</v>
      </c>
      <c r="J37" s="75">
        <f>J25</f>
        <v>0.12178779216889656</v>
      </c>
    </row>
    <row r="38" spans="2:10" x14ac:dyDescent="0.35">
      <c r="G38" t="s">
        <v>243</v>
      </c>
      <c r="J38" s="75">
        <f>E31</f>
        <v>0.98738225477251718</v>
      </c>
    </row>
    <row r="39" spans="2:10" ht="7.5" customHeight="1" x14ac:dyDescent="0.35"/>
    <row r="40" spans="2:10" x14ac:dyDescent="0.35">
      <c r="G40" t="s">
        <v>227</v>
      </c>
      <c r="J40" s="75">
        <f>D24</f>
        <v>0.16777912621359223</v>
      </c>
    </row>
    <row r="41" spans="2:10" x14ac:dyDescent="0.35">
      <c r="G41" t="s">
        <v>244</v>
      </c>
      <c r="J41" s="75">
        <f>E30</f>
        <v>1.261774522748277E-2</v>
      </c>
    </row>
    <row r="42" spans="2:10" ht="3.5" customHeight="1" thickBot="1" x14ac:dyDescent="0.4"/>
    <row r="43" spans="2:10" ht="15" thickBot="1" x14ac:dyDescent="0.4">
      <c r="G43" s="90" t="s">
        <v>245</v>
      </c>
      <c r="H43" s="90"/>
      <c r="I43" s="90"/>
      <c r="J43" s="91">
        <f>(J37*J38)+(J40*J41)</f>
        <v>0.12236809910454456</v>
      </c>
    </row>
  </sheetData>
  <mergeCells count="2">
    <mergeCell ref="B2:K2"/>
    <mergeCell ref="B4:D4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95D1-1A34-4389-B41E-BA97E05A4E10}">
  <sheetPr>
    <tabColor rgb="FF00B050"/>
  </sheetPr>
  <dimension ref="B2:H29"/>
  <sheetViews>
    <sheetView showGridLines="0" workbookViewId="0">
      <selection activeCell="H6" sqref="H6"/>
    </sheetView>
  </sheetViews>
  <sheetFormatPr defaultRowHeight="14.5" x14ac:dyDescent="0.35"/>
  <cols>
    <col min="1" max="1" width="2.36328125" customWidth="1"/>
    <col min="3" max="3" width="13.7265625" bestFit="1" customWidth="1"/>
  </cols>
  <sheetData>
    <row r="2" spans="2:8" x14ac:dyDescent="0.35">
      <c r="B2" s="179" t="s">
        <v>303</v>
      </c>
      <c r="C2" s="179"/>
      <c r="D2" s="179"/>
      <c r="E2" s="179"/>
      <c r="F2" s="179"/>
    </row>
    <row r="4" spans="2:8" x14ac:dyDescent="0.35">
      <c r="B4" t="s">
        <v>148</v>
      </c>
      <c r="C4" t="s">
        <v>304</v>
      </c>
      <c r="E4" t="s">
        <v>305</v>
      </c>
      <c r="H4" s="75">
        <f>AVERAGE(C5:C29)</f>
        <v>0.15334799999999998</v>
      </c>
    </row>
    <row r="5" spans="2:8" x14ac:dyDescent="0.35">
      <c r="B5" s="8">
        <v>2000</v>
      </c>
      <c r="C5" s="13">
        <v>-0.14649999999999999</v>
      </c>
      <c r="E5" t="s">
        <v>306</v>
      </c>
      <c r="H5" s="13">
        <f>1.32%</f>
        <v>1.32E-2</v>
      </c>
    </row>
    <row r="6" spans="2:8" x14ac:dyDescent="0.35">
      <c r="B6" s="8">
        <v>2001</v>
      </c>
      <c r="C6" s="13">
        <v>-0.1618</v>
      </c>
      <c r="E6" t="s">
        <v>307</v>
      </c>
      <c r="H6" s="75">
        <f>H4+H5</f>
        <v>0.16654799999999997</v>
      </c>
    </row>
    <row r="7" spans="2:8" x14ac:dyDescent="0.35">
      <c r="B7" s="8">
        <v>2002</v>
      </c>
      <c r="C7" s="13">
        <v>3.2500000000000001E-2</v>
      </c>
    </row>
    <row r="8" spans="2:8" x14ac:dyDescent="0.35">
      <c r="B8" s="8">
        <v>2003</v>
      </c>
      <c r="C8" s="13">
        <v>0.71900000000000008</v>
      </c>
    </row>
    <row r="9" spans="2:8" x14ac:dyDescent="0.35">
      <c r="B9" s="8">
        <v>2004</v>
      </c>
      <c r="C9" s="13">
        <v>0.10679999999999999</v>
      </c>
    </row>
    <row r="10" spans="2:8" x14ac:dyDescent="0.35">
      <c r="B10" s="8">
        <v>2005</v>
      </c>
      <c r="C10" s="13">
        <v>0.36340000000000006</v>
      </c>
    </row>
    <row r="11" spans="2:8" x14ac:dyDescent="0.35">
      <c r="B11" s="8">
        <v>2006</v>
      </c>
      <c r="C11" s="13">
        <v>0.39829999999999999</v>
      </c>
    </row>
    <row r="12" spans="2:8" x14ac:dyDescent="0.35">
      <c r="B12" s="8">
        <v>2007</v>
      </c>
      <c r="C12" s="13">
        <v>0.54770000000000008</v>
      </c>
    </row>
    <row r="13" spans="2:8" x14ac:dyDescent="0.35">
      <c r="B13" s="8">
        <v>2008</v>
      </c>
      <c r="C13" s="13">
        <v>-0.51790000000000003</v>
      </c>
    </row>
    <row r="14" spans="2:8" x14ac:dyDescent="0.35">
      <c r="B14" s="8">
        <v>2009</v>
      </c>
      <c r="C14" s="13">
        <v>0.75760000000000005</v>
      </c>
    </row>
    <row r="15" spans="2:8" x14ac:dyDescent="0.35">
      <c r="B15" s="8">
        <v>2010</v>
      </c>
      <c r="C15" s="13">
        <v>0.17949999999999999</v>
      </c>
    </row>
    <row r="16" spans="2:8" x14ac:dyDescent="0.35">
      <c r="B16" s="8">
        <v>2011</v>
      </c>
      <c r="C16" s="13">
        <v>-0.2462</v>
      </c>
    </row>
    <row r="17" spans="2:3" x14ac:dyDescent="0.35">
      <c r="B17" s="8">
        <v>2012</v>
      </c>
      <c r="C17" s="13">
        <v>0.27699999999999997</v>
      </c>
    </row>
    <row r="18" spans="2:3" x14ac:dyDescent="0.35">
      <c r="B18" s="8">
        <v>2013</v>
      </c>
      <c r="C18" s="13">
        <v>6.7599999999999993E-2</v>
      </c>
    </row>
    <row r="19" spans="2:3" x14ac:dyDescent="0.35">
      <c r="B19" s="8">
        <v>2014</v>
      </c>
      <c r="C19" s="13">
        <v>0.31390000000000001</v>
      </c>
    </row>
    <row r="20" spans="2:3" x14ac:dyDescent="0.35">
      <c r="B20" s="8">
        <v>2015</v>
      </c>
      <c r="C20" s="13">
        <v>-4.0599999999999997E-2</v>
      </c>
    </row>
    <row r="21" spans="2:3" x14ac:dyDescent="0.35">
      <c r="B21" s="8">
        <v>2016</v>
      </c>
      <c r="C21" s="13">
        <v>3.0099999999999998E-2</v>
      </c>
    </row>
    <row r="22" spans="2:3" x14ac:dyDescent="0.35">
      <c r="B22" s="8">
        <v>2017</v>
      </c>
      <c r="C22" s="13">
        <v>0.28649999999999998</v>
      </c>
    </row>
    <row r="23" spans="2:3" x14ac:dyDescent="0.35">
      <c r="B23" s="8">
        <v>2018</v>
      </c>
      <c r="C23" s="13">
        <v>3.15E-2</v>
      </c>
    </row>
    <row r="24" spans="2:3" x14ac:dyDescent="0.35">
      <c r="B24" s="8">
        <v>2019</v>
      </c>
      <c r="C24" s="13">
        <v>0.1202</v>
      </c>
    </row>
    <row r="25" spans="2:3" x14ac:dyDescent="0.35">
      <c r="B25" s="8">
        <v>2020</v>
      </c>
      <c r="C25" s="13">
        <v>0.14899999999999999</v>
      </c>
    </row>
    <row r="26" spans="2:3" x14ac:dyDescent="0.35">
      <c r="B26" s="8">
        <v>2021</v>
      </c>
      <c r="C26" s="13">
        <v>0.2412</v>
      </c>
    </row>
    <row r="27" spans="2:3" x14ac:dyDescent="0.35">
      <c r="B27" s="8">
        <v>2022</v>
      </c>
      <c r="C27" s="13">
        <v>4.3200000000000002E-2</v>
      </c>
    </row>
    <row r="28" spans="2:3" x14ac:dyDescent="0.35">
      <c r="B28" s="8">
        <v>2023</v>
      </c>
      <c r="C28" s="13">
        <v>0.19420000000000001</v>
      </c>
    </row>
    <row r="29" spans="2:3" x14ac:dyDescent="0.35">
      <c r="B29" s="8">
        <v>2024</v>
      </c>
      <c r="C29" s="13">
        <v>8.7499999999999994E-2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Company Summary</vt:lpstr>
      <vt:lpstr>Financials&gt;</vt:lpstr>
      <vt:lpstr>Historical Financial Statements</vt:lpstr>
      <vt:lpstr>Ratio Analysis</vt:lpstr>
      <vt:lpstr>Forecasting</vt:lpstr>
      <vt:lpstr>Common Size Statement</vt:lpstr>
      <vt:lpstr>Modelling&gt;</vt:lpstr>
      <vt:lpstr>WACC</vt:lpstr>
      <vt:lpstr>Rm</vt:lpstr>
      <vt:lpstr>Beta Comps</vt:lpstr>
      <vt:lpstr>Intrinsic Growth</vt:lpstr>
      <vt:lpstr>DCF</vt:lpstr>
      <vt:lpstr>Comps Val</vt:lpstr>
      <vt:lpstr>Comps Data</vt:lpstr>
      <vt:lpstr>Data&gt;</vt:lpstr>
      <vt:lpstr>Data Sheet</vt:lpstr>
      <vt:lpstr>Cash Flow Data</vt:lpstr>
      <vt:lpstr>Balance Sheet Data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goyam jain</cp:lastModifiedBy>
  <cp:lastPrinted>2025-07-23T09:43:11Z</cp:lastPrinted>
  <dcterms:created xsi:type="dcterms:W3CDTF">2012-08-17T09:55:37Z</dcterms:created>
  <dcterms:modified xsi:type="dcterms:W3CDTF">2025-07-23T18:16:23Z</dcterms:modified>
</cp:coreProperties>
</file>