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riable_Corona claim" sheetId="1" r:id="rId4"/>
    <sheet state="visible" name="Variable_medical use history" sheetId="2" r:id="rId5"/>
  </sheets>
  <definedNames>
    <definedName hidden="1" localSheetId="1" name="_xlnm._FilterDatabase">'Variable_medical use history'!$A$1:$H$70</definedName>
  </definedNames>
  <calcPr/>
</workbook>
</file>

<file path=xl/sharedStrings.xml><?xml version="1.0" encoding="utf-8"?>
<sst xmlns="http://schemas.openxmlformats.org/spreadsheetml/2006/main" count="802" uniqueCount="209">
  <si>
    <t>DataSetEndNm</t>
  </si>
  <si>
    <t>DataSetKorNm</t>
  </si>
  <si>
    <t>VarSeq</t>
  </si>
  <si>
    <t>VarEngNm</t>
  </si>
  <si>
    <t>VarKorNm</t>
  </si>
  <si>
    <t>VarDataType</t>
  </si>
  <si>
    <t>VarDataLength</t>
  </si>
  <si>
    <t>VarDescription</t>
  </si>
  <si>
    <t>co19_t200_trans_dn</t>
  </si>
  <si>
    <t>코로나명세서내역</t>
  </si>
  <si>
    <t>MID</t>
  </si>
  <si>
    <t xml:space="preserve">명세서조인키 </t>
  </si>
  <si>
    <t>숫자</t>
  </si>
  <si>
    <t>하나의 명세서를 식별할 수 있는 명세서고유의 ID 대체번호, 명세서 간 조인 Key</t>
  </si>
  <si>
    <t>INSUP_TP_CD</t>
  </si>
  <si>
    <t>보험자종별구분코드</t>
  </si>
  <si>
    <t>문자</t>
  </si>
  <si>
    <t>요양급여비용 심사청구서상의 보험자종별구분 기재
*유효값: 4:건강보험, 5:의료급여, 7:보훈 등</t>
  </si>
  <si>
    <t>JID</t>
  </si>
  <si>
    <t xml:space="preserve">수진자개인식별대체키 </t>
  </si>
  <si>
    <t>수진자의 주민등록번호 대체번호</t>
  </si>
  <si>
    <t>SEX_TP_CD</t>
  </si>
  <si>
    <t>성별구분</t>
  </si>
  <si>
    <t>남녀를 구분하는 성별코드
*유효값: $:해당사항없음, 1:남, 2:여, 9:기타</t>
  </si>
  <si>
    <t>PAT_BTH</t>
  </si>
  <si>
    <t>수진자생년월일</t>
  </si>
  <si>
    <t>수진자의 생년월일(YYMMDD)</t>
  </si>
  <si>
    <t>PAT_AGE</t>
  </si>
  <si>
    <t>수진자연령</t>
  </si>
  <si>
    <t>요양개시일 당시의 수진자의 연령
※계산식: (요양개시일자 – 수진자생년월일)</t>
  </si>
  <si>
    <t>PAT_STC_AGE</t>
  </si>
  <si>
    <t>수진자통계연령</t>
  </si>
  <si>
    <t>요양개시년의 연말 기준 수진자의 연령으로 통계 산출 목적으로 생성된 변수</t>
  </si>
  <si>
    <t>YID</t>
  </si>
  <si>
    <t>요양기관식별대체키</t>
  </si>
  <si>
    <t>요양기관기호 대체번호</t>
  </si>
  <si>
    <t>CL_CD</t>
  </si>
  <si>
    <t>요양기관종별구분코드</t>
  </si>
  <si>
    <t>요양기관을 종별코드를 기준으로 병상규모에 따라 그룹화하여 분류한 코드</t>
  </si>
  <si>
    <t>RVD_PLC_CD</t>
  </si>
  <si>
    <t>지역코드</t>
  </si>
  <si>
    <t>요양기관이 소재한 지역(시,군,구)의 코드</t>
  </si>
  <si>
    <t>FOM_TP_CD</t>
  </si>
  <si>
    <t>서식구분코드</t>
  </si>
  <si>
    <t>명세서의 서식을 의·치과·한방·보건기관 등의 입원,외래로 세분화한 코드</t>
  </si>
  <si>
    <t>MAIN_SICK</t>
  </si>
  <si>
    <t>주상병코드</t>
  </si>
  <si>
    <t>명세서 주상병(진료기간 중 치료나 검사 등에 대한 환자의 요구가 가장 컸던 상병)의 상병분류기호</t>
  </si>
  <si>
    <t>SUB_SICK</t>
  </si>
  <si>
    <t>부상병코드</t>
  </si>
  <si>
    <t>명세서 제1부상병(진료기간 중 주상병과 함께 있었거나 발생된 상병으로 환자 진료에 영향을 주었던 상병)의 상병분류기호</t>
  </si>
  <si>
    <t>DGSBJT_CD</t>
  </si>
  <si>
    <t>진료과목코드</t>
  </si>
  <si>
    <t>실제 진료를 받은 진료과목(병원급이상) 또는 주진단 명에 해당되는 진료과목(의원급 요양기관)</t>
  </si>
  <si>
    <t>RECU_FR_DD</t>
  </si>
  <si>
    <t>요양개시일자</t>
  </si>
  <si>
    <t>수진자가 진료를 받기 시작한 일자(YYMMDD)</t>
  </si>
  <si>
    <t>RECU_TO_DD</t>
  </si>
  <si>
    <t>요양종료일자</t>
  </si>
  <si>
    <t>수진자가 진료 받기를 종료한 일자(YYMMDD)</t>
  </si>
  <si>
    <t>FST_DD</t>
  </si>
  <si>
    <t>최초입원일자</t>
  </si>
  <si>
    <t xml:space="preserve">그 상병진료를 위하여 그달에 최초 내원한 년/월/일(YYMMDD, 입원 요양급여비용 분리청구 시 경우 최초입원개시일을 기재) </t>
  </si>
  <si>
    <t>VST_DDCNT</t>
  </si>
  <si>
    <t>입내원일수</t>
  </si>
  <si>
    <t>입원 또는 내원(초진, 재진 다 포함)하여 진료를 받은 실 일수</t>
  </si>
  <si>
    <t>RECU_DDCNT</t>
  </si>
  <si>
    <t>요양일수</t>
  </si>
  <si>
    <t>수진자를 진료한 총 일수(투약일수 포함)</t>
  </si>
  <si>
    <t>RVD_RPE_TAMT_AMT</t>
  </si>
  <si>
    <t>요양급여비용총액</t>
  </si>
  <si>
    <t>청구단계에서의 요양급여비용 명세서 총 요양급여비용</t>
  </si>
  <si>
    <t>RVD_SLF_BRDN_AMT</t>
  </si>
  <si>
    <t>본인부담금</t>
  </si>
  <si>
    <t>청구단계에서의 수진자 본인이 부담해야 하는 요양급여비용 명세서의 금액</t>
  </si>
  <si>
    <t>RVD_INSUP_BRDN_AMT</t>
  </si>
  <si>
    <t>보험자부담금</t>
  </si>
  <si>
    <t>청구단계에서의 보험자가 부담해야할 요양급여비용 명세서의 금액</t>
  </si>
  <si>
    <t>co19_twjhe200_trans_dn</t>
  </si>
  <si>
    <t>명세서내역</t>
  </si>
  <si>
    <t>RVD_P100LT_TOT_AMT</t>
  </si>
  <si>
    <t>100분의100미만 총액</t>
  </si>
  <si>
    <t>청구단계에서의 명세서의 A항, B항, D항 및 E항의 치료재료, 약제 등 요양기관 종별 가산율이 적용되지 않은 요양급여비용, 요양기관 종별 가산율이 적용되는 진료행위와 가산금액을 합한 총 금액에서 10원미만 절사한 금액</t>
  </si>
  <si>
    <t>SOPR_YN</t>
  </si>
  <si>
    <t>수술여부</t>
  </si>
  <si>
    <t>해당 명세서의 주상병이 수술상병인지 비수술상병인지 구분하는 코드
*유효값: 0:비수술, 9:수술</t>
  </si>
  <si>
    <t>OINJ_TP_CD</t>
  </si>
  <si>
    <t>공상구분코드</t>
  </si>
  <si>
    <t>공무상 질병이나 부상, 보훈국비환자, 군인가족, 군인 등의 군요양기관이용시 등 구분하는 코드
*유효값: 0:정상, 1:공상, C:차상위, H:희귀난치성질환자 등</t>
  </si>
  <si>
    <t>PRCL_SYM_TP_CD</t>
  </si>
  <si>
    <t>특정기호구분코드</t>
  </si>
  <si>
    <t>특정내역 구분코드 MT002(특정기호)의 세부내용</t>
  </si>
  <si>
    <t>INJ_EXA_TP_CD</t>
  </si>
  <si>
    <t>상해외인구분코드</t>
  </si>
  <si>
    <t>명세서 특정내역 구분코드 MT001(상해외인)의 세부내용</t>
  </si>
  <si>
    <t>DGRSLT_TP_CD</t>
  </si>
  <si>
    <t>진료결과구분코드</t>
  </si>
  <si>
    <t>요양급여비용 명세서상 최종 진료일의 환자상태를 구분하여 기재
* 유효값: 1계속, 2이송, 3회송, 4사망, 5기타, 8전과, 9기타</t>
  </si>
  <si>
    <t>IPAT_ARIV_PTH_TP</t>
  </si>
  <si>
    <t>입원도착경로구분코드</t>
  </si>
  <si>
    <t>요양급여비용을 정보통신망 또는 전산매체로 청구하는 병원급이상 요양기관에서 기재하되 요양기관 도착경로와 입원경로를 각각 구분한 해당항목의 코드</t>
  </si>
  <si>
    <t>MAIDCL_CD</t>
  </si>
  <si>
    <t>의료급여종별코드</t>
  </si>
  <si>
    <t>의료급여대상자의 의료급여종별 구분정보</t>
  </si>
  <si>
    <t>DMD_FRM_CD</t>
  </si>
  <si>
    <t>청구형태코드</t>
  </si>
  <si>
    <t>청구유형에 따라 지불제도구분이 DRG이면 DRG 나머지는 청구형태에 따라 서면, 전산매체, 전자문서로 구분하는 코드
* 유효값: 1서면, 2전산매체, 3전자문서, 4DRG</t>
  </si>
  <si>
    <t>DMD_TP_CD</t>
  </si>
  <si>
    <t>청구구분코드</t>
  </si>
  <si>
    <t>보완청구, 추가청구, 입원 요양급여비용 분리청구 시 등을 구분하기 위한 코드
* 유효값: 0일반청구, 1보완청구, 2추가청구, 3분리청구 등</t>
  </si>
  <si>
    <t>co19_t300_trans_dn</t>
  </si>
  <si>
    <t>코로나진료내역</t>
  </si>
  <si>
    <t>DIV_TY_CD</t>
  </si>
  <si>
    <t>분류유형코드</t>
  </si>
  <si>
    <t>수가코드, 약품코드, 재료대코드 등 코드를 포괄적으로 분류하는 코드
* 유효값: 1수가, 2준용수가, 3보험등재약, 4수입원료약, 7협약재, 8.치료재료대 등</t>
  </si>
  <si>
    <t>DIV_CD</t>
  </si>
  <si>
    <t>분류코드</t>
  </si>
  <si>
    <t>수가, 약가, 치료재료 등을 구분하는 목록성 분류코드</t>
  </si>
  <si>
    <t>FQ1_MDCT_QTY</t>
  </si>
  <si>
    <t>1회투약량</t>
  </si>
  <si>
    <t>1회에 투약하는 량</t>
  </si>
  <si>
    <t>DY1_MDCT_QTY</t>
  </si>
  <si>
    <t>1일투약량</t>
  </si>
  <si>
    <t>1일투여량 또는 실시횟수</t>
  </si>
  <si>
    <t>DY1_INJC_QTY_EXEC_FQ</t>
  </si>
  <si>
    <t>1일투여량실시횟수</t>
  </si>
  <si>
    <t>하루에 투여한 전체 양 또는 실시 횟수</t>
  </si>
  <si>
    <t>TOT_INJC_DDCNT_EXEC_FQ</t>
  </si>
  <si>
    <t>총투여일수실시횟수</t>
  </si>
  <si>
    <t>총 투여일수 또는 총실시횟수</t>
  </si>
  <si>
    <t>TOT_USE_QTY_OR_EXEC_FQ</t>
  </si>
  <si>
    <t>총사용량실시횟수</t>
  </si>
  <si>
    <t>총 사용량 실시횟수</t>
  </si>
  <si>
    <t>UNPRC</t>
  </si>
  <si>
    <t>산출단가</t>
  </si>
  <si>
    <t>해당 분류코드 (수가/약가/치료재료코드)의 단가</t>
  </si>
  <si>
    <t>AMT</t>
  </si>
  <si>
    <t>진료금액</t>
  </si>
  <si>
    <t>금액</t>
  </si>
  <si>
    <t>GNL_CD</t>
  </si>
  <si>
    <t>일반명코드</t>
  </si>
  <si>
    <t>약가 주성분 등재약, 수입약의 일반명 코드</t>
  </si>
  <si>
    <t>EXP_TP_CD</t>
  </si>
  <si>
    <t>명세서예외구분코드</t>
  </si>
  <si>
    <t>의약분업 예외 사항에 해당되어 원내 조제 투약이 이루어진 경우 예외구분 코드</t>
  </si>
  <si>
    <t>OPRSC_DDCNT</t>
  </si>
  <si>
    <t>원외처방일수</t>
  </si>
  <si>
    <t>SP1_SP2_TP_CD</t>
  </si>
  <si>
    <t>가산구분코드</t>
  </si>
  <si>
    <t>처방전 발행 내역 중 처방일수의 합계</t>
  </si>
  <si>
    <t>OPRSC_DGMAMT_AMT</t>
  </si>
  <si>
    <t>행위 급여 일반원칙에 따른 요양기관 종별 가산율 적용여부를 구분하기 위한 코드</t>
  </si>
  <si>
    <t>원외처방약제비금액</t>
  </si>
  <si>
    <t>co19_t400_trans_dn</t>
  </si>
  <si>
    <t>처방전 발행 내역 중 처방금액의 합계</t>
  </si>
  <si>
    <t>코로나상병내역</t>
  </si>
  <si>
    <t>OPRSCD_CNT</t>
  </si>
  <si>
    <t>원외처방전건수</t>
  </si>
  <si>
    <t>처방전 발행 내역 중 처방건수의 합계</t>
  </si>
  <si>
    <t>심사결정요양급여비용총액금액</t>
  </si>
  <si>
    <t>SICK_SNO</t>
  </si>
  <si>
    <t>심사결정에서의 요양급여비용 명세서 총 요양급여비용</t>
  </si>
  <si>
    <t>상병일련번호</t>
  </si>
  <si>
    <t>상병기호 일련번호</t>
  </si>
  <si>
    <t>심사결정본인부담금</t>
  </si>
  <si>
    <t>SICK_CD</t>
  </si>
  <si>
    <t>심사결정에서의 수진자 본인이 부담해야 하는 요양급여비용 명세서의 금액</t>
  </si>
  <si>
    <t>상병기호</t>
  </si>
  <si>
    <t>한국표준질병사인분류의 상병분류기호</t>
  </si>
  <si>
    <t>심사결정보험자부담금</t>
  </si>
  <si>
    <t>SICK_TY_CD</t>
  </si>
  <si>
    <t>상병분류구분코드</t>
  </si>
  <si>
    <t>심사결정에서의 보험자가 부담해야할 요양급여비용 명세서의 금액</t>
  </si>
  <si>
    <t>각 상병분류기호별로 주/부/배제상병을 구분하는 코드
* 유효값: 1주상병, 2부상병, 3배제된 상병</t>
  </si>
  <si>
    <t>심사결정100분의100미만 총액</t>
  </si>
  <si>
    <t>DMD_DGSBJT_CD</t>
  </si>
  <si>
    <t>심사결정에서의 명세서의 A항, B항, D항 및 E항의 치료재료, 약제 등 요양기관 종별 가산율이 적용되지 않은 요양급여비용, 요양기관 종별 가산율이 적용되는 진료행위와 가산금액을 합한 총 금액에서 10원미만 절사한 금액</t>
  </si>
  <si>
    <t>IFLD_DTL_SPC_SBJT_CD</t>
  </si>
  <si>
    <t>내과세부전문과목코드</t>
  </si>
  <si>
    <t>내과 진료과목 중 ‘세부전문의 제도인증규정(대한의학회)’에 의거 인증받은 세부전문과목을 운영하고 있는 종합병원, 상급종합병원의 경우 진료를 받은 세부전문과목을 기재하되, 세부전문과목이 2개 이상인 경우 상병별로 모두 기재</t>
  </si>
  <si>
    <t>co19_t530_trans_dn</t>
  </si>
  <si>
    <t>코로나처방전교부내역</t>
  </si>
  <si>
    <t>PRSCP_GRANT_NO</t>
  </si>
  <si>
    <t>처방전교부번호</t>
  </si>
  <si>
    <t>요양기관별로 처방전 발행 시 부여하는 교부번호</t>
  </si>
  <si>
    <t>수가코드, 약품코드, 재료대코드 등 코드를 포괄적으로 분류하는 코드
* 유효값: 3보험등재약, 4수입원료약, 7협약재 등</t>
  </si>
  <si>
    <t>약가를 구분하는 목록성 분류코드</t>
  </si>
  <si>
    <t>1일투여횟수</t>
  </si>
  <si>
    <t>RV_YM</t>
  </si>
  <si>
    <t>심사년월</t>
  </si>
  <si>
    <t>심사결정 시점의 년월</t>
  </si>
  <si>
    <t>SHW_SBJT_CD</t>
  </si>
  <si>
    <t xml:space="preserve">표시과목코드    </t>
  </si>
  <si>
    <t>요양기관이 외부에 표시하기 위하여 정의한 진료과목코드</t>
  </si>
  <si>
    <t>co19_twjhe300_trans_dn</t>
  </si>
  <si>
    <t>진료내역</t>
  </si>
  <si>
    <t>해당 분류코드의 단가</t>
  </si>
  <si>
    <t>CZ_ITEM_CD</t>
  </si>
  <si>
    <t>항목코드</t>
  </si>
  <si>
    <t>처방금액</t>
  </si>
  <si>
    <t>명세서 항코드와 목코드를 결합한 코드
※구성: 항코드(2)+목코드(2)+구분코드(1)
*구분코드:'1'(한방제외) 또는 '2'(한방) 또는 '3'(약국)</t>
  </si>
  <si>
    <t>조제투약시의 처방금액</t>
  </si>
  <si>
    <t>ADDC_ADT_AMT</t>
  </si>
  <si>
    <t>가산적용금액</t>
  </si>
  <si>
    <t>2란 행위 가산이 있는 경우 요양기관 종별 가산율을 적용한 금액</t>
  </si>
  <si>
    <t>co19_twjhe400_trans_dn</t>
  </si>
  <si>
    <t>상병내역</t>
  </si>
  <si>
    <t>co19_twjhe530_trans_dn</t>
  </si>
  <si>
    <t>처방전교부내역</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</si>
</sst>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sz val="10.0"/>
      <color theme="1"/>
      <name val="Calibri"/>
    </font>
    <font>
      <b/>
      <color theme="1"/>
      <name val="Calibri"/>
    </font>
    <font>
      <b/>
    </font>
    <font>
      <color theme="1"/>
      <name val="Calibri"/>
    </font>
    <font>
      <sz val="11.0"/>
      <color rgb="FF000000"/>
      <name val="Inconsolata"/>
    </font>
  </fonts>
  <fills count="6">
    <fill>
      <patternFill patternType="none"/>
    </fill>
    <fill>
      <patternFill patternType="lightGray"/>
    </fill>
    <fill>
      <patternFill patternType="solid">
        <fgColor rgb="FFF2F2F2"/>
        <bgColor rgb="FFF2F2F2"/>
      </patternFill>
    </fill>
    <fill>
      <patternFill patternType="solid">
        <fgColor rgb="FF92D050"/>
        <bgColor rgb="FF92D050"/>
      </patternFill>
    </fill>
    <fill>
      <patternFill patternType="solid">
        <fgColor rgb="FFEFEFEF"/>
        <bgColor rgb="FFEFEFEF"/>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center" wrapText="0"/>
    </xf>
    <xf borderId="1" fillId="2" fontId="1" numFmtId="0" xfId="0" applyAlignment="1" applyBorder="1" applyFill="1" applyFont="1">
      <alignment horizontal="center" vertical="center"/>
    </xf>
    <xf borderId="1" fillId="0" fontId="1" numFmtId="0" xfId="0" applyAlignment="1" applyBorder="1" applyFont="1">
      <alignment horizontal="center" vertical="center"/>
    </xf>
    <xf borderId="1" fillId="0" fontId="1" numFmtId="0" xfId="0" applyAlignment="1" applyBorder="1" applyFont="1">
      <alignment vertical="center"/>
    </xf>
    <xf borderId="1" fillId="0" fontId="1" numFmtId="0" xfId="0" applyAlignment="1" applyBorder="1" applyFont="1">
      <alignment shrinkToFit="0" vertical="center" wrapText="1"/>
    </xf>
    <xf borderId="1" fillId="3" fontId="1" numFmtId="0" xfId="0" applyAlignment="1" applyBorder="1" applyFill="1" applyFont="1">
      <alignment horizontal="center" vertical="center"/>
    </xf>
    <xf borderId="0" fillId="0" fontId="1" numFmtId="0" xfId="0" applyAlignment="1" applyFont="1">
      <alignment vertical="center"/>
    </xf>
    <xf borderId="0" fillId="4" fontId="2" numFmtId="0" xfId="0" applyAlignment="1" applyFill="1" applyFont="1">
      <alignment vertical="center"/>
    </xf>
    <xf borderId="0" fillId="4" fontId="3" numFmtId="0" xfId="0" applyAlignment="1" applyFont="1">
      <alignment vertical="center"/>
    </xf>
    <xf borderId="0" fillId="0" fontId="4" numFmtId="0" xfId="0" applyAlignment="1" applyFont="1">
      <alignment vertical="center"/>
    </xf>
    <xf borderId="0" fillId="5" fontId="5" numFmtId="0" xfId="0" applyAlignment="1" applyFill="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63"/>
    <col customWidth="1" min="2" max="2" width="13.13"/>
    <col customWidth="1" min="3" max="3" width="5.88"/>
    <col customWidth="1" min="4" max="4" width="17.88"/>
    <col customWidth="1" min="5" max="5" width="16.88"/>
    <col customWidth="1" min="6" max="6" width="9.63"/>
    <col customWidth="1" min="7" max="7" width="11.13"/>
    <col customWidth="1" min="8" max="8" width="89.38"/>
    <col customWidth="1" min="9" max="26" width="7.63"/>
  </cols>
  <sheetData>
    <row r="1" ht="16.5" customHeight="1">
      <c r="A1" s="1" t="s">
        <v>0</v>
      </c>
      <c r="B1" s="1" t="s">
        <v>1</v>
      </c>
      <c r="C1" s="1" t="s">
        <v>2</v>
      </c>
      <c r="D1" s="1" t="s">
        <v>3</v>
      </c>
      <c r="E1" s="1" t="s">
        <v>4</v>
      </c>
      <c r="F1" s="1" t="s">
        <v>5</v>
      </c>
      <c r="G1" s="1" t="s">
        <v>6</v>
      </c>
      <c r="H1" s="1" t="s">
        <v>7</v>
      </c>
    </row>
    <row r="2" ht="16.5" customHeight="1">
      <c r="A2" s="2" t="s">
        <v>8</v>
      </c>
      <c r="B2" s="2" t="s">
        <v>9</v>
      </c>
      <c r="C2" s="3">
        <v>1.0</v>
      </c>
      <c r="D2" s="3" t="s">
        <v>10</v>
      </c>
      <c r="E2" s="3" t="s">
        <v>11</v>
      </c>
      <c r="F2" s="2" t="s">
        <v>12</v>
      </c>
      <c r="G2" s="3">
        <v>8.0</v>
      </c>
      <c r="H2" s="3" t="s">
        <v>13</v>
      </c>
    </row>
    <row r="3" ht="16.5" customHeight="1">
      <c r="A3" s="2" t="s">
        <v>8</v>
      </c>
      <c r="B3" s="2" t="s">
        <v>9</v>
      </c>
      <c r="C3" s="3">
        <v>2.0</v>
      </c>
      <c r="D3" s="3" t="s">
        <v>14</v>
      </c>
      <c r="E3" s="3" t="s">
        <v>15</v>
      </c>
      <c r="F3" s="2" t="s">
        <v>16</v>
      </c>
      <c r="G3" s="3">
        <v>2.0</v>
      </c>
      <c r="H3" s="4" t="s">
        <v>17</v>
      </c>
    </row>
    <row r="4" ht="16.5" customHeight="1">
      <c r="A4" s="2" t="s">
        <v>8</v>
      </c>
      <c r="B4" s="2" t="s">
        <v>9</v>
      </c>
      <c r="C4" s="3">
        <v>3.0</v>
      </c>
      <c r="D4" s="3" t="s">
        <v>18</v>
      </c>
      <c r="E4" s="3" t="s">
        <v>19</v>
      </c>
      <c r="F4" s="2" t="s">
        <v>12</v>
      </c>
      <c r="G4" s="3">
        <v>8.0</v>
      </c>
      <c r="H4" s="3" t="s">
        <v>20</v>
      </c>
    </row>
    <row r="5" ht="16.5" customHeight="1">
      <c r="A5" s="2" t="s">
        <v>8</v>
      </c>
      <c r="B5" s="2" t="s">
        <v>9</v>
      </c>
      <c r="C5" s="3">
        <v>4.0</v>
      </c>
      <c r="D5" s="3" t="s">
        <v>21</v>
      </c>
      <c r="E5" s="3" t="s">
        <v>22</v>
      </c>
      <c r="F5" s="2" t="s">
        <v>16</v>
      </c>
      <c r="G5" s="3">
        <v>1.0</v>
      </c>
      <c r="H5" s="4" t="s">
        <v>23</v>
      </c>
    </row>
    <row r="6" ht="16.5" customHeight="1">
      <c r="A6" s="2" t="s">
        <v>8</v>
      </c>
      <c r="B6" s="2" t="s">
        <v>9</v>
      </c>
      <c r="C6" s="3">
        <v>5.0</v>
      </c>
      <c r="D6" s="3" t="s">
        <v>24</v>
      </c>
      <c r="E6" s="3" t="s">
        <v>25</v>
      </c>
      <c r="F6" s="2" t="s">
        <v>16</v>
      </c>
      <c r="G6" s="3">
        <v>16.0</v>
      </c>
      <c r="H6" s="3" t="s">
        <v>26</v>
      </c>
    </row>
    <row r="7" ht="16.5" customHeight="1">
      <c r="A7" s="2" t="s">
        <v>8</v>
      </c>
      <c r="B7" s="2" t="s">
        <v>9</v>
      </c>
      <c r="C7" s="3">
        <v>6.0</v>
      </c>
      <c r="D7" s="3" t="s">
        <v>27</v>
      </c>
      <c r="E7" s="3" t="s">
        <v>28</v>
      </c>
      <c r="F7" s="2" t="s">
        <v>12</v>
      </c>
      <c r="G7" s="3">
        <v>8.0</v>
      </c>
      <c r="H7" s="4" t="s">
        <v>29</v>
      </c>
    </row>
    <row r="8" ht="16.5" customHeight="1">
      <c r="A8" s="2" t="s">
        <v>8</v>
      </c>
      <c r="B8" s="2" t="s">
        <v>9</v>
      </c>
      <c r="C8" s="3">
        <v>7.0</v>
      </c>
      <c r="D8" s="3" t="s">
        <v>30</v>
      </c>
      <c r="E8" s="3" t="s">
        <v>31</v>
      </c>
      <c r="F8" s="2" t="s">
        <v>12</v>
      </c>
      <c r="G8" s="3">
        <v>8.0</v>
      </c>
      <c r="H8" s="3" t="s">
        <v>32</v>
      </c>
    </row>
    <row r="9" ht="16.5" customHeight="1">
      <c r="A9" s="2" t="s">
        <v>8</v>
      </c>
      <c r="B9" s="2" t="s">
        <v>9</v>
      </c>
      <c r="C9" s="3">
        <v>8.0</v>
      </c>
      <c r="D9" s="3" t="s">
        <v>33</v>
      </c>
      <c r="E9" s="3" t="s">
        <v>34</v>
      </c>
      <c r="F9" s="2" t="s">
        <v>12</v>
      </c>
      <c r="G9" s="3">
        <v>8.0</v>
      </c>
      <c r="H9" s="3" t="s">
        <v>35</v>
      </c>
    </row>
    <row r="10" ht="16.5" customHeight="1">
      <c r="A10" s="2" t="s">
        <v>8</v>
      </c>
      <c r="B10" s="2" t="s">
        <v>9</v>
      </c>
      <c r="C10" s="3">
        <v>9.0</v>
      </c>
      <c r="D10" s="3" t="s">
        <v>36</v>
      </c>
      <c r="E10" s="3" t="s">
        <v>37</v>
      </c>
      <c r="F10" s="2" t="s">
        <v>16</v>
      </c>
      <c r="G10" s="3">
        <v>4.0</v>
      </c>
      <c r="H10" s="3" t="s">
        <v>38</v>
      </c>
    </row>
    <row r="11" ht="16.5" customHeight="1">
      <c r="A11" s="2" t="s">
        <v>8</v>
      </c>
      <c r="B11" s="2" t="s">
        <v>9</v>
      </c>
      <c r="C11" s="3">
        <v>10.0</v>
      </c>
      <c r="D11" s="3" t="s">
        <v>39</v>
      </c>
      <c r="E11" s="3" t="s">
        <v>40</v>
      </c>
      <c r="F11" s="2" t="s">
        <v>16</v>
      </c>
      <c r="G11" s="3">
        <v>12.0</v>
      </c>
      <c r="H11" s="3" t="s">
        <v>41</v>
      </c>
    </row>
    <row r="12" ht="16.5" customHeight="1">
      <c r="A12" s="2" t="s">
        <v>8</v>
      </c>
      <c r="B12" s="2" t="s">
        <v>9</v>
      </c>
      <c r="C12" s="3">
        <v>11.0</v>
      </c>
      <c r="D12" s="3" t="s">
        <v>42</v>
      </c>
      <c r="E12" s="3" t="s">
        <v>43</v>
      </c>
      <c r="F12" s="2" t="s">
        <v>16</v>
      </c>
      <c r="G12" s="3">
        <v>20.0</v>
      </c>
      <c r="H12" s="4" t="s">
        <v>44</v>
      </c>
    </row>
    <row r="13" ht="16.5" customHeight="1">
      <c r="A13" s="2" t="s">
        <v>8</v>
      </c>
      <c r="B13" s="2" t="s">
        <v>9</v>
      </c>
      <c r="C13" s="3">
        <v>12.0</v>
      </c>
      <c r="D13" s="3" t="s">
        <v>45</v>
      </c>
      <c r="E13" s="3" t="s">
        <v>46</v>
      </c>
      <c r="F13" s="2" t="s">
        <v>16</v>
      </c>
      <c r="G13" s="3">
        <v>12.0</v>
      </c>
      <c r="H13" s="3" t="s">
        <v>47</v>
      </c>
    </row>
    <row r="14" ht="16.5" customHeight="1">
      <c r="A14" s="2" t="s">
        <v>8</v>
      </c>
      <c r="B14" s="2" t="s">
        <v>9</v>
      </c>
      <c r="C14" s="3">
        <v>13.0</v>
      </c>
      <c r="D14" s="3" t="s">
        <v>48</v>
      </c>
      <c r="E14" s="3" t="s">
        <v>49</v>
      </c>
      <c r="F14" s="2" t="s">
        <v>16</v>
      </c>
      <c r="G14" s="3">
        <v>12.0</v>
      </c>
      <c r="H14" s="3" t="s">
        <v>50</v>
      </c>
    </row>
    <row r="15" ht="16.5" customHeight="1">
      <c r="A15" s="2" t="s">
        <v>8</v>
      </c>
      <c r="B15" s="2" t="s">
        <v>9</v>
      </c>
      <c r="C15" s="3">
        <v>14.0</v>
      </c>
      <c r="D15" s="3" t="s">
        <v>51</v>
      </c>
      <c r="E15" s="3" t="s">
        <v>52</v>
      </c>
      <c r="F15" s="2" t="s">
        <v>16</v>
      </c>
      <c r="G15" s="3">
        <v>4.0</v>
      </c>
      <c r="H15" s="4" t="s">
        <v>53</v>
      </c>
    </row>
    <row r="16" ht="16.5" customHeight="1">
      <c r="A16" s="2" t="s">
        <v>8</v>
      </c>
      <c r="B16" s="2" t="s">
        <v>9</v>
      </c>
      <c r="C16" s="3">
        <v>15.0</v>
      </c>
      <c r="D16" s="3" t="s">
        <v>54</v>
      </c>
      <c r="E16" s="3" t="s">
        <v>55</v>
      </c>
      <c r="F16" s="2" t="s">
        <v>16</v>
      </c>
      <c r="G16" s="3">
        <v>16.0</v>
      </c>
      <c r="H16" s="3" t="s">
        <v>56</v>
      </c>
    </row>
    <row r="17" ht="16.5" customHeight="1">
      <c r="A17" s="2" t="s">
        <v>8</v>
      </c>
      <c r="B17" s="2" t="s">
        <v>9</v>
      </c>
      <c r="C17" s="3">
        <v>16.0</v>
      </c>
      <c r="D17" s="3" t="s">
        <v>57</v>
      </c>
      <c r="E17" s="3" t="s">
        <v>58</v>
      </c>
      <c r="F17" s="2" t="s">
        <v>16</v>
      </c>
      <c r="G17" s="3">
        <v>10.0</v>
      </c>
      <c r="H17" s="4" t="s">
        <v>59</v>
      </c>
    </row>
    <row r="18" ht="16.5" customHeight="1">
      <c r="A18" s="2" t="s">
        <v>8</v>
      </c>
      <c r="B18" s="2" t="s">
        <v>9</v>
      </c>
      <c r="C18" s="3">
        <v>17.0</v>
      </c>
      <c r="D18" s="3" t="s">
        <v>60</v>
      </c>
      <c r="E18" s="3" t="s">
        <v>61</v>
      </c>
      <c r="F18" s="2" t="s">
        <v>16</v>
      </c>
      <c r="G18" s="3">
        <v>16.0</v>
      </c>
      <c r="H18" s="3" t="s">
        <v>62</v>
      </c>
    </row>
    <row r="19" ht="16.5" customHeight="1">
      <c r="A19" s="2" t="s">
        <v>8</v>
      </c>
      <c r="B19" s="2" t="s">
        <v>9</v>
      </c>
      <c r="C19" s="3">
        <v>18.0</v>
      </c>
      <c r="D19" s="3" t="s">
        <v>63</v>
      </c>
      <c r="E19" s="3" t="s">
        <v>64</v>
      </c>
      <c r="F19" s="2" t="s">
        <v>12</v>
      </c>
      <c r="G19" s="3">
        <v>8.0</v>
      </c>
      <c r="H19" s="3" t="s">
        <v>65</v>
      </c>
    </row>
    <row r="20" ht="16.5" customHeight="1">
      <c r="A20" s="2" t="s">
        <v>8</v>
      </c>
      <c r="B20" s="2" t="s">
        <v>9</v>
      </c>
      <c r="C20" s="3">
        <v>19.0</v>
      </c>
      <c r="D20" s="3" t="s">
        <v>66</v>
      </c>
      <c r="E20" s="3" t="s">
        <v>67</v>
      </c>
      <c r="F20" s="2" t="s">
        <v>12</v>
      </c>
      <c r="G20" s="3">
        <v>8.0</v>
      </c>
      <c r="H20" s="3" t="s">
        <v>68</v>
      </c>
    </row>
    <row r="21" ht="16.5" customHeight="1">
      <c r="A21" s="2" t="s">
        <v>8</v>
      </c>
      <c r="B21" s="2" t="s">
        <v>9</v>
      </c>
      <c r="C21" s="3">
        <v>20.0</v>
      </c>
      <c r="D21" s="3" t="s">
        <v>69</v>
      </c>
      <c r="E21" s="3" t="s">
        <v>70</v>
      </c>
      <c r="F21" s="2" t="s">
        <v>12</v>
      </c>
      <c r="G21" s="3">
        <v>8.0</v>
      </c>
      <c r="H21" s="4" t="s">
        <v>71</v>
      </c>
    </row>
    <row r="22" ht="16.5" customHeight="1">
      <c r="A22" s="2" t="s">
        <v>8</v>
      </c>
      <c r="B22" s="2" t="s">
        <v>9</v>
      </c>
      <c r="C22" s="3">
        <v>21.0</v>
      </c>
      <c r="D22" s="3" t="s">
        <v>72</v>
      </c>
      <c r="E22" s="3" t="s">
        <v>73</v>
      </c>
      <c r="F22" s="2" t="s">
        <v>12</v>
      </c>
      <c r="G22" s="3">
        <v>8.0</v>
      </c>
      <c r="H22" s="4" t="s">
        <v>74</v>
      </c>
    </row>
    <row r="23" ht="16.5" customHeight="1">
      <c r="A23" s="2" t="s">
        <v>8</v>
      </c>
      <c r="B23" s="2" t="s">
        <v>9</v>
      </c>
      <c r="C23" s="3">
        <v>22.0</v>
      </c>
      <c r="D23" s="3" t="s">
        <v>75</v>
      </c>
      <c r="E23" s="3" t="s">
        <v>76</v>
      </c>
      <c r="F23" s="2" t="s">
        <v>12</v>
      </c>
      <c r="G23" s="3">
        <v>8.0</v>
      </c>
      <c r="H23" s="4" t="s">
        <v>77</v>
      </c>
    </row>
    <row r="24" ht="16.5" customHeight="1">
      <c r="A24" s="2" t="s">
        <v>8</v>
      </c>
      <c r="B24" s="2" t="s">
        <v>9</v>
      </c>
      <c r="C24" s="3">
        <v>23.0</v>
      </c>
      <c r="D24" s="3" t="s">
        <v>80</v>
      </c>
      <c r="E24" s="6" t="s">
        <v>81</v>
      </c>
      <c r="F24" s="2" t="s">
        <v>12</v>
      </c>
      <c r="G24" s="3">
        <v>8.0</v>
      </c>
      <c r="H24" s="4" t="s">
        <v>82</v>
      </c>
    </row>
    <row r="25" ht="16.5" customHeight="1">
      <c r="A25" s="2" t="s">
        <v>8</v>
      </c>
      <c r="B25" s="2" t="s">
        <v>9</v>
      </c>
      <c r="C25" s="3">
        <v>24.0</v>
      </c>
      <c r="D25" s="3" t="s">
        <v>83</v>
      </c>
      <c r="E25" s="3" t="s">
        <v>84</v>
      </c>
      <c r="F25" s="2" t="s">
        <v>16</v>
      </c>
      <c r="G25" s="3">
        <v>2.0</v>
      </c>
      <c r="H25" s="4" t="s">
        <v>85</v>
      </c>
    </row>
    <row r="26" ht="16.5" customHeight="1">
      <c r="A26" s="2" t="s">
        <v>8</v>
      </c>
      <c r="B26" s="2" t="s">
        <v>9</v>
      </c>
      <c r="C26" s="3">
        <v>25.0</v>
      </c>
      <c r="D26" s="3" t="s">
        <v>86</v>
      </c>
      <c r="E26" s="3" t="s">
        <v>87</v>
      </c>
      <c r="F26" s="2" t="s">
        <v>16</v>
      </c>
      <c r="G26" s="3">
        <v>2.0</v>
      </c>
      <c r="H26" s="4" t="s">
        <v>88</v>
      </c>
    </row>
    <row r="27" ht="16.5" customHeight="1">
      <c r="A27" s="2" t="s">
        <v>8</v>
      </c>
      <c r="B27" s="2" t="s">
        <v>9</v>
      </c>
      <c r="C27" s="3">
        <v>26.0</v>
      </c>
      <c r="D27" s="3" t="s">
        <v>89</v>
      </c>
      <c r="E27" s="3" t="s">
        <v>90</v>
      </c>
      <c r="F27" s="2" t="s">
        <v>16</v>
      </c>
      <c r="G27" s="3">
        <v>8.0</v>
      </c>
      <c r="H27" s="3" t="s">
        <v>91</v>
      </c>
    </row>
    <row r="28" ht="16.5" customHeight="1">
      <c r="A28" s="2" t="s">
        <v>8</v>
      </c>
      <c r="B28" s="2" t="s">
        <v>9</v>
      </c>
      <c r="C28" s="3">
        <v>27.0</v>
      </c>
      <c r="D28" s="3" t="s">
        <v>92</v>
      </c>
      <c r="E28" s="3" t="s">
        <v>93</v>
      </c>
      <c r="F28" s="2" t="s">
        <v>16</v>
      </c>
      <c r="G28" s="3">
        <v>4.0</v>
      </c>
      <c r="H28" s="3" t="s">
        <v>94</v>
      </c>
    </row>
    <row r="29" ht="16.5" customHeight="1">
      <c r="A29" s="2" t="s">
        <v>8</v>
      </c>
      <c r="B29" s="2" t="s">
        <v>9</v>
      </c>
      <c r="C29" s="3">
        <v>28.0</v>
      </c>
      <c r="D29" s="3" t="s">
        <v>95</v>
      </c>
      <c r="E29" s="3" t="s">
        <v>96</v>
      </c>
      <c r="F29" s="2" t="s">
        <v>16</v>
      </c>
      <c r="G29" s="3">
        <v>2.0</v>
      </c>
      <c r="H29" s="4" t="s">
        <v>97</v>
      </c>
    </row>
    <row r="30" ht="16.5" customHeight="1">
      <c r="A30" s="2" t="s">
        <v>8</v>
      </c>
      <c r="B30" s="2" t="s">
        <v>9</v>
      </c>
      <c r="C30" s="3">
        <v>29.0</v>
      </c>
      <c r="D30" s="3" t="s">
        <v>98</v>
      </c>
      <c r="E30" s="3" t="s">
        <v>99</v>
      </c>
      <c r="F30" s="2" t="s">
        <v>16</v>
      </c>
      <c r="G30" s="3">
        <v>4.0</v>
      </c>
      <c r="H30" s="4" t="s">
        <v>100</v>
      </c>
    </row>
    <row r="31" ht="16.5" customHeight="1">
      <c r="A31" s="2" t="s">
        <v>8</v>
      </c>
      <c r="B31" s="2" t="s">
        <v>9</v>
      </c>
      <c r="C31" s="3">
        <v>30.0</v>
      </c>
      <c r="D31" s="3" t="s">
        <v>101</v>
      </c>
      <c r="E31" s="3" t="s">
        <v>102</v>
      </c>
      <c r="F31" s="2" t="s">
        <v>16</v>
      </c>
      <c r="G31" s="3">
        <v>2.0</v>
      </c>
      <c r="H31" s="3" t="s">
        <v>103</v>
      </c>
    </row>
    <row r="32" ht="16.5" customHeight="1">
      <c r="A32" s="2" t="s">
        <v>8</v>
      </c>
      <c r="B32" s="2" t="s">
        <v>9</v>
      </c>
      <c r="C32" s="3">
        <v>31.0</v>
      </c>
      <c r="D32" s="3" t="s">
        <v>104</v>
      </c>
      <c r="E32" s="3" t="s">
        <v>105</v>
      </c>
      <c r="F32" s="2" t="s">
        <v>16</v>
      </c>
      <c r="G32" s="3">
        <v>2.0</v>
      </c>
      <c r="H32" s="4" t="s">
        <v>106</v>
      </c>
    </row>
    <row r="33" ht="16.5" customHeight="1">
      <c r="A33" s="2" t="s">
        <v>8</v>
      </c>
      <c r="B33" s="2" t="s">
        <v>9</v>
      </c>
      <c r="C33" s="3">
        <v>32.0</v>
      </c>
      <c r="D33" s="3" t="s">
        <v>107</v>
      </c>
      <c r="E33" s="3" t="s">
        <v>108</v>
      </c>
      <c r="F33" s="2" t="s">
        <v>16</v>
      </c>
      <c r="G33" s="3">
        <v>2.0</v>
      </c>
      <c r="H33" s="4" t="s">
        <v>109</v>
      </c>
    </row>
    <row r="34" ht="16.5" customHeight="1">
      <c r="A34" s="2" t="s">
        <v>110</v>
      </c>
      <c r="B34" s="2" t="s">
        <v>111</v>
      </c>
      <c r="C34" s="3">
        <v>1.0</v>
      </c>
      <c r="D34" s="3" t="s">
        <v>10</v>
      </c>
      <c r="E34" s="3" t="s">
        <v>11</v>
      </c>
      <c r="F34" s="2" t="s">
        <v>12</v>
      </c>
      <c r="G34" s="3">
        <v>8.0</v>
      </c>
      <c r="H34" s="3" t="s">
        <v>13</v>
      </c>
    </row>
    <row r="35" ht="16.5" customHeight="1">
      <c r="A35" s="2" t="s">
        <v>110</v>
      </c>
      <c r="B35" s="2" t="s">
        <v>111</v>
      </c>
      <c r="C35" s="3">
        <v>2.0</v>
      </c>
      <c r="D35" s="3" t="s">
        <v>112</v>
      </c>
      <c r="E35" s="3" t="s">
        <v>113</v>
      </c>
      <c r="F35" s="2" t="s">
        <v>16</v>
      </c>
      <c r="G35" s="3">
        <v>2.0</v>
      </c>
      <c r="H35" s="4" t="s">
        <v>114</v>
      </c>
    </row>
    <row r="36" ht="16.5" customHeight="1">
      <c r="A36" s="2" t="s">
        <v>110</v>
      </c>
      <c r="B36" s="2" t="s">
        <v>111</v>
      </c>
      <c r="C36" s="3">
        <v>3.0</v>
      </c>
      <c r="D36" s="3" t="s">
        <v>115</v>
      </c>
      <c r="E36" s="3" t="s">
        <v>116</v>
      </c>
      <c r="F36" s="2" t="s">
        <v>16</v>
      </c>
      <c r="G36" s="3">
        <v>18.0</v>
      </c>
      <c r="H36" s="3" t="s">
        <v>117</v>
      </c>
    </row>
    <row r="37" ht="16.5" customHeight="1">
      <c r="A37" s="2" t="s">
        <v>110</v>
      </c>
      <c r="B37" s="2" t="s">
        <v>111</v>
      </c>
      <c r="C37" s="3">
        <v>4.0</v>
      </c>
      <c r="D37" s="3" t="s">
        <v>118</v>
      </c>
      <c r="E37" s="3" t="s">
        <v>119</v>
      </c>
      <c r="F37" s="2" t="s">
        <v>12</v>
      </c>
      <c r="G37" s="3">
        <v>8.0</v>
      </c>
      <c r="H37" s="3" t="s">
        <v>120</v>
      </c>
    </row>
    <row r="38" ht="16.5" customHeight="1">
      <c r="A38" s="2" t="s">
        <v>110</v>
      </c>
      <c r="B38" s="2" t="s">
        <v>111</v>
      </c>
      <c r="C38" s="3">
        <v>5.0</v>
      </c>
      <c r="D38" s="3" t="s">
        <v>121</v>
      </c>
      <c r="E38" s="3" t="s">
        <v>122</v>
      </c>
      <c r="F38" s="2" t="s">
        <v>12</v>
      </c>
      <c r="G38" s="3">
        <v>8.0</v>
      </c>
      <c r="H38" s="3" t="s">
        <v>123</v>
      </c>
    </row>
    <row r="39" ht="16.5" customHeight="1">
      <c r="A39" s="2" t="s">
        <v>110</v>
      </c>
      <c r="B39" s="2" t="s">
        <v>111</v>
      </c>
      <c r="C39" s="3">
        <v>6.0</v>
      </c>
      <c r="D39" s="3" t="s">
        <v>124</v>
      </c>
      <c r="E39" s="3" t="s">
        <v>125</v>
      </c>
      <c r="F39" s="2" t="s">
        <v>12</v>
      </c>
      <c r="G39" s="3">
        <v>8.0</v>
      </c>
      <c r="H39" s="3" t="s">
        <v>126</v>
      </c>
    </row>
    <row r="40" ht="16.5" customHeight="1">
      <c r="A40" s="2" t="s">
        <v>110</v>
      </c>
      <c r="B40" s="2" t="s">
        <v>111</v>
      </c>
      <c r="C40" s="3">
        <v>7.0</v>
      </c>
      <c r="D40" s="3" t="s">
        <v>127</v>
      </c>
      <c r="E40" s="3" t="s">
        <v>128</v>
      </c>
      <c r="F40" s="2" t="s">
        <v>12</v>
      </c>
      <c r="G40" s="3">
        <v>8.0</v>
      </c>
      <c r="H40" s="3" t="s">
        <v>129</v>
      </c>
    </row>
    <row r="41" ht="16.5" customHeight="1">
      <c r="A41" s="2" t="s">
        <v>110</v>
      </c>
      <c r="B41" s="2" t="s">
        <v>111</v>
      </c>
      <c r="C41" s="3">
        <v>8.0</v>
      </c>
      <c r="D41" s="3" t="s">
        <v>130</v>
      </c>
      <c r="E41" s="3" t="s">
        <v>131</v>
      </c>
      <c r="F41" s="2" t="s">
        <v>12</v>
      </c>
      <c r="G41" s="3">
        <v>8.0</v>
      </c>
      <c r="H41" s="3" t="s">
        <v>132</v>
      </c>
    </row>
    <row r="42" ht="16.5" customHeight="1">
      <c r="A42" s="2" t="s">
        <v>110</v>
      </c>
      <c r="B42" s="2" t="s">
        <v>111</v>
      </c>
      <c r="C42" s="3">
        <v>9.0</v>
      </c>
      <c r="D42" s="3" t="s">
        <v>133</v>
      </c>
      <c r="E42" s="3" t="s">
        <v>134</v>
      </c>
      <c r="F42" s="2" t="s">
        <v>12</v>
      </c>
      <c r="G42" s="3">
        <v>8.0</v>
      </c>
      <c r="H42" s="3" t="s">
        <v>135</v>
      </c>
    </row>
    <row r="43" ht="16.5" customHeight="1">
      <c r="A43" s="2" t="s">
        <v>110</v>
      </c>
      <c r="B43" s="2" t="s">
        <v>111</v>
      </c>
      <c r="C43" s="3">
        <v>10.0</v>
      </c>
      <c r="D43" s="3" t="s">
        <v>136</v>
      </c>
      <c r="E43" s="3" t="s">
        <v>137</v>
      </c>
      <c r="F43" s="2" t="s">
        <v>12</v>
      </c>
      <c r="G43" s="3">
        <v>8.0</v>
      </c>
      <c r="H43" s="3" t="s">
        <v>138</v>
      </c>
    </row>
    <row r="44" ht="16.5" customHeight="1">
      <c r="A44" s="2" t="s">
        <v>110</v>
      </c>
      <c r="B44" s="2" t="s">
        <v>111</v>
      </c>
      <c r="C44" s="3">
        <v>11.0</v>
      </c>
      <c r="D44" s="3" t="s">
        <v>139</v>
      </c>
      <c r="E44" s="3" t="s">
        <v>140</v>
      </c>
      <c r="F44" s="2" t="s">
        <v>16</v>
      </c>
      <c r="G44" s="3">
        <v>18.0</v>
      </c>
      <c r="H44" s="3" t="s">
        <v>141</v>
      </c>
    </row>
    <row r="45" ht="16.5" customHeight="1">
      <c r="A45" s="2" t="s">
        <v>110</v>
      </c>
      <c r="B45" s="2" t="s">
        <v>111</v>
      </c>
      <c r="C45" s="3">
        <v>12.0</v>
      </c>
      <c r="D45" s="3" t="s">
        <v>142</v>
      </c>
      <c r="E45" s="3" t="s">
        <v>143</v>
      </c>
      <c r="F45" s="2" t="s">
        <v>16</v>
      </c>
      <c r="G45" s="3">
        <v>4.0</v>
      </c>
      <c r="H45" s="3" t="s">
        <v>144</v>
      </c>
    </row>
    <row r="46" ht="16.5" customHeight="1">
      <c r="A46" s="2" t="s">
        <v>110</v>
      </c>
      <c r="B46" s="2" t="s">
        <v>111</v>
      </c>
      <c r="C46" s="3">
        <v>13.0</v>
      </c>
      <c r="D46" s="3" t="s">
        <v>147</v>
      </c>
      <c r="E46" s="3" t="s">
        <v>148</v>
      </c>
      <c r="F46" s="2" t="s">
        <v>16</v>
      </c>
      <c r="G46" s="3">
        <v>2.0</v>
      </c>
      <c r="H46" s="3" t="s">
        <v>151</v>
      </c>
    </row>
    <row r="47" ht="16.5" customHeight="1">
      <c r="A47" s="2" t="s">
        <v>153</v>
      </c>
      <c r="B47" s="2" t="s">
        <v>155</v>
      </c>
      <c r="C47" s="3">
        <v>1.0</v>
      </c>
      <c r="D47" s="3" t="s">
        <v>10</v>
      </c>
      <c r="E47" s="3" t="s">
        <v>11</v>
      </c>
      <c r="F47" s="2" t="s">
        <v>12</v>
      </c>
      <c r="G47" s="3">
        <v>8.0</v>
      </c>
      <c r="H47" s="3" t="s">
        <v>13</v>
      </c>
    </row>
    <row r="48" ht="16.5" customHeight="1">
      <c r="A48" s="2" t="s">
        <v>153</v>
      </c>
      <c r="B48" s="2" t="s">
        <v>155</v>
      </c>
      <c r="C48" s="3">
        <v>2.0</v>
      </c>
      <c r="D48" s="3" t="s">
        <v>160</v>
      </c>
      <c r="E48" s="3" t="s">
        <v>162</v>
      </c>
      <c r="F48" s="2" t="s">
        <v>12</v>
      </c>
      <c r="G48" s="3">
        <v>8.0</v>
      </c>
      <c r="H48" s="3" t="s">
        <v>163</v>
      </c>
    </row>
    <row r="49" ht="16.5" customHeight="1">
      <c r="A49" s="2" t="s">
        <v>153</v>
      </c>
      <c r="B49" s="2" t="s">
        <v>155</v>
      </c>
      <c r="C49" s="3">
        <v>3.0</v>
      </c>
      <c r="D49" s="3" t="s">
        <v>165</v>
      </c>
      <c r="E49" s="3" t="s">
        <v>167</v>
      </c>
      <c r="F49" s="2" t="s">
        <v>16</v>
      </c>
      <c r="G49" s="3">
        <v>12.0</v>
      </c>
      <c r="H49" s="3" t="s">
        <v>168</v>
      </c>
    </row>
    <row r="50" ht="16.5" customHeight="1">
      <c r="A50" s="2" t="s">
        <v>153</v>
      </c>
      <c r="B50" s="2" t="s">
        <v>155</v>
      </c>
      <c r="C50" s="3">
        <v>4.0</v>
      </c>
      <c r="D50" s="3" t="s">
        <v>170</v>
      </c>
      <c r="E50" s="3" t="s">
        <v>171</v>
      </c>
      <c r="F50" s="2" t="s">
        <v>16</v>
      </c>
      <c r="G50" s="3">
        <v>2.0</v>
      </c>
      <c r="H50" s="4" t="s">
        <v>173</v>
      </c>
    </row>
    <row r="51" ht="16.5" customHeight="1">
      <c r="A51" s="2" t="s">
        <v>153</v>
      </c>
      <c r="B51" s="2" t="s">
        <v>155</v>
      </c>
      <c r="C51" s="3">
        <v>5.0</v>
      </c>
      <c r="D51" s="3" t="s">
        <v>175</v>
      </c>
      <c r="E51" s="3" t="s">
        <v>52</v>
      </c>
      <c r="F51" s="2" t="s">
        <v>16</v>
      </c>
      <c r="G51" s="3">
        <v>4.0</v>
      </c>
      <c r="H51" s="4" t="s">
        <v>53</v>
      </c>
    </row>
    <row r="52" ht="16.5" customHeight="1">
      <c r="A52" s="2" t="s">
        <v>153</v>
      </c>
      <c r="B52" s="2" t="s">
        <v>155</v>
      </c>
      <c r="C52" s="3">
        <v>6.0</v>
      </c>
      <c r="D52" s="3" t="s">
        <v>177</v>
      </c>
      <c r="E52" s="3" t="s">
        <v>178</v>
      </c>
      <c r="F52" s="2" t="s">
        <v>16</v>
      </c>
      <c r="G52" s="3">
        <v>4.0</v>
      </c>
      <c r="H52" s="3" t="s">
        <v>179</v>
      </c>
    </row>
    <row r="53" ht="16.5" customHeight="1">
      <c r="A53" s="2" t="s">
        <v>180</v>
      </c>
      <c r="B53" s="2" t="s">
        <v>181</v>
      </c>
      <c r="C53" s="3">
        <v>1.0</v>
      </c>
      <c r="D53" s="3" t="s">
        <v>10</v>
      </c>
      <c r="E53" s="3" t="s">
        <v>11</v>
      </c>
      <c r="F53" s="2" t="s">
        <v>12</v>
      </c>
      <c r="G53" s="3">
        <v>8.0</v>
      </c>
      <c r="H53" s="3" t="s">
        <v>13</v>
      </c>
    </row>
    <row r="54" ht="16.5" customHeight="1">
      <c r="A54" s="2" t="s">
        <v>180</v>
      </c>
      <c r="B54" s="2" t="s">
        <v>181</v>
      </c>
      <c r="C54" s="3">
        <v>2.0</v>
      </c>
      <c r="D54" s="3" t="s">
        <v>182</v>
      </c>
      <c r="E54" s="3" t="s">
        <v>183</v>
      </c>
      <c r="F54" s="2" t="s">
        <v>16</v>
      </c>
      <c r="G54" s="3">
        <v>26.0</v>
      </c>
      <c r="H54" s="3" t="s">
        <v>184</v>
      </c>
    </row>
    <row r="55" ht="16.5" customHeight="1">
      <c r="A55" s="2" t="s">
        <v>180</v>
      </c>
      <c r="B55" s="2" t="s">
        <v>181</v>
      </c>
      <c r="C55" s="3">
        <v>3.0</v>
      </c>
      <c r="D55" s="3" t="s">
        <v>112</v>
      </c>
      <c r="E55" s="3" t="s">
        <v>113</v>
      </c>
      <c r="F55" s="2" t="s">
        <v>16</v>
      </c>
      <c r="G55" s="3">
        <v>2.0</v>
      </c>
      <c r="H55" s="4" t="s">
        <v>185</v>
      </c>
    </row>
    <row r="56" ht="16.5" customHeight="1">
      <c r="A56" s="2" t="s">
        <v>180</v>
      </c>
      <c r="B56" s="2" t="s">
        <v>181</v>
      </c>
      <c r="C56" s="3">
        <v>4.0</v>
      </c>
      <c r="D56" s="3" t="s">
        <v>115</v>
      </c>
      <c r="E56" s="3" t="s">
        <v>116</v>
      </c>
      <c r="F56" s="2" t="s">
        <v>16</v>
      </c>
      <c r="G56" s="3">
        <v>18.0</v>
      </c>
      <c r="H56" s="3" t="s">
        <v>186</v>
      </c>
    </row>
    <row r="57" ht="16.5" customHeight="1">
      <c r="A57" s="2" t="s">
        <v>180</v>
      </c>
      <c r="B57" s="2" t="s">
        <v>181</v>
      </c>
      <c r="C57" s="3">
        <v>5.0</v>
      </c>
      <c r="D57" s="3" t="s">
        <v>118</v>
      </c>
      <c r="E57" s="3" t="s">
        <v>119</v>
      </c>
      <c r="F57" s="2" t="s">
        <v>12</v>
      </c>
      <c r="G57" s="3">
        <v>8.0</v>
      </c>
      <c r="H57" s="3" t="s">
        <v>120</v>
      </c>
    </row>
    <row r="58" ht="16.5" customHeight="1">
      <c r="A58" s="2" t="s">
        <v>180</v>
      </c>
      <c r="B58" s="2" t="s">
        <v>181</v>
      </c>
      <c r="C58" s="3">
        <v>6.0</v>
      </c>
      <c r="D58" s="3" t="s">
        <v>121</v>
      </c>
      <c r="E58" s="3" t="s">
        <v>187</v>
      </c>
      <c r="F58" s="2" t="s">
        <v>12</v>
      </c>
      <c r="G58" s="3">
        <v>8.0</v>
      </c>
      <c r="H58" s="3" t="s">
        <v>123</v>
      </c>
    </row>
    <row r="59" ht="16.5" customHeight="1">
      <c r="A59" s="2" t="s">
        <v>180</v>
      </c>
      <c r="B59" s="2" t="s">
        <v>181</v>
      </c>
      <c r="C59" s="3">
        <v>7.0</v>
      </c>
      <c r="D59" s="3" t="s">
        <v>127</v>
      </c>
      <c r="E59" s="3" t="s">
        <v>128</v>
      </c>
      <c r="F59" s="2" t="s">
        <v>12</v>
      </c>
      <c r="G59" s="3">
        <v>8.0</v>
      </c>
      <c r="H59" s="3" t="s">
        <v>129</v>
      </c>
    </row>
    <row r="60" ht="16.5" customHeight="1">
      <c r="A60" s="2" t="s">
        <v>180</v>
      </c>
      <c r="B60" s="2" t="s">
        <v>181</v>
      </c>
      <c r="C60" s="3">
        <v>8.0</v>
      </c>
      <c r="D60" s="3" t="s">
        <v>130</v>
      </c>
      <c r="E60" s="3" t="s">
        <v>131</v>
      </c>
      <c r="F60" s="2" t="s">
        <v>12</v>
      </c>
      <c r="G60" s="3">
        <v>8.0</v>
      </c>
      <c r="H60" s="3" t="s">
        <v>132</v>
      </c>
    </row>
    <row r="61" ht="16.5" customHeight="1">
      <c r="A61" s="2" t="s">
        <v>180</v>
      </c>
      <c r="B61" s="2" t="s">
        <v>181</v>
      </c>
      <c r="C61" s="3">
        <v>9.0</v>
      </c>
      <c r="D61" s="3" t="s">
        <v>133</v>
      </c>
      <c r="E61" s="3" t="s">
        <v>134</v>
      </c>
      <c r="F61" s="2" t="s">
        <v>12</v>
      </c>
      <c r="G61" s="3">
        <v>8.0</v>
      </c>
      <c r="H61" s="3" t="s">
        <v>196</v>
      </c>
    </row>
    <row r="62" ht="16.5" customHeight="1">
      <c r="A62" s="2" t="s">
        <v>180</v>
      </c>
      <c r="B62" s="2" t="s">
        <v>181</v>
      </c>
      <c r="C62" s="3">
        <v>10.0</v>
      </c>
      <c r="D62" s="3" t="s">
        <v>136</v>
      </c>
      <c r="E62" s="3" t="s">
        <v>199</v>
      </c>
      <c r="F62" s="2" t="s">
        <v>12</v>
      </c>
      <c r="G62" s="3">
        <v>8.0</v>
      </c>
      <c r="H62" s="3" t="s">
        <v>201</v>
      </c>
    </row>
    <row r="63" ht="16.5" customHeight="1">
      <c r="A63" s="2" t="s">
        <v>180</v>
      </c>
      <c r="B63" s="2" t="s">
        <v>181</v>
      </c>
      <c r="C63" s="3">
        <v>11.0</v>
      </c>
      <c r="D63" s="3" t="s">
        <v>139</v>
      </c>
      <c r="E63" s="3" t="s">
        <v>140</v>
      </c>
      <c r="F63" s="2" t="s">
        <v>16</v>
      </c>
      <c r="G63" s="3">
        <v>18.0</v>
      </c>
      <c r="H63" s="3" t="s">
        <v>141</v>
      </c>
    </row>
    <row r="64" ht="16.5" customHeight="1"/>
    <row r="65" ht="16.5" customHeight="1">
      <c r="A65" s="7" t="str">
        <f t="shared" ref="A65:H65" si="1">A1</f>
        <v>DataSetEndNm</v>
      </c>
      <c r="B65" s="7" t="str">
        <f t="shared" si="1"/>
        <v>DataSetKorNm</v>
      </c>
      <c r="C65" s="7" t="str">
        <f t="shared" si="1"/>
        <v>VarSeq</v>
      </c>
      <c r="D65" s="7" t="str">
        <f t="shared" si="1"/>
        <v>VarEngNm</v>
      </c>
      <c r="E65" s="7" t="str">
        <f t="shared" si="1"/>
        <v>VarKorNm</v>
      </c>
      <c r="F65" s="7" t="str">
        <f t="shared" si="1"/>
        <v>VarDataType</v>
      </c>
      <c r="G65" s="7" t="str">
        <f t="shared" si="1"/>
        <v>VarDataLength</v>
      </c>
      <c r="H65" s="7" t="str">
        <f t="shared" si="1"/>
        <v>VarDescription</v>
      </c>
      <c r="I65" s="8"/>
      <c r="J65" s="8"/>
      <c r="K65" s="8"/>
      <c r="L65" s="8"/>
      <c r="M65" s="8"/>
      <c r="N65" s="8"/>
      <c r="O65" s="8"/>
      <c r="P65" s="8"/>
      <c r="Q65" s="8"/>
      <c r="R65" s="8"/>
      <c r="S65" s="8"/>
      <c r="T65" s="8"/>
      <c r="U65" s="8"/>
      <c r="V65" s="8"/>
      <c r="W65" s="8"/>
      <c r="X65" s="8"/>
      <c r="Y65" s="8"/>
      <c r="Z65" s="8"/>
    </row>
    <row r="66" ht="16.5" customHeight="1">
      <c r="A66" s="9" t="str">
        <f>IFERROR(__xludf.DUMMYFUNCTION("GOOGLETRANSLATE(A2,""auto"",""en"")"),"co19_t200_trans_dn")</f>
        <v>co19_t200_trans_dn</v>
      </c>
      <c r="B66" s="9" t="str">
        <f>IFERROR(__xludf.DUMMYFUNCTION("GOOGLETRANSLATE(B2,""auto"",""en"")"),"Corona statement History")</f>
        <v>Corona statement History</v>
      </c>
      <c r="C66" s="9" t="str">
        <f>IFERROR(__xludf.DUMMYFUNCTION("GOOGLETRANSLATE(C2,""auto"",""en"")"),"1")</f>
        <v>1</v>
      </c>
      <c r="D66" s="9" t="str">
        <f>IFERROR(__xludf.DUMMYFUNCTION("GOOGLETRANSLATE(D2,""auto"",""en"")"),"MID")</f>
        <v>MID</v>
      </c>
      <c r="E66" s="9" t="str">
        <f>IFERROR(__xludf.DUMMYFUNCTION("GOOGLETRANSLATE(E2,""auto"",""en"")"),"Statement join key")</f>
        <v>Statement join key</v>
      </c>
      <c r="F66" s="9" t="str">
        <f>IFERROR(__xludf.DUMMYFUNCTION("GOOGLETRANSLATE(F2,""auto"",""en"")"),"number")</f>
        <v>number</v>
      </c>
      <c r="G66" s="9" t="str">
        <f>IFERROR(__xludf.DUMMYFUNCTION("GOOGLETRANSLATE(G2,""auto"",""en"")"),"8")</f>
        <v>8</v>
      </c>
      <c r="H66" s="9" t="str">
        <f>IFERROR(__xludf.DUMMYFUNCTION("GOOGLETRANSLATE(H2,""auto"",""en"")"),"Replacement of specification unique to identify one statement ID number, the join between the statements Key")</f>
        <v>Replacement of specification unique to identify one statement ID number, the join between the statements Key</v>
      </c>
    </row>
    <row r="67" ht="16.5" customHeight="1">
      <c r="A67" s="9" t="str">
        <f>IFERROR(__xludf.DUMMYFUNCTION("GOOGLETRANSLATE(A3,""auto"",""en"")"),"co19_t200_trans_dn")</f>
        <v>co19_t200_trans_dn</v>
      </c>
      <c r="B67" s="9" t="str">
        <f>IFERROR(__xludf.DUMMYFUNCTION("GOOGLETRANSLATE(B3,""auto"",""en"")"),"Corona statement History")</f>
        <v>Corona statement History</v>
      </c>
      <c r="C67" s="9" t="str">
        <f>IFERROR(__xludf.DUMMYFUNCTION("GOOGLETRANSLATE(C3,""auto"",""en"")"),"2")</f>
        <v>2</v>
      </c>
      <c r="D67" s="9" t="str">
        <f>IFERROR(__xludf.DUMMYFUNCTION("GOOGLETRANSLATE(D3,""auto"",""en"")"),"INSUP_TP_CD")</f>
        <v>INSUP_TP_CD</v>
      </c>
      <c r="E67" s="9" t="str">
        <f>IFERROR(__xludf.DUMMYFUNCTION("GOOGLETRANSLATE(E3,""auto"",""en"")"),"Insurer classification demarcation code")</f>
        <v>Insurer classification demarcation code</v>
      </c>
      <c r="F67" s="9" t="str">
        <f>IFERROR(__xludf.DUMMYFUNCTION("GOOGLETRANSLATE(F3,""auto"",""en"")"),"text")</f>
        <v>text</v>
      </c>
      <c r="G67" s="9" t="str">
        <f>IFERROR(__xludf.DUMMYFUNCTION("GOOGLETRANSLATE(G3,""auto"",""en"")"),"2")</f>
        <v>2</v>
      </c>
      <c r="H67" s="9" t="str">
        <f>IFERROR(__xludf.DUMMYFUNCTION("GOOGLETRANSLATE(H3,""auto"",""en"")"),"Nine minutes insurer classification based on the reimbursement cost assessment bill
* Valid values: 4: Health Care, 5: Medical Aid, 7: Veterans etc.")</f>
        <v>Nine minutes insurer classification based on the reimbursement cost assessment bill
* Valid values: 4: Health Care, 5: Medical Aid, 7: Veterans etc.</v>
      </c>
    </row>
    <row r="68" ht="16.5" customHeight="1">
      <c r="A68" s="9" t="str">
        <f>IFERROR(__xludf.DUMMYFUNCTION("GOOGLETRANSLATE(A4,""auto"",""en"")"),"co19_t200_trans_dn")</f>
        <v>co19_t200_trans_dn</v>
      </c>
      <c r="B68" s="9" t="str">
        <f>IFERROR(__xludf.DUMMYFUNCTION("GOOGLETRANSLATE(B4,""auto"",""en"")"),"Corona statement History")</f>
        <v>Corona statement History</v>
      </c>
      <c r="C68" s="9" t="str">
        <f>IFERROR(__xludf.DUMMYFUNCTION("GOOGLETRANSLATE(C4,""auto"",""en"")"),"3")</f>
        <v>3</v>
      </c>
      <c r="D68" s="9" t="str">
        <f>IFERROR(__xludf.DUMMYFUNCTION("GOOGLETRANSLATE(D4,""auto"",""en"")"),"JID")</f>
        <v>JID</v>
      </c>
      <c r="E68" s="9" t="str">
        <f>IFERROR(__xludf.DUMMYFUNCTION("GOOGLETRANSLATE(E4,""auto"",""en"")"),"Personal replaces the examinee identify key")</f>
        <v>Personal replaces the examinee identify key</v>
      </c>
      <c r="F68" s="9" t="str">
        <f>IFERROR(__xludf.DUMMYFUNCTION("GOOGLETRANSLATE(F4,""auto"",""en"")"),"number")</f>
        <v>number</v>
      </c>
      <c r="G68" s="9" t="str">
        <f>IFERROR(__xludf.DUMMYFUNCTION("GOOGLETRANSLATE(G4,""auto"",""en"")"),"8")</f>
        <v>8</v>
      </c>
      <c r="H68" s="9" t="str">
        <f>IFERROR(__xludf.DUMMYFUNCTION("GOOGLETRANSLATE(H4,""auto"",""en"")"),"Examinee number, social security number of alternative")</f>
        <v>Examinee number, social security number of alternative</v>
      </c>
    </row>
    <row r="69" ht="16.5" customHeight="1">
      <c r="A69" s="9" t="str">
        <f>IFERROR(__xludf.DUMMYFUNCTION("GOOGLETRANSLATE(A5,""auto"",""en"")"),"co19_t200_trans_dn")</f>
        <v>co19_t200_trans_dn</v>
      </c>
      <c r="B69" s="9" t="str">
        <f>IFERROR(__xludf.DUMMYFUNCTION("GOOGLETRANSLATE(B5,""auto"",""en"")"),"Corona statement History")</f>
        <v>Corona statement History</v>
      </c>
      <c r="C69" s="9" t="str">
        <f>IFERROR(__xludf.DUMMYFUNCTION("GOOGLETRANSLATE(C5,""auto"",""en"")"),"4")</f>
        <v>4</v>
      </c>
      <c r="D69" s="9" t="str">
        <f>IFERROR(__xludf.DUMMYFUNCTION("GOOGLETRANSLATE(D5,""auto"",""en"")"),"SEX_TP_CD")</f>
        <v>SEX_TP_CD</v>
      </c>
      <c r="E69" s="9" t="str">
        <f>IFERROR(__xludf.DUMMYFUNCTION("GOOGLETRANSLATE(E5,""auto"",""en"")"),"Gender nine minutes")</f>
        <v>Gender nine minutes</v>
      </c>
      <c r="F69" s="9" t="str">
        <f>IFERROR(__xludf.DUMMYFUNCTION("GOOGLETRANSLATE(F5,""auto"",""en"")"),"text")</f>
        <v>text</v>
      </c>
      <c r="G69" s="9" t="str">
        <f>IFERROR(__xludf.DUMMYFUNCTION("GOOGLETRANSLATE(G5,""auto"",""en"")"),"1")</f>
        <v>1</v>
      </c>
      <c r="H69" s="9" t="str">
        <f>IFERROR(__xludf.DUMMYFUNCTION("GOOGLETRANSLATE(H5,""auto"",""en"")"),"Gender codes to distinguish between men and women
* Valid values: $: n, 1: Male 2: Female, 9: Others")</f>
        <v>Gender codes to distinguish between men and women
* Valid values: $: n, 1: Male 2: Female, 9: Others</v>
      </c>
    </row>
    <row r="70" ht="16.5" customHeight="1">
      <c r="A70" s="9" t="str">
        <f>IFERROR(__xludf.DUMMYFUNCTION("GOOGLETRANSLATE(A6,""auto"",""en"")"),"co19_t200_trans_dn")</f>
        <v>co19_t200_trans_dn</v>
      </c>
      <c r="B70" s="9" t="str">
        <f>IFERROR(__xludf.DUMMYFUNCTION("GOOGLETRANSLATE(B6,""auto"",""en"")"),"Corona statement History")</f>
        <v>Corona statement History</v>
      </c>
      <c r="C70" s="9" t="str">
        <f>IFERROR(__xludf.DUMMYFUNCTION("GOOGLETRANSLATE(C6,""auto"",""en"")"),"5")</f>
        <v>5</v>
      </c>
      <c r="D70" s="9" t="str">
        <f>IFERROR(__xludf.DUMMYFUNCTION("GOOGLETRANSLATE(D6,""auto"",""en"")"),"PAT_BTH")</f>
        <v>PAT_BTH</v>
      </c>
      <c r="E70" s="9" t="str">
        <f>IFERROR(__xludf.DUMMYFUNCTION("GOOGLETRANSLATE(E6,""auto"",""en"")"),"Examinee Birthday")</f>
        <v>Examinee Birthday</v>
      </c>
      <c r="F70" s="9" t="str">
        <f>IFERROR(__xludf.DUMMYFUNCTION("GOOGLETRANSLATE(F6,""auto"",""en"")"),"text")</f>
        <v>text</v>
      </c>
      <c r="G70" s="9" t="str">
        <f>IFERROR(__xludf.DUMMYFUNCTION("GOOGLETRANSLATE(G6,""auto"",""en"")"),"16")</f>
        <v>16</v>
      </c>
      <c r="H70" s="9" t="str">
        <f>IFERROR(__xludf.DUMMYFUNCTION("GOOGLETRANSLATE(H6,""auto"",""en"")"),"Birth of the examinee (YYMMDD)")</f>
        <v>Birth of the examinee (YYMMDD)</v>
      </c>
    </row>
    <row r="71" ht="16.5" customHeight="1">
      <c r="A71" s="9" t="str">
        <f>IFERROR(__xludf.DUMMYFUNCTION("GOOGLETRANSLATE(A7,""auto"",""en"")"),"co19_t200_trans_dn")</f>
        <v>co19_t200_trans_dn</v>
      </c>
      <c r="B71" s="9" t="str">
        <f>IFERROR(__xludf.DUMMYFUNCTION("GOOGLETRANSLATE(B7,""auto"",""en"")"),"Corona statement History")</f>
        <v>Corona statement History</v>
      </c>
      <c r="C71" s="9" t="str">
        <f>IFERROR(__xludf.DUMMYFUNCTION("GOOGLETRANSLATE(C7,""auto"",""en"")"),"6")</f>
        <v>6</v>
      </c>
      <c r="D71" s="9" t="str">
        <f>IFERROR(__xludf.DUMMYFUNCTION("GOOGLETRANSLATE(D7,""auto"",""en"")"),"PAT_AGE")</f>
        <v>PAT_AGE</v>
      </c>
      <c r="E71" s="9" t="str">
        <f>IFERROR(__xludf.DUMMYFUNCTION("GOOGLETRANSLATE(E7,""auto"",""en"")"),"Examinee age")</f>
        <v>Examinee age</v>
      </c>
      <c r="F71" s="9" t="str">
        <f>IFERROR(__xludf.DUMMYFUNCTION("GOOGLETRANSLATE(F7,""auto"",""en"")"),"number")</f>
        <v>number</v>
      </c>
      <c r="G71" s="9" t="str">
        <f>IFERROR(__xludf.DUMMYFUNCTION("GOOGLETRANSLATE(G7,""auto"",""en"")"),"8")</f>
        <v>8</v>
      </c>
      <c r="H71" s="9" t="str">
        <f>IFERROR(__xludf.DUMMYFUNCTION("GOOGLETRANSLATE(H7,""auto"",""en"")"),"Examinee's age at the time of commencement of care
※ formula (Care start date - date of birth examinee)")</f>
        <v>Examinee's age at the time of commencement of care
※ formula (Care start date - date of birth examinee)</v>
      </c>
    </row>
    <row r="72" ht="16.5" customHeight="1">
      <c r="A72" s="9" t="str">
        <f>IFERROR(__xludf.DUMMYFUNCTION("GOOGLETRANSLATE(A8,""auto"",""en"")"),"co19_t200_trans_dn")</f>
        <v>co19_t200_trans_dn</v>
      </c>
      <c r="B72" s="9" t="str">
        <f>IFERROR(__xludf.DUMMYFUNCTION("GOOGLETRANSLATE(B8,""auto"",""en"")"),"Corona statement History")</f>
        <v>Corona statement History</v>
      </c>
      <c r="C72" s="9" t="str">
        <f>IFERROR(__xludf.DUMMYFUNCTION("GOOGLETRANSLATE(C8,""auto"",""en"")"),"7")</f>
        <v>7</v>
      </c>
      <c r="D72" s="9" t="str">
        <f>IFERROR(__xludf.DUMMYFUNCTION("GOOGLETRANSLATE(D8,""auto"",""en"")"),"PAT_STC_AGE")</f>
        <v>PAT_STC_AGE</v>
      </c>
      <c r="E72" s="9" t="str">
        <f>IFERROR(__xludf.DUMMYFUNCTION("GOOGLETRANSLATE(E8,""auto"",""en"")"),"Examinee Statistics Age")</f>
        <v>Examinee Statistics Age</v>
      </c>
      <c r="F72" s="9" t="str">
        <f>IFERROR(__xludf.DUMMYFUNCTION("GOOGLETRANSLATE(F8,""auto"",""en"")"),"number")</f>
        <v>number</v>
      </c>
      <c r="G72" s="9" t="str">
        <f>IFERROR(__xludf.DUMMYFUNCTION("GOOGLETRANSLATE(G8,""auto"",""en"")"),"8")</f>
        <v>8</v>
      </c>
      <c r="H72" s="9" t="str">
        <f>IFERROR(__xludf.DUMMYFUNCTION("GOOGLETRANSLATE(H8,""auto"",""en"")"),"A variable generated in age was statistically calculated based on the end purpose of the examinee of the medical treatment disclosed in")</f>
        <v>A variable generated in age was statistically calculated based on the end purpose of the examinee of the medical treatment disclosed in</v>
      </c>
    </row>
    <row r="73" ht="16.5" customHeight="1">
      <c r="A73" s="9" t="str">
        <f>IFERROR(__xludf.DUMMYFUNCTION("GOOGLETRANSLATE(A9,""auto"",""en"")"),"co19_t200_trans_dn")</f>
        <v>co19_t200_trans_dn</v>
      </c>
      <c r="B73" s="9" t="str">
        <f>IFERROR(__xludf.DUMMYFUNCTION("GOOGLETRANSLATE(B9,""auto"",""en"")"),"Corona statement History")</f>
        <v>Corona statement History</v>
      </c>
      <c r="C73" s="9" t="str">
        <f>IFERROR(__xludf.DUMMYFUNCTION("GOOGLETRANSLATE(C9,""auto"",""en"")"),"8")</f>
        <v>8</v>
      </c>
      <c r="D73" s="9" t="str">
        <f>IFERROR(__xludf.DUMMYFUNCTION("GOOGLETRANSLATE(D9,""auto"",""en"")"),"YID")</f>
        <v>YID</v>
      </c>
      <c r="E73" s="9" t="str">
        <f>IFERROR(__xludf.DUMMYFUNCTION("GOOGLETRANSLATE(E9,""auto"",""en"")"),"Medical institutions to identify alternate keys")</f>
        <v>Medical institutions to identify alternate keys</v>
      </c>
      <c r="F73" s="9" t="str">
        <f>IFERROR(__xludf.DUMMYFUNCTION("GOOGLETRANSLATE(F9,""auto"",""en"")"),"number")</f>
        <v>number</v>
      </c>
      <c r="G73" s="9" t="str">
        <f>IFERROR(__xludf.DUMMYFUNCTION("GOOGLETRANSLATE(G9,""auto"",""en"")"),"8")</f>
        <v>8</v>
      </c>
      <c r="H73" s="9" t="str">
        <f>IFERROR(__xludf.DUMMYFUNCTION("GOOGLETRANSLATE(H9,""auto"",""en"")"),"Medical institutions symbol alternative number")</f>
        <v>Medical institutions symbol alternative number</v>
      </c>
    </row>
    <row r="74" ht="16.5" customHeight="1">
      <c r="A74" s="9" t="str">
        <f>IFERROR(__xludf.DUMMYFUNCTION("GOOGLETRANSLATE(A10,""auto"",""en"")"),"co19_t200_trans_dn")</f>
        <v>co19_t200_trans_dn</v>
      </c>
      <c r="B74" s="9" t="str">
        <f>IFERROR(__xludf.DUMMYFUNCTION("GOOGLETRANSLATE(B10,""auto"",""en"")"),"Corona statement History")</f>
        <v>Corona statement History</v>
      </c>
      <c r="C74" s="9" t="str">
        <f>IFERROR(__xludf.DUMMYFUNCTION("GOOGLETRANSLATE(C10,""auto"",""en"")"),"9")</f>
        <v>9</v>
      </c>
      <c r="D74" s="9" t="str">
        <f>IFERROR(__xludf.DUMMYFUNCTION("GOOGLETRANSLATE(D10,""auto"",""en"")"),"CL_CD")</f>
        <v>CL_CD</v>
      </c>
      <c r="E74" s="9" t="str">
        <f>IFERROR(__xludf.DUMMYFUNCTION("GOOGLETRANSLATE(E10,""auto"",""en"")"),"Type medical institutions demarcation code")</f>
        <v>Type medical institutions demarcation code</v>
      </c>
      <c r="F74" s="9" t="str">
        <f>IFERROR(__xludf.DUMMYFUNCTION("GOOGLETRANSLATE(F10,""auto"",""en"")"),"text")</f>
        <v>text</v>
      </c>
      <c r="G74" s="9" t="str">
        <f>IFERROR(__xludf.DUMMYFUNCTION("GOOGLETRANSLATE(G10,""auto"",""en"")"),"4")</f>
        <v>4</v>
      </c>
      <c r="H74" s="9" t="str">
        <f>IFERROR(__xludf.DUMMYFUNCTION("GOOGLETRANSLATE(H10,""auto"",""en"")"),"Classification code to be grouped according to size beds in nursing homes based on the classification code")</f>
        <v>Classification code to be grouped according to size beds in nursing homes based on the classification code</v>
      </c>
    </row>
    <row r="75" ht="16.5" customHeight="1">
      <c r="A75" s="9" t="str">
        <f>IFERROR(__xludf.DUMMYFUNCTION("GOOGLETRANSLATE(A11,""auto"",""en"")"),"co19_t200_trans_dn")</f>
        <v>co19_t200_trans_dn</v>
      </c>
      <c r="B75" s="9" t="str">
        <f>IFERROR(__xludf.DUMMYFUNCTION("GOOGLETRANSLATE(B11,""auto"",""en"")"),"Corona statement History")</f>
        <v>Corona statement History</v>
      </c>
      <c r="C75" s="9" t="str">
        <f>IFERROR(__xludf.DUMMYFUNCTION("GOOGLETRANSLATE(C11,""auto"",""en"")"),"10")</f>
        <v>10</v>
      </c>
      <c r="D75" s="9" t="str">
        <f>IFERROR(__xludf.DUMMYFUNCTION("GOOGLETRANSLATE(D11,""auto"",""en"")"),"RVD_PLC_CD")</f>
        <v>RVD_PLC_CD</v>
      </c>
      <c r="E75" s="9" t="str">
        <f>IFERROR(__xludf.DUMMYFUNCTION("GOOGLETRANSLATE(E11,""auto"",""en"")"),"Area code")</f>
        <v>Area code</v>
      </c>
      <c r="F75" s="9" t="str">
        <f>IFERROR(__xludf.DUMMYFUNCTION("GOOGLETRANSLATE(F11,""auto"",""en"")"),"text")</f>
        <v>text</v>
      </c>
      <c r="G75" s="9" t="str">
        <f>IFERROR(__xludf.DUMMYFUNCTION("GOOGLETRANSLATE(G11,""auto"",""en"")"),"12")</f>
        <v>12</v>
      </c>
      <c r="H75" s="9" t="str">
        <f>IFERROR(__xludf.DUMMYFUNCTION("GOOGLETRANSLATE(H11,""auto"",""en"")"),"Medical institutions in this area (City, County, District) code located")</f>
        <v>Medical institutions in this area (City, County, District) code located</v>
      </c>
    </row>
    <row r="76" ht="16.5" customHeight="1">
      <c r="A76" s="9" t="str">
        <f>IFERROR(__xludf.DUMMYFUNCTION("GOOGLETRANSLATE(A12,""auto"",""en"")"),"co19_t200_trans_dn")</f>
        <v>co19_t200_trans_dn</v>
      </c>
      <c r="B76" s="9" t="str">
        <f>IFERROR(__xludf.DUMMYFUNCTION("GOOGLETRANSLATE(B12,""auto"",""en"")"),"Corona statement History")</f>
        <v>Corona statement History</v>
      </c>
      <c r="C76" s="9" t="str">
        <f>IFERROR(__xludf.DUMMYFUNCTION("GOOGLETRANSLATE(C12,""auto"",""en"")"),"11")</f>
        <v>11</v>
      </c>
      <c r="D76" s="9" t="str">
        <f>IFERROR(__xludf.DUMMYFUNCTION("GOOGLETRANSLATE(D12,""auto"",""en"")"),"FOM_TP_CD")</f>
        <v>FOM_TP_CD</v>
      </c>
      <c r="E76" s="9" t="str">
        <f>IFERROR(__xludf.DUMMYFUNCTION("GOOGLETRANSLATE(E12,""auto"",""en"")"),"Format demarcation code")</f>
        <v>Format demarcation code</v>
      </c>
      <c r="F76" s="9" t="str">
        <f>IFERROR(__xludf.DUMMYFUNCTION("GOOGLETRANSLATE(F12,""auto"",""en"")"),"text")</f>
        <v>text</v>
      </c>
      <c r="G76" s="9" t="str">
        <f>IFERROR(__xludf.DUMMYFUNCTION("GOOGLETRANSLATE(G12,""auto"",""en"")"),"20")</f>
        <v>20</v>
      </c>
      <c r="H76" s="9" t="str">
        <f>IFERROR(__xludf.DUMMYFUNCTION("GOOGLETRANSLATE(H12,""auto"",""en"")"),"Of the format of the statement, dentists, oriental medicine, hospitalization, such as health institutions, broken down by code by foreign")</f>
        <v>Of the format of the statement, dentists, oriental medicine, hospitalization, such as health institutions, broken down by code by foreign</v>
      </c>
    </row>
    <row r="77" ht="16.5" customHeight="1">
      <c r="A77" s="9" t="str">
        <f>IFERROR(__xludf.DUMMYFUNCTION("GOOGLETRANSLATE(A13,""auto"",""en"")"),"co19_t200_trans_dn")</f>
        <v>co19_t200_trans_dn</v>
      </c>
      <c r="B77" s="9" t="str">
        <f>IFERROR(__xludf.DUMMYFUNCTION("GOOGLETRANSLATE(B13,""auto"",""en"")"),"Corona statement History")</f>
        <v>Corona statement History</v>
      </c>
      <c r="C77" s="9" t="str">
        <f>IFERROR(__xludf.DUMMYFUNCTION("GOOGLETRANSLATE(C13,""auto"",""en"")"),"12")</f>
        <v>12</v>
      </c>
      <c r="D77" s="9" t="str">
        <f>IFERROR(__xludf.DUMMYFUNCTION("GOOGLETRANSLATE(D13,""auto"",""en"")"),"MAIN_SICK")</f>
        <v>MAIN_SICK</v>
      </c>
      <c r="E77" s="9" t="str">
        <f>IFERROR(__xludf.DUMMYFUNCTION("GOOGLETRANSLATE(E13,""auto"",""en"")"),"Residential bottle code")</f>
        <v>Residential bottle code</v>
      </c>
      <c r="F77" s="9" t="str">
        <f>IFERROR(__xludf.DUMMYFUNCTION("GOOGLETRANSLATE(F13,""auto"",""en"")"),"text")</f>
        <v>text</v>
      </c>
      <c r="G77" s="9" t="str">
        <f>IFERROR(__xludf.DUMMYFUNCTION("GOOGLETRANSLATE(G13,""auto"",""en"")"),"12")</f>
        <v>12</v>
      </c>
      <c r="H77" s="9" t="str">
        <f>IFERROR(__xludf.DUMMYFUNCTION("GOOGLETRANSLATE(H13,""auto"",""en"")"),"Corporal statement classification symbol of the columnar bottle (the needs of the largest patients for such treatment duration of treatment and inspection SPC)")</f>
        <v>Corporal statement classification symbol of the columnar bottle (the needs of the largest patients for such treatment duration of treatment and inspection SPC)</v>
      </c>
    </row>
    <row r="78" ht="16.5" customHeight="1">
      <c r="A78" s="9" t="str">
        <f>IFERROR(__xludf.DUMMYFUNCTION("GOOGLETRANSLATE(A14,""auto"",""en"")"),"co19_t200_trans_dn")</f>
        <v>co19_t200_trans_dn</v>
      </c>
      <c r="B78" s="9" t="str">
        <f>IFERROR(__xludf.DUMMYFUNCTION("GOOGLETRANSLATE(B14,""auto"",""en"")"),"Corona statement History")</f>
        <v>Corona statement History</v>
      </c>
      <c r="C78" s="9" t="str">
        <f>IFERROR(__xludf.DUMMYFUNCTION("GOOGLETRANSLATE(C14,""auto"",""en"")"),"13")</f>
        <v>13</v>
      </c>
      <c r="D78" s="9" t="str">
        <f>IFERROR(__xludf.DUMMYFUNCTION("GOOGLETRANSLATE(D14,""auto"",""en"")"),"SUB_SICK")</f>
        <v>SUB_SICK</v>
      </c>
      <c r="E78" s="9" t="str">
        <f>IFERROR(__xludf.DUMMYFUNCTION("GOOGLETRANSLATE(E14,""auto"",""en"")"),"Wounded code")</f>
        <v>Wounded code</v>
      </c>
      <c r="F78" s="9" t="str">
        <f>IFERROR(__xludf.DUMMYFUNCTION("GOOGLETRANSLATE(F14,""auto"",""en"")"),"text")</f>
        <v>text</v>
      </c>
      <c r="G78" s="9" t="str">
        <f>IFERROR(__xludf.DUMMYFUNCTION("GOOGLETRANSLATE(G14,""auto"",""en"")"),"12")</f>
        <v>12</v>
      </c>
      <c r="H78" s="9" t="str">
        <f>IFERROR(__xludf.DUMMYFUNCTION("GOOGLETRANSLATE(H14,""auto"",""en"")"),"CPI specification classification symbol of the first wounded (CPI that affected the patient or was occurring as the CPI with a bottle main phase of treatment period)")</f>
        <v>CPI specification classification symbol of the first wounded (CPI that affected the patient or was occurring as the CPI with a bottle main phase of treatment period)</v>
      </c>
    </row>
    <row r="79" ht="16.5" customHeight="1">
      <c r="A79" s="9" t="str">
        <f>IFERROR(__xludf.DUMMYFUNCTION("GOOGLETRANSLATE(A15,""auto"",""en"")"),"co19_t200_trans_dn")</f>
        <v>co19_t200_trans_dn</v>
      </c>
      <c r="B79" s="9" t="str">
        <f>IFERROR(__xludf.DUMMYFUNCTION("GOOGLETRANSLATE(B15,""auto"",""en"")"),"Corona statement History")</f>
        <v>Corona statement History</v>
      </c>
      <c r="C79" s="9" t="str">
        <f>IFERROR(__xludf.DUMMYFUNCTION("GOOGLETRANSLATE(C15,""auto"",""en"")"),"14")</f>
        <v>14</v>
      </c>
      <c r="D79" s="9" t="str">
        <f>IFERROR(__xludf.DUMMYFUNCTION("GOOGLETRANSLATE(D15,""auto"",""en"")"),"DGSBJT_CD")</f>
        <v>DGSBJT_CD</v>
      </c>
      <c r="E79" s="9" t="str">
        <f>IFERROR(__xludf.DUMMYFUNCTION("GOOGLETRANSLATE(E15,""auto"",""en"")"),"Departments code")</f>
        <v>Departments code</v>
      </c>
      <c r="F79" s="9" t="str">
        <f>IFERROR(__xludf.DUMMYFUNCTION("GOOGLETRANSLATE(F15,""auto"",""en"")"),"text")</f>
        <v>text</v>
      </c>
      <c r="G79" s="9" t="str">
        <f>IFERROR(__xludf.DUMMYFUNCTION("GOOGLETRANSLATE(G15,""auto"",""en"")"),"4")</f>
        <v>4</v>
      </c>
      <c r="H79" s="9" t="str">
        <f>IFERROR(__xludf.DUMMYFUNCTION("GOOGLETRANSLATE(H15,""auto"",""en"")"),"Departments receiving the actual medical care subjects corresponding to the (hospital-grade or higher) or the main diagnosis person (medical institutions, clinics)")</f>
        <v>Departments receiving the actual medical care subjects corresponding to the (hospital-grade or higher) or the main diagnosis person (medical institutions, clinics)</v>
      </c>
    </row>
    <row r="80" ht="16.5" customHeight="1">
      <c r="A80" s="9" t="str">
        <f>IFERROR(__xludf.DUMMYFUNCTION("GOOGLETRANSLATE(A16,""auto"",""en"")"),"co19_t200_trans_dn")</f>
        <v>co19_t200_trans_dn</v>
      </c>
      <c r="B80" s="9" t="str">
        <f>IFERROR(__xludf.DUMMYFUNCTION("GOOGLETRANSLATE(B16,""auto"",""en"")"),"Corona statement History")</f>
        <v>Corona statement History</v>
      </c>
      <c r="C80" s="9" t="str">
        <f>IFERROR(__xludf.DUMMYFUNCTION("GOOGLETRANSLATE(C16,""auto"",""en"")"),"15")</f>
        <v>15</v>
      </c>
      <c r="D80" s="9" t="str">
        <f>IFERROR(__xludf.DUMMYFUNCTION("GOOGLETRANSLATE(D16,""auto"",""en"")"),"RECU_FR_DD")</f>
        <v>RECU_FR_DD</v>
      </c>
      <c r="E80" s="9" t="str">
        <f>IFERROR(__xludf.DUMMYFUNCTION("GOOGLETRANSLATE(E16,""auto"",""en"")"),"Care Release Date")</f>
        <v>Care Release Date</v>
      </c>
      <c r="F80" s="9" t="str">
        <f>IFERROR(__xludf.DUMMYFUNCTION("GOOGLETRANSLATE(F16,""auto"",""en"")"),"text")</f>
        <v>text</v>
      </c>
      <c r="G80" s="9" t="str">
        <f>IFERROR(__xludf.DUMMYFUNCTION("GOOGLETRANSLATE(G16,""auto"",""en"")"),"16")</f>
        <v>16</v>
      </c>
      <c r="H80" s="9" t="str">
        <f>IFERROR(__xludf.DUMMYFUNCTION("GOOGLETRANSLATE(H16,""auto"",""en"")"),"Date examinee has started receiving medical treatment (YYMMDD)")</f>
        <v>Date examinee has started receiving medical treatment (YYMMDD)</v>
      </c>
    </row>
    <row r="81" ht="16.5" customHeight="1">
      <c r="A81" s="9" t="str">
        <f>IFERROR(__xludf.DUMMYFUNCTION("GOOGLETRANSLATE(A17,""auto"",""en"")"),"co19_t200_trans_dn")</f>
        <v>co19_t200_trans_dn</v>
      </c>
      <c r="B81" s="9" t="str">
        <f>IFERROR(__xludf.DUMMYFUNCTION("GOOGLETRANSLATE(B17,""auto"",""en"")"),"Corona statement History")</f>
        <v>Corona statement History</v>
      </c>
      <c r="C81" s="9" t="str">
        <f>IFERROR(__xludf.DUMMYFUNCTION("GOOGLETRANSLATE(C17,""auto"",""en"")"),"16")</f>
        <v>16</v>
      </c>
      <c r="D81" s="9" t="str">
        <f>IFERROR(__xludf.DUMMYFUNCTION("GOOGLETRANSLATE(D17,""auto"",""en"")"),"RECU_TO_DD")</f>
        <v>RECU_TO_DD</v>
      </c>
      <c r="E81" s="9" t="str">
        <f>IFERROR(__xludf.DUMMYFUNCTION("GOOGLETRANSLATE(E17,""auto"",""en"")"),"Care ends")</f>
        <v>Care ends</v>
      </c>
      <c r="F81" s="9" t="str">
        <f>IFERROR(__xludf.DUMMYFUNCTION("GOOGLETRANSLATE(F17,""auto"",""en"")"),"text")</f>
        <v>text</v>
      </c>
      <c r="G81" s="9" t="str">
        <f>IFERROR(__xludf.DUMMYFUNCTION("GOOGLETRANSLATE(G17,""auto"",""en"")"),"10")</f>
        <v>10</v>
      </c>
      <c r="H81" s="9" t="str">
        <f>IFERROR(__xludf.DUMMYFUNCTION("GOOGLETRANSLATE(H17,""auto"",""en"")"),"The end date of the examinee to receive medical treatment (YYMMDD)")</f>
        <v>The end date of the examinee to receive medical treatment (YYMMDD)</v>
      </c>
    </row>
    <row r="82" ht="16.5" customHeight="1">
      <c r="A82" s="9" t="str">
        <f>IFERROR(__xludf.DUMMYFUNCTION("GOOGLETRANSLATE(A18,""auto"",""en"")"),"co19_t200_trans_dn")</f>
        <v>co19_t200_trans_dn</v>
      </c>
      <c r="B82" s="9" t="str">
        <f>IFERROR(__xludf.DUMMYFUNCTION("GOOGLETRANSLATE(B18,""auto"",""en"")"),"Corona statement History")</f>
        <v>Corona statement History</v>
      </c>
      <c r="C82" s="9" t="str">
        <f>IFERROR(__xludf.DUMMYFUNCTION("GOOGLETRANSLATE(C18,""auto"",""en"")"),"17")</f>
        <v>17</v>
      </c>
      <c r="D82" s="9" t="str">
        <f>IFERROR(__xludf.DUMMYFUNCTION("GOOGLETRANSLATE(D18,""auto"",""en"")"),"FST_DD")</f>
        <v>FST_DD</v>
      </c>
      <c r="E82" s="9" t="str">
        <f>IFERROR(__xludf.DUMMYFUNCTION("GOOGLETRANSLATE(E18,""auto"",""en"")"),"First admission date")</f>
        <v>First admission date</v>
      </c>
      <c r="F82" s="9" t="str">
        <f>IFERROR(__xludf.DUMMYFUNCTION("GOOGLETRANSLATE(F18,""auto"",""en"")"),"text")</f>
        <v>text</v>
      </c>
      <c r="G82" s="9" t="str">
        <f>IFERROR(__xludf.DUMMYFUNCTION("GOOGLETRANSLATE(G18,""auto"",""en"")"),"16")</f>
        <v>16</v>
      </c>
      <c r="H82" s="9" t="str">
        <f>IFERROR(__xludf.DUMMYFUNCTION("GOOGLETRANSLATE(H18,""auto"",""en"")"),"As first presented one year in the month to corporal care / month / day (YYMMDD, based upon the first admission date if charged separate admission cost reimbursement)")</f>
        <v>As first presented one year in the month to corporal care / month / day (YYMMDD, based upon the first admission date if charged separate admission cost reimbursement)</v>
      </c>
    </row>
    <row r="83" ht="16.5" customHeight="1">
      <c r="A83" s="9" t="str">
        <f>IFERROR(__xludf.DUMMYFUNCTION("GOOGLETRANSLATE(A19,""auto"",""en"")"),"co19_t200_trans_dn")</f>
        <v>co19_t200_trans_dn</v>
      </c>
      <c r="B83" s="9" t="str">
        <f>IFERROR(__xludf.DUMMYFUNCTION("GOOGLETRANSLATE(B19,""auto"",""en"")"),"Corona statement History")</f>
        <v>Corona statement History</v>
      </c>
      <c r="C83" s="9" t="str">
        <f>IFERROR(__xludf.DUMMYFUNCTION("GOOGLETRANSLATE(C19,""auto"",""en"")"),"18")</f>
        <v>18</v>
      </c>
      <c r="D83" s="9" t="str">
        <f>IFERROR(__xludf.DUMMYFUNCTION("GOOGLETRANSLATE(D19,""auto"",""en"")"),"VST_DDCNT")</f>
        <v>VST_DDCNT</v>
      </c>
      <c r="E83" s="9" t="str">
        <f>IFERROR(__xludf.DUMMYFUNCTION("GOOGLETRANSLATE(E19,""auto"",""en"")"),"I visited days")</f>
        <v>I visited days</v>
      </c>
      <c r="F83" s="9" t="str">
        <f>IFERROR(__xludf.DUMMYFUNCTION("GOOGLETRANSLATE(F19,""auto"",""en"")"),"number")</f>
        <v>number</v>
      </c>
      <c r="G83" s="9" t="str">
        <f>IFERROR(__xludf.DUMMYFUNCTION("GOOGLETRANSLATE(G19,""auto"",""en"")"),"8")</f>
        <v>8</v>
      </c>
      <c r="H83" s="9" t="str">
        <f>IFERROR(__xludf.DUMMYFUNCTION("GOOGLETRANSLATE(H19,""auto"",""en"")"),"Hospitalization or admission (including the first visit, the follow-up visit) and the actual number of days receiving treatment")</f>
        <v>Hospitalization or admission (including the first visit, the follow-up visit) and the actual number of days receiving treatment</v>
      </c>
    </row>
    <row r="84" ht="16.5" customHeight="1">
      <c r="A84" s="9" t="str">
        <f>IFERROR(__xludf.DUMMYFUNCTION("GOOGLETRANSLATE(A20,""auto"",""en"")"),"co19_t200_trans_dn")</f>
        <v>co19_t200_trans_dn</v>
      </c>
      <c r="B84" s="9" t="str">
        <f>IFERROR(__xludf.DUMMYFUNCTION("GOOGLETRANSLATE(B20,""auto"",""en"")"),"Corona statement History")</f>
        <v>Corona statement History</v>
      </c>
      <c r="C84" s="9" t="str">
        <f>IFERROR(__xludf.DUMMYFUNCTION("GOOGLETRANSLATE(C20,""auto"",""en"")"),"19")</f>
        <v>19</v>
      </c>
      <c r="D84" s="9" t="str">
        <f>IFERROR(__xludf.DUMMYFUNCTION("GOOGLETRANSLATE(D20,""auto"",""en"")"),"RECU_DDCNT")</f>
        <v>RECU_DDCNT</v>
      </c>
      <c r="E84" s="9" t="str">
        <f>IFERROR(__xludf.DUMMYFUNCTION("GOOGLETRANSLATE(E20,""auto"",""en"")"),"Care days")</f>
        <v>Care days</v>
      </c>
      <c r="F84" s="9" t="str">
        <f>IFERROR(__xludf.DUMMYFUNCTION("GOOGLETRANSLATE(F20,""auto"",""en"")"),"number")</f>
        <v>number</v>
      </c>
      <c r="G84" s="9" t="str">
        <f>IFERROR(__xludf.DUMMYFUNCTION("GOOGLETRANSLATE(G20,""auto"",""en"")"),"8")</f>
        <v>8</v>
      </c>
      <c r="H84" s="9" t="str">
        <f>IFERROR(__xludf.DUMMYFUNCTION("GOOGLETRANSLATE(H20,""auto"",""en"")"),"The total number of days for a medical examinee (including dosing days)")</f>
        <v>The total number of days for a medical examinee (including dosing days)</v>
      </c>
    </row>
    <row r="85" ht="16.5" customHeight="1">
      <c r="A85" s="9" t="str">
        <f>IFERROR(__xludf.DUMMYFUNCTION("GOOGLETRANSLATE(A21,""auto"",""en"")"),"co19_t200_trans_dn")</f>
        <v>co19_t200_trans_dn</v>
      </c>
      <c r="B85" s="9" t="str">
        <f>IFERROR(__xludf.DUMMYFUNCTION("GOOGLETRANSLATE(B21,""auto"",""en"")"),"Corona statement History")</f>
        <v>Corona statement History</v>
      </c>
      <c r="C85" s="9" t="str">
        <f>IFERROR(__xludf.DUMMYFUNCTION("GOOGLETRANSLATE(C21,""auto"",""en"")"),"20")</f>
        <v>20</v>
      </c>
      <c r="D85" s="9" t="str">
        <f>IFERROR(__xludf.DUMMYFUNCTION("GOOGLETRANSLATE(D21,""auto"",""en"")"),"RVD_RPE_TAMT_AMT")</f>
        <v>RVD_RPE_TAMT_AMT</v>
      </c>
      <c r="E85" s="9" t="str">
        <f>IFERROR(__xludf.DUMMYFUNCTION("GOOGLETRANSLATE(E21,""auto"",""en"")"),"Total cost reimbursement")</f>
        <v>Total cost reimbursement</v>
      </c>
      <c r="F85" s="9" t="str">
        <f>IFERROR(__xludf.DUMMYFUNCTION("GOOGLETRANSLATE(F21,""auto"",""en"")"),"number")</f>
        <v>number</v>
      </c>
      <c r="G85" s="9" t="str">
        <f>IFERROR(__xludf.DUMMYFUNCTION("GOOGLETRANSLATE(G21,""auto"",""en"")"),"8")</f>
        <v>8</v>
      </c>
      <c r="H85" s="9" t="str">
        <f>IFERROR(__xludf.DUMMYFUNCTION("GOOGLETRANSLATE(H21,""auto"",""en"")"),"Reimbursement of the costs claimed Step ST total reimbursement costs")</f>
        <v>Reimbursement of the costs claimed Step ST total reimbursement costs</v>
      </c>
    </row>
    <row r="86" ht="16.5" customHeight="1">
      <c r="A86" s="9" t="str">
        <f>IFERROR(__xludf.DUMMYFUNCTION("GOOGLETRANSLATE(A22,""auto"",""en"")"),"co19_t200_trans_dn")</f>
        <v>co19_t200_trans_dn</v>
      </c>
      <c r="B86" s="9" t="str">
        <f>IFERROR(__xludf.DUMMYFUNCTION("GOOGLETRANSLATE(B22,""auto"",""en"")"),"Corona statement History")</f>
        <v>Corona statement History</v>
      </c>
      <c r="C86" s="9" t="str">
        <f>IFERROR(__xludf.DUMMYFUNCTION("GOOGLETRANSLATE(C22,""auto"",""en"")"),"21")</f>
        <v>21</v>
      </c>
      <c r="D86" s="9" t="str">
        <f>IFERROR(__xludf.DUMMYFUNCTION("GOOGLETRANSLATE(D22,""auto"",""en"")"),"RVD_SLF_BRDN_AMT")</f>
        <v>RVD_SLF_BRDN_AMT</v>
      </c>
      <c r="E86" s="9" t="str">
        <f>IFERROR(__xludf.DUMMYFUNCTION("GOOGLETRANSLATE(E22,""auto"",""en"")"),"Copayments")</f>
        <v>Copayments</v>
      </c>
      <c r="F86" s="9" t="str">
        <f>IFERROR(__xludf.DUMMYFUNCTION("GOOGLETRANSLATE(F22,""auto"",""en"")"),"number")</f>
        <v>number</v>
      </c>
      <c r="G86" s="9" t="str">
        <f>IFERROR(__xludf.DUMMYFUNCTION("GOOGLETRANSLATE(G22,""auto"",""en"")"),"8")</f>
        <v>8</v>
      </c>
      <c r="H86" s="9" t="str">
        <f>IFERROR(__xludf.DUMMYFUNCTION("GOOGLETRANSLATE(H22,""auto"",""en"")"),"The amount of reimbursement of the cost statement examinee person in charge must pay steps")</f>
        <v>The amount of reimbursement of the cost statement examinee person in charge must pay steps</v>
      </c>
    </row>
    <row r="87" ht="16.5" customHeight="1">
      <c r="A87" s="9" t="str">
        <f>IFERROR(__xludf.DUMMYFUNCTION("GOOGLETRANSLATE(A23,""auto"",""en"")"),"co19_t200_trans_dn")</f>
        <v>co19_t200_trans_dn</v>
      </c>
      <c r="B87" s="9" t="str">
        <f>IFERROR(__xludf.DUMMYFUNCTION("GOOGLETRANSLATE(B23,""auto"",""en"")"),"Corona statement History")</f>
        <v>Corona statement History</v>
      </c>
      <c r="C87" s="9" t="str">
        <f>IFERROR(__xludf.DUMMYFUNCTION("GOOGLETRANSLATE(C23,""auto"",""en"")"),"22")</f>
        <v>22</v>
      </c>
      <c r="D87" s="9" t="str">
        <f>IFERROR(__xludf.DUMMYFUNCTION("GOOGLETRANSLATE(D23,""auto"",""en"")"),"RVD_INSUP_BRDN_AMT")</f>
        <v>RVD_INSUP_BRDN_AMT</v>
      </c>
      <c r="E87" s="9" t="str">
        <f>IFERROR(__xludf.DUMMYFUNCTION("GOOGLETRANSLATE(E23,""auto"",""en"")"),"The insurer charges")</f>
        <v>The insurer charges</v>
      </c>
      <c r="F87" s="9" t="str">
        <f>IFERROR(__xludf.DUMMYFUNCTION("GOOGLETRANSLATE(F23,""auto"",""en"")"),"number")</f>
        <v>number</v>
      </c>
      <c r="G87" s="9" t="str">
        <f>IFERROR(__xludf.DUMMYFUNCTION("GOOGLETRANSLATE(G23,""auto"",""en"")"),"8")</f>
        <v>8</v>
      </c>
      <c r="H87" s="9" t="str">
        <f>IFERROR(__xludf.DUMMYFUNCTION("GOOGLETRANSLATE(H23,""auto"",""en"")"),"The amount of the reimbursement costs herein do insurer pays claims in steps")</f>
        <v>The amount of the reimbursement costs herein do insurer pays claims in steps</v>
      </c>
    </row>
    <row r="88" ht="16.5" customHeight="1">
      <c r="A88" s="9" t="str">
        <f>IFERROR(__xludf.DUMMYFUNCTION("GOOGLETRANSLATE(A24,""auto"",""en"")"),"co19_t200_trans_dn")</f>
        <v>co19_t200_trans_dn</v>
      </c>
      <c r="B88" s="9" t="str">
        <f>IFERROR(__xludf.DUMMYFUNCTION("GOOGLETRANSLATE(B24,""auto"",""en"")"),"Corona statement History")</f>
        <v>Corona statement History</v>
      </c>
      <c r="C88" s="9" t="str">
        <f>IFERROR(__xludf.DUMMYFUNCTION("GOOGLETRANSLATE(C24,""auto"",""en"")"),"23")</f>
        <v>23</v>
      </c>
      <c r="D88" s="9" t="str">
        <f>IFERROR(__xludf.DUMMYFUNCTION("GOOGLETRANSLATE(D24,""auto"",""en"")"),"RVD_P100LT_TOT_AMT")</f>
        <v>RVD_P100LT_TOT_AMT</v>
      </c>
      <c r="E88" s="9" t="str">
        <f>IFERROR(__xludf.DUMMYFUNCTION("GOOGLETRANSLATE(E24,""auto"",""en"")"),"Less than 100 in 100 total")</f>
        <v>Less than 100 in 100 total</v>
      </c>
      <c r="F88" s="9" t="str">
        <f>IFERROR(__xludf.DUMMYFUNCTION("GOOGLETRANSLATE(F24,""auto"",""en"")"),"number")</f>
        <v>number</v>
      </c>
      <c r="G88" s="9" t="str">
        <f>IFERROR(__xludf.DUMMYFUNCTION("GOOGLETRANSLATE(G24,""auto"",""en"")"),"8")</f>
        <v>8</v>
      </c>
      <c r="H88" s="9" t="str">
        <f>IFERROR(__xludf.DUMMYFUNCTION("GOOGLETRANSLATE(H24,""auto"",""en"")"),"A term, B term, D, wherein and E term treatment materials, drugs, such as medical institutions, type addition ratio reimbursement cost is not applied, the medical institution type addition ratio is the total sum of the medical action and the addition amou"&amp;"nt applied of the sheet at the charge phase less than 10 circles in a cut-off value")</f>
        <v>A term, B term, D, wherein and E term treatment materials, drugs, such as medical institutions, type addition ratio reimbursement cost is not applied, the medical institution type addition ratio is the total sum of the medical action and the addition amount applied of the sheet at the charge phase less than 10 circles in a cut-off value</v>
      </c>
    </row>
    <row r="89" ht="16.5" customHeight="1">
      <c r="A89" s="9" t="str">
        <f>IFERROR(__xludf.DUMMYFUNCTION("GOOGLETRANSLATE(A25,""auto"",""en"")"),"co19_t200_trans_dn")</f>
        <v>co19_t200_trans_dn</v>
      </c>
      <c r="B89" s="9" t="str">
        <f>IFERROR(__xludf.DUMMYFUNCTION("GOOGLETRANSLATE(B25,""auto"",""en"")"),"Corona statement History")</f>
        <v>Corona statement History</v>
      </c>
      <c r="C89" s="9" t="str">
        <f>IFERROR(__xludf.DUMMYFUNCTION("GOOGLETRANSLATE(C25,""auto"",""en"")"),"24")</f>
        <v>24</v>
      </c>
      <c r="D89" s="9" t="str">
        <f>IFERROR(__xludf.DUMMYFUNCTION("GOOGLETRANSLATE(D25,""auto"",""en"")"),"SOPR_YN")</f>
        <v>SOPR_YN</v>
      </c>
      <c r="E89" s="9" t="str">
        <f>IFERROR(__xludf.DUMMYFUNCTION("GOOGLETRANSLATE(E25,""auto"",""en"")"),"Whether surgery")</f>
        <v>Whether surgery</v>
      </c>
      <c r="F89" s="9" t="str">
        <f>IFERROR(__xludf.DUMMYFUNCTION("GOOGLETRANSLATE(F25,""auto"",""en"")"),"text")</f>
        <v>text</v>
      </c>
      <c r="G89" s="9" t="str">
        <f>IFERROR(__xludf.DUMMYFUNCTION("GOOGLETRANSLATE(G25,""auto"",""en"")"),"2")</f>
        <v>2</v>
      </c>
      <c r="H89" s="9" t="str">
        <f>IFERROR(__xludf.DUMMYFUNCTION("GOOGLETRANSLATE(H25,""auto"",""en"")"),"Code pillar bottles of the statement is to distinguish whether the non-surgical cognitive surgery Corporal Corporal
* Valid values: 0: non-surgical, 9: Surgery")</f>
        <v>Code pillar bottles of the statement is to distinguish whether the non-surgical cognitive surgery Corporal Corporal
* Valid values: 0: non-surgical, 9: Surgery</v>
      </c>
    </row>
    <row r="90" ht="16.5" customHeight="1">
      <c r="A90" s="9" t="str">
        <f>IFERROR(__xludf.DUMMYFUNCTION("GOOGLETRANSLATE(A26,""auto"",""en"")"),"co19_t200_trans_dn")</f>
        <v>co19_t200_trans_dn</v>
      </c>
      <c r="B90" s="9" t="str">
        <f>IFERROR(__xludf.DUMMYFUNCTION("GOOGLETRANSLATE(B26,""auto"",""en"")"),"Corona statement History")</f>
        <v>Corona statement History</v>
      </c>
      <c r="C90" s="9" t="str">
        <f>IFERROR(__xludf.DUMMYFUNCTION("GOOGLETRANSLATE(C26,""auto"",""en"")"),"25")</f>
        <v>25</v>
      </c>
      <c r="D90" s="9" t="str">
        <f>IFERROR(__xludf.DUMMYFUNCTION("GOOGLETRANSLATE(D26,""auto"",""en"")"),"OINJ_TP_CD")</f>
        <v>OINJ_TP_CD</v>
      </c>
      <c r="E90" s="9" t="str">
        <f>IFERROR(__xludf.DUMMYFUNCTION("GOOGLETRANSLATE(E26,""auto"",""en"")"),"Fancy demarcation code")</f>
        <v>Fancy demarcation code</v>
      </c>
      <c r="F90" s="9" t="str">
        <f>IFERROR(__xludf.DUMMYFUNCTION("GOOGLETRANSLATE(F26,""auto"",""en"")"),"text")</f>
        <v>text</v>
      </c>
      <c r="G90" s="9" t="str">
        <f>IFERROR(__xludf.DUMMYFUNCTION("GOOGLETRANSLATE(G26,""auto"",""en"")"),"2")</f>
        <v>2</v>
      </c>
      <c r="H90" s="9" t="str">
        <f>IFERROR(__xludf.DUMMYFUNCTION("GOOGLETRANSLATE(H26,""auto"",""en"")"),"Officially illness or injury, patients Veterans government expenditure, military family, it's like a soldier both organizations to drive such demarcation code
* Valid Values: 0: normal, 1: fancy, C: the second highest, H: rare incurable diseases, etc.")</f>
        <v>Officially illness or injury, patients Veterans government expenditure, military family, it's like a soldier both organizations to drive such demarcation code
* Valid Values: 0: normal, 1: fancy, C: the second highest, H: rare incurable diseases, etc.</v>
      </c>
    </row>
    <row r="91" ht="16.5" customHeight="1">
      <c r="A91" s="9" t="str">
        <f>IFERROR(__xludf.DUMMYFUNCTION("GOOGLETRANSLATE(A27,""auto"",""en"")"),"co19_t200_trans_dn")</f>
        <v>co19_t200_trans_dn</v>
      </c>
      <c r="B91" s="9" t="str">
        <f>IFERROR(__xludf.DUMMYFUNCTION("GOOGLETRANSLATE(B27,""auto"",""en"")"),"Corona statement History")</f>
        <v>Corona statement History</v>
      </c>
      <c r="C91" s="9" t="str">
        <f>IFERROR(__xludf.DUMMYFUNCTION("GOOGLETRANSLATE(C27,""auto"",""en"")"),"26")</f>
        <v>26</v>
      </c>
      <c r="D91" s="9" t="str">
        <f>IFERROR(__xludf.DUMMYFUNCTION("GOOGLETRANSLATE(D27,""auto"",""en"")"),"PRCL_SYM_TP_CD")</f>
        <v>PRCL_SYM_TP_CD</v>
      </c>
      <c r="E91" s="9" t="str">
        <f>IFERROR(__xludf.DUMMYFUNCTION("GOOGLETRANSLATE(E27,""auto"",""en"")"),"Certain symbols demarcation code")</f>
        <v>Certain symbols demarcation code</v>
      </c>
      <c r="F91" s="9" t="str">
        <f>IFERROR(__xludf.DUMMYFUNCTION("GOOGLETRANSLATE(F27,""auto"",""en"")"),"text")</f>
        <v>text</v>
      </c>
      <c r="G91" s="9" t="str">
        <f>IFERROR(__xludf.DUMMYFUNCTION("GOOGLETRANSLATE(G27,""auto"",""en"")"),"8")</f>
        <v>8</v>
      </c>
      <c r="H91" s="9" t="str">
        <f>IFERROR(__xludf.DUMMYFUNCTION("GOOGLETRANSLATE(H27,""auto"",""en"")"),"Details of the specific historical demarcation code MT002 (specific symbol)")</f>
        <v>Details of the specific historical demarcation code MT002 (specific symbol)</v>
      </c>
    </row>
    <row r="92" ht="16.5" customHeight="1">
      <c r="A92" s="9" t="str">
        <f>IFERROR(__xludf.DUMMYFUNCTION("GOOGLETRANSLATE(A28,""auto"",""en"")"),"co19_t200_trans_dn")</f>
        <v>co19_t200_trans_dn</v>
      </c>
      <c r="B92" s="9" t="str">
        <f>IFERROR(__xludf.DUMMYFUNCTION("GOOGLETRANSLATE(B28,""auto"",""en"")"),"Corona statement History")</f>
        <v>Corona statement History</v>
      </c>
      <c r="C92" s="9" t="str">
        <f>IFERROR(__xludf.DUMMYFUNCTION("GOOGLETRANSLATE(C28,""auto"",""en"")"),"27")</f>
        <v>27</v>
      </c>
      <c r="D92" s="9" t="str">
        <f>IFERROR(__xludf.DUMMYFUNCTION("GOOGLETRANSLATE(D28,""auto"",""en"")"),"INJ_EXA_TP_CD")</f>
        <v>INJ_EXA_TP_CD</v>
      </c>
      <c r="E92" s="9" t="str">
        <f>IFERROR(__xludf.DUMMYFUNCTION("GOOGLETRANSLATE(E28,""auto"",""en"")"),"Shanghai Foreign demarcation code")</f>
        <v>Shanghai Foreign demarcation code</v>
      </c>
      <c r="F92" s="9" t="str">
        <f>IFERROR(__xludf.DUMMYFUNCTION("GOOGLETRANSLATE(F28,""auto"",""en"")"),"text")</f>
        <v>text</v>
      </c>
      <c r="G92" s="9" t="str">
        <f>IFERROR(__xludf.DUMMYFUNCTION("GOOGLETRANSLATE(G28,""auto"",""en"")"),"4")</f>
        <v>4</v>
      </c>
      <c r="H92" s="9" t="str">
        <f>IFERROR(__xludf.DUMMYFUNCTION("GOOGLETRANSLATE(H28,""auto"",""en"")"),"Specification details of specific historical demarcation code MT001 (exogenous Shanghai)")</f>
        <v>Specification details of specific historical demarcation code MT001 (exogenous Shanghai)</v>
      </c>
    </row>
    <row r="93" ht="16.5" customHeight="1">
      <c r="A93" s="9" t="str">
        <f>IFERROR(__xludf.DUMMYFUNCTION("GOOGLETRANSLATE(A29,""auto"",""en"")"),"co19_t200_trans_dn")</f>
        <v>co19_t200_trans_dn</v>
      </c>
      <c r="B93" s="9" t="str">
        <f>IFERROR(__xludf.DUMMYFUNCTION("GOOGLETRANSLATE(B29,""auto"",""en"")"),"Corona statement History")</f>
        <v>Corona statement History</v>
      </c>
      <c r="C93" s="9" t="str">
        <f>IFERROR(__xludf.DUMMYFUNCTION("GOOGLETRANSLATE(C29,""auto"",""en"")"),"28")</f>
        <v>28</v>
      </c>
      <c r="D93" s="9" t="str">
        <f>IFERROR(__xludf.DUMMYFUNCTION("GOOGLETRANSLATE(D29,""auto"",""en"")"),"DGRSLT_TP_CD")</f>
        <v>DGRSLT_TP_CD</v>
      </c>
      <c r="E93" s="9" t="str">
        <f>IFERROR(__xludf.DUMMYFUNCTION("GOOGLETRANSLATE(E29,""auto"",""en"")"),"Care Results By Code")</f>
        <v>Care Results By Code</v>
      </c>
      <c r="F93" s="9" t="str">
        <f>IFERROR(__xludf.DUMMYFUNCTION("GOOGLETRANSLATE(F29,""auto"",""en"")"),"text")</f>
        <v>text</v>
      </c>
      <c r="G93" s="9" t="str">
        <f>IFERROR(__xludf.DUMMYFUNCTION("GOOGLETRANSLATE(G29,""auto"",""en"")"),"2")</f>
        <v>2</v>
      </c>
      <c r="H93" s="9" t="str">
        <f>IFERROR(__xludf.DUMMYFUNCTION("GOOGLETRANSLATE(H29,""auto"",""en"")"),"Cost reimbursement statements on the separation of the patient's condition based on the final jinryoil
* Valid Values: 1 continued, second transfer, three returned, 4 dead, 5 other, before and 8, 9 and other")</f>
        <v>Cost reimbursement statements on the separation of the patient's condition based on the final jinryoil
* Valid Values: 1 continued, second transfer, three returned, 4 dead, 5 other, before and 8, 9 and other</v>
      </c>
    </row>
    <row r="94" ht="16.5" customHeight="1">
      <c r="A94" s="9" t="str">
        <f>IFERROR(__xludf.DUMMYFUNCTION("GOOGLETRANSLATE(A30,""auto"",""en"")"),"co19_t200_trans_dn")</f>
        <v>co19_t200_trans_dn</v>
      </c>
      <c r="B94" s="9" t="str">
        <f>IFERROR(__xludf.DUMMYFUNCTION("GOOGLETRANSLATE(B30,""auto"",""en"")"),"Corona statement History")</f>
        <v>Corona statement History</v>
      </c>
      <c r="C94" s="9" t="str">
        <f>IFERROR(__xludf.DUMMYFUNCTION("GOOGLETRANSLATE(C30,""auto"",""en"")"),"29")</f>
        <v>29</v>
      </c>
      <c r="D94" s="9" t="str">
        <f>IFERROR(__xludf.DUMMYFUNCTION("GOOGLETRANSLATE(D30,""auto"",""en"")"),"IPAT_ARIV_PTH_TP")</f>
        <v>IPAT_ARIV_PTH_TP</v>
      </c>
      <c r="E94" s="9" t="str">
        <f>IFERROR(__xludf.DUMMYFUNCTION("GOOGLETRANSLATE(E30,""auto"",""en"")"),"Hospital arrival path separator code")</f>
        <v>Hospital arrival path separator code</v>
      </c>
      <c r="F94" s="9" t="str">
        <f>IFERROR(__xludf.DUMMYFUNCTION("GOOGLETRANSLATE(F30,""auto"",""en"")"),"text")</f>
        <v>text</v>
      </c>
      <c r="G94" s="9" t="str">
        <f>IFERROR(__xludf.DUMMYFUNCTION("GOOGLETRANSLATE(G30,""auto"",""en"")"),"4")</f>
        <v>4</v>
      </c>
      <c r="H94" s="9" t="str">
        <f>IFERROR(__xludf.DUMMYFUNCTION("GOOGLETRANSLATE(H30,""auto"",""en"")"),"Reimbursement of costs or computerized information network media, but described later in hospital grade medical institutions, medical institutions charged with arriving path and the code of the item, each separated by an admission path")</f>
        <v>Reimbursement of costs or computerized information network media, but described later in hospital grade medical institutions, medical institutions charged with arriving path and the code of the item, each separated by an admission path</v>
      </c>
    </row>
    <row r="95" ht="16.5" customHeight="1">
      <c r="A95" s="9" t="str">
        <f>IFERROR(__xludf.DUMMYFUNCTION("GOOGLETRANSLATE(A31,""auto"",""en"")"),"co19_t200_trans_dn")</f>
        <v>co19_t200_trans_dn</v>
      </c>
      <c r="B95" s="9" t="str">
        <f>IFERROR(__xludf.DUMMYFUNCTION("GOOGLETRANSLATE(B31,""auto"",""en"")"),"Corona statement History")</f>
        <v>Corona statement History</v>
      </c>
      <c r="C95" s="9" t="str">
        <f>IFERROR(__xludf.DUMMYFUNCTION("GOOGLETRANSLATE(C31,""auto"",""en"")"),"30")</f>
        <v>30</v>
      </c>
      <c r="D95" s="9" t="str">
        <f>IFERROR(__xludf.DUMMYFUNCTION("GOOGLETRANSLATE(D31,""auto"",""en"")"),"MAIDCL_CD")</f>
        <v>MAIDCL_CD</v>
      </c>
      <c r="E95" s="9" t="str">
        <f>IFERROR(__xludf.DUMMYFUNCTION("GOOGLETRANSLATE(E31,""auto"",""en"")"),"Medical care category codes")</f>
        <v>Medical care category codes</v>
      </c>
      <c r="F95" s="9" t="str">
        <f>IFERROR(__xludf.DUMMYFUNCTION("GOOGLETRANSLATE(F31,""auto"",""en"")"),"text")</f>
        <v>text</v>
      </c>
      <c r="G95" s="9" t="str">
        <f>IFERROR(__xludf.DUMMYFUNCTION("GOOGLETRANSLATE(G31,""auto"",""en"")"),"2")</f>
        <v>2</v>
      </c>
      <c r="H95" s="9" t="str">
        <f>IFERROR(__xludf.DUMMYFUNCTION("GOOGLETRANSLATE(H31,""auto"",""en"")"),"Medical care type identifying information of the medical care person")</f>
        <v>Medical care type identifying information of the medical care person</v>
      </c>
    </row>
    <row r="96" ht="16.5" customHeight="1">
      <c r="A96" s="9" t="str">
        <f>IFERROR(__xludf.DUMMYFUNCTION("GOOGLETRANSLATE(A32,""auto"",""en"")"),"co19_t200_trans_dn")</f>
        <v>co19_t200_trans_dn</v>
      </c>
      <c r="B96" s="9" t="str">
        <f>IFERROR(__xludf.DUMMYFUNCTION("GOOGLETRANSLATE(B32,""auto"",""en"")"),"Corona statement History")</f>
        <v>Corona statement History</v>
      </c>
      <c r="C96" s="9" t="str">
        <f>IFERROR(__xludf.DUMMYFUNCTION("GOOGLETRANSLATE(C32,""auto"",""en"")"),"31")</f>
        <v>31</v>
      </c>
      <c r="D96" s="9" t="str">
        <f>IFERROR(__xludf.DUMMYFUNCTION("GOOGLETRANSLATE(D32,""auto"",""en"")"),"DMD_FRM_CD")</f>
        <v>DMD_FRM_CD</v>
      </c>
      <c r="E96" s="9" t="str">
        <f>IFERROR(__xludf.DUMMYFUNCTION("GOOGLETRANSLATE(E32,""auto"",""en"")"),"Billing code form")</f>
        <v>Billing code form</v>
      </c>
      <c r="F96" s="9" t="str">
        <f>IFERROR(__xludf.DUMMYFUNCTION("GOOGLETRANSLATE(F32,""auto"",""en"")"),"text")</f>
        <v>text</v>
      </c>
      <c r="G96" s="9" t="str">
        <f>IFERROR(__xludf.DUMMYFUNCTION("GOOGLETRANSLATE(G32,""auto"",""en"")"),"2")</f>
        <v>2</v>
      </c>
      <c r="H96" s="9" t="str">
        <f>IFERROR(__xludf.DUMMYFUNCTION("GOOGLETRANSLATE(H32,""auto"",""en"")"),"If the DRG payment system distinction according to the type of charge remaining DRG code is written according to the claim form, separated by a computerized media, electronic documents
* Valid values: 1 written and 2 computational media, three electronic "&amp;"documents, 4DRG")</f>
        <v>If the DRG payment system distinction according to the type of charge remaining DRG code is written according to the claim form, separated by a computerized media, electronic documents
* Valid values: 1 written and 2 computational media, three electronic documents, 4DRG</v>
      </c>
    </row>
    <row r="97" ht="16.5" customHeight="1">
      <c r="A97" s="9" t="str">
        <f>IFERROR(__xludf.DUMMYFUNCTION("GOOGLETRANSLATE(A33,""auto"",""en"")"),"co19_t200_trans_dn")</f>
        <v>co19_t200_trans_dn</v>
      </c>
      <c r="B97" s="9" t="str">
        <f>IFERROR(__xludf.DUMMYFUNCTION("GOOGLETRANSLATE(B33,""auto"",""en"")"),"Corona statement History")</f>
        <v>Corona statement History</v>
      </c>
      <c r="C97" s="9" t="str">
        <f>IFERROR(__xludf.DUMMYFUNCTION("GOOGLETRANSLATE(C33,""auto"",""en"")"),"32")</f>
        <v>32</v>
      </c>
      <c r="D97" s="9" t="str">
        <f>IFERROR(__xludf.DUMMYFUNCTION("GOOGLETRANSLATE(D33,""auto"",""en"")"),"DMD_TP_CD")</f>
        <v>DMD_TP_CD</v>
      </c>
      <c r="E97" s="9" t="str">
        <f>IFERROR(__xludf.DUMMYFUNCTION("GOOGLETRANSLATE(E33,""auto"",""en"")"),"Charged demarcation code")</f>
        <v>Charged demarcation code</v>
      </c>
      <c r="F97" s="9" t="str">
        <f>IFERROR(__xludf.DUMMYFUNCTION("GOOGLETRANSLATE(F33,""auto"",""en"")"),"text")</f>
        <v>text</v>
      </c>
      <c r="G97" s="9" t="str">
        <f>IFERROR(__xludf.DUMMYFUNCTION("GOOGLETRANSLATE(G33,""auto"",""en"")"),"2")</f>
        <v>2</v>
      </c>
      <c r="H97" s="9" t="str">
        <f>IFERROR(__xludf.DUMMYFUNCTION("GOOGLETRANSLATE(H33,""auto"",""en"")"),"Code to distinguish between the complementary charges, additional charges, such as charges during separate hospital reimbursement costs
* Valid Values: 0 General claims, complementary claims 1, 2, additional charges, three separate charges, etc.")</f>
        <v>Code to distinguish between the complementary charges, additional charges, such as charges during separate hospital reimbursement costs
* Valid Values: 0 General claims, complementary claims 1, 2, additional charges, three separate charges, etc.</v>
      </c>
    </row>
    <row r="98" ht="16.5" customHeight="1">
      <c r="A98" s="9" t="str">
        <f>IFERROR(__xludf.DUMMYFUNCTION("GOOGLETRANSLATE(A34,""auto"",""en"")"),"co19_t300_trans_dn")</f>
        <v>co19_t300_trans_dn</v>
      </c>
      <c r="B98" s="9" t="str">
        <f>IFERROR(__xludf.DUMMYFUNCTION("GOOGLETRANSLATE(B34,""auto"",""en"")"),"Corona treatment history")</f>
        <v>Corona treatment history</v>
      </c>
      <c r="C98" s="9" t="str">
        <f>IFERROR(__xludf.DUMMYFUNCTION("GOOGLETRANSLATE(C34,""auto"",""en"")"),"1")</f>
        <v>1</v>
      </c>
      <c r="D98" s="9" t="str">
        <f>IFERROR(__xludf.DUMMYFUNCTION("GOOGLETRANSLATE(D34,""auto"",""en"")"),"MID")</f>
        <v>MID</v>
      </c>
      <c r="E98" s="9" t="str">
        <f>IFERROR(__xludf.DUMMYFUNCTION("GOOGLETRANSLATE(E34,""auto"",""en"")"),"Statement join key")</f>
        <v>Statement join key</v>
      </c>
      <c r="F98" s="9" t="str">
        <f>IFERROR(__xludf.DUMMYFUNCTION("GOOGLETRANSLATE(F34,""auto"",""en"")"),"number")</f>
        <v>number</v>
      </c>
      <c r="G98" s="9" t="str">
        <f>IFERROR(__xludf.DUMMYFUNCTION("GOOGLETRANSLATE(G34,""auto"",""en"")"),"8")</f>
        <v>8</v>
      </c>
      <c r="H98" s="9" t="str">
        <f>IFERROR(__xludf.DUMMYFUNCTION("GOOGLETRANSLATE(H34,""auto"",""en"")"),"Replacement of specification unique to identify one statement ID number, the join between the statements Key")</f>
        <v>Replacement of specification unique to identify one statement ID number, the join between the statements Key</v>
      </c>
    </row>
    <row r="99" ht="16.5" customHeight="1">
      <c r="A99" s="9" t="str">
        <f>IFERROR(__xludf.DUMMYFUNCTION("GOOGLETRANSLATE(A35,""auto"",""en"")"),"co19_t300_trans_dn")</f>
        <v>co19_t300_trans_dn</v>
      </c>
      <c r="B99" s="9" t="str">
        <f>IFERROR(__xludf.DUMMYFUNCTION("GOOGLETRANSLATE(B35,""auto"",""en"")"),"Corona treatment history")</f>
        <v>Corona treatment history</v>
      </c>
      <c r="C99" s="9" t="str">
        <f>IFERROR(__xludf.DUMMYFUNCTION("GOOGLETRANSLATE(C35,""auto"",""en"")"),"2")</f>
        <v>2</v>
      </c>
      <c r="D99" s="9" t="str">
        <f>IFERROR(__xludf.DUMMYFUNCTION("GOOGLETRANSLATE(D35,""auto"",""en"")"),"DIV_TY_CD")</f>
        <v>DIV_TY_CD</v>
      </c>
      <c r="E99" s="9" t="str">
        <f>IFERROR(__xludf.DUMMYFUNCTION("GOOGLETRANSLATE(E35,""auto"",""en"")"),"Category Type Code")</f>
        <v>Category Type Code</v>
      </c>
      <c r="F99" s="9" t="str">
        <f>IFERROR(__xludf.DUMMYFUNCTION("GOOGLETRANSLATE(F35,""auto"",""en"")"),"text")</f>
        <v>text</v>
      </c>
      <c r="G99" s="9" t="str">
        <f>IFERROR(__xludf.DUMMYFUNCTION("GOOGLETRANSLATE(G35,""auto"",""en"")"),"2")</f>
        <v>2</v>
      </c>
      <c r="H99" s="9" t="str">
        <f>IFERROR(__xludf.DUMMYFUNCTION("GOOGLETRANSLATE(H35,""auto"",""en"")"),"Code number, drug code, such as code jaeryodae code that classifies a comprehensive code
* Valid values: 1, number 2 mutatis mutandis number three listed insurance medicine, four imported raw material medicine, re-7 agreement, including 8 treatment jaeryo"&amp;"dae")</f>
        <v>Code number, drug code, such as code jaeryodae code that classifies a comprehensive code
* Valid values: 1, number 2 mutatis mutandis number three listed insurance medicine, four imported raw material medicine, re-7 agreement, including 8 treatment jaeryodae</v>
      </c>
    </row>
    <row r="100" ht="16.5" customHeight="1">
      <c r="A100" s="9" t="str">
        <f>IFERROR(__xludf.DUMMYFUNCTION("GOOGLETRANSLATE(A36,""auto"",""en"")"),"co19_t300_trans_dn")</f>
        <v>co19_t300_trans_dn</v>
      </c>
      <c r="B100" s="9" t="str">
        <f>IFERROR(__xludf.DUMMYFUNCTION("GOOGLETRANSLATE(B36,""auto"",""en"")"),"Corona treatment history")</f>
        <v>Corona treatment history</v>
      </c>
      <c r="C100" s="9" t="str">
        <f>IFERROR(__xludf.DUMMYFUNCTION("GOOGLETRANSLATE(C36,""auto"",""en"")"),"3")</f>
        <v>3</v>
      </c>
      <c r="D100" s="9" t="str">
        <f>IFERROR(__xludf.DUMMYFUNCTION("GOOGLETRANSLATE(D36,""auto"",""en"")"),"DIV_CD")</f>
        <v>DIV_CD</v>
      </c>
      <c r="E100" s="9" t="str">
        <f>IFERROR(__xludf.DUMMYFUNCTION("GOOGLETRANSLATE(E36,""auto"",""en"")"),"Classification Code")</f>
        <v>Classification Code</v>
      </c>
      <c r="F100" s="9" t="str">
        <f>IFERROR(__xludf.DUMMYFUNCTION("GOOGLETRANSLATE(F36,""auto"",""en"")"),"text")</f>
        <v>text</v>
      </c>
      <c r="G100" s="9" t="str">
        <f>IFERROR(__xludf.DUMMYFUNCTION("GOOGLETRANSLATE(G36,""auto"",""en"")"),"18")</f>
        <v>18</v>
      </c>
      <c r="H100" s="9" t="str">
        <f>IFERROR(__xludf.DUMMYFUNCTION("GOOGLETRANSLATE(H36,""auto"",""en"")"),"Number, a list that separates the drug, therapy materials, such as gender classification codes")</f>
        <v>Number, a list that separates the drug, therapy materials, such as gender classification codes</v>
      </c>
    </row>
    <row r="101" ht="16.5" customHeight="1">
      <c r="A101" s="9" t="str">
        <f>IFERROR(__xludf.DUMMYFUNCTION("GOOGLETRANSLATE(A37,""auto"",""en"")"),"co19_t300_trans_dn")</f>
        <v>co19_t300_trans_dn</v>
      </c>
      <c r="B101" s="9" t="str">
        <f>IFERROR(__xludf.DUMMYFUNCTION("GOOGLETRANSLATE(B37,""auto"",""en"")"),"Corona treatment history")</f>
        <v>Corona treatment history</v>
      </c>
      <c r="C101" s="9" t="str">
        <f>IFERROR(__xludf.DUMMYFUNCTION("GOOGLETRANSLATE(C37,""auto"",""en"")"),"4")</f>
        <v>4</v>
      </c>
      <c r="D101" s="9" t="str">
        <f>IFERROR(__xludf.DUMMYFUNCTION("GOOGLETRANSLATE(D37,""auto"",""en"")"),"FQ1_MDCT_QTY")</f>
        <v>FQ1_MDCT_QTY</v>
      </c>
      <c r="E101" s="9" t="str">
        <f>IFERROR(__xludf.DUMMYFUNCTION("GOOGLETRANSLATE(E37,""auto"",""en"")"),"One dose")</f>
        <v>One dose</v>
      </c>
      <c r="F101" s="9" t="str">
        <f>IFERROR(__xludf.DUMMYFUNCTION("GOOGLETRANSLATE(F37,""auto"",""en"")"),"number")</f>
        <v>number</v>
      </c>
      <c r="G101" s="9" t="str">
        <f>IFERROR(__xludf.DUMMYFUNCTION("GOOGLETRANSLATE(G37,""auto"",""en"")"),"8")</f>
        <v>8</v>
      </c>
      <c r="H101" s="9" t="str">
        <f>IFERROR(__xludf.DUMMYFUNCTION("GOOGLETRANSLATE(H37,""auto"",""en"")"),"The amount of medication at a time")</f>
        <v>The amount of medication at a time</v>
      </c>
    </row>
    <row r="102" ht="16.5" customHeight="1">
      <c r="A102" s="9" t="str">
        <f>IFERROR(__xludf.DUMMYFUNCTION("GOOGLETRANSLATE(A38,""auto"",""en"")"),"co19_t300_trans_dn")</f>
        <v>co19_t300_trans_dn</v>
      </c>
      <c r="B102" s="9" t="str">
        <f>IFERROR(__xludf.DUMMYFUNCTION("GOOGLETRANSLATE(B38,""auto"",""en"")"),"Corona treatment history")</f>
        <v>Corona treatment history</v>
      </c>
      <c r="C102" s="9" t="str">
        <f>IFERROR(__xludf.DUMMYFUNCTION("GOOGLETRANSLATE(C38,""auto"",""en"")"),"5")</f>
        <v>5</v>
      </c>
      <c r="D102" s="9" t="str">
        <f>IFERROR(__xludf.DUMMYFUNCTION("GOOGLETRANSLATE(D38,""auto"",""en"")"),"DY1_MDCT_QTY")</f>
        <v>DY1_MDCT_QTY</v>
      </c>
      <c r="E102" s="9" t="str">
        <f>IFERROR(__xludf.DUMMYFUNCTION("GOOGLETRANSLATE(E38,""auto"",""en"")"),"The 1st dose")</f>
        <v>The 1st dose</v>
      </c>
      <c r="F102" s="9" t="str">
        <f>IFERROR(__xludf.DUMMYFUNCTION("GOOGLETRANSLATE(F38,""auto"",""en"")"),"number")</f>
        <v>number</v>
      </c>
      <c r="G102" s="9" t="str">
        <f>IFERROR(__xludf.DUMMYFUNCTION("GOOGLETRANSLATE(G38,""auto"",""en"")"),"8")</f>
        <v>8</v>
      </c>
      <c r="H102" s="9" t="str">
        <f>IFERROR(__xludf.DUMMYFUNCTION("GOOGLETRANSLATE(H38,""auto"",""en"")"),"The daily dose or number of embodiments")</f>
        <v>The daily dose or number of embodiments</v>
      </c>
    </row>
    <row r="103" ht="16.5" customHeight="1">
      <c r="A103" s="9" t="str">
        <f>IFERROR(__xludf.DUMMYFUNCTION("GOOGLETRANSLATE(A39,""auto"",""en"")"),"co19_t300_trans_dn")</f>
        <v>co19_t300_trans_dn</v>
      </c>
      <c r="B103" s="9" t="str">
        <f>IFERROR(__xludf.DUMMYFUNCTION("GOOGLETRANSLATE(B39,""auto"",""en"")"),"Corona treatment history")</f>
        <v>Corona treatment history</v>
      </c>
      <c r="C103" s="9" t="str">
        <f>IFERROR(__xludf.DUMMYFUNCTION("GOOGLETRANSLATE(C39,""auto"",""en"")"),"6")</f>
        <v>6</v>
      </c>
      <c r="D103" s="9" t="str">
        <f>IFERROR(__xludf.DUMMYFUNCTION("GOOGLETRANSLATE(D39,""auto"",""en"")"),"DY1_INJC_QTY_EXEC_FQ")</f>
        <v>DY1_INJC_QTY_EXEC_FQ</v>
      </c>
      <c r="E103" s="9" t="str">
        <f>IFERROR(__xludf.DUMMYFUNCTION("GOOGLETRANSLATE(E39,""auto"",""en"")"),"The daily dose exemplary number")</f>
        <v>The daily dose exemplary number</v>
      </c>
      <c r="F103" s="9" t="str">
        <f>IFERROR(__xludf.DUMMYFUNCTION("GOOGLETRANSLATE(F39,""auto"",""en"")"),"number")</f>
        <v>number</v>
      </c>
      <c r="G103" s="9" t="str">
        <f>IFERROR(__xludf.DUMMYFUNCTION("GOOGLETRANSLATE(G39,""auto"",""en"")"),"8")</f>
        <v>8</v>
      </c>
      <c r="H103" s="9" t="str">
        <f>IFERROR(__xludf.DUMMYFUNCTION("GOOGLETRANSLATE(H39,""auto"",""en"")"),"Administration of the total daily amount or number of embodiments")</f>
        <v>Administration of the total daily amount or number of embodiments</v>
      </c>
    </row>
    <row r="104" ht="16.5" customHeight="1">
      <c r="A104" s="9" t="str">
        <f>IFERROR(__xludf.DUMMYFUNCTION("GOOGLETRANSLATE(A40,""auto"",""en"")"),"co19_t300_trans_dn")</f>
        <v>co19_t300_trans_dn</v>
      </c>
      <c r="B104" s="9" t="str">
        <f>IFERROR(__xludf.DUMMYFUNCTION("GOOGLETRANSLATE(B40,""auto"",""en"")"),"Corona treatment history")</f>
        <v>Corona treatment history</v>
      </c>
      <c r="C104" s="9" t="str">
        <f>IFERROR(__xludf.DUMMYFUNCTION("GOOGLETRANSLATE(C40,""auto"",""en"")"),"7")</f>
        <v>7</v>
      </c>
      <c r="D104" s="9" t="str">
        <f>IFERROR(__xludf.DUMMYFUNCTION("GOOGLETRANSLATE(D40,""auto"",""en"")"),"TOT_INJC_DDCNT_EXEC_FQ")</f>
        <v>TOT_INJC_DDCNT_EXEC_FQ</v>
      </c>
      <c r="E104" s="9" t="str">
        <f>IFERROR(__xludf.DUMMYFUNCTION("GOOGLETRANSLATE(E40,""auto"",""en"")"),"The total number of administration days conducted")</f>
        <v>The total number of administration days conducted</v>
      </c>
      <c r="F104" s="9" t="str">
        <f>IFERROR(__xludf.DUMMYFUNCTION("GOOGLETRANSLATE(F40,""auto"",""en"")"),"number")</f>
        <v>number</v>
      </c>
      <c r="G104" s="9" t="str">
        <f>IFERROR(__xludf.DUMMYFUNCTION("GOOGLETRANSLATE(G40,""auto"",""en"")"),"8")</f>
        <v>8</v>
      </c>
      <c r="H104" s="9" t="str">
        <f>IFERROR(__xludf.DUMMYFUNCTION("GOOGLETRANSLATE(H40,""auto"",""en"")"),"The total number of days of administration, or the total number of embodiments")</f>
        <v>The total number of days of administration, or the total number of embodiments</v>
      </c>
    </row>
    <row r="105" ht="16.5" customHeight="1">
      <c r="A105" s="9" t="str">
        <f>IFERROR(__xludf.DUMMYFUNCTION("GOOGLETRANSLATE(A41,""auto"",""en"")"),"co19_t300_trans_dn")</f>
        <v>co19_t300_trans_dn</v>
      </c>
      <c r="B105" s="9" t="str">
        <f>IFERROR(__xludf.DUMMYFUNCTION("GOOGLETRANSLATE(B41,""auto"",""en"")"),"Corona treatment history")</f>
        <v>Corona treatment history</v>
      </c>
      <c r="C105" s="9" t="str">
        <f>IFERROR(__xludf.DUMMYFUNCTION("GOOGLETRANSLATE(C41,""auto"",""en"")"),"8")</f>
        <v>8</v>
      </c>
      <c r="D105" s="9" t="str">
        <f>IFERROR(__xludf.DUMMYFUNCTION("GOOGLETRANSLATE(D41,""auto"",""en"")"),"TOT_USE_QTY_OR_EXEC_FQ")</f>
        <v>TOT_USE_QTY_OR_EXEC_FQ</v>
      </c>
      <c r="E105" s="9" t="str">
        <f>IFERROR(__xludf.DUMMYFUNCTION("GOOGLETRANSLATE(E41,""auto"",""en"")"),"The total amount carried count")</f>
        <v>The total amount carried count</v>
      </c>
      <c r="F105" s="9" t="str">
        <f>IFERROR(__xludf.DUMMYFUNCTION("GOOGLETRANSLATE(F41,""auto"",""en"")"),"number")</f>
        <v>number</v>
      </c>
      <c r="G105" s="9" t="str">
        <f>IFERROR(__xludf.DUMMYFUNCTION("GOOGLETRANSLATE(G41,""auto"",""en"")"),"8")</f>
        <v>8</v>
      </c>
      <c r="H105" s="9" t="str">
        <f>IFERROR(__xludf.DUMMYFUNCTION("GOOGLETRANSLATE(H41,""auto"",""en"")"),"The total amount carried count")</f>
        <v>The total amount carried count</v>
      </c>
    </row>
    <row r="106" ht="16.5" customHeight="1">
      <c r="A106" s="9" t="str">
        <f>IFERROR(__xludf.DUMMYFUNCTION("GOOGLETRANSLATE(A42,""auto"",""en"")"),"co19_t300_trans_dn")</f>
        <v>co19_t300_trans_dn</v>
      </c>
      <c r="B106" s="9" t="str">
        <f>IFERROR(__xludf.DUMMYFUNCTION("GOOGLETRANSLATE(B42,""auto"",""en"")"),"Corona treatment history")</f>
        <v>Corona treatment history</v>
      </c>
      <c r="C106" s="9" t="str">
        <f>IFERROR(__xludf.DUMMYFUNCTION("GOOGLETRANSLATE(C42,""auto"",""en"")"),"9")</f>
        <v>9</v>
      </c>
      <c r="D106" s="9" t="str">
        <f>IFERROR(__xludf.DUMMYFUNCTION("GOOGLETRANSLATE(D42,""auto"",""en"")"),"UNPRC")</f>
        <v>UNPRC</v>
      </c>
      <c r="E106" s="9" t="str">
        <f>IFERROR(__xludf.DUMMYFUNCTION("GOOGLETRANSLATE(E42,""auto"",""en"")"),"Price calculation")</f>
        <v>Price calculation</v>
      </c>
      <c r="F106" s="9" t="str">
        <f>IFERROR(__xludf.DUMMYFUNCTION("GOOGLETRANSLATE(F42,""auto"",""en"")"),"number")</f>
        <v>number</v>
      </c>
      <c r="G106" s="9" t="str">
        <f>IFERROR(__xludf.DUMMYFUNCTION("GOOGLETRANSLATE(G42,""auto"",""en"")"),"8")</f>
        <v>8</v>
      </c>
      <c r="H106" s="9" t="str">
        <f>IFERROR(__xludf.DUMMYFUNCTION("GOOGLETRANSLATE(H42,""auto"",""en"")"),"Price of the classification code (number / drug / treatment material code)")</f>
        <v>Price of the classification code (number / drug / treatment material code)</v>
      </c>
    </row>
    <row r="107" ht="16.5" customHeight="1">
      <c r="A107" s="9" t="str">
        <f>IFERROR(__xludf.DUMMYFUNCTION("GOOGLETRANSLATE(A43,""auto"",""en"")"),"co19_t300_trans_dn")</f>
        <v>co19_t300_trans_dn</v>
      </c>
      <c r="B107" s="9" t="str">
        <f>IFERROR(__xludf.DUMMYFUNCTION("GOOGLETRANSLATE(B43,""auto"",""en"")"),"Corona treatment history")</f>
        <v>Corona treatment history</v>
      </c>
      <c r="C107" s="9" t="str">
        <f>IFERROR(__xludf.DUMMYFUNCTION("GOOGLETRANSLATE(C43,""auto"",""en"")"),"10")</f>
        <v>10</v>
      </c>
      <c r="D107" s="9" t="str">
        <f>IFERROR(__xludf.DUMMYFUNCTION("GOOGLETRANSLATE(D43,""auto"",""en"")"),"AMT")</f>
        <v>AMT</v>
      </c>
      <c r="E107" s="9" t="str">
        <f>IFERROR(__xludf.DUMMYFUNCTION("GOOGLETRANSLATE(E43,""auto"",""en"")"),"Call money")</f>
        <v>Call money</v>
      </c>
      <c r="F107" s="9" t="str">
        <f>IFERROR(__xludf.DUMMYFUNCTION("GOOGLETRANSLATE(F43,""auto"",""en"")"),"number")</f>
        <v>number</v>
      </c>
      <c r="G107" s="9" t="str">
        <f>IFERROR(__xludf.DUMMYFUNCTION("GOOGLETRANSLATE(G43,""auto"",""en"")"),"8")</f>
        <v>8</v>
      </c>
      <c r="H107" s="9" t="str">
        <f>IFERROR(__xludf.DUMMYFUNCTION("GOOGLETRANSLATE(H43,""auto"",""en"")"),"Price")</f>
        <v>Price</v>
      </c>
    </row>
    <row r="108" ht="16.5" customHeight="1">
      <c r="A108" s="9" t="str">
        <f>IFERROR(__xludf.DUMMYFUNCTION("GOOGLETRANSLATE(A44,""auto"",""en"")"),"co19_t300_trans_dn")</f>
        <v>co19_t300_trans_dn</v>
      </c>
      <c r="B108" s="9" t="str">
        <f>IFERROR(__xludf.DUMMYFUNCTION("GOOGLETRANSLATE(B44,""auto"",""en"")"),"Corona treatment history")</f>
        <v>Corona treatment history</v>
      </c>
      <c r="C108" s="9" t="str">
        <f>IFERROR(__xludf.DUMMYFUNCTION("GOOGLETRANSLATE(C44,""auto"",""en"")"),"11")</f>
        <v>11</v>
      </c>
      <c r="D108" s="9" t="str">
        <f>IFERROR(__xludf.DUMMYFUNCTION("GOOGLETRANSLATE(D44,""auto"",""en"")"),"GNL_CD")</f>
        <v>GNL_CD</v>
      </c>
      <c r="E108" s="9" t="str">
        <f>IFERROR(__xludf.DUMMYFUNCTION("GOOGLETRANSLATE(E44,""auto"",""en"")"),"Generic code")</f>
        <v>Generic code</v>
      </c>
      <c r="F108" s="9" t="str">
        <f>IFERROR(__xludf.DUMMYFUNCTION("GOOGLETRANSLATE(F44,""auto"",""en"")"),"text")</f>
        <v>text</v>
      </c>
      <c r="G108" s="9" t="str">
        <f>IFERROR(__xludf.DUMMYFUNCTION("GOOGLETRANSLATE(G44,""auto"",""en"")"),"18")</f>
        <v>18</v>
      </c>
      <c r="H108" s="9" t="str">
        <f>IFERROR(__xludf.DUMMYFUNCTION("GOOGLETRANSLATE(H44,""auto"",""en"")"),"Drug chief ingredient listed drugs, importing drugs generic code")</f>
        <v>Drug chief ingredient listed drugs, importing drugs generic code</v>
      </c>
    </row>
    <row r="109" ht="16.5" customHeight="1">
      <c r="A109" s="9" t="str">
        <f>IFERROR(__xludf.DUMMYFUNCTION("GOOGLETRANSLATE(A45,""auto"",""en"")"),"co19_t300_trans_dn")</f>
        <v>co19_t300_trans_dn</v>
      </c>
      <c r="B109" s="9" t="str">
        <f>IFERROR(__xludf.DUMMYFUNCTION("GOOGLETRANSLATE(B45,""auto"",""en"")"),"Corona treatment history")</f>
        <v>Corona treatment history</v>
      </c>
      <c r="C109" s="9" t="str">
        <f>IFERROR(__xludf.DUMMYFUNCTION("GOOGLETRANSLATE(C45,""auto"",""en"")"),"12")</f>
        <v>12</v>
      </c>
      <c r="D109" s="9" t="str">
        <f>IFERROR(__xludf.DUMMYFUNCTION("GOOGLETRANSLATE(D45,""auto"",""en"")"),"EXP_TP_CD")</f>
        <v>EXP_TP_CD</v>
      </c>
      <c r="E109" s="9" t="str">
        <f>IFERROR(__xludf.DUMMYFUNCTION("GOOGLETRANSLATE(E45,""auto"",""en"")"),"ST exception demarcation code")</f>
        <v>ST exception demarcation code</v>
      </c>
      <c r="F109" s="9" t="str">
        <f>IFERROR(__xludf.DUMMYFUNCTION("GOOGLETRANSLATE(F45,""auto"",""en"")"),"text")</f>
        <v>text</v>
      </c>
      <c r="G109" s="9" t="str">
        <f>IFERROR(__xludf.DUMMYFUNCTION("GOOGLETRANSLATE(G45,""auto"",""en"")"),"4")</f>
        <v>4</v>
      </c>
      <c r="H109" s="9" t="str">
        <f>IFERROR(__xludf.DUMMYFUNCTION("GOOGLETRANSLATE(H45,""auto"",""en"")"),"If that is the pharmaceutical division of exceptions made to prepare the hospital administered exception demarcation code")</f>
        <v>If that is the pharmaceutical division of exceptions made to prepare the hospital administered exception demarcation code</v>
      </c>
    </row>
    <row r="110" ht="16.5" customHeight="1">
      <c r="A110" s="9" t="str">
        <f>IFERROR(__xludf.DUMMYFUNCTION("GOOGLETRANSLATE(A46,""auto"",""en"")"),"co19_t300_trans_dn")</f>
        <v>co19_t300_trans_dn</v>
      </c>
      <c r="B110" s="9" t="str">
        <f>IFERROR(__xludf.DUMMYFUNCTION("GOOGLETRANSLATE(B46,""auto"",""en"")"),"Corona treatment history")</f>
        <v>Corona treatment history</v>
      </c>
      <c r="C110" s="9" t="str">
        <f>IFERROR(__xludf.DUMMYFUNCTION("GOOGLETRANSLATE(C46,""auto"",""en"")"),"13")</f>
        <v>13</v>
      </c>
      <c r="D110" s="9" t="str">
        <f>IFERROR(__xludf.DUMMYFUNCTION("GOOGLETRANSLATE(D46,""auto"",""en"")"),"SP1_SP2_TP_CD")</f>
        <v>SP1_SP2_TP_CD</v>
      </c>
      <c r="E110" s="9" t="str">
        <f>IFERROR(__xludf.DUMMYFUNCTION("GOOGLETRANSLATE(E46,""auto"",""en"")"),"Addition demarcation code")</f>
        <v>Addition demarcation code</v>
      </c>
      <c r="F110" s="9" t="str">
        <f>IFERROR(__xludf.DUMMYFUNCTION("GOOGLETRANSLATE(F46,""auto"",""en"")"),"text")</f>
        <v>text</v>
      </c>
      <c r="G110" s="9" t="str">
        <f>IFERROR(__xludf.DUMMYFUNCTION("GOOGLETRANSLATE(G46,""auto"",""en"")"),"2")</f>
        <v>2</v>
      </c>
      <c r="H110" s="9" t="str">
        <f>IFERROR(__xludf.DUMMYFUNCTION("GOOGLETRANSLATE(H46,""auto"",""en"")"),"It acts salary codes to distinguish whether the medical institution type addition ratio applied in accordance with the general principles")</f>
        <v>It acts salary codes to distinguish whether the medical institution type addition ratio applied in accordance with the general principles</v>
      </c>
    </row>
    <row r="111" ht="16.5" customHeight="1">
      <c r="A111" s="9" t="str">
        <f>IFERROR(__xludf.DUMMYFUNCTION("GOOGLETRANSLATE(A47,""auto"",""en"")"),"co19_t400_trans_dn")</f>
        <v>co19_t400_trans_dn</v>
      </c>
      <c r="B111" s="9" t="str">
        <f>IFERROR(__xludf.DUMMYFUNCTION("GOOGLETRANSLATE(B47,""auto"",""en"")"),"Corona Corporal History")</f>
        <v>Corona Corporal History</v>
      </c>
      <c r="C111" s="9" t="str">
        <f>IFERROR(__xludf.DUMMYFUNCTION("GOOGLETRANSLATE(C47,""auto"",""en"")"),"1")</f>
        <v>1</v>
      </c>
      <c r="D111" s="9" t="str">
        <f>IFERROR(__xludf.DUMMYFUNCTION("GOOGLETRANSLATE(D47,""auto"",""en"")"),"MID")</f>
        <v>MID</v>
      </c>
      <c r="E111" s="9" t="str">
        <f>IFERROR(__xludf.DUMMYFUNCTION("GOOGLETRANSLATE(E47,""auto"",""en"")"),"Statement join key")</f>
        <v>Statement join key</v>
      </c>
      <c r="F111" s="9" t="str">
        <f>IFERROR(__xludf.DUMMYFUNCTION("GOOGLETRANSLATE(F47,""auto"",""en"")"),"number")</f>
        <v>number</v>
      </c>
      <c r="G111" s="9" t="str">
        <f>IFERROR(__xludf.DUMMYFUNCTION("GOOGLETRANSLATE(G47,""auto"",""en"")"),"8")</f>
        <v>8</v>
      </c>
      <c r="H111" s="9" t="str">
        <f>IFERROR(__xludf.DUMMYFUNCTION("GOOGLETRANSLATE(H47,""auto"",""en"")"),"Replacement of specification unique to identify one statement ID number, the join between the statements Key")</f>
        <v>Replacement of specification unique to identify one statement ID number, the join between the statements Key</v>
      </c>
    </row>
    <row r="112" ht="16.5" customHeight="1">
      <c r="A112" s="9" t="str">
        <f>IFERROR(__xludf.DUMMYFUNCTION("GOOGLETRANSLATE(A48,""auto"",""en"")"),"co19_t400_trans_dn")</f>
        <v>co19_t400_trans_dn</v>
      </c>
      <c r="B112" s="9" t="str">
        <f>IFERROR(__xludf.DUMMYFUNCTION("GOOGLETRANSLATE(B48,""auto"",""en"")"),"Corona Corporal History")</f>
        <v>Corona Corporal History</v>
      </c>
      <c r="C112" s="9" t="str">
        <f>IFERROR(__xludf.DUMMYFUNCTION("GOOGLETRANSLATE(C48,""auto"",""en"")"),"2")</f>
        <v>2</v>
      </c>
      <c r="D112" s="9" t="str">
        <f>IFERROR(__xludf.DUMMYFUNCTION("GOOGLETRANSLATE(D48,""auto"",""en"")"),"SICK_SNO")</f>
        <v>SICK_SNO</v>
      </c>
      <c r="E112" s="9" t="str">
        <f>IFERROR(__xludf.DUMMYFUNCTION("GOOGLETRANSLATE(E48,""auto"",""en"")"),"Corporal serial number")</f>
        <v>Corporal serial number</v>
      </c>
      <c r="F112" s="9" t="str">
        <f>IFERROR(__xludf.DUMMYFUNCTION("GOOGLETRANSLATE(F48,""auto"",""en"")"),"number")</f>
        <v>number</v>
      </c>
      <c r="G112" s="9" t="str">
        <f>IFERROR(__xludf.DUMMYFUNCTION("GOOGLETRANSLATE(G48,""auto"",""en"")"),"8")</f>
        <v>8</v>
      </c>
      <c r="H112" s="9" t="str">
        <f>IFERROR(__xludf.DUMMYFUNCTION("GOOGLETRANSLATE(H48,""auto"",""en"")"),"Corporal symbol serial number")</f>
        <v>Corporal symbol serial number</v>
      </c>
    </row>
    <row r="113" ht="16.5" customHeight="1">
      <c r="A113" s="9" t="str">
        <f>IFERROR(__xludf.DUMMYFUNCTION("GOOGLETRANSLATE(A49,""auto"",""en"")"),"co19_t400_trans_dn")</f>
        <v>co19_t400_trans_dn</v>
      </c>
      <c r="B113" s="9" t="str">
        <f>IFERROR(__xludf.DUMMYFUNCTION("GOOGLETRANSLATE(B49,""auto"",""en"")"),"Corona Corporal History")</f>
        <v>Corona Corporal History</v>
      </c>
      <c r="C113" s="9" t="str">
        <f>IFERROR(__xludf.DUMMYFUNCTION("GOOGLETRANSLATE(C49,""auto"",""en"")"),"3")</f>
        <v>3</v>
      </c>
      <c r="D113" s="9" t="str">
        <f>IFERROR(__xludf.DUMMYFUNCTION("GOOGLETRANSLATE(D49,""auto"",""en"")"),"SICK_CD")</f>
        <v>SICK_CD</v>
      </c>
      <c r="E113" s="9" t="str">
        <f>IFERROR(__xludf.DUMMYFUNCTION("GOOGLETRANSLATE(E49,""auto"",""en"")"),"Corporal symbol")</f>
        <v>Corporal symbol</v>
      </c>
      <c r="F113" s="9" t="str">
        <f>IFERROR(__xludf.DUMMYFUNCTION("GOOGLETRANSLATE(F49,""auto"",""en"")"),"text")</f>
        <v>text</v>
      </c>
      <c r="G113" s="9" t="str">
        <f>IFERROR(__xludf.DUMMYFUNCTION("GOOGLETRANSLATE(G49,""auto"",""en"")"),"12")</f>
        <v>12</v>
      </c>
      <c r="H113" s="9" t="str">
        <f>IFERROR(__xludf.DUMMYFUNCTION("GOOGLETRANSLATE(H49,""auto"",""en"")"),"South Korea CPI classification symbol sign of disease classification standards")</f>
        <v>South Korea CPI classification symbol sign of disease classification standards</v>
      </c>
    </row>
    <row r="114" ht="16.5" customHeight="1">
      <c r="A114" s="9" t="str">
        <f>IFERROR(__xludf.DUMMYFUNCTION("GOOGLETRANSLATE(A50,""auto"",""en"")"),"co19_t400_trans_dn")</f>
        <v>co19_t400_trans_dn</v>
      </c>
      <c r="B114" s="9" t="str">
        <f>IFERROR(__xludf.DUMMYFUNCTION("GOOGLETRANSLATE(B50,""auto"",""en"")"),"Corona Corporal History")</f>
        <v>Corona Corporal History</v>
      </c>
      <c r="C114" s="9" t="str">
        <f>IFERROR(__xludf.DUMMYFUNCTION("GOOGLETRANSLATE(C50,""auto"",""en"")"),"4")</f>
        <v>4</v>
      </c>
      <c r="D114" s="9" t="str">
        <f>IFERROR(__xludf.DUMMYFUNCTION("GOOGLETRANSLATE(D50,""auto"",""en"")"),"SICK_TY_CD")</f>
        <v>SICK_TY_CD</v>
      </c>
      <c r="E114" s="9" t="str">
        <f>IFERROR(__xludf.DUMMYFUNCTION("GOOGLETRANSLATE(E50,""auto"",""en"")"),"Corporal classification categories Code")</f>
        <v>Corporal classification categories Code</v>
      </c>
      <c r="F114" s="9" t="str">
        <f>IFERROR(__xludf.DUMMYFUNCTION("GOOGLETRANSLATE(F50,""auto"",""en"")"),"text")</f>
        <v>text</v>
      </c>
      <c r="G114" s="9" t="str">
        <f>IFERROR(__xludf.DUMMYFUNCTION("GOOGLETRANSLATE(G50,""auto"",""en"")"),"2")</f>
        <v>2</v>
      </c>
      <c r="H114" s="9" t="str">
        <f>IFERROR(__xludf.DUMMYFUNCTION("GOOGLETRANSLATE(H50,""auto"",""en"")"),"Code to distinguish between the major / minor / exclusion Corporal Corporal each classification symbol
* Valid Values: 1 bottle of the main phase, wounded 2, 3 excluding the corporal")</f>
        <v>Code to distinguish between the major / minor / exclusion Corporal Corporal each classification symbol
* Valid Values: 1 bottle of the main phase, wounded 2, 3 excluding the corporal</v>
      </c>
    </row>
    <row r="115" ht="16.5" customHeight="1">
      <c r="A115" s="9" t="str">
        <f>IFERROR(__xludf.DUMMYFUNCTION("GOOGLETRANSLATE(A51,""auto"",""en"")"),"co19_t400_trans_dn")</f>
        <v>co19_t400_trans_dn</v>
      </c>
      <c r="B115" s="9" t="str">
        <f>IFERROR(__xludf.DUMMYFUNCTION("GOOGLETRANSLATE(B51,""auto"",""en"")"),"Corona Corporal History")</f>
        <v>Corona Corporal History</v>
      </c>
      <c r="C115" s="9" t="str">
        <f>IFERROR(__xludf.DUMMYFUNCTION("GOOGLETRANSLATE(C51,""auto"",""en"")"),"5")</f>
        <v>5</v>
      </c>
      <c r="D115" s="9" t="str">
        <f>IFERROR(__xludf.DUMMYFUNCTION("GOOGLETRANSLATE(D51,""auto"",""en"")"),"DMD_DGSBJT_CD")</f>
        <v>DMD_DGSBJT_CD</v>
      </c>
      <c r="E115" s="9" t="str">
        <f>IFERROR(__xludf.DUMMYFUNCTION("GOOGLETRANSLATE(E51,""auto"",""en"")"),"Departments code")</f>
        <v>Departments code</v>
      </c>
      <c r="F115" s="9" t="str">
        <f>IFERROR(__xludf.DUMMYFUNCTION("GOOGLETRANSLATE(F51,""auto"",""en"")"),"text")</f>
        <v>text</v>
      </c>
      <c r="G115" s="9" t="str">
        <f>IFERROR(__xludf.DUMMYFUNCTION("GOOGLETRANSLATE(G51,""auto"",""en"")"),"4")</f>
        <v>4</v>
      </c>
      <c r="H115" s="9" t="str">
        <f>IFERROR(__xludf.DUMMYFUNCTION("GOOGLETRANSLATE(H51,""auto"",""en"")"),"Departments receiving the actual medical care subjects corresponding to the (hospital-grade or higher) or the main diagnosis person (medical institutions, clinics)")</f>
        <v>Departments receiving the actual medical care subjects corresponding to the (hospital-grade or higher) or the main diagnosis person (medical institutions, clinics)</v>
      </c>
    </row>
    <row r="116" ht="16.5" customHeight="1">
      <c r="A116" s="9" t="str">
        <f>IFERROR(__xludf.DUMMYFUNCTION("GOOGLETRANSLATE(A52,""auto"",""en"")"),"co19_t400_trans_dn")</f>
        <v>co19_t400_trans_dn</v>
      </c>
      <c r="B116" s="9" t="str">
        <f>IFERROR(__xludf.DUMMYFUNCTION("GOOGLETRANSLATE(B52,""auto"",""en"")"),"Corona Corporal History")</f>
        <v>Corona Corporal History</v>
      </c>
      <c r="C116" s="9" t="str">
        <f>IFERROR(__xludf.DUMMYFUNCTION("GOOGLETRANSLATE(C52,""auto"",""en"")"),"6")</f>
        <v>6</v>
      </c>
      <c r="D116" s="9" t="str">
        <f>IFERROR(__xludf.DUMMYFUNCTION("GOOGLETRANSLATE(D52,""auto"",""en"")"),"IFLD_DTL_SPC_SBJT_CD")</f>
        <v>IFLD_DTL_SPC_SBJT_CD</v>
      </c>
      <c r="E116" s="9" t="str">
        <f>IFERROR(__xludf.DUMMYFUNCTION("GOOGLETRANSLATE(E52,""auto"",""en"")"),"Medical Specializations detail Code")</f>
        <v>Medical Specializations detail Code</v>
      </c>
      <c r="F116" s="9" t="str">
        <f>IFERROR(__xludf.DUMMYFUNCTION("GOOGLETRANSLATE(F52,""auto"",""en"")"),"text")</f>
        <v>text</v>
      </c>
      <c r="G116" s="9" t="str">
        <f>IFERROR(__xludf.DUMMYFUNCTION("GOOGLETRANSLATE(G52,""auto"",""en"")"),"4")</f>
        <v>4</v>
      </c>
      <c r="H116" s="9" t="str">
        <f>IFERROR(__xludf.DUMMYFUNCTION("GOOGLETRANSLATE(H52,""auto"",""en"")"),"But described the case of medical care hospitals, senior general hospitals that operate under a certified More specialized courses in the 'detail of a professional system certification provisions (of Medicine), ""of course details received medical profess"&amp;"ional courses, Cebu specialized courses 2 If you have more than one base both by Corporal")</f>
        <v>But described the case of medical care hospitals, senior general hospitals that operate under a certified More specialized courses in the 'detail of a professional system certification provisions (of Medicine), "of course details received medical professional courses, Cebu specialized courses 2 If you have more than one base both by Corporal</v>
      </c>
    </row>
    <row r="117" ht="16.5" customHeight="1">
      <c r="A117" s="9" t="str">
        <f>IFERROR(__xludf.DUMMYFUNCTION("GOOGLETRANSLATE(A53,""auto"",""en"")"),"co19_t530_trans_dn")</f>
        <v>co19_t530_trans_dn</v>
      </c>
      <c r="B117" s="9" t="str">
        <f>IFERROR(__xludf.DUMMYFUNCTION("GOOGLETRANSLATE(B53,""auto"",""en"")"),"Corona prescription issued history")</f>
        <v>Corona prescription issued history</v>
      </c>
      <c r="C117" s="9" t="str">
        <f>IFERROR(__xludf.DUMMYFUNCTION("GOOGLETRANSLATE(C53,""auto"",""en"")"),"1")</f>
        <v>1</v>
      </c>
      <c r="D117" s="9" t="str">
        <f>IFERROR(__xludf.DUMMYFUNCTION("GOOGLETRANSLATE(D53,""auto"",""en"")"),"MID")</f>
        <v>MID</v>
      </c>
      <c r="E117" s="9" t="str">
        <f>IFERROR(__xludf.DUMMYFUNCTION("GOOGLETRANSLATE(E53,""auto"",""en"")"),"Statement join key")</f>
        <v>Statement join key</v>
      </c>
      <c r="F117" s="9" t="str">
        <f>IFERROR(__xludf.DUMMYFUNCTION("GOOGLETRANSLATE(F53,""auto"",""en"")"),"number")</f>
        <v>number</v>
      </c>
      <c r="G117" s="9" t="str">
        <f>IFERROR(__xludf.DUMMYFUNCTION("GOOGLETRANSLATE(G53,""auto"",""en"")"),"8")</f>
        <v>8</v>
      </c>
      <c r="H117" s="9" t="str">
        <f>IFERROR(__xludf.DUMMYFUNCTION("GOOGLETRANSLATE(H53,""auto"",""en"")"),"Replacement of specification unique to identify one statement ID number, the join between the statements Key")</f>
        <v>Replacement of specification unique to identify one statement ID number, the join between the statements Key</v>
      </c>
    </row>
    <row r="118" ht="16.5" customHeight="1">
      <c r="A118" s="9" t="str">
        <f>IFERROR(__xludf.DUMMYFUNCTION("GOOGLETRANSLATE(A54,""auto"",""en"")"),"co19_t530_trans_dn")</f>
        <v>co19_t530_trans_dn</v>
      </c>
      <c r="B118" s="9" t="str">
        <f>IFERROR(__xludf.DUMMYFUNCTION("GOOGLETRANSLATE(B54,""auto"",""en"")"),"Corona prescription issued history")</f>
        <v>Corona prescription issued history</v>
      </c>
      <c r="C118" s="9" t="str">
        <f>IFERROR(__xludf.DUMMYFUNCTION("GOOGLETRANSLATE(C54,""auto"",""en"")"),"2")</f>
        <v>2</v>
      </c>
      <c r="D118" s="9" t="str">
        <f>IFERROR(__xludf.DUMMYFUNCTION("GOOGLETRANSLATE(D54,""auto"",""en"")"),"PRSCP_GRANT_NO")</f>
        <v>PRSCP_GRANT_NO</v>
      </c>
      <c r="E118" s="9" t="str">
        <f>IFERROR(__xludf.DUMMYFUNCTION("GOOGLETRANSLATE(E54,""auto"",""en"")"),"Number of prescriptions issued")</f>
        <v>Number of prescriptions issued</v>
      </c>
      <c r="F118" s="9" t="str">
        <f>IFERROR(__xludf.DUMMYFUNCTION("GOOGLETRANSLATE(F54,""auto"",""en"")"),"text")</f>
        <v>text</v>
      </c>
      <c r="G118" s="9" t="str">
        <f>IFERROR(__xludf.DUMMYFUNCTION("GOOGLETRANSLATE(G54,""auto"",""en"")"),"26")</f>
        <v>26</v>
      </c>
      <c r="H118" s="9" t="str">
        <f>IFERROR(__xludf.DUMMYFUNCTION("GOOGLETRANSLATE(H54,""auto"",""en"")"),"Number of issued prescriptions issued by medical treatment when granting institution")</f>
        <v>Number of issued prescriptions issued by medical treatment when granting institution</v>
      </c>
    </row>
    <row r="119" ht="16.5" customHeight="1">
      <c r="A119" s="9" t="str">
        <f>IFERROR(__xludf.DUMMYFUNCTION("GOOGLETRANSLATE(A55,""auto"",""en"")"),"co19_t530_trans_dn")</f>
        <v>co19_t530_trans_dn</v>
      </c>
      <c r="B119" s="9" t="str">
        <f>IFERROR(__xludf.DUMMYFUNCTION("GOOGLETRANSLATE(B55,""auto"",""en"")"),"Corona prescription issued history")</f>
        <v>Corona prescription issued history</v>
      </c>
      <c r="C119" s="9" t="str">
        <f>IFERROR(__xludf.DUMMYFUNCTION("GOOGLETRANSLATE(C55,""auto"",""en"")"),"3")</f>
        <v>3</v>
      </c>
      <c r="D119" s="9" t="str">
        <f>IFERROR(__xludf.DUMMYFUNCTION("GOOGLETRANSLATE(D55,""auto"",""en"")"),"DIV_TY_CD")</f>
        <v>DIV_TY_CD</v>
      </c>
      <c r="E119" s="9" t="str">
        <f>IFERROR(__xludf.DUMMYFUNCTION("GOOGLETRANSLATE(E55,""auto"",""en"")"),"Category Type Code")</f>
        <v>Category Type Code</v>
      </c>
      <c r="F119" s="9" t="str">
        <f>IFERROR(__xludf.DUMMYFUNCTION("GOOGLETRANSLATE(F55,""auto"",""en"")"),"text")</f>
        <v>text</v>
      </c>
      <c r="G119" s="9" t="str">
        <f>IFERROR(__xludf.DUMMYFUNCTION("GOOGLETRANSLATE(G55,""auto"",""en"")"),"2")</f>
        <v>2</v>
      </c>
      <c r="H119" s="9" t="str">
        <f>IFERROR(__xludf.DUMMYFUNCTION("GOOGLETRANSLATE(H55,""auto"",""en"")"),"Code number, drug code, such as code jaeryodae code that classifies a comprehensive code
* Valid values: three listed insurance medicine, four imported raw material medicine, seven agreements, including re")</f>
        <v>Code number, drug code, such as code jaeryodae code that classifies a comprehensive code
* Valid values: three listed insurance medicine, four imported raw material medicine, seven agreements, including re</v>
      </c>
    </row>
    <row r="120" ht="16.5" customHeight="1">
      <c r="A120" s="9" t="str">
        <f>IFERROR(__xludf.DUMMYFUNCTION("GOOGLETRANSLATE(A56,""auto"",""en"")"),"co19_t530_trans_dn")</f>
        <v>co19_t530_trans_dn</v>
      </c>
      <c r="B120" s="9" t="str">
        <f>IFERROR(__xludf.DUMMYFUNCTION("GOOGLETRANSLATE(B56,""auto"",""en"")"),"Corona prescription issued history")</f>
        <v>Corona prescription issued history</v>
      </c>
      <c r="C120" s="9" t="str">
        <f>IFERROR(__xludf.DUMMYFUNCTION("GOOGLETRANSLATE(C56,""auto"",""en"")"),"4")</f>
        <v>4</v>
      </c>
      <c r="D120" s="9" t="str">
        <f>IFERROR(__xludf.DUMMYFUNCTION("GOOGLETRANSLATE(D56,""auto"",""en"")"),"DIV_CD")</f>
        <v>DIV_CD</v>
      </c>
      <c r="E120" s="9" t="str">
        <f>IFERROR(__xludf.DUMMYFUNCTION("GOOGLETRANSLATE(E56,""auto"",""en"")"),"Classification Code")</f>
        <v>Classification Code</v>
      </c>
      <c r="F120" s="9" t="str">
        <f>IFERROR(__xludf.DUMMYFUNCTION("GOOGLETRANSLATE(F56,""auto"",""en"")"),"text")</f>
        <v>text</v>
      </c>
      <c r="G120" s="9" t="str">
        <f>IFERROR(__xludf.DUMMYFUNCTION("GOOGLETRANSLATE(G56,""auto"",""en"")"),"18")</f>
        <v>18</v>
      </c>
      <c r="H120" s="9" t="str">
        <f>IFERROR(__xludf.DUMMYFUNCTION("GOOGLETRANSLATE(H56,""auto"",""en"")"),"List of sex classification codes to distinguish between drug")</f>
        <v>List of sex classification codes to distinguish between drug</v>
      </c>
    </row>
    <row r="121" ht="16.5" customHeight="1">
      <c r="A121" s="9" t="str">
        <f>IFERROR(__xludf.DUMMYFUNCTION("GOOGLETRANSLATE(A57,""auto"",""en"")"),"co19_t530_trans_dn")</f>
        <v>co19_t530_trans_dn</v>
      </c>
      <c r="B121" s="9" t="str">
        <f>IFERROR(__xludf.DUMMYFUNCTION("GOOGLETRANSLATE(B57,""auto"",""en"")"),"Corona prescription issued history")</f>
        <v>Corona prescription issued history</v>
      </c>
      <c r="C121" s="9" t="str">
        <f>IFERROR(__xludf.DUMMYFUNCTION("GOOGLETRANSLATE(C57,""auto"",""en"")"),"5")</f>
        <v>5</v>
      </c>
      <c r="D121" s="9" t="str">
        <f>IFERROR(__xludf.DUMMYFUNCTION("GOOGLETRANSLATE(D57,""auto"",""en"")"),"FQ1_MDCT_QTY")</f>
        <v>FQ1_MDCT_QTY</v>
      </c>
      <c r="E121" s="9" t="str">
        <f>IFERROR(__xludf.DUMMYFUNCTION("GOOGLETRANSLATE(E57,""auto"",""en"")"),"One dose")</f>
        <v>One dose</v>
      </c>
      <c r="F121" s="9" t="str">
        <f>IFERROR(__xludf.DUMMYFUNCTION("GOOGLETRANSLATE(F57,""auto"",""en"")"),"number")</f>
        <v>number</v>
      </c>
      <c r="G121" s="9" t="str">
        <f>IFERROR(__xludf.DUMMYFUNCTION("GOOGLETRANSLATE(G57,""auto"",""en"")"),"8")</f>
        <v>8</v>
      </c>
      <c r="H121" s="9" t="str">
        <f>IFERROR(__xludf.DUMMYFUNCTION("GOOGLETRANSLATE(H57,""auto"",""en"")"),"The amount of medication at a time")</f>
        <v>The amount of medication at a time</v>
      </c>
    </row>
    <row r="122" ht="16.5" customHeight="1">
      <c r="A122" s="9" t="str">
        <f>IFERROR(__xludf.DUMMYFUNCTION("GOOGLETRANSLATE(A58,""auto"",""en"")"),"co19_t530_trans_dn")</f>
        <v>co19_t530_trans_dn</v>
      </c>
      <c r="B122" s="9" t="str">
        <f>IFERROR(__xludf.DUMMYFUNCTION("GOOGLETRANSLATE(B58,""auto"",""en"")"),"Corona prescription issued history")</f>
        <v>Corona prescription issued history</v>
      </c>
      <c r="C122" s="9" t="str">
        <f>IFERROR(__xludf.DUMMYFUNCTION("GOOGLETRANSLATE(C58,""auto"",""en"")"),"6")</f>
        <v>6</v>
      </c>
      <c r="D122" s="9" t="str">
        <f>IFERROR(__xludf.DUMMYFUNCTION("GOOGLETRANSLATE(D58,""auto"",""en"")"),"DY1_MDCT_QTY")</f>
        <v>DY1_MDCT_QTY</v>
      </c>
      <c r="E122" s="9" t="str">
        <f>IFERROR(__xludf.DUMMYFUNCTION("GOOGLETRANSLATE(E58,""auto"",""en"")"),"Daily dosing times")</f>
        <v>Daily dosing times</v>
      </c>
      <c r="F122" s="9" t="str">
        <f>IFERROR(__xludf.DUMMYFUNCTION("GOOGLETRANSLATE(F58,""auto"",""en"")"),"number")</f>
        <v>number</v>
      </c>
      <c r="G122" s="9" t="str">
        <f>IFERROR(__xludf.DUMMYFUNCTION("GOOGLETRANSLATE(G58,""auto"",""en"")"),"8")</f>
        <v>8</v>
      </c>
      <c r="H122" s="9" t="str">
        <f>IFERROR(__xludf.DUMMYFUNCTION("GOOGLETRANSLATE(H58,""auto"",""en"")"),"The daily dose or number of embodiments")</f>
        <v>The daily dose or number of embodiments</v>
      </c>
    </row>
    <row r="123" ht="16.5" customHeight="1">
      <c r="A123" s="9" t="str">
        <f>IFERROR(__xludf.DUMMYFUNCTION("GOOGLETRANSLATE(A59,""auto"",""en"")"),"co19_t530_trans_dn")</f>
        <v>co19_t530_trans_dn</v>
      </c>
      <c r="B123" s="9" t="str">
        <f>IFERROR(__xludf.DUMMYFUNCTION("GOOGLETRANSLATE(B59,""auto"",""en"")"),"Corona prescription issued history")</f>
        <v>Corona prescription issued history</v>
      </c>
      <c r="C123" s="9" t="str">
        <f>IFERROR(__xludf.DUMMYFUNCTION("GOOGLETRANSLATE(C59,""auto"",""en"")"),"7")</f>
        <v>7</v>
      </c>
      <c r="D123" s="9" t="str">
        <f>IFERROR(__xludf.DUMMYFUNCTION("GOOGLETRANSLATE(D59,""auto"",""en"")"),"TOT_INJC_DDCNT_EXEC_FQ")</f>
        <v>TOT_INJC_DDCNT_EXEC_FQ</v>
      </c>
      <c r="E123" s="9" t="str">
        <f>IFERROR(__xludf.DUMMYFUNCTION("GOOGLETRANSLATE(E59,""auto"",""en"")"),"The total number of administration days conducted")</f>
        <v>The total number of administration days conducted</v>
      </c>
      <c r="F123" s="9" t="str">
        <f>IFERROR(__xludf.DUMMYFUNCTION("GOOGLETRANSLATE(F59,""auto"",""en"")"),"number")</f>
        <v>number</v>
      </c>
      <c r="G123" s="9" t="str">
        <f>IFERROR(__xludf.DUMMYFUNCTION("GOOGLETRANSLATE(G59,""auto"",""en"")"),"8")</f>
        <v>8</v>
      </c>
      <c r="H123" s="9" t="str">
        <f>IFERROR(__xludf.DUMMYFUNCTION("GOOGLETRANSLATE(H59,""auto"",""en"")"),"The total number of days of administration, or the total number of embodiments")</f>
        <v>The total number of days of administration, or the total number of embodiments</v>
      </c>
    </row>
    <row r="124" ht="16.5" customHeight="1">
      <c r="A124" s="9" t="str">
        <f>IFERROR(__xludf.DUMMYFUNCTION("GOOGLETRANSLATE(A60,""auto"",""en"")"),"co19_t530_trans_dn")</f>
        <v>co19_t530_trans_dn</v>
      </c>
      <c r="B124" s="9" t="str">
        <f>IFERROR(__xludf.DUMMYFUNCTION("GOOGLETRANSLATE(B60,""auto"",""en"")"),"Corona prescription issued history")</f>
        <v>Corona prescription issued history</v>
      </c>
      <c r="C124" s="9" t="str">
        <f>IFERROR(__xludf.DUMMYFUNCTION("GOOGLETRANSLATE(C60,""auto"",""en"")"),"8")</f>
        <v>8</v>
      </c>
      <c r="D124" s="9" t="str">
        <f>IFERROR(__xludf.DUMMYFUNCTION("GOOGLETRANSLATE(D60,""auto"",""en"")"),"TOT_USE_QTY_OR_EXEC_FQ")</f>
        <v>TOT_USE_QTY_OR_EXEC_FQ</v>
      </c>
      <c r="E124" s="9" t="str">
        <f>IFERROR(__xludf.DUMMYFUNCTION("GOOGLETRANSLATE(E60,""auto"",""en"")"),"The total amount carried count")</f>
        <v>The total amount carried count</v>
      </c>
      <c r="F124" s="9" t="str">
        <f>IFERROR(__xludf.DUMMYFUNCTION("GOOGLETRANSLATE(F60,""auto"",""en"")"),"number")</f>
        <v>number</v>
      </c>
      <c r="G124" s="9" t="str">
        <f>IFERROR(__xludf.DUMMYFUNCTION("GOOGLETRANSLATE(G60,""auto"",""en"")"),"8")</f>
        <v>8</v>
      </c>
      <c r="H124" s="9" t="str">
        <f>IFERROR(__xludf.DUMMYFUNCTION("GOOGLETRANSLATE(H60,""auto"",""en"")"),"The total amount carried count")</f>
        <v>The total amount carried count</v>
      </c>
    </row>
    <row r="125" ht="16.5" customHeight="1">
      <c r="A125" s="9" t="str">
        <f>IFERROR(__xludf.DUMMYFUNCTION("GOOGLETRANSLATE(A61,""auto"",""en"")"),"co19_t530_trans_dn")</f>
        <v>co19_t530_trans_dn</v>
      </c>
      <c r="B125" s="9" t="str">
        <f>IFERROR(__xludf.DUMMYFUNCTION("GOOGLETRANSLATE(B61,""auto"",""en"")"),"Corona prescription issued history")</f>
        <v>Corona prescription issued history</v>
      </c>
      <c r="C125" s="9" t="str">
        <f>IFERROR(__xludf.DUMMYFUNCTION("GOOGLETRANSLATE(C61,""auto"",""en"")"),"9")</f>
        <v>9</v>
      </c>
      <c r="D125" s="9" t="str">
        <f>IFERROR(__xludf.DUMMYFUNCTION("GOOGLETRANSLATE(D61,""auto"",""en"")"),"UNPRC")</f>
        <v>UNPRC</v>
      </c>
      <c r="E125" s="9" t="str">
        <f>IFERROR(__xludf.DUMMYFUNCTION("GOOGLETRANSLATE(E61,""auto"",""en"")"),"Price calculation")</f>
        <v>Price calculation</v>
      </c>
      <c r="F125" s="9" t="str">
        <f>IFERROR(__xludf.DUMMYFUNCTION("GOOGLETRANSLATE(F61,""auto"",""en"")"),"number")</f>
        <v>number</v>
      </c>
      <c r="G125" s="9" t="str">
        <f>IFERROR(__xludf.DUMMYFUNCTION("GOOGLETRANSLATE(G61,""auto"",""en"")"),"8")</f>
        <v>8</v>
      </c>
      <c r="H125" s="9" t="str">
        <f>IFERROR(__xludf.DUMMYFUNCTION("GOOGLETRANSLATE(H61,""auto"",""en"")"),"Price of the classification code")</f>
        <v>Price of the classification code</v>
      </c>
    </row>
    <row r="126" ht="16.5" customHeight="1">
      <c r="A126" s="9" t="str">
        <f>IFERROR(__xludf.DUMMYFUNCTION("GOOGLETRANSLATE(A62,""auto"",""en"")"),"co19_t530_trans_dn")</f>
        <v>co19_t530_trans_dn</v>
      </c>
      <c r="B126" s="9" t="str">
        <f>IFERROR(__xludf.DUMMYFUNCTION("GOOGLETRANSLATE(B62,""auto"",""en"")"),"Corona prescription issued history")</f>
        <v>Corona prescription issued history</v>
      </c>
      <c r="C126" s="9" t="str">
        <f>IFERROR(__xludf.DUMMYFUNCTION("GOOGLETRANSLATE(C62,""auto"",""en"")"),"10")</f>
        <v>10</v>
      </c>
      <c r="D126" s="9" t="str">
        <f>IFERROR(__xludf.DUMMYFUNCTION("GOOGLETRANSLATE(D62,""auto"",""en"")"),"AMT")</f>
        <v>AMT</v>
      </c>
      <c r="E126" s="9" t="str">
        <f>IFERROR(__xludf.DUMMYFUNCTION("GOOGLETRANSLATE(E62,""auto"",""en"")"),"Prescribed amount")</f>
        <v>Prescribed amount</v>
      </c>
      <c r="F126" s="9" t="str">
        <f>IFERROR(__xludf.DUMMYFUNCTION("GOOGLETRANSLATE(F62,""auto"",""en"")"),"number")</f>
        <v>number</v>
      </c>
      <c r="G126" s="9" t="str">
        <f>IFERROR(__xludf.DUMMYFUNCTION("GOOGLETRANSLATE(G62,""auto"",""en"")"),"8")</f>
        <v>8</v>
      </c>
      <c r="H126" s="9" t="str">
        <f>IFERROR(__xludf.DUMMYFUNCTION("GOOGLETRANSLATE(H62,""auto"",""en"")"),"Prescribed amount of medication during preparation")</f>
        <v>Prescribed amount of medication during preparation</v>
      </c>
    </row>
    <row r="127" ht="16.5" customHeight="1">
      <c r="A127" s="9" t="str">
        <f>IFERROR(__xludf.DUMMYFUNCTION("GOOGLETRANSLATE(A63,""auto"",""en"")"),"co19_t530_trans_dn")</f>
        <v>co19_t530_trans_dn</v>
      </c>
      <c r="B127" s="9" t="str">
        <f>IFERROR(__xludf.DUMMYFUNCTION("GOOGLETRANSLATE(B63,""auto"",""en"")"),"Corona prescription issued history")</f>
        <v>Corona prescription issued history</v>
      </c>
      <c r="C127" s="9" t="str">
        <f>IFERROR(__xludf.DUMMYFUNCTION("GOOGLETRANSLATE(C63,""auto"",""en"")"),"11")</f>
        <v>11</v>
      </c>
      <c r="D127" s="9" t="str">
        <f>IFERROR(__xludf.DUMMYFUNCTION("GOOGLETRANSLATE(D63,""auto"",""en"")"),"GNL_CD")</f>
        <v>GNL_CD</v>
      </c>
      <c r="E127" s="9" t="str">
        <f>IFERROR(__xludf.DUMMYFUNCTION("GOOGLETRANSLATE(E63,""auto"",""en"")"),"Generic code")</f>
        <v>Generic code</v>
      </c>
      <c r="F127" s="9" t="str">
        <f>IFERROR(__xludf.DUMMYFUNCTION("GOOGLETRANSLATE(F63,""auto"",""en"")"),"text")</f>
        <v>text</v>
      </c>
      <c r="G127" s="9" t="str">
        <f>IFERROR(__xludf.DUMMYFUNCTION("GOOGLETRANSLATE(G63,""auto"",""en"")"),"18")</f>
        <v>18</v>
      </c>
      <c r="H127" s="9" t="str">
        <f>IFERROR(__xludf.DUMMYFUNCTION("GOOGLETRANSLATE(H63,""auto"",""en"")"),"Drug chief ingredient listed drugs, importing drugs generic code")</f>
        <v>Drug chief ingredient listed drugs, importing drugs generic code</v>
      </c>
    </row>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0"/>
    <col customWidth="1" min="2" max="2" width="11.5"/>
    <col customWidth="1" min="3" max="3" width="5.88"/>
    <col customWidth="1" min="4" max="4" width="20.5"/>
    <col customWidth="1" min="5" max="5" width="22.5"/>
    <col customWidth="1" min="6" max="6" width="9.63"/>
    <col customWidth="1" min="7" max="7" width="11.13"/>
    <col customWidth="1" min="8" max="8" width="164.38"/>
    <col customWidth="1" min="9" max="26" width="7.63"/>
  </cols>
  <sheetData>
    <row r="1" ht="16.5" customHeight="1">
      <c r="A1" s="5" t="s">
        <v>0</v>
      </c>
      <c r="B1" s="5" t="s">
        <v>1</v>
      </c>
      <c r="C1" s="5" t="s">
        <v>2</v>
      </c>
      <c r="D1" s="5" t="s">
        <v>3</v>
      </c>
      <c r="E1" s="5" t="s">
        <v>4</v>
      </c>
      <c r="F1" s="5" t="s">
        <v>5</v>
      </c>
      <c r="G1" s="5" t="s">
        <v>6</v>
      </c>
      <c r="H1" s="5" t="s">
        <v>7</v>
      </c>
    </row>
    <row r="2" ht="16.5" customHeight="1">
      <c r="A2" s="2" t="s">
        <v>78</v>
      </c>
      <c r="B2" s="2" t="s">
        <v>79</v>
      </c>
      <c r="C2" s="3">
        <v>1.0</v>
      </c>
      <c r="D2" s="3" t="s">
        <v>10</v>
      </c>
      <c r="E2" s="3" t="s">
        <v>11</v>
      </c>
      <c r="F2" s="2" t="s">
        <v>12</v>
      </c>
      <c r="G2" s="3">
        <v>8.0</v>
      </c>
      <c r="H2" s="3" t="s">
        <v>13</v>
      </c>
    </row>
    <row r="3" ht="16.5" customHeight="1">
      <c r="A3" s="2" t="s">
        <v>78</v>
      </c>
      <c r="B3" s="2" t="s">
        <v>79</v>
      </c>
      <c r="C3" s="3">
        <v>2.0</v>
      </c>
      <c r="D3" s="3" t="s">
        <v>14</v>
      </c>
      <c r="E3" s="3" t="s">
        <v>15</v>
      </c>
      <c r="F3" s="2" t="s">
        <v>16</v>
      </c>
      <c r="G3" s="3">
        <v>2.0</v>
      </c>
      <c r="H3" s="4" t="s">
        <v>17</v>
      </c>
    </row>
    <row r="4" ht="16.5" customHeight="1">
      <c r="A4" s="2" t="s">
        <v>78</v>
      </c>
      <c r="B4" s="2" t="s">
        <v>79</v>
      </c>
      <c r="C4" s="3">
        <v>3.0</v>
      </c>
      <c r="D4" s="3" t="s">
        <v>18</v>
      </c>
      <c r="E4" s="3" t="s">
        <v>19</v>
      </c>
      <c r="F4" s="2" t="s">
        <v>12</v>
      </c>
      <c r="G4" s="3">
        <v>8.0</v>
      </c>
      <c r="H4" s="3" t="s">
        <v>20</v>
      </c>
    </row>
    <row r="5" ht="16.5" customHeight="1">
      <c r="A5" s="2" t="s">
        <v>78</v>
      </c>
      <c r="B5" s="2" t="s">
        <v>79</v>
      </c>
      <c r="C5" s="3">
        <v>4.0</v>
      </c>
      <c r="D5" s="3" t="s">
        <v>21</v>
      </c>
      <c r="E5" s="3" t="s">
        <v>22</v>
      </c>
      <c r="F5" s="2" t="s">
        <v>16</v>
      </c>
      <c r="G5" s="3">
        <v>1.0</v>
      </c>
      <c r="H5" s="4" t="s">
        <v>23</v>
      </c>
    </row>
    <row r="6" ht="16.5" customHeight="1">
      <c r="A6" s="2" t="s">
        <v>78</v>
      </c>
      <c r="B6" s="2" t="s">
        <v>79</v>
      </c>
      <c r="C6" s="3">
        <v>5.0</v>
      </c>
      <c r="D6" s="3" t="s">
        <v>24</v>
      </c>
      <c r="E6" s="3" t="s">
        <v>25</v>
      </c>
      <c r="F6" s="2" t="s">
        <v>16</v>
      </c>
      <c r="G6" s="3">
        <v>16.0</v>
      </c>
      <c r="H6" s="3" t="s">
        <v>26</v>
      </c>
    </row>
    <row r="7" ht="16.5" customHeight="1">
      <c r="A7" s="2" t="s">
        <v>78</v>
      </c>
      <c r="B7" s="2" t="s">
        <v>79</v>
      </c>
      <c r="C7" s="3">
        <v>6.0</v>
      </c>
      <c r="D7" s="3" t="s">
        <v>27</v>
      </c>
      <c r="E7" s="3" t="s">
        <v>28</v>
      </c>
      <c r="F7" s="2" t="s">
        <v>12</v>
      </c>
      <c r="G7" s="3">
        <v>8.0</v>
      </c>
      <c r="H7" s="4" t="s">
        <v>29</v>
      </c>
    </row>
    <row r="8" ht="16.5" customHeight="1">
      <c r="A8" s="2" t="s">
        <v>78</v>
      </c>
      <c r="B8" s="2" t="s">
        <v>79</v>
      </c>
      <c r="C8" s="3">
        <v>7.0</v>
      </c>
      <c r="D8" s="3" t="s">
        <v>30</v>
      </c>
      <c r="E8" s="3" t="s">
        <v>31</v>
      </c>
      <c r="F8" s="2" t="s">
        <v>12</v>
      </c>
      <c r="G8" s="3">
        <v>8.0</v>
      </c>
      <c r="H8" s="3" t="s">
        <v>32</v>
      </c>
    </row>
    <row r="9" ht="16.5" customHeight="1">
      <c r="A9" s="2" t="s">
        <v>78</v>
      </c>
      <c r="B9" s="2" t="s">
        <v>79</v>
      </c>
      <c r="C9" s="3">
        <v>8.0</v>
      </c>
      <c r="D9" s="3" t="s">
        <v>33</v>
      </c>
      <c r="E9" s="3" t="s">
        <v>34</v>
      </c>
      <c r="F9" s="2" t="s">
        <v>12</v>
      </c>
      <c r="G9" s="3">
        <v>8.0</v>
      </c>
      <c r="H9" s="3" t="s">
        <v>35</v>
      </c>
    </row>
    <row r="10" ht="16.5" customHeight="1">
      <c r="A10" s="2" t="s">
        <v>78</v>
      </c>
      <c r="B10" s="2" t="s">
        <v>79</v>
      </c>
      <c r="C10" s="3">
        <v>9.0</v>
      </c>
      <c r="D10" s="3" t="s">
        <v>36</v>
      </c>
      <c r="E10" s="3" t="s">
        <v>37</v>
      </c>
      <c r="F10" s="2" t="s">
        <v>16</v>
      </c>
      <c r="G10" s="3">
        <v>4.0</v>
      </c>
      <c r="H10" s="3" t="s">
        <v>38</v>
      </c>
    </row>
    <row r="11" ht="16.5" customHeight="1">
      <c r="A11" s="2" t="s">
        <v>78</v>
      </c>
      <c r="B11" s="2" t="s">
        <v>79</v>
      </c>
      <c r="C11" s="3">
        <v>10.0</v>
      </c>
      <c r="D11" s="3" t="s">
        <v>39</v>
      </c>
      <c r="E11" s="3" t="s">
        <v>40</v>
      </c>
      <c r="F11" s="2" t="s">
        <v>16</v>
      </c>
      <c r="G11" s="3">
        <v>12.0</v>
      </c>
      <c r="H11" s="3" t="s">
        <v>41</v>
      </c>
    </row>
    <row r="12" ht="16.5" customHeight="1">
      <c r="A12" s="2" t="s">
        <v>78</v>
      </c>
      <c r="B12" s="2" t="s">
        <v>79</v>
      </c>
      <c r="C12" s="3">
        <v>11.0</v>
      </c>
      <c r="D12" s="3" t="s">
        <v>42</v>
      </c>
      <c r="E12" s="3" t="s">
        <v>43</v>
      </c>
      <c r="F12" s="2" t="s">
        <v>16</v>
      </c>
      <c r="G12" s="3">
        <v>20.0</v>
      </c>
      <c r="H12" s="4" t="s">
        <v>44</v>
      </c>
    </row>
    <row r="13" ht="16.5" customHeight="1">
      <c r="A13" s="2" t="s">
        <v>78</v>
      </c>
      <c r="B13" s="2" t="s">
        <v>79</v>
      </c>
      <c r="C13" s="3">
        <v>12.0</v>
      </c>
      <c r="D13" s="3" t="s">
        <v>45</v>
      </c>
      <c r="E13" s="3" t="s">
        <v>46</v>
      </c>
      <c r="F13" s="2" t="s">
        <v>16</v>
      </c>
      <c r="G13" s="3">
        <v>12.0</v>
      </c>
      <c r="H13" s="3" t="s">
        <v>47</v>
      </c>
    </row>
    <row r="14" ht="16.5" customHeight="1">
      <c r="A14" s="2" t="s">
        <v>78</v>
      </c>
      <c r="B14" s="2" t="s">
        <v>79</v>
      </c>
      <c r="C14" s="3">
        <v>13.0</v>
      </c>
      <c r="D14" s="3" t="s">
        <v>48</v>
      </c>
      <c r="E14" s="3" t="s">
        <v>49</v>
      </c>
      <c r="F14" s="2" t="s">
        <v>16</v>
      </c>
      <c r="G14" s="3">
        <v>12.0</v>
      </c>
      <c r="H14" s="3" t="s">
        <v>50</v>
      </c>
    </row>
    <row r="15" ht="16.5" customHeight="1">
      <c r="A15" s="2" t="s">
        <v>78</v>
      </c>
      <c r="B15" s="2" t="s">
        <v>79</v>
      </c>
      <c r="C15" s="3">
        <v>14.0</v>
      </c>
      <c r="D15" s="3" t="s">
        <v>51</v>
      </c>
      <c r="E15" s="3" t="s">
        <v>52</v>
      </c>
      <c r="F15" s="2" t="s">
        <v>16</v>
      </c>
      <c r="G15" s="3">
        <v>4.0</v>
      </c>
      <c r="H15" s="4" t="s">
        <v>53</v>
      </c>
    </row>
    <row r="16" ht="16.5" customHeight="1">
      <c r="A16" s="2" t="s">
        <v>78</v>
      </c>
      <c r="B16" s="2" t="s">
        <v>79</v>
      </c>
      <c r="C16" s="3">
        <v>15.0</v>
      </c>
      <c r="D16" s="3" t="s">
        <v>54</v>
      </c>
      <c r="E16" s="3" t="s">
        <v>55</v>
      </c>
      <c r="F16" s="2" t="s">
        <v>16</v>
      </c>
      <c r="G16" s="3">
        <v>16.0</v>
      </c>
      <c r="H16" s="3" t="s">
        <v>56</v>
      </c>
    </row>
    <row r="17" ht="16.5" customHeight="1">
      <c r="A17" s="2" t="s">
        <v>78</v>
      </c>
      <c r="B17" s="2" t="s">
        <v>79</v>
      </c>
      <c r="C17" s="3">
        <v>16.0</v>
      </c>
      <c r="D17" s="3" t="s">
        <v>57</v>
      </c>
      <c r="E17" s="3" t="s">
        <v>58</v>
      </c>
      <c r="F17" s="2" t="s">
        <v>16</v>
      </c>
      <c r="G17" s="3">
        <v>10.0</v>
      </c>
      <c r="H17" s="4" t="s">
        <v>59</v>
      </c>
    </row>
    <row r="18" ht="16.5" customHeight="1">
      <c r="A18" s="2" t="s">
        <v>78</v>
      </c>
      <c r="B18" s="2" t="s">
        <v>79</v>
      </c>
      <c r="C18" s="3">
        <v>17.0</v>
      </c>
      <c r="D18" s="3" t="s">
        <v>60</v>
      </c>
      <c r="E18" s="3" t="s">
        <v>61</v>
      </c>
      <c r="F18" s="2" t="s">
        <v>16</v>
      </c>
      <c r="G18" s="3">
        <v>16.0</v>
      </c>
      <c r="H18" s="3" t="s">
        <v>62</v>
      </c>
    </row>
    <row r="19" ht="16.5" customHeight="1">
      <c r="A19" s="2" t="s">
        <v>78</v>
      </c>
      <c r="B19" s="2" t="s">
        <v>79</v>
      </c>
      <c r="C19" s="3">
        <v>18.0</v>
      </c>
      <c r="D19" s="3" t="s">
        <v>63</v>
      </c>
      <c r="E19" s="3" t="s">
        <v>64</v>
      </c>
      <c r="F19" s="2" t="s">
        <v>12</v>
      </c>
      <c r="G19" s="3">
        <v>8.0</v>
      </c>
      <c r="H19" s="3" t="s">
        <v>65</v>
      </c>
    </row>
    <row r="20" ht="16.5" customHeight="1">
      <c r="A20" s="2" t="s">
        <v>78</v>
      </c>
      <c r="B20" s="2" t="s">
        <v>79</v>
      </c>
      <c r="C20" s="3">
        <v>19.0</v>
      </c>
      <c r="D20" s="3" t="s">
        <v>66</v>
      </c>
      <c r="E20" s="3" t="s">
        <v>67</v>
      </c>
      <c r="F20" s="2" t="s">
        <v>12</v>
      </c>
      <c r="G20" s="3">
        <v>8.0</v>
      </c>
      <c r="H20" s="3" t="s">
        <v>68</v>
      </c>
    </row>
    <row r="21" ht="16.5" customHeight="1">
      <c r="A21" s="2" t="s">
        <v>78</v>
      </c>
      <c r="B21" s="2" t="s">
        <v>79</v>
      </c>
      <c r="C21" s="3">
        <v>20.0</v>
      </c>
      <c r="D21" s="3" t="s">
        <v>145</v>
      </c>
      <c r="E21" s="3" t="s">
        <v>146</v>
      </c>
      <c r="F21" s="2" t="s">
        <v>12</v>
      </c>
      <c r="G21" s="3">
        <v>8.0</v>
      </c>
      <c r="H21" s="3" t="s">
        <v>149</v>
      </c>
    </row>
    <row r="22" ht="16.5" customHeight="1">
      <c r="A22" s="2" t="s">
        <v>78</v>
      </c>
      <c r="B22" s="2" t="s">
        <v>79</v>
      </c>
      <c r="C22" s="3">
        <v>21.0</v>
      </c>
      <c r="D22" s="3" t="s">
        <v>150</v>
      </c>
      <c r="E22" s="3" t="s">
        <v>152</v>
      </c>
      <c r="F22" s="2" t="s">
        <v>12</v>
      </c>
      <c r="G22" s="3">
        <v>8.0</v>
      </c>
      <c r="H22" s="3" t="s">
        <v>154</v>
      </c>
    </row>
    <row r="23" ht="16.5" customHeight="1">
      <c r="A23" s="2" t="s">
        <v>78</v>
      </c>
      <c r="B23" s="2" t="s">
        <v>79</v>
      </c>
      <c r="C23" s="3">
        <v>22.0</v>
      </c>
      <c r="D23" s="3" t="s">
        <v>156</v>
      </c>
      <c r="E23" s="3" t="s">
        <v>157</v>
      </c>
      <c r="F23" s="2" t="s">
        <v>12</v>
      </c>
      <c r="G23" s="3">
        <v>8.0</v>
      </c>
      <c r="H23" s="3" t="s">
        <v>158</v>
      </c>
    </row>
    <row r="24" ht="16.5" customHeight="1">
      <c r="A24" s="2" t="s">
        <v>78</v>
      </c>
      <c r="B24" s="2" t="s">
        <v>79</v>
      </c>
      <c r="C24" s="3">
        <v>23.0</v>
      </c>
      <c r="D24" s="3" t="s">
        <v>69</v>
      </c>
      <c r="E24" s="6" t="s">
        <v>159</v>
      </c>
      <c r="F24" s="2" t="s">
        <v>12</v>
      </c>
      <c r="G24" s="3">
        <v>8.0</v>
      </c>
      <c r="H24" s="4" t="s">
        <v>161</v>
      </c>
    </row>
    <row r="25" ht="16.5" customHeight="1">
      <c r="A25" s="2" t="s">
        <v>78</v>
      </c>
      <c r="B25" s="2" t="s">
        <v>79</v>
      </c>
      <c r="C25" s="3">
        <v>24.0</v>
      </c>
      <c r="D25" s="3" t="s">
        <v>72</v>
      </c>
      <c r="E25" s="3" t="s">
        <v>164</v>
      </c>
      <c r="F25" s="2" t="s">
        <v>12</v>
      </c>
      <c r="G25" s="3">
        <v>8.0</v>
      </c>
      <c r="H25" s="4" t="s">
        <v>166</v>
      </c>
    </row>
    <row r="26" ht="16.5" customHeight="1">
      <c r="A26" s="2" t="s">
        <v>78</v>
      </c>
      <c r="B26" s="2" t="s">
        <v>79</v>
      </c>
      <c r="C26" s="3">
        <v>25.0</v>
      </c>
      <c r="D26" s="3" t="s">
        <v>75</v>
      </c>
      <c r="E26" s="3" t="s">
        <v>169</v>
      </c>
      <c r="F26" s="2" t="s">
        <v>12</v>
      </c>
      <c r="G26" s="3">
        <v>8.0</v>
      </c>
      <c r="H26" s="4" t="s">
        <v>172</v>
      </c>
    </row>
    <row r="27" ht="16.5" customHeight="1">
      <c r="A27" s="2" t="s">
        <v>78</v>
      </c>
      <c r="B27" s="2" t="s">
        <v>79</v>
      </c>
      <c r="C27" s="3">
        <v>26.0</v>
      </c>
      <c r="D27" s="3" t="s">
        <v>80</v>
      </c>
      <c r="E27" s="6" t="s">
        <v>174</v>
      </c>
      <c r="F27" s="2" t="s">
        <v>12</v>
      </c>
      <c r="G27" s="3">
        <v>8.0</v>
      </c>
      <c r="H27" s="4" t="s">
        <v>176</v>
      </c>
    </row>
    <row r="28" ht="16.5" customHeight="1">
      <c r="A28" s="2" t="s">
        <v>78</v>
      </c>
      <c r="B28" s="2" t="s">
        <v>79</v>
      </c>
      <c r="C28" s="3">
        <v>27.0</v>
      </c>
      <c r="D28" s="3" t="s">
        <v>83</v>
      </c>
      <c r="E28" s="3" t="s">
        <v>84</v>
      </c>
      <c r="F28" s="2" t="s">
        <v>16</v>
      </c>
      <c r="G28" s="3">
        <v>2.0</v>
      </c>
      <c r="H28" s="4" t="s">
        <v>85</v>
      </c>
    </row>
    <row r="29" ht="16.5" customHeight="1">
      <c r="A29" s="2" t="s">
        <v>78</v>
      </c>
      <c r="B29" s="2" t="s">
        <v>79</v>
      </c>
      <c r="C29" s="3">
        <v>28.0</v>
      </c>
      <c r="D29" s="3" t="s">
        <v>86</v>
      </c>
      <c r="E29" s="3" t="s">
        <v>87</v>
      </c>
      <c r="F29" s="2" t="s">
        <v>16</v>
      </c>
      <c r="G29" s="3">
        <v>2.0</v>
      </c>
      <c r="H29" s="4" t="s">
        <v>88</v>
      </c>
    </row>
    <row r="30" ht="16.5" customHeight="1">
      <c r="A30" s="2" t="s">
        <v>78</v>
      </c>
      <c r="B30" s="2" t="s">
        <v>79</v>
      </c>
      <c r="C30" s="3">
        <v>29.0</v>
      </c>
      <c r="D30" s="3" t="s">
        <v>89</v>
      </c>
      <c r="E30" s="3" t="s">
        <v>90</v>
      </c>
      <c r="F30" s="2" t="s">
        <v>16</v>
      </c>
      <c r="G30" s="3">
        <v>8.0</v>
      </c>
      <c r="H30" s="3" t="s">
        <v>91</v>
      </c>
    </row>
    <row r="31" ht="16.5" customHeight="1">
      <c r="A31" s="2" t="s">
        <v>78</v>
      </c>
      <c r="B31" s="2" t="s">
        <v>79</v>
      </c>
      <c r="C31" s="3">
        <v>30.0</v>
      </c>
      <c r="D31" s="3" t="s">
        <v>92</v>
      </c>
      <c r="E31" s="3" t="s">
        <v>93</v>
      </c>
      <c r="F31" s="2" t="s">
        <v>16</v>
      </c>
      <c r="G31" s="3">
        <v>4.0</v>
      </c>
      <c r="H31" s="3" t="s">
        <v>94</v>
      </c>
    </row>
    <row r="32" ht="16.5" customHeight="1">
      <c r="A32" s="2" t="s">
        <v>78</v>
      </c>
      <c r="B32" s="2" t="s">
        <v>79</v>
      </c>
      <c r="C32" s="3">
        <v>31.0</v>
      </c>
      <c r="D32" s="3" t="s">
        <v>95</v>
      </c>
      <c r="E32" s="3" t="s">
        <v>96</v>
      </c>
      <c r="F32" s="2" t="s">
        <v>16</v>
      </c>
      <c r="G32" s="3">
        <v>2.0</v>
      </c>
      <c r="H32" s="4" t="s">
        <v>97</v>
      </c>
    </row>
    <row r="33" ht="16.5" customHeight="1">
      <c r="A33" s="2" t="s">
        <v>78</v>
      </c>
      <c r="B33" s="2" t="s">
        <v>79</v>
      </c>
      <c r="C33" s="3">
        <v>32.0</v>
      </c>
      <c r="D33" s="3" t="s">
        <v>98</v>
      </c>
      <c r="E33" s="3" t="s">
        <v>99</v>
      </c>
      <c r="F33" s="2" t="s">
        <v>16</v>
      </c>
      <c r="G33" s="3">
        <v>4.0</v>
      </c>
      <c r="H33" s="4" t="s">
        <v>100</v>
      </c>
    </row>
    <row r="34" ht="16.5" customHeight="1">
      <c r="A34" s="2" t="s">
        <v>78</v>
      </c>
      <c r="B34" s="2" t="s">
        <v>79</v>
      </c>
      <c r="C34" s="3">
        <v>33.0</v>
      </c>
      <c r="D34" s="3" t="s">
        <v>101</v>
      </c>
      <c r="E34" s="3" t="s">
        <v>102</v>
      </c>
      <c r="F34" s="2" t="s">
        <v>16</v>
      </c>
      <c r="G34" s="3">
        <v>2.0</v>
      </c>
      <c r="H34" s="3" t="s">
        <v>103</v>
      </c>
    </row>
    <row r="35" ht="16.5" customHeight="1">
      <c r="A35" s="2" t="s">
        <v>78</v>
      </c>
      <c r="B35" s="2" t="s">
        <v>79</v>
      </c>
      <c r="C35" s="3">
        <v>34.0</v>
      </c>
      <c r="D35" s="3" t="s">
        <v>104</v>
      </c>
      <c r="E35" s="3" t="s">
        <v>105</v>
      </c>
      <c r="F35" s="2" t="s">
        <v>16</v>
      </c>
      <c r="G35" s="3">
        <v>2.0</v>
      </c>
      <c r="H35" s="4" t="s">
        <v>106</v>
      </c>
    </row>
    <row r="36" ht="16.5" customHeight="1">
      <c r="A36" s="2" t="s">
        <v>78</v>
      </c>
      <c r="B36" s="2" t="s">
        <v>79</v>
      </c>
      <c r="C36" s="3">
        <v>35.0</v>
      </c>
      <c r="D36" s="3" t="s">
        <v>107</v>
      </c>
      <c r="E36" s="3" t="s">
        <v>108</v>
      </c>
      <c r="F36" s="2" t="s">
        <v>16</v>
      </c>
      <c r="G36" s="3">
        <v>2.0</v>
      </c>
      <c r="H36" s="4" t="s">
        <v>109</v>
      </c>
    </row>
    <row r="37" ht="16.5" customHeight="1">
      <c r="A37" s="2" t="s">
        <v>78</v>
      </c>
      <c r="B37" s="2" t="s">
        <v>79</v>
      </c>
      <c r="C37" s="3">
        <v>36.0</v>
      </c>
      <c r="D37" s="3" t="s">
        <v>188</v>
      </c>
      <c r="E37" s="6" t="s">
        <v>189</v>
      </c>
      <c r="F37" s="2" t="s">
        <v>16</v>
      </c>
      <c r="G37" s="3">
        <v>12.0</v>
      </c>
      <c r="H37" s="3" t="s">
        <v>190</v>
      </c>
    </row>
    <row r="38" ht="16.5" customHeight="1">
      <c r="A38" s="2" t="s">
        <v>78</v>
      </c>
      <c r="B38" s="2" t="s">
        <v>79</v>
      </c>
      <c r="C38" s="3">
        <v>37.0</v>
      </c>
      <c r="D38" s="3" t="s">
        <v>191</v>
      </c>
      <c r="E38" s="3" t="s">
        <v>192</v>
      </c>
      <c r="F38" s="2" t="s">
        <v>16</v>
      </c>
      <c r="G38" s="3">
        <v>4.0</v>
      </c>
      <c r="H38" s="4" t="s">
        <v>193</v>
      </c>
    </row>
    <row r="39" ht="16.5" customHeight="1">
      <c r="A39" s="2" t="s">
        <v>194</v>
      </c>
      <c r="B39" s="2" t="s">
        <v>195</v>
      </c>
      <c r="C39" s="3">
        <v>1.0</v>
      </c>
      <c r="D39" s="3" t="s">
        <v>10</v>
      </c>
      <c r="E39" s="3" t="s">
        <v>11</v>
      </c>
      <c r="F39" s="2" t="s">
        <v>12</v>
      </c>
      <c r="G39" s="3">
        <v>8.0</v>
      </c>
      <c r="H39" s="3" t="s">
        <v>13</v>
      </c>
    </row>
    <row r="40" ht="16.5" customHeight="1">
      <c r="A40" s="2" t="s">
        <v>194</v>
      </c>
      <c r="B40" s="2" t="s">
        <v>195</v>
      </c>
      <c r="C40" s="3">
        <v>2.0</v>
      </c>
      <c r="D40" s="3" t="s">
        <v>197</v>
      </c>
      <c r="E40" s="3" t="s">
        <v>198</v>
      </c>
      <c r="F40" s="2" t="s">
        <v>16</v>
      </c>
      <c r="G40" s="3">
        <v>10.0</v>
      </c>
      <c r="H40" s="4" t="s">
        <v>200</v>
      </c>
    </row>
    <row r="41" ht="16.5" customHeight="1">
      <c r="A41" s="2" t="s">
        <v>194</v>
      </c>
      <c r="B41" s="2" t="s">
        <v>195</v>
      </c>
      <c r="C41" s="3">
        <v>3.0</v>
      </c>
      <c r="D41" s="3" t="s">
        <v>112</v>
      </c>
      <c r="E41" s="3" t="s">
        <v>113</v>
      </c>
      <c r="F41" s="2" t="s">
        <v>16</v>
      </c>
      <c r="G41" s="3">
        <v>2.0</v>
      </c>
      <c r="H41" s="4" t="s">
        <v>114</v>
      </c>
    </row>
    <row r="42" ht="16.5" customHeight="1">
      <c r="A42" s="2" t="s">
        <v>194</v>
      </c>
      <c r="B42" s="2" t="s">
        <v>195</v>
      </c>
      <c r="C42" s="3">
        <v>4.0</v>
      </c>
      <c r="D42" s="3" t="s">
        <v>115</v>
      </c>
      <c r="E42" s="3" t="s">
        <v>116</v>
      </c>
      <c r="F42" s="2" t="s">
        <v>16</v>
      </c>
      <c r="G42" s="3">
        <v>18.0</v>
      </c>
      <c r="H42" s="3" t="s">
        <v>117</v>
      </c>
    </row>
    <row r="43" ht="16.5" customHeight="1">
      <c r="A43" s="2" t="s">
        <v>194</v>
      </c>
      <c r="B43" s="2" t="s">
        <v>195</v>
      </c>
      <c r="C43" s="3">
        <v>5.0</v>
      </c>
      <c r="D43" s="3" t="s">
        <v>118</v>
      </c>
      <c r="E43" s="3" t="s">
        <v>119</v>
      </c>
      <c r="F43" s="2" t="s">
        <v>12</v>
      </c>
      <c r="G43" s="3">
        <v>8.0</v>
      </c>
      <c r="H43" s="3" t="s">
        <v>120</v>
      </c>
    </row>
    <row r="44" ht="16.5" customHeight="1">
      <c r="A44" s="2" t="s">
        <v>194</v>
      </c>
      <c r="B44" s="2" t="s">
        <v>195</v>
      </c>
      <c r="C44" s="3">
        <v>6.0</v>
      </c>
      <c r="D44" s="3" t="s">
        <v>121</v>
      </c>
      <c r="E44" s="3" t="s">
        <v>122</v>
      </c>
      <c r="F44" s="2" t="s">
        <v>12</v>
      </c>
      <c r="G44" s="3">
        <v>8.0</v>
      </c>
      <c r="H44" s="3" t="s">
        <v>123</v>
      </c>
    </row>
    <row r="45" ht="16.5" customHeight="1">
      <c r="A45" s="2" t="s">
        <v>194</v>
      </c>
      <c r="B45" s="2" t="s">
        <v>195</v>
      </c>
      <c r="C45" s="3">
        <v>7.0</v>
      </c>
      <c r="D45" s="3" t="s">
        <v>124</v>
      </c>
      <c r="E45" s="3" t="s">
        <v>125</v>
      </c>
      <c r="F45" s="2" t="s">
        <v>12</v>
      </c>
      <c r="G45" s="3">
        <v>8.0</v>
      </c>
      <c r="H45" s="3" t="s">
        <v>126</v>
      </c>
    </row>
    <row r="46" ht="16.5" customHeight="1">
      <c r="A46" s="2" t="s">
        <v>194</v>
      </c>
      <c r="B46" s="2" t="s">
        <v>195</v>
      </c>
      <c r="C46" s="3">
        <v>8.0</v>
      </c>
      <c r="D46" s="3" t="s">
        <v>127</v>
      </c>
      <c r="E46" s="3" t="s">
        <v>128</v>
      </c>
      <c r="F46" s="2" t="s">
        <v>12</v>
      </c>
      <c r="G46" s="3">
        <v>8.0</v>
      </c>
      <c r="H46" s="3" t="s">
        <v>129</v>
      </c>
    </row>
    <row r="47" ht="16.5" customHeight="1">
      <c r="A47" s="2" t="s">
        <v>194</v>
      </c>
      <c r="B47" s="2" t="s">
        <v>195</v>
      </c>
      <c r="C47" s="3">
        <v>9.0</v>
      </c>
      <c r="D47" s="3" t="s">
        <v>130</v>
      </c>
      <c r="E47" s="3" t="s">
        <v>131</v>
      </c>
      <c r="F47" s="2" t="s">
        <v>12</v>
      </c>
      <c r="G47" s="3">
        <v>8.0</v>
      </c>
      <c r="H47" s="3" t="s">
        <v>132</v>
      </c>
    </row>
    <row r="48" ht="16.5" customHeight="1">
      <c r="A48" s="2" t="s">
        <v>194</v>
      </c>
      <c r="B48" s="2" t="s">
        <v>195</v>
      </c>
      <c r="C48" s="3">
        <v>10.0</v>
      </c>
      <c r="D48" s="3" t="s">
        <v>133</v>
      </c>
      <c r="E48" s="3" t="s">
        <v>134</v>
      </c>
      <c r="F48" s="2" t="s">
        <v>12</v>
      </c>
      <c r="G48" s="3">
        <v>8.0</v>
      </c>
      <c r="H48" s="3" t="s">
        <v>135</v>
      </c>
    </row>
    <row r="49" ht="16.5" customHeight="1">
      <c r="A49" s="2" t="s">
        <v>194</v>
      </c>
      <c r="B49" s="2" t="s">
        <v>195</v>
      </c>
      <c r="C49" s="3">
        <v>11.0</v>
      </c>
      <c r="D49" s="3" t="s">
        <v>136</v>
      </c>
      <c r="E49" s="3" t="s">
        <v>137</v>
      </c>
      <c r="F49" s="2" t="s">
        <v>12</v>
      </c>
      <c r="G49" s="3">
        <v>8.0</v>
      </c>
      <c r="H49" s="3" t="s">
        <v>137</v>
      </c>
    </row>
    <row r="50" ht="16.5" customHeight="1">
      <c r="A50" s="2" t="s">
        <v>194</v>
      </c>
      <c r="B50" s="2" t="s">
        <v>195</v>
      </c>
      <c r="C50" s="3">
        <v>12.0</v>
      </c>
      <c r="D50" s="3" t="s">
        <v>202</v>
      </c>
      <c r="E50" s="3" t="s">
        <v>203</v>
      </c>
      <c r="F50" s="2" t="s">
        <v>16</v>
      </c>
      <c r="G50" s="3">
        <v>18.0</v>
      </c>
      <c r="H50" s="4" t="s">
        <v>204</v>
      </c>
    </row>
    <row r="51" ht="16.5" customHeight="1">
      <c r="A51" s="2" t="s">
        <v>194</v>
      </c>
      <c r="B51" s="2" t="s">
        <v>195</v>
      </c>
      <c r="C51" s="3">
        <v>13.0</v>
      </c>
      <c r="D51" s="3" t="s">
        <v>139</v>
      </c>
      <c r="E51" s="3" t="s">
        <v>140</v>
      </c>
      <c r="F51" s="2" t="s">
        <v>16</v>
      </c>
      <c r="G51" s="3">
        <v>18.0</v>
      </c>
      <c r="H51" s="3" t="s">
        <v>141</v>
      </c>
    </row>
    <row r="52" ht="16.5" customHeight="1">
      <c r="A52" s="2" t="s">
        <v>194</v>
      </c>
      <c r="B52" s="2" t="s">
        <v>195</v>
      </c>
      <c r="C52" s="3">
        <v>14.0</v>
      </c>
      <c r="D52" s="3" t="s">
        <v>142</v>
      </c>
      <c r="E52" s="3" t="s">
        <v>143</v>
      </c>
      <c r="F52" s="2" t="s">
        <v>16</v>
      </c>
      <c r="G52" s="3">
        <v>4.0</v>
      </c>
      <c r="H52" s="3" t="s">
        <v>144</v>
      </c>
    </row>
    <row r="53" ht="16.5" customHeight="1">
      <c r="A53" s="2" t="s">
        <v>194</v>
      </c>
      <c r="B53" s="2" t="s">
        <v>195</v>
      </c>
      <c r="C53" s="3">
        <v>15.0</v>
      </c>
      <c r="D53" s="3" t="s">
        <v>147</v>
      </c>
      <c r="E53" s="3" t="s">
        <v>148</v>
      </c>
      <c r="F53" s="2" t="s">
        <v>16</v>
      </c>
      <c r="G53" s="3">
        <v>2.0</v>
      </c>
      <c r="H53" s="3" t="s">
        <v>151</v>
      </c>
    </row>
    <row r="54" ht="16.5" customHeight="1">
      <c r="A54" s="2" t="s">
        <v>205</v>
      </c>
      <c r="B54" s="2" t="s">
        <v>206</v>
      </c>
      <c r="C54" s="3">
        <v>1.0</v>
      </c>
      <c r="D54" s="3" t="s">
        <v>10</v>
      </c>
      <c r="E54" s="3" t="s">
        <v>11</v>
      </c>
      <c r="F54" s="2" t="s">
        <v>12</v>
      </c>
      <c r="G54" s="3">
        <v>8.0</v>
      </c>
      <c r="H54" s="3" t="s">
        <v>13</v>
      </c>
    </row>
    <row r="55" ht="16.5" customHeight="1">
      <c r="A55" s="2" t="s">
        <v>205</v>
      </c>
      <c r="B55" s="2" t="s">
        <v>206</v>
      </c>
      <c r="C55" s="3">
        <v>2.0</v>
      </c>
      <c r="D55" s="3" t="s">
        <v>160</v>
      </c>
      <c r="E55" s="3" t="s">
        <v>162</v>
      </c>
      <c r="F55" s="2" t="s">
        <v>12</v>
      </c>
      <c r="G55" s="3">
        <v>8.0</v>
      </c>
      <c r="H55" s="3" t="s">
        <v>163</v>
      </c>
    </row>
    <row r="56" ht="16.5" customHeight="1">
      <c r="A56" s="2" t="s">
        <v>205</v>
      </c>
      <c r="B56" s="2" t="s">
        <v>206</v>
      </c>
      <c r="C56" s="3">
        <v>3.0</v>
      </c>
      <c r="D56" s="3" t="s">
        <v>165</v>
      </c>
      <c r="E56" s="3" t="s">
        <v>167</v>
      </c>
      <c r="F56" s="2" t="s">
        <v>16</v>
      </c>
      <c r="G56" s="3">
        <v>12.0</v>
      </c>
      <c r="H56" s="3" t="s">
        <v>168</v>
      </c>
    </row>
    <row r="57" ht="16.5" customHeight="1">
      <c r="A57" s="2" t="s">
        <v>205</v>
      </c>
      <c r="B57" s="2" t="s">
        <v>206</v>
      </c>
      <c r="C57" s="3">
        <v>4.0</v>
      </c>
      <c r="D57" s="3" t="s">
        <v>170</v>
      </c>
      <c r="E57" s="3" t="s">
        <v>171</v>
      </c>
      <c r="F57" s="2" t="s">
        <v>16</v>
      </c>
      <c r="G57" s="3">
        <v>2.0</v>
      </c>
      <c r="H57" s="4" t="s">
        <v>173</v>
      </c>
    </row>
    <row r="58" ht="16.5" customHeight="1">
      <c r="A58" s="2" t="s">
        <v>205</v>
      </c>
      <c r="B58" s="2" t="s">
        <v>206</v>
      </c>
      <c r="C58" s="3">
        <v>5.0</v>
      </c>
      <c r="D58" s="3" t="s">
        <v>175</v>
      </c>
      <c r="E58" s="3" t="s">
        <v>52</v>
      </c>
      <c r="F58" s="2" t="s">
        <v>16</v>
      </c>
      <c r="G58" s="3">
        <v>4.0</v>
      </c>
      <c r="H58" s="4" t="s">
        <v>53</v>
      </c>
    </row>
    <row r="59" ht="16.5" customHeight="1">
      <c r="A59" s="2" t="s">
        <v>205</v>
      </c>
      <c r="B59" s="2" t="s">
        <v>206</v>
      </c>
      <c r="C59" s="3">
        <v>6.0</v>
      </c>
      <c r="D59" s="3" t="s">
        <v>177</v>
      </c>
      <c r="E59" s="3" t="s">
        <v>178</v>
      </c>
      <c r="F59" s="2" t="s">
        <v>16</v>
      </c>
      <c r="G59" s="3">
        <v>4.0</v>
      </c>
      <c r="H59" s="3" t="s">
        <v>179</v>
      </c>
    </row>
    <row r="60" ht="16.5" customHeight="1">
      <c r="A60" s="2" t="s">
        <v>207</v>
      </c>
      <c r="B60" s="2" t="s">
        <v>208</v>
      </c>
      <c r="C60" s="3">
        <v>1.0</v>
      </c>
      <c r="D60" s="3" t="s">
        <v>10</v>
      </c>
      <c r="E60" s="3" t="s">
        <v>11</v>
      </c>
      <c r="F60" s="2" t="s">
        <v>12</v>
      </c>
      <c r="G60" s="3">
        <v>8.0</v>
      </c>
      <c r="H60" s="3" t="s">
        <v>13</v>
      </c>
    </row>
    <row r="61" ht="16.5" customHeight="1">
      <c r="A61" s="2" t="s">
        <v>207</v>
      </c>
      <c r="B61" s="2" t="s">
        <v>208</v>
      </c>
      <c r="C61" s="3">
        <v>2.0</v>
      </c>
      <c r="D61" s="3" t="s">
        <v>182</v>
      </c>
      <c r="E61" s="3" t="s">
        <v>183</v>
      </c>
      <c r="F61" s="2" t="s">
        <v>16</v>
      </c>
      <c r="G61" s="3">
        <v>26.0</v>
      </c>
      <c r="H61" s="3" t="s">
        <v>184</v>
      </c>
    </row>
    <row r="62" ht="16.5" customHeight="1">
      <c r="A62" s="2" t="s">
        <v>207</v>
      </c>
      <c r="B62" s="2" t="s">
        <v>208</v>
      </c>
      <c r="C62" s="3">
        <v>3.0</v>
      </c>
      <c r="D62" s="3" t="s">
        <v>112</v>
      </c>
      <c r="E62" s="3" t="s">
        <v>113</v>
      </c>
      <c r="F62" s="2" t="s">
        <v>16</v>
      </c>
      <c r="G62" s="3">
        <v>2.0</v>
      </c>
      <c r="H62" s="4" t="s">
        <v>185</v>
      </c>
    </row>
    <row r="63" ht="16.5" customHeight="1">
      <c r="A63" s="2" t="s">
        <v>207</v>
      </c>
      <c r="B63" s="2" t="s">
        <v>208</v>
      </c>
      <c r="C63" s="3">
        <v>4.0</v>
      </c>
      <c r="D63" s="3" t="s">
        <v>115</v>
      </c>
      <c r="E63" s="3" t="s">
        <v>116</v>
      </c>
      <c r="F63" s="2" t="s">
        <v>16</v>
      </c>
      <c r="G63" s="3">
        <v>18.0</v>
      </c>
      <c r="H63" s="3" t="s">
        <v>186</v>
      </c>
    </row>
    <row r="64" ht="16.5" customHeight="1">
      <c r="A64" s="2" t="s">
        <v>207</v>
      </c>
      <c r="B64" s="2" t="s">
        <v>208</v>
      </c>
      <c r="C64" s="3">
        <v>5.0</v>
      </c>
      <c r="D64" s="3" t="s">
        <v>118</v>
      </c>
      <c r="E64" s="3" t="s">
        <v>119</v>
      </c>
      <c r="F64" s="2" t="s">
        <v>12</v>
      </c>
      <c r="G64" s="3">
        <v>8.0</v>
      </c>
      <c r="H64" s="3" t="s">
        <v>120</v>
      </c>
    </row>
    <row r="65" ht="16.5" customHeight="1">
      <c r="A65" s="2" t="s">
        <v>207</v>
      </c>
      <c r="B65" s="2" t="s">
        <v>208</v>
      </c>
      <c r="C65" s="3">
        <v>6.0</v>
      </c>
      <c r="D65" s="3" t="s">
        <v>121</v>
      </c>
      <c r="E65" s="3" t="s">
        <v>187</v>
      </c>
      <c r="F65" s="2" t="s">
        <v>12</v>
      </c>
      <c r="G65" s="3">
        <v>8.0</v>
      </c>
      <c r="H65" s="3" t="s">
        <v>123</v>
      </c>
    </row>
    <row r="66" ht="16.5" customHeight="1">
      <c r="A66" s="2" t="s">
        <v>207</v>
      </c>
      <c r="B66" s="2" t="s">
        <v>208</v>
      </c>
      <c r="C66" s="3">
        <v>7.0</v>
      </c>
      <c r="D66" s="3" t="s">
        <v>127</v>
      </c>
      <c r="E66" s="3" t="s">
        <v>128</v>
      </c>
      <c r="F66" s="2" t="s">
        <v>12</v>
      </c>
      <c r="G66" s="3">
        <v>8.0</v>
      </c>
      <c r="H66" s="3" t="s">
        <v>129</v>
      </c>
    </row>
    <row r="67" ht="16.5" customHeight="1">
      <c r="A67" s="2" t="s">
        <v>207</v>
      </c>
      <c r="B67" s="2" t="s">
        <v>208</v>
      </c>
      <c r="C67" s="3">
        <v>8.0</v>
      </c>
      <c r="D67" s="3" t="s">
        <v>130</v>
      </c>
      <c r="E67" s="3" t="s">
        <v>131</v>
      </c>
      <c r="F67" s="2" t="s">
        <v>12</v>
      </c>
      <c r="G67" s="3">
        <v>8.0</v>
      </c>
      <c r="H67" s="3" t="s">
        <v>132</v>
      </c>
    </row>
    <row r="68" ht="16.5" customHeight="1">
      <c r="A68" s="2" t="s">
        <v>207</v>
      </c>
      <c r="B68" s="2" t="s">
        <v>208</v>
      </c>
      <c r="C68" s="3">
        <v>9.0</v>
      </c>
      <c r="D68" s="3" t="s">
        <v>133</v>
      </c>
      <c r="E68" s="3" t="s">
        <v>134</v>
      </c>
      <c r="F68" s="2" t="s">
        <v>12</v>
      </c>
      <c r="G68" s="3">
        <v>8.0</v>
      </c>
      <c r="H68" s="3" t="s">
        <v>196</v>
      </c>
    </row>
    <row r="69" ht="16.5" customHeight="1">
      <c r="A69" s="2" t="s">
        <v>207</v>
      </c>
      <c r="B69" s="2" t="s">
        <v>208</v>
      </c>
      <c r="C69" s="3">
        <v>10.0</v>
      </c>
      <c r="D69" s="3" t="s">
        <v>136</v>
      </c>
      <c r="E69" s="3" t="s">
        <v>199</v>
      </c>
      <c r="F69" s="2" t="s">
        <v>12</v>
      </c>
      <c r="G69" s="3">
        <v>8.0</v>
      </c>
      <c r="H69" s="3" t="s">
        <v>199</v>
      </c>
    </row>
    <row r="70" ht="16.5" customHeight="1">
      <c r="A70" s="2" t="s">
        <v>207</v>
      </c>
      <c r="B70" s="2" t="s">
        <v>208</v>
      </c>
      <c r="C70" s="3">
        <v>11.0</v>
      </c>
      <c r="D70" s="3" t="s">
        <v>139</v>
      </c>
      <c r="E70" s="3" t="s">
        <v>140</v>
      </c>
      <c r="F70" s="2" t="s">
        <v>16</v>
      </c>
      <c r="G70" s="3">
        <v>18.0</v>
      </c>
      <c r="H70" s="3" t="s">
        <v>141</v>
      </c>
    </row>
    <row r="71" ht="16.5" customHeight="1"/>
    <row r="72" ht="16.5" customHeight="1">
      <c r="A72" s="7" t="str">
        <f t="shared" ref="A72:H72" si="1">A1</f>
        <v>DataSetEndNm</v>
      </c>
      <c r="B72" s="7" t="str">
        <f t="shared" si="1"/>
        <v>DataSetKorNm</v>
      </c>
      <c r="C72" s="7" t="str">
        <f t="shared" si="1"/>
        <v>VarSeq</v>
      </c>
      <c r="D72" s="7" t="str">
        <f t="shared" si="1"/>
        <v>VarEngNm</v>
      </c>
      <c r="E72" s="7" t="str">
        <f t="shared" si="1"/>
        <v>VarKorNm</v>
      </c>
      <c r="F72" s="7" t="str">
        <f t="shared" si="1"/>
        <v>VarDataType</v>
      </c>
      <c r="G72" s="7" t="str">
        <f t="shared" si="1"/>
        <v>VarDataLength</v>
      </c>
      <c r="H72" s="7" t="str">
        <f t="shared" si="1"/>
        <v>VarDescription</v>
      </c>
      <c r="I72" s="8"/>
      <c r="J72" s="8"/>
      <c r="K72" s="8"/>
      <c r="L72" s="8"/>
      <c r="M72" s="8"/>
      <c r="N72" s="8"/>
      <c r="O72" s="8"/>
      <c r="P72" s="8"/>
      <c r="Q72" s="8"/>
      <c r="R72" s="8"/>
      <c r="S72" s="8"/>
      <c r="T72" s="8"/>
      <c r="U72" s="8"/>
      <c r="V72" s="8"/>
      <c r="W72" s="8"/>
      <c r="X72" s="8"/>
      <c r="Y72" s="8"/>
      <c r="Z72" s="8"/>
    </row>
    <row r="73" ht="16.5" customHeight="1">
      <c r="A73" s="10" t="str">
        <f>IFERROR(__xludf.DUMMYFUNCTION("GOOGLETRANSLATE(A2,""auto"",""en"")"),"co19_twjhe200_trans_dn")</f>
        <v>co19_twjhe200_trans_dn</v>
      </c>
      <c r="B73" s="10" t="str">
        <f>IFERROR(__xludf.DUMMYFUNCTION("GOOGLETRANSLATE(B2,""auto"",""en"")"),"Specification Details")</f>
        <v>Specification Details</v>
      </c>
      <c r="C73" s="10" t="str">
        <f>IFERROR(__xludf.DUMMYFUNCTION("GOOGLETRANSLATE(C2,""auto"",""en"")"),"1")</f>
        <v>1</v>
      </c>
      <c r="D73" s="10" t="str">
        <f>IFERROR(__xludf.DUMMYFUNCTION("GOOGLETRANSLATE(D2,""auto"",""en"")"),"MID")</f>
        <v>MID</v>
      </c>
      <c r="E73" s="10" t="str">
        <f>IFERROR(__xludf.DUMMYFUNCTION("GOOGLETRANSLATE(E2,""auto"",""en"")"),"Statement join key")</f>
        <v>Statement join key</v>
      </c>
      <c r="F73" s="10" t="str">
        <f>IFERROR(__xludf.DUMMYFUNCTION("GOOGLETRANSLATE(F2,""auto"",""en"")"),"number")</f>
        <v>number</v>
      </c>
      <c r="G73" s="10" t="str">
        <f>IFERROR(__xludf.DUMMYFUNCTION("GOOGLETRANSLATE(G2,""auto"",""en"")"),"8")</f>
        <v>8</v>
      </c>
      <c r="H73" s="10" t="str">
        <f>IFERROR(__xludf.DUMMYFUNCTION("GOOGLETRANSLATE(H2,""auto"",""en"")"),"Replacement of specification unique to identify one statement ID number, the join between the statements Key")</f>
        <v>Replacement of specification unique to identify one statement ID number, the join between the statements Key</v>
      </c>
    </row>
    <row r="74" ht="16.5" customHeight="1">
      <c r="A74" s="10" t="str">
        <f>IFERROR(__xludf.DUMMYFUNCTION("GOOGLETRANSLATE(A3,""auto"",""en"")"),"co19_twjhe200_trans_dn")</f>
        <v>co19_twjhe200_trans_dn</v>
      </c>
      <c r="B74" s="10" t="str">
        <f>IFERROR(__xludf.DUMMYFUNCTION("GOOGLETRANSLATE(B3,""auto"",""en"")"),"Specification Details")</f>
        <v>Specification Details</v>
      </c>
      <c r="C74" s="10" t="str">
        <f>IFERROR(__xludf.DUMMYFUNCTION("GOOGLETRANSLATE(C3,""auto"",""en"")"),"2")</f>
        <v>2</v>
      </c>
      <c r="D74" s="10" t="str">
        <f>IFERROR(__xludf.DUMMYFUNCTION("GOOGLETRANSLATE(D3,""auto"",""en"")"),"INSUP_TP_CD")</f>
        <v>INSUP_TP_CD</v>
      </c>
      <c r="E74" s="10" t="str">
        <f>IFERROR(__xludf.DUMMYFUNCTION("GOOGLETRANSLATE(E3,""auto"",""en"")"),"Insurer classification demarcation code")</f>
        <v>Insurer classification demarcation code</v>
      </c>
      <c r="F74" s="10" t="str">
        <f>IFERROR(__xludf.DUMMYFUNCTION("GOOGLETRANSLATE(F3,""auto"",""en"")"),"text")</f>
        <v>text</v>
      </c>
      <c r="G74" s="10" t="str">
        <f>IFERROR(__xludf.DUMMYFUNCTION("GOOGLETRANSLATE(G3,""auto"",""en"")"),"2")</f>
        <v>2</v>
      </c>
      <c r="H74" s="10" t="str">
        <f>IFERROR(__xludf.DUMMYFUNCTION("GOOGLETRANSLATE(H3,""auto"",""en"")"),"Nine minutes insurer classification based on the reimbursement cost assessment bill
* Valid values: 4: Health Care, 5: Medical Aid, 7: Veterans etc.")</f>
        <v>Nine minutes insurer classification based on the reimbursement cost assessment bill
* Valid values: 4: Health Care, 5: Medical Aid, 7: Veterans etc.</v>
      </c>
    </row>
    <row r="75" ht="16.5" customHeight="1">
      <c r="A75" s="10" t="str">
        <f>IFERROR(__xludf.DUMMYFUNCTION("GOOGLETRANSLATE(A4,""auto"",""en"")"),"co19_twjhe200_trans_dn")</f>
        <v>co19_twjhe200_trans_dn</v>
      </c>
      <c r="B75" s="10" t="str">
        <f>IFERROR(__xludf.DUMMYFUNCTION("GOOGLETRANSLATE(B4,""auto"",""en"")"),"Specification Details")</f>
        <v>Specification Details</v>
      </c>
      <c r="C75" s="10" t="str">
        <f>IFERROR(__xludf.DUMMYFUNCTION("GOOGLETRANSLATE(C4,""auto"",""en"")"),"3")</f>
        <v>3</v>
      </c>
      <c r="D75" s="10" t="str">
        <f>IFERROR(__xludf.DUMMYFUNCTION("GOOGLETRANSLATE(D4,""auto"",""en"")"),"JID")</f>
        <v>JID</v>
      </c>
      <c r="E75" s="10" t="str">
        <f>IFERROR(__xludf.DUMMYFUNCTION("GOOGLETRANSLATE(E4,""auto"",""en"")"),"Personal replaces the examinee identify key")</f>
        <v>Personal replaces the examinee identify key</v>
      </c>
      <c r="F75" s="10" t="str">
        <f>IFERROR(__xludf.DUMMYFUNCTION("GOOGLETRANSLATE(F4,""auto"",""en"")"),"number")</f>
        <v>number</v>
      </c>
      <c r="G75" s="10" t="str">
        <f>IFERROR(__xludf.DUMMYFUNCTION("GOOGLETRANSLATE(G4,""auto"",""en"")"),"8")</f>
        <v>8</v>
      </c>
      <c r="H75" s="10" t="str">
        <f>IFERROR(__xludf.DUMMYFUNCTION("GOOGLETRANSLATE(H4,""auto"",""en"")"),"Examinee number, social security number of alternative")</f>
        <v>Examinee number, social security number of alternative</v>
      </c>
    </row>
    <row r="76" ht="16.5" customHeight="1">
      <c r="A76" s="10" t="str">
        <f>IFERROR(__xludf.DUMMYFUNCTION("GOOGLETRANSLATE(A5,""auto"",""en"")"),"co19_twjhe200_trans_dn")</f>
        <v>co19_twjhe200_trans_dn</v>
      </c>
      <c r="B76" s="10" t="str">
        <f>IFERROR(__xludf.DUMMYFUNCTION("GOOGLETRANSLATE(B5,""auto"",""en"")"),"Specification Details")</f>
        <v>Specification Details</v>
      </c>
      <c r="C76" s="10" t="str">
        <f>IFERROR(__xludf.DUMMYFUNCTION("GOOGLETRANSLATE(C5,""auto"",""en"")"),"4")</f>
        <v>4</v>
      </c>
      <c r="D76" s="10" t="str">
        <f>IFERROR(__xludf.DUMMYFUNCTION("GOOGLETRANSLATE(D5,""auto"",""en"")"),"SEX_TP_CD")</f>
        <v>SEX_TP_CD</v>
      </c>
      <c r="E76" s="10" t="str">
        <f>IFERROR(__xludf.DUMMYFUNCTION("GOOGLETRANSLATE(E5,""auto"",""en"")"),"Gender nine minutes")</f>
        <v>Gender nine minutes</v>
      </c>
      <c r="F76" s="10" t="str">
        <f>IFERROR(__xludf.DUMMYFUNCTION("GOOGLETRANSLATE(F5,""auto"",""en"")"),"text")</f>
        <v>text</v>
      </c>
      <c r="G76" s="10" t="str">
        <f>IFERROR(__xludf.DUMMYFUNCTION("GOOGLETRANSLATE(G5,""auto"",""en"")"),"1")</f>
        <v>1</v>
      </c>
      <c r="H76" s="10" t="str">
        <f>IFERROR(__xludf.DUMMYFUNCTION("GOOGLETRANSLATE(H5,""auto"",""en"")"),"Gender codes to distinguish between men and women
* Valid values: $: n, 1: Male 2: Female, 9: Others")</f>
        <v>Gender codes to distinguish between men and women
* Valid values: $: n, 1: Male 2: Female, 9: Others</v>
      </c>
    </row>
    <row r="77" ht="16.5" customHeight="1">
      <c r="A77" s="10" t="str">
        <f>IFERROR(__xludf.DUMMYFUNCTION("GOOGLETRANSLATE(A6,""auto"",""en"")"),"co19_twjhe200_trans_dn")</f>
        <v>co19_twjhe200_trans_dn</v>
      </c>
      <c r="B77" s="10" t="str">
        <f>IFERROR(__xludf.DUMMYFUNCTION("GOOGLETRANSLATE(B6,""auto"",""en"")"),"Specification Details")</f>
        <v>Specification Details</v>
      </c>
      <c r="C77" s="10" t="str">
        <f>IFERROR(__xludf.DUMMYFUNCTION("GOOGLETRANSLATE(C6,""auto"",""en"")"),"5")</f>
        <v>5</v>
      </c>
      <c r="D77" s="10" t="str">
        <f>IFERROR(__xludf.DUMMYFUNCTION("GOOGLETRANSLATE(D6,""auto"",""en"")"),"PAT_BTH")</f>
        <v>PAT_BTH</v>
      </c>
      <c r="E77" s="10" t="str">
        <f>IFERROR(__xludf.DUMMYFUNCTION("GOOGLETRANSLATE(E6,""auto"",""en"")"),"Examinee Birthday")</f>
        <v>Examinee Birthday</v>
      </c>
      <c r="F77" s="10" t="str">
        <f>IFERROR(__xludf.DUMMYFUNCTION("GOOGLETRANSLATE(F6,""auto"",""en"")"),"text")</f>
        <v>text</v>
      </c>
      <c r="G77" s="10" t="str">
        <f>IFERROR(__xludf.DUMMYFUNCTION("GOOGLETRANSLATE(G6,""auto"",""en"")"),"16")</f>
        <v>16</v>
      </c>
      <c r="H77" s="10" t="str">
        <f>IFERROR(__xludf.DUMMYFUNCTION("GOOGLETRANSLATE(H6,""auto"",""en"")"),"Birth of the examinee (YYMMDD)")</f>
        <v>Birth of the examinee (YYMMDD)</v>
      </c>
    </row>
    <row r="78" ht="16.5" customHeight="1">
      <c r="A78" s="10" t="str">
        <f>IFERROR(__xludf.DUMMYFUNCTION("GOOGLETRANSLATE(A7,""auto"",""en"")"),"co19_twjhe200_trans_dn")</f>
        <v>co19_twjhe200_trans_dn</v>
      </c>
      <c r="B78" s="10" t="str">
        <f>IFERROR(__xludf.DUMMYFUNCTION("GOOGLETRANSLATE(B7,""auto"",""en"")"),"Specification Details")</f>
        <v>Specification Details</v>
      </c>
      <c r="C78" s="10" t="str">
        <f>IFERROR(__xludf.DUMMYFUNCTION("GOOGLETRANSLATE(C7,""auto"",""en"")"),"6")</f>
        <v>6</v>
      </c>
      <c r="D78" s="10" t="str">
        <f>IFERROR(__xludf.DUMMYFUNCTION("GOOGLETRANSLATE(D7,""auto"",""en"")"),"PAT_AGE")</f>
        <v>PAT_AGE</v>
      </c>
      <c r="E78" s="10" t="str">
        <f>IFERROR(__xludf.DUMMYFUNCTION("GOOGLETRANSLATE(E7,""auto"",""en"")"),"Examinee age")</f>
        <v>Examinee age</v>
      </c>
      <c r="F78" s="10" t="str">
        <f>IFERROR(__xludf.DUMMYFUNCTION("GOOGLETRANSLATE(F7,""auto"",""en"")"),"number")</f>
        <v>number</v>
      </c>
      <c r="G78" s="10" t="str">
        <f>IFERROR(__xludf.DUMMYFUNCTION("GOOGLETRANSLATE(G7,""auto"",""en"")"),"8")</f>
        <v>8</v>
      </c>
      <c r="H78" s="10" t="str">
        <f>IFERROR(__xludf.DUMMYFUNCTION("GOOGLETRANSLATE(H7,""auto"",""en"")"),"Examinee's age at the time of commencement of care
※ formula (Care start date - date of birth examinee)")</f>
        <v>Examinee's age at the time of commencement of care
※ formula (Care start date - date of birth examinee)</v>
      </c>
    </row>
    <row r="79" ht="16.5" customHeight="1">
      <c r="A79" s="10" t="str">
        <f>IFERROR(__xludf.DUMMYFUNCTION("GOOGLETRANSLATE(A8,""auto"",""en"")"),"co19_twjhe200_trans_dn")</f>
        <v>co19_twjhe200_trans_dn</v>
      </c>
      <c r="B79" s="10" t="str">
        <f>IFERROR(__xludf.DUMMYFUNCTION("GOOGLETRANSLATE(B8,""auto"",""en"")"),"Specification Details")</f>
        <v>Specification Details</v>
      </c>
      <c r="C79" s="10" t="str">
        <f>IFERROR(__xludf.DUMMYFUNCTION("GOOGLETRANSLATE(C8,""auto"",""en"")"),"7")</f>
        <v>7</v>
      </c>
      <c r="D79" s="10" t="str">
        <f>IFERROR(__xludf.DUMMYFUNCTION("GOOGLETRANSLATE(D8,""auto"",""en"")"),"PAT_STC_AGE")</f>
        <v>PAT_STC_AGE</v>
      </c>
      <c r="E79" s="10" t="str">
        <f>IFERROR(__xludf.DUMMYFUNCTION("GOOGLETRANSLATE(E8,""auto"",""en"")"),"Examinee Statistics Age")</f>
        <v>Examinee Statistics Age</v>
      </c>
      <c r="F79" s="10" t="str">
        <f>IFERROR(__xludf.DUMMYFUNCTION("GOOGLETRANSLATE(F8,""auto"",""en"")"),"number")</f>
        <v>number</v>
      </c>
      <c r="G79" s="10" t="str">
        <f>IFERROR(__xludf.DUMMYFUNCTION("GOOGLETRANSLATE(G8,""auto"",""en"")"),"8")</f>
        <v>8</v>
      </c>
      <c r="H79" s="10" t="str">
        <f>IFERROR(__xludf.DUMMYFUNCTION("GOOGLETRANSLATE(H8,""auto"",""en"")"),"A variable generated in age was statistically calculated based on the end purpose of the examinee of the medical treatment disclosed in")</f>
        <v>A variable generated in age was statistically calculated based on the end purpose of the examinee of the medical treatment disclosed in</v>
      </c>
    </row>
    <row r="80" ht="16.5" customHeight="1">
      <c r="A80" s="10" t="str">
        <f>IFERROR(__xludf.DUMMYFUNCTION("GOOGLETRANSLATE(A9,""auto"",""en"")"),"co19_twjhe200_trans_dn")</f>
        <v>co19_twjhe200_trans_dn</v>
      </c>
      <c r="B80" s="10" t="str">
        <f>IFERROR(__xludf.DUMMYFUNCTION("GOOGLETRANSLATE(B9,""auto"",""en"")"),"Specification Details")</f>
        <v>Specification Details</v>
      </c>
      <c r="C80" s="10" t="str">
        <f>IFERROR(__xludf.DUMMYFUNCTION("GOOGLETRANSLATE(C9,""auto"",""en"")"),"8")</f>
        <v>8</v>
      </c>
      <c r="D80" s="10" t="str">
        <f>IFERROR(__xludf.DUMMYFUNCTION("GOOGLETRANSLATE(D9,""auto"",""en"")"),"YID")</f>
        <v>YID</v>
      </c>
      <c r="E80" s="10" t="str">
        <f>IFERROR(__xludf.DUMMYFUNCTION("GOOGLETRANSLATE(E9,""auto"",""en"")"),"Medical institutions to identify alternate keys")</f>
        <v>Medical institutions to identify alternate keys</v>
      </c>
      <c r="F80" s="10" t="str">
        <f>IFERROR(__xludf.DUMMYFUNCTION("GOOGLETRANSLATE(F9,""auto"",""en"")"),"number")</f>
        <v>number</v>
      </c>
      <c r="G80" s="10" t="str">
        <f>IFERROR(__xludf.DUMMYFUNCTION("GOOGLETRANSLATE(G9,""auto"",""en"")"),"8")</f>
        <v>8</v>
      </c>
      <c r="H80" s="10" t="str">
        <f>IFERROR(__xludf.DUMMYFUNCTION("GOOGLETRANSLATE(H9,""auto"",""en"")"),"Medical institutions symbol alternative number")</f>
        <v>Medical institutions symbol alternative number</v>
      </c>
    </row>
    <row r="81" ht="16.5" customHeight="1">
      <c r="A81" s="10" t="str">
        <f>IFERROR(__xludf.DUMMYFUNCTION("GOOGLETRANSLATE(A10,""auto"",""en"")"),"co19_twjhe200_trans_dn")</f>
        <v>co19_twjhe200_trans_dn</v>
      </c>
      <c r="B81" s="10" t="str">
        <f>IFERROR(__xludf.DUMMYFUNCTION("GOOGLETRANSLATE(B10,""auto"",""en"")"),"Specification Details")</f>
        <v>Specification Details</v>
      </c>
      <c r="C81" s="10" t="str">
        <f>IFERROR(__xludf.DUMMYFUNCTION("GOOGLETRANSLATE(C10,""auto"",""en"")"),"9")</f>
        <v>9</v>
      </c>
      <c r="D81" s="10" t="str">
        <f>IFERROR(__xludf.DUMMYFUNCTION("GOOGLETRANSLATE(D10,""auto"",""en"")"),"CL_CD")</f>
        <v>CL_CD</v>
      </c>
      <c r="E81" s="10" t="str">
        <f>IFERROR(__xludf.DUMMYFUNCTION("GOOGLETRANSLATE(E10,""auto"",""en"")"),"Type medical institutions demarcation code")</f>
        <v>Type medical institutions demarcation code</v>
      </c>
      <c r="F81" s="10" t="str">
        <f>IFERROR(__xludf.DUMMYFUNCTION("GOOGLETRANSLATE(F10,""auto"",""en"")"),"text")</f>
        <v>text</v>
      </c>
      <c r="G81" s="10" t="str">
        <f>IFERROR(__xludf.DUMMYFUNCTION("GOOGLETRANSLATE(G10,""auto"",""en"")"),"4")</f>
        <v>4</v>
      </c>
      <c r="H81" s="10" t="str">
        <f>IFERROR(__xludf.DUMMYFUNCTION("GOOGLETRANSLATE(H10,""auto"",""en"")"),"Classification code to be grouped according to size beds in nursing homes based on the classification code")</f>
        <v>Classification code to be grouped according to size beds in nursing homes based on the classification code</v>
      </c>
    </row>
    <row r="82" ht="16.5" customHeight="1">
      <c r="A82" s="10" t="str">
        <f>IFERROR(__xludf.DUMMYFUNCTION("GOOGLETRANSLATE(A11,""auto"",""en"")"),"co19_twjhe200_trans_dn")</f>
        <v>co19_twjhe200_trans_dn</v>
      </c>
      <c r="B82" s="10" t="str">
        <f>IFERROR(__xludf.DUMMYFUNCTION("GOOGLETRANSLATE(B11,""auto"",""en"")"),"Specification Details")</f>
        <v>Specification Details</v>
      </c>
      <c r="C82" s="10" t="str">
        <f>IFERROR(__xludf.DUMMYFUNCTION("GOOGLETRANSLATE(C11,""auto"",""en"")"),"10")</f>
        <v>10</v>
      </c>
      <c r="D82" s="10" t="str">
        <f>IFERROR(__xludf.DUMMYFUNCTION("GOOGLETRANSLATE(D11,""auto"",""en"")"),"RVD_PLC_CD")</f>
        <v>RVD_PLC_CD</v>
      </c>
      <c r="E82" s="10" t="str">
        <f>IFERROR(__xludf.DUMMYFUNCTION("GOOGLETRANSLATE(E11,""auto"",""en"")"),"Area code")</f>
        <v>Area code</v>
      </c>
      <c r="F82" s="10" t="str">
        <f>IFERROR(__xludf.DUMMYFUNCTION("GOOGLETRANSLATE(F11,""auto"",""en"")"),"text")</f>
        <v>text</v>
      </c>
      <c r="G82" s="10" t="str">
        <f>IFERROR(__xludf.DUMMYFUNCTION("GOOGLETRANSLATE(G11,""auto"",""en"")"),"12")</f>
        <v>12</v>
      </c>
      <c r="H82" s="10" t="str">
        <f>IFERROR(__xludf.DUMMYFUNCTION("GOOGLETRANSLATE(H11,""auto"",""en"")"),"Medical institutions in this area (City, County, District) code located")</f>
        <v>Medical institutions in this area (City, County, District) code located</v>
      </c>
    </row>
    <row r="83" ht="16.5" customHeight="1">
      <c r="A83" s="10" t="str">
        <f>IFERROR(__xludf.DUMMYFUNCTION("GOOGLETRANSLATE(A12,""auto"",""en"")"),"co19_twjhe200_trans_dn")</f>
        <v>co19_twjhe200_trans_dn</v>
      </c>
      <c r="B83" s="10" t="str">
        <f>IFERROR(__xludf.DUMMYFUNCTION("GOOGLETRANSLATE(B12,""auto"",""en"")"),"Specification Details")</f>
        <v>Specification Details</v>
      </c>
      <c r="C83" s="10" t="str">
        <f>IFERROR(__xludf.DUMMYFUNCTION("GOOGLETRANSLATE(C12,""auto"",""en"")"),"11")</f>
        <v>11</v>
      </c>
      <c r="D83" s="10" t="str">
        <f>IFERROR(__xludf.DUMMYFUNCTION("GOOGLETRANSLATE(D12,""auto"",""en"")"),"FOM_TP_CD")</f>
        <v>FOM_TP_CD</v>
      </c>
      <c r="E83" s="10" t="str">
        <f>IFERROR(__xludf.DUMMYFUNCTION("GOOGLETRANSLATE(E12,""auto"",""en"")"),"Format demarcation code")</f>
        <v>Format demarcation code</v>
      </c>
      <c r="F83" s="10" t="str">
        <f>IFERROR(__xludf.DUMMYFUNCTION("GOOGLETRANSLATE(F12,""auto"",""en"")"),"text")</f>
        <v>text</v>
      </c>
      <c r="G83" s="10" t="str">
        <f>IFERROR(__xludf.DUMMYFUNCTION("GOOGLETRANSLATE(G12,""auto"",""en"")"),"20")</f>
        <v>20</v>
      </c>
      <c r="H83" s="10" t="str">
        <f>IFERROR(__xludf.DUMMYFUNCTION("GOOGLETRANSLATE(H12,""auto"",""en"")"),"Of the format of the statement, dentists, oriental medicine, hospitalization, such as health institutions, broken down by code by foreign")</f>
        <v>Of the format of the statement, dentists, oriental medicine, hospitalization, such as health institutions, broken down by code by foreign</v>
      </c>
    </row>
    <row r="84" ht="16.5" customHeight="1">
      <c r="A84" s="10" t="str">
        <f>IFERROR(__xludf.DUMMYFUNCTION("GOOGLETRANSLATE(A13,""auto"",""en"")"),"co19_twjhe200_trans_dn")</f>
        <v>co19_twjhe200_trans_dn</v>
      </c>
      <c r="B84" s="10" t="str">
        <f>IFERROR(__xludf.DUMMYFUNCTION("GOOGLETRANSLATE(B13,""auto"",""en"")"),"Specification Details")</f>
        <v>Specification Details</v>
      </c>
      <c r="C84" s="10" t="str">
        <f>IFERROR(__xludf.DUMMYFUNCTION("GOOGLETRANSLATE(C13,""auto"",""en"")"),"12")</f>
        <v>12</v>
      </c>
      <c r="D84" s="10" t="str">
        <f>IFERROR(__xludf.DUMMYFUNCTION("GOOGLETRANSLATE(D13,""auto"",""en"")"),"MAIN_SICK")</f>
        <v>MAIN_SICK</v>
      </c>
      <c r="E84" s="10" t="str">
        <f>IFERROR(__xludf.DUMMYFUNCTION("GOOGLETRANSLATE(E13,""auto"",""en"")"),"Residential bottle code")</f>
        <v>Residential bottle code</v>
      </c>
      <c r="F84" s="10" t="str">
        <f>IFERROR(__xludf.DUMMYFUNCTION("GOOGLETRANSLATE(F13,""auto"",""en"")"),"text")</f>
        <v>text</v>
      </c>
      <c r="G84" s="10" t="str">
        <f>IFERROR(__xludf.DUMMYFUNCTION("GOOGLETRANSLATE(G13,""auto"",""en"")"),"12")</f>
        <v>12</v>
      </c>
      <c r="H84" s="10" t="str">
        <f>IFERROR(__xludf.DUMMYFUNCTION("GOOGLETRANSLATE(H13,""auto"",""en"")"),"Corporal statement classification symbol of the columnar bottle (the needs of the largest patients for such treatment duration of treatment and inspection SPC)")</f>
        <v>Corporal statement classification symbol of the columnar bottle (the needs of the largest patients for such treatment duration of treatment and inspection SPC)</v>
      </c>
    </row>
    <row r="85" ht="16.5" customHeight="1">
      <c r="A85" s="10" t="str">
        <f>IFERROR(__xludf.DUMMYFUNCTION("GOOGLETRANSLATE(A14,""auto"",""en"")"),"co19_twjhe200_trans_dn")</f>
        <v>co19_twjhe200_trans_dn</v>
      </c>
      <c r="B85" s="10" t="str">
        <f>IFERROR(__xludf.DUMMYFUNCTION("GOOGLETRANSLATE(B14,""auto"",""en"")"),"Specification Details")</f>
        <v>Specification Details</v>
      </c>
      <c r="C85" s="10" t="str">
        <f>IFERROR(__xludf.DUMMYFUNCTION("GOOGLETRANSLATE(C14,""auto"",""en"")"),"13")</f>
        <v>13</v>
      </c>
      <c r="D85" s="10" t="str">
        <f>IFERROR(__xludf.DUMMYFUNCTION("GOOGLETRANSLATE(D14,""auto"",""en"")"),"SUB_SICK")</f>
        <v>SUB_SICK</v>
      </c>
      <c r="E85" s="10" t="str">
        <f>IFERROR(__xludf.DUMMYFUNCTION("GOOGLETRANSLATE(E14,""auto"",""en"")"),"Wounded code")</f>
        <v>Wounded code</v>
      </c>
      <c r="F85" s="10" t="str">
        <f>IFERROR(__xludf.DUMMYFUNCTION("GOOGLETRANSLATE(F14,""auto"",""en"")"),"text")</f>
        <v>text</v>
      </c>
      <c r="G85" s="10" t="str">
        <f>IFERROR(__xludf.DUMMYFUNCTION("GOOGLETRANSLATE(G14,""auto"",""en"")"),"12")</f>
        <v>12</v>
      </c>
      <c r="H85" s="10" t="str">
        <f>IFERROR(__xludf.DUMMYFUNCTION("GOOGLETRANSLATE(H14,""auto"",""en"")"),"CPI specification classification symbol of the first wounded (CPI that affected the patient or was occurring as the CPI with a bottle main phase of treatment period)")</f>
        <v>CPI specification classification symbol of the first wounded (CPI that affected the patient or was occurring as the CPI with a bottle main phase of treatment period)</v>
      </c>
    </row>
    <row r="86" ht="16.5" customHeight="1">
      <c r="A86" s="10" t="str">
        <f>IFERROR(__xludf.DUMMYFUNCTION("GOOGLETRANSLATE(A15,""auto"",""en"")"),"co19_twjhe200_trans_dn")</f>
        <v>co19_twjhe200_trans_dn</v>
      </c>
      <c r="B86" s="10" t="str">
        <f>IFERROR(__xludf.DUMMYFUNCTION("GOOGLETRANSLATE(B15,""auto"",""en"")"),"Specification Details")</f>
        <v>Specification Details</v>
      </c>
      <c r="C86" s="10" t="str">
        <f>IFERROR(__xludf.DUMMYFUNCTION("GOOGLETRANSLATE(C15,""auto"",""en"")"),"14")</f>
        <v>14</v>
      </c>
      <c r="D86" s="10" t="str">
        <f>IFERROR(__xludf.DUMMYFUNCTION("GOOGLETRANSLATE(D15,""auto"",""en"")"),"DGSBJT_CD")</f>
        <v>DGSBJT_CD</v>
      </c>
      <c r="E86" s="10" t="str">
        <f>IFERROR(__xludf.DUMMYFUNCTION("GOOGLETRANSLATE(E15,""auto"",""en"")"),"Departments code")</f>
        <v>Departments code</v>
      </c>
      <c r="F86" s="10" t="str">
        <f>IFERROR(__xludf.DUMMYFUNCTION("GOOGLETRANSLATE(F15,""auto"",""en"")"),"text")</f>
        <v>text</v>
      </c>
      <c r="G86" s="10" t="str">
        <f>IFERROR(__xludf.DUMMYFUNCTION("GOOGLETRANSLATE(G15,""auto"",""en"")"),"4")</f>
        <v>4</v>
      </c>
      <c r="H86" s="10" t="str">
        <f>IFERROR(__xludf.DUMMYFUNCTION("GOOGLETRANSLATE(H15,""auto"",""en"")"),"Departments receiving the actual medical care subjects corresponding to the (hospital-grade or higher) or the main diagnosis person (medical institutions, clinics)")</f>
        <v>Departments receiving the actual medical care subjects corresponding to the (hospital-grade or higher) or the main diagnosis person (medical institutions, clinics)</v>
      </c>
    </row>
    <row r="87" ht="16.5" customHeight="1">
      <c r="A87" s="10" t="str">
        <f>IFERROR(__xludf.DUMMYFUNCTION("GOOGLETRANSLATE(A16,""auto"",""en"")"),"co19_twjhe200_trans_dn")</f>
        <v>co19_twjhe200_trans_dn</v>
      </c>
      <c r="B87" s="10" t="str">
        <f>IFERROR(__xludf.DUMMYFUNCTION("GOOGLETRANSLATE(B16,""auto"",""en"")"),"Specification Details")</f>
        <v>Specification Details</v>
      </c>
      <c r="C87" s="10" t="str">
        <f>IFERROR(__xludf.DUMMYFUNCTION("GOOGLETRANSLATE(C16,""auto"",""en"")"),"15")</f>
        <v>15</v>
      </c>
      <c r="D87" s="10" t="str">
        <f>IFERROR(__xludf.DUMMYFUNCTION("GOOGLETRANSLATE(D16,""auto"",""en"")"),"RECU_FR_DD")</f>
        <v>RECU_FR_DD</v>
      </c>
      <c r="E87" s="10" t="str">
        <f>IFERROR(__xludf.DUMMYFUNCTION("GOOGLETRANSLATE(E16,""auto"",""en"")"),"Care Release Date")</f>
        <v>Care Release Date</v>
      </c>
      <c r="F87" s="10" t="str">
        <f>IFERROR(__xludf.DUMMYFUNCTION("GOOGLETRANSLATE(F16,""auto"",""en"")"),"text")</f>
        <v>text</v>
      </c>
      <c r="G87" s="10" t="str">
        <f>IFERROR(__xludf.DUMMYFUNCTION("GOOGLETRANSLATE(G16,""auto"",""en"")"),"16")</f>
        <v>16</v>
      </c>
      <c r="H87" s="10" t="str">
        <f>IFERROR(__xludf.DUMMYFUNCTION("GOOGLETRANSLATE(H16,""auto"",""en"")"),"Date examinee has started receiving medical treatment (YYMMDD)")</f>
        <v>Date examinee has started receiving medical treatment (YYMMDD)</v>
      </c>
    </row>
    <row r="88" ht="16.5" customHeight="1">
      <c r="A88" s="10" t="str">
        <f>IFERROR(__xludf.DUMMYFUNCTION("GOOGLETRANSLATE(A17,""auto"",""en"")"),"co19_twjhe200_trans_dn")</f>
        <v>co19_twjhe200_trans_dn</v>
      </c>
      <c r="B88" s="10" t="str">
        <f>IFERROR(__xludf.DUMMYFUNCTION("GOOGLETRANSLATE(B17,""auto"",""en"")"),"Specification Details")</f>
        <v>Specification Details</v>
      </c>
      <c r="C88" s="10" t="str">
        <f>IFERROR(__xludf.DUMMYFUNCTION("GOOGLETRANSLATE(C17,""auto"",""en"")"),"16")</f>
        <v>16</v>
      </c>
      <c r="D88" s="10" t="str">
        <f>IFERROR(__xludf.DUMMYFUNCTION("GOOGLETRANSLATE(D17,""auto"",""en"")"),"RECU_TO_DD")</f>
        <v>RECU_TO_DD</v>
      </c>
      <c r="E88" s="10" t="str">
        <f>IFERROR(__xludf.DUMMYFUNCTION("GOOGLETRANSLATE(E17,""auto"",""en"")"),"Care ends")</f>
        <v>Care ends</v>
      </c>
      <c r="F88" s="10" t="str">
        <f>IFERROR(__xludf.DUMMYFUNCTION("GOOGLETRANSLATE(F17,""auto"",""en"")"),"text")</f>
        <v>text</v>
      </c>
      <c r="G88" s="10" t="str">
        <f>IFERROR(__xludf.DUMMYFUNCTION("GOOGLETRANSLATE(G17,""auto"",""en"")"),"10")</f>
        <v>10</v>
      </c>
      <c r="H88" s="10" t="str">
        <f>IFERROR(__xludf.DUMMYFUNCTION("GOOGLETRANSLATE(H17,""auto"",""en"")"),"The end date of the examinee to receive medical treatment (YYMMDD)")</f>
        <v>The end date of the examinee to receive medical treatment (YYMMDD)</v>
      </c>
    </row>
    <row r="89" ht="16.5" customHeight="1">
      <c r="A89" s="10" t="str">
        <f>IFERROR(__xludf.DUMMYFUNCTION("GOOGLETRANSLATE(A18,""auto"",""en"")"),"co19_twjhe200_trans_dn")</f>
        <v>co19_twjhe200_trans_dn</v>
      </c>
      <c r="B89" s="10" t="str">
        <f>IFERROR(__xludf.DUMMYFUNCTION("GOOGLETRANSLATE(B18,""auto"",""en"")"),"Specification Details")</f>
        <v>Specification Details</v>
      </c>
      <c r="C89" s="10" t="str">
        <f>IFERROR(__xludf.DUMMYFUNCTION("GOOGLETRANSLATE(C18,""auto"",""en"")"),"17")</f>
        <v>17</v>
      </c>
      <c r="D89" s="10" t="str">
        <f>IFERROR(__xludf.DUMMYFUNCTION("GOOGLETRANSLATE(D18,""auto"",""en"")"),"FST_DD")</f>
        <v>FST_DD</v>
      </c>
      <c r="E89" s="10" t="str">
        <f>IFERROR(__xludf.DUMMYFUNCTION("GOOGLETRANSLATE(E18,""auto"",""en"")"),"First admission date")</f>
        <v>First admission date</v>
      </c>
      <c r="F89" s="10" t="str">
        <f>IFERROR(__xludf.DUMMYFUNCTION("GOOGLETRANSLATE(F18,""auto"",""en"")"),"text")</f>
        <v>text</v>
      </c>
      <c r="G89" s="10" t="str">
        <f>IFERROR(__xludf.DUMMYFUNCTION("GOOGLETRANSLATE(G18,""auto"",""en"")"),"16")</f>
        <v>16</v>
      </c>
      <c r="H89" s="10" t="str">
        <f>IFERROR(__xludf.DUMMYFUNCTION("GOOGLETRANSLATE(H18,""auto"",""en"")"),"As first presented one year in the month to corporal care / month / day (YYMMDD, based upon the first admission date if charged separate admission cost reimbursement)")</f>
        <v>As first presented one year in the month to corporal care / month / day (YYMMDD, based upon the first admission date if charged separate admission cost reimbursement)</v>
      </c>
    </row>
    <row r="90" ht="16.5" customHeight="1">
      <c r="A90" s="10" t="str">
        <f>IFERROR(__xludf.DUMMYFUNCTION("GOOGLETRANSLATE(A19,""auto"",""en"")"),"co19_twjhe200_trans_dn")</f>
        <v>co19_twjhe200_trans_dn</v>
      </c>
      <c r="B90" s="10" t="str">
        <f>IFERROR(__xludf.DUMMYFUNCTION("GOOGLETRANSLATE(B19,""auto"",""en"")"),"Specification Details")</f>
        <v>Specification Details</v>
      </c>
      <c r="C90" s="10" t="str">
        <f>IFERROR(__xludf.DUMMYFUNCTION("GOOGLETRANSLATE(C19,""auto"",""en"")"),"18")</f>
        <v>18</v>
      </c>
      <c r="D90" s="10" t="str">
        <f>IFERROR(__xludf.DUMMYFUNCTION("GOOGLETRANSLATE(D19,""auto"",""en"")"),"VST_DDCNT")</f>
        <v>VST_DDCNT</v>
      </c>
      <c r="E90" s="10" t="str">
        <f>IFERROR(__xludf.DUMMYFUNCTION("GOOGLETRANSLATE(E19,""auto"",""en"")"),"I visited days")</f>
        <v>I visited days</v>
      </c>
      <c r="F90" s="10" t="str">
        <f>IFERROR(__xludf.DUMMYFUNCTION("GOOGLETRANSLATE(F19,""auto"",""en"")"),"number")</f>
        <v>number</v>
      </c>
      <c r="G90" s="10" t="str">
        <f>IFERROR(__xludf.DUMMYFUNCTION("GOOGLETRANSLATE(G19,""auto"",""en"")"),"8")</f>
        <v>8</v>
      </c>
      <c r="H90" s="10" t="str">
        <f>IFERROR(__xludf.DUMMYFUNCTION("GOOGLETRANSLATE(H19,""auto"",""en"")"),"Hospitalization or admission (including the first visit, the follow-up visit) and the actual number of days receiving treatment")</f>
        <v>Hospitalization or admission (including the first visit, the follow-up visit) and the actual number of days receiving treatment</v>
      </c>
    </row>
    <row r="91" ht="16.5" customHeight="1">
      <c r="A91" s="10" t="str">
        <f>IFERROR(__xludf.DUMMYFUNCTION("GOOGLETRANSLATE(A20,""auto"",""en"")"),"co19_twjhe200_trans_dn")</f>
        <v>co19_twjhe200_trans_dn</v>
      </c>
      <c r="B91" s="10" t="str">
        <f>IFERROR(__xludf.DUMMYFUNCTION("GOOGLETRANSLATE(B20,""auto"",""en"")"),"Specification Details")</f>
        <v>Specification Details</v>
      </c>
      <c r="C91" s="10" t="str">
        <f>IFERROR(__xludf.DUMMYFUNCTION("GOOGLETRANSLATE(C20,""auto"",""en"")"),"19")</f>
        <v>19</v>
      </c>
      <c r="D91" s="10" t="str">
        <f>IFERROR(__xludf.DUMMYFUNCTION("GOOGLETRANSLATE(D20,""auto"",""en"")"),"RECU_DDCNT")</f>
        <v>RECU_DDCNT</v>
      </c>
      <c r="E91" s="10" t="str">
        <f>IFERROR(__xludf.DUMMYFUNCTION("GOOGLETRANSLATE(E20,""auto"",""en"")"),"Care days")</f>
        <v>Care days</v>
      </c>
      <c r="F91" s="10" t="str">
        <f>IFERROR(__xludf.DUMMYFUNCTION("GOOGLETRANSLATE(F20,""auto"",""en"")"),"number")</f>
        <v>number</v>
      </c>
      <c r="G91" s="10" t="str">
        <f>IFERROR(__xludf.DUMMYFUNCTION("GOOGLETRANSLATE(G20,""auto"",""en"")"),"8")</f>
        <v>8</v>
      </c>
      <c r="H91" s="10" t="str">
        <f>IFERROR(__xludf.DUMMYFUNCTION("GOOGLETRANSLATE(H20,""auto"",""en"")"),"The total number of days for a medical examinee (including dosing days)")</f>
        <v>The total number of days for a medical examinee (including dosing days)</v>
      </c>
    </row>
    <row r="92" ht="16.5" customHeight="1">
      <c r="A92" s="10" t="str">
        <f>IFERROR(__xludf.DUMMYFUNCTION("GOOGLETRANSLATE(A21,""auto"",""en"")"),"co19_twjhe200_trans_dn")</f>
        <v>co19_twjhe200_trans_dn</v>
      </c>
      <c r="B92" s="10" t="str">
        <f>IFERROR(__xludf.DUMMYFUNCTION("GOOGLETRANSLATE(B21,""auto"",""en"")"),"Specification Details")</f>
        <v>Specification Details</v>
      </c>
      <c r="C92" s="10" t="str">
        <f>IFERROR(__xludf.DUMMYFUNCTION("GOOGLETRANSLATE(C21,""auto"",""en"")"),"20")</f>
        <v>20</v>
      </c>
      <c r="D92" s="10" t="str">
        <f>IFERROR(__xludf.DUMMYFUNCTION("GOOGLETRANSLATE(D21,""auto"",""en"")"),"OPRSC_DDCNT")</f>
        <v>OPRSC_DDCNT</v>
      </c>
      <c r="E92" s="10" t="str">
        <f>IFERROR(__xludf.DUMMYFUNCTION("GOOGLETRANSLATE(E21,""auto"",""en"")"),"Outpatient Prescription days")</f>
        <v>Outpatient Prescription days</v>
      </c>
      <c r="F92" s="10" t="str">
        <f>IFERROR(__xludf.DUMMYFUNCTION("GOOGLETRANSLATE(F21,""auto"",""en"")"),"number")</f>
        <v>number</v>
      </c>
      <c r="G92" s="10" t="str">
        <f>IFERROR(__xludf.DUMMYFUNCTION("GOOGLETRANSLATE(G21,""auto"",""en"")"),"8")</f>
        <v>8</v>
      </c>
      <c r="H92" s="10" t="str">
        <f>IFERROR(__xludf.DUMMYFUNCTION("GOOGLETRANSLATE(H21,""auto"",""en"")"),"The total number of days of prescription prescription issued history")</f>
        <v>The total number of days of prescription prescription issued history</v>
      </c>
    </row>
    <row r="93" ht="16.5" customHeight="1">
      <c r="A93" s="10" t="str">
        <f>IFERROR(__xludf.DUMMYFUNCTION("GOOGLETRANSLATE(A22,""auto"",""en"")"),"co19_twjhe200_trans_dn")</f>
        <v>co19_twjhe200_trans_dn</v>
      </c>
      <c r="B93" s="10" t="str">
        <f>IFERROR(__xludf.DUMMYFUNCTION("GOOGLETRANSLATE(B22,""auto"",""en"")"),"Specification Details")</f>
        <v>Specification Details</v>
      </c>
      <c r="C93" s="10" t="str">
        <f>IFERROR(__xludf.DUMMYFUNCTION("GOOGLETRANSLATE(C22,""auto"",""en"")"),"21")</f>
        <v>21</v>
      </c>
      <c r="D93" s="10" t="str">
        <f>IFERROR(__xludf.DUMMYFUNCTION("GOOGLETRANSLATE(D22,""auto"",""en"")"),"OPRSC_DGMAMT_AMT")</f>
        <v>OPRSC_DGMAMT_AMT</v>
      </c>
      <c r="E93" s="10" t="str">
        <f>IFERROR(__xludf.DUMMYFUNCTION("GOOGLETRANSLATE(E22,""auto"",""en"")"),"Outpatient prescription drug price")</f>
        <v>Outpatient prescription drug price</v>
      </c>
      <c r="F93" s="10" t="str">
        <f>IFERROR(__xludf.DUMMYFUNCTION("GOOGLETRANSLATE(F22,""auto"",""en"")"),"number")</f>
        <v>number</v>
      </c>
      <c r="G93" s="10" t="str">
        <f>IFERROR(__xludf.DUMMYFUNCTION("GOOGLETRANSLATE(G22,""auto"",""en"")"),"8")</f>
        <v>8</v>
      </c>
      <c r="H93" s="10" t="str">
        <f>IFERROR(__xludf.DUMMYFUNCTION("GOOGLETRANSLATE(H22,""auto"",""en"")"),"The total amount of prescription prescription issued history")</f>
        <v>The total amount of prescription prescription issued history</v>
      </c>
    </row>
    <row r="94" ht="16.5" customHeight="1">
      <c r="A94" s="10" t="str">
        <f>IFERROR(__xludf.DUMMYFUNCTION("GOOGLETRANSLATE(A23,""auto"",""en"")"),"co19_twjhe200_trans_dn")</f>
        <v>co19_twjhe200_trans_dn</v>
      </c>
      <c r="B94" s="10" t="str">
        <f>IFERROR(__xludf.DUMMYFUNCTION("GOOGLETRANSLATE(B23,""auto"",""en"")"),"Specification Details")</f>
        <v>Specification Details</v>
      </c>
      <c r="C94" s="10" t="str">
        <f>IFERROR(__xludf.DUMMYFUNCTION("GOOGLETRANSLATE(C23,""auto"",""en"")"),"22")</f>
        <v>22</v>
      </c>
      <c r="D94" s="10" t="str">
        <f>IFERROR(__xludf.DUMMYFUNCTION("GOOGLETRANSLATE(D23,""auto"",""en"")"),"OPRSCD_CNT")</f>
        <v>OPRSCD_CNT</v>
      </c>
      <c r="E94" s="10" t="str">
        <f>IFERROR(__xludf.DUMMYFUNCTION("GOOGLETRANSLATE(E23,""auto"",""en"")"),"The number of outpatient prescriptions")</f>
        <v>The number of outpatient prescriptions</v>
      </c>
      <c r="F94" s="10" t="str">
        <f>IFERROR(__xludf.DUMMYFUNCTION("GOOGLETRANSLATE(F23,""auto"",""en"")"),"number")</f>
        <v>number</v>
      </c>
      <c r="G94" s="10" t="str">
        <f>IFERROR(__xludf.DUMMYFUNCTION("GOOGLETRANSLATE(G23,""auto"",""en"")"),"8")</f>
        <v>8</v>
      </c>
      <c r="H94" s="10" t="str">
        <f>IFERROR(__xludf.DUMMYFUNCTION("GOOGLETRANSLATE(H23,""auto"",""en"")"),"The sum of the number of prescriptions issued prescriptions History")</f>
        <v>The sum of the number of prescriptions issued prescriptions History</v>
      </c>
    </row>
    <row r="95" ht="16.5" customHeight="1">
      <c r="A95" s="10" t="str">
        <f>IFERROR(__xludf.DUMMYFUNCTION("GOOGLETRANSLATE(A24,""auto"",""en"")"),"co19_twjhe200_trans_dn")</f>
        <v>co19_twjhe200_trans_dn</v>
      </c>
      <c r="B95" s="10" t="str">
        <f>IFERROR(__xludf.DUMMYFUNCTION("GOOGLETRANSLATE(B24,""auto"",""en"")"),"Specification Details")</f>
        <v>Specification Details</v>
      </c>
      <c r="C95" s="10" t="str">
        <f>IFERROR(__xludf.DUMMYFUNCTION("GOOGLETRANSLATE(C24,""auto"",""en"")"),"23")</f>
        <v>23</v>
      </c>
      <c r="D95" s="10" t="str">
        <f>IFERROR(__xludf.DUMMYFUNCTION("GOOGLETRANSLATE(D24,""auto"",""en"")"),"RVD_RPE_TAMT_AMT")</f>
        <v>RVD_RPE_TAMT_AMT</v>
      </c>
      <c r="E95" s="10" t="str">
        <f>IFERROR(__xludf.DUMMYFUNCTION("GOOGLETRANSLATE(E24,""auto"",""en"")"),"Examination determined the total amount of reimbursement costs")</f>
        <v>Examination determined the total amount of reimbursement costs</v>
      </c>
      <c r="F95" s="10" t="str">
        <f>IFERROR(__xludf.DUMMYFUNCTION("GOOGLETRANSLATE(F24,""auto"",""en"")"),"number")</f>
        <v>number</v>
      </c>
      <c r="G95" s="10" t="str">
        <f>IFERROR(__xludf.DUMMYFUNCTION("GOOGLETRANSLATE(G24,""auto"",""en"")"),"8")</f>
        <v>8</v>
      </c>
      <c r="H95" s="10" t="str">
        <f>IFERROR(__xludf.DUMMYFUNCTION("GOOGLETRANSLATE(H24,""auto"",""en"")"),"Reimbursement of the cost of the review decision statement the total reimbursement costs")</f>
        <v>Reimbursement of the cost of the review decision statement the total reimbursement costs</v>
      </c>
    </row>
    <row r="96" ht="16.5" customHeight="1">
      <c r="A96" s="10" t="str">
        <f>IFERROR(__xludf.DUMMYFUNCTION("GOOGLETRANSLATE(A25,""auto"",""en"")"),"co19_twjhe200_trans_dn")</f>
        <v>co19_twjhe200_trans_dn</v>
      </c>
      <c r="B96" s="10" t="str">
        <f>IFERROR(__xludf.DUMMYFUNCTION("GOOGLETRANSLATE(B25,""auto"",""en"")"),"Specification Details")</f>
        <v>Specification Details</v>
      </c>
      <c r="C96" s="10" t="str">
        <f>IFERROR(__xludf.DUMMYFUNCTION("GOOGLETRANSLATE(C25,""auto"",""en"")"),"24")</f>
        <v>24</v>
      </c>
      <c r="D96" s="10" t="str">
        <f>IFERROR(__xludf.DUMMYFUNCTION("GOOGLETRANSLATE(D25,""auto"",""en"")"),"RVD_SLF_BRDN_AMT")</f>
        <v>RVD_SLF_BRDN_AMT</v>
      </c>
      <c r="E96" s="10" t="str">
        <f>IFERROR(__xludf.DUMMYFUNCTION("GOOGLETRANSLATE(E25,""auto"",""en"")"),"Screening decisions deductible")</f>
        <v>Screening decisions deductible</v>
      </c>
      <c r="F96" s="10" t="str">
        <f>IFERROR(__xludf.DUMMYFUNCTION("GOOGLETRANSLATE(F25,""auto"",""en"")"),"number")</f>
        <v>number</v>
      </c>
      <c r="G96" s="10" t="str">
        <f>IFERROR(__xludf.DUMMYFUNCTION("GOOGLETRANSLATE(G25,""auto"",""en"")"),"8")</f>
        <v>8</v>
      </c>
      <c r="H96" s="10" t="str">
        <f>IFERROR(__xludf.DUMMYFUNCTION("GOOGLETRANSLATE(H25,""auto"",""en"")"),"The amount of the reimbursement cost of your statement to the examinee at the examination determined to bear")</f>
        <v>The amount of the reimbursement cost of your statement to the examinee at the examination determined to bear</v>
      </c>
    </row>
    <row r="97" ht="16.5" customHeight="1">
      <c r="A97" s="10" t="str">
        <f>IFERROR(__xludf.DUMMYFUNCTION("GOOGLETRANSLATE(A26,""auto"",""en"")"),"co19_twjhe200_trans_dn")</f>
        <v>co19_twjhe200_trans_dn</v>
      </c>
      <c r="B97" s="10" t="str">
        <f>IFERROR(__xludf.DUMMYFUNCTION("GOOGLETRANSLATE(B26,""auto"",""en"")"),"Specification Details")</f>
        <v>Specification Details</v>
      </c>
      <c r="C97" s="10" t="str">
        <f>IFERROR(__xludf.DUMMYFUNCTION("GOOGLETRANSLATE(C26,""auto"",""en"")"),"25")</f>
        <v>25</v>
      </c>
      <c r="D97" s="10" t="str">
        <f>IFERROR(__xludf.DUMMYFUNCTION("GOOGLETRANSLATE(D26,""auto"",""en"")"),"RVD_INSUP_BRDN_AMT")</f>
        <v>RVD_INSUP_BRDN_AMT</v>
      </c>
      <c r="E97" s="10" t="str">
        <f>IFERROR(__xludf.DUMMYFUNCTION("GOOGLETRANSLATE(E26,""auto"",""en"")"),"Examination determined the insurer charges")</f>
        <v>Examination determined the insurer charges</v>
      </c>
      <c r="F97" s="10" t="str">
        <f>IFERROR(__xludf.DUMMYFUNCTION("GOOGLETRANSLATE(F26,""auto"",""en"")"),"number")</f>
        <v>number</v>
      </c>
      <c r="G97" s="10" t="str">
        <f>IFERROR(__xludf.DUMMYFUNCTION("GOOGLETRANSLATE(G26,""auto"",""en"")"),"8")</f>
        <v>8</v>
      </c>
      <c r="H97" s="10" t="str">
        <f>IFERROR(__xludf.DUMMYFUNCTION("GOOGLETRANSLATE(H26,""auto"",""en"")"),"The amount of the reimbursement costs herein do insurer will pay for the review decision")</f>
        <v>The amount of the reimbursement costs herein do insurer will pay for the review decision</v>
      </c>
    </row>
    <row r="98" ht="16.5" customHeight="1">
      <c r="A98" s="10" t="str">
        <f>IFERROR(__xludf.DUMMYFUNCTION("GOOGLETRANSLATE(A27,""auto"",""en"")"),"co19_twjhe200_trans_dn")</f>
        <v>co19_twjhe200_trans_dn</v>
      </c>
      <c r="B98" s="10" t="str">
        <f>IFERROR(__xludf.DUMMYFUNCTION("GOOGLETRANSLATE(B27,""auto"",""en"")"),"Specification Details")</f>
        <v>Specification Details</v>
      </c>
      <c r="C98" s="10" t="str">
        <f>IFERROR(__xludf.DUMMYFUNCTION("GOOGLETRANSLATE(C27,""auto"",""en"")"),"26")</f>
        <v>26</v>
      </c>
      <c r="D98" s="10" t="str">
        <f>IFERROR(__xludf.DUMMYFUNCTION("GOOGLETRANSLATE(D27,""auto"",""en"")"),"RVD_P100LT_TOT_AMT")</f>
        <v>RVD_P100LT_TOT_AMT</v>
      </c>
      <c r="E98" s="10" t="str">
        <f>IFERROR(__xludf.DUMMYFUNCTION("GOOGLETRANSLATE(E27,""auto"",""en"")"),"Screening crystal is less than 100 in 100 total")</f>
        <v>Screening crystal is less than 100 in 100 total</v>
      </c>
      <c r="F98" s="10" t="str">
        <f>IFERROR(__xludf.DUMMYFUNCTION("GOOGLETRANSLATE(F27,""auto"",""en"")"),"number")</f>
        <v>number</v>
      </c>
      <c r="G98" s="10" t="str">
        <f>IFERROR(__xludf.DUMMYFUNCTION("GOOGLETRANSLATE(G27,""auto"",""en"")"),"8")</f>
        <v>8</v>
      </c>
      <c r="H98" s="10" t="str">
        <f>IFERROR(__xludf.DUMMYFUNCTION("GOOGLETRANSLATE(H27,""auto"",""en"")"),"A term, B term, D, wherein and E term treatment materials, drugs, such as medical institutions, type addition ratio reimbursement cost is not applied, the medical institution type addition ratio is the total sum of the medical action and the addition amou"&amp;"nt applied of the sheet at the examination decision less than 10 circles in a cut-off value")</f>
        <v>A term, B term, D, wherein and E term treatment materials, drugs, such as medical institutions, type addition ratio reimbursement cost is not applied, the medical institution type addition ratio is the total sum of the medical action and the addition amount applied of the sheet at the examination decision less than 10 circles in a cut-off value</v>
      </c>
    </row>
    <row r="99" ht="16.5" customHeight="1">
      <c r="A99" s="10" t="str">
        <f>IFERROR(__xludf.DUMMYFUNCTION("GOOGLETRANSLATE(A28,""auto"",""en"")"),"co19_twjhe200_trans_dn")</f>
        <v>co19_twjhe200_trans_dn</v>
      </c>
      <c r="B99" s="10" t="str">
        <f>IFERROR(__xludf.DUMMYFUNCTION("GOOGLETRANSLATE(B28,""auto"",""en"")"),"Specification Details")</f>
        <v>Specification Details</v>
      </c>
      <c r="C99" s="10" t="str">
        <f>IFERROR(__xludf.DUMMYFUNCTION("GOOGLETRANSLATE(C28,""auto"",""en"")"),"27")</f>
        <v>27</v>
      </c>
      <c r="D99" s="10" t="str">
        <f>IFERROR(__xludf.DUMMYFUNCTION("GOOGLETRANSLATE(D28,""auto"",""en"")"),"SOPR_YN")</f>
        <v>SOPR_YN</v>
      </c>
      <c r="E99" s="10" t="str">
        <f>IFERROR(__xludf.DUMMYFUNCTION("GOOGLETRANSLATE(E28,""auto"",""en"")"),"Whether surgery")</f>
        <v>Whether surgery</v>
      </c>
      <c r="F99" s="10" t="str">
        <f>IFERROR(__xludf.DUMMYFUNCTION("GOOGLETRANSLATE(F28,""auto"",""en"")"),"text")</f>
        <v>text</v>
      </c>
      <c r="G99" s="10" t="str">
        <f>IFERROR(__xludf.DUMMYFUNCTION("GOOGLETRANSLATE(G28,""auto"",""en"")"),"2")</f>
        <v>2</v>
      </c>
      <c r="H99" s="10" t="str">
        <f>IFERROR(__xludf.DUMMYFUNCTION("GOOGLETRANSLATE(H28,""auto"",""en"")"),"Code pillar bottles of the statement is to distinguish whether the non-surgical cognitive surgery Corporal Corporal
* Valid values: 0: non-surgical, 9: Surgery")</f>
        <v>Code pillar bottles of the statement is to distinguish whether the non-surgical cognitive surgery Corporal Corporal
* Valid values: 0: non-surgical, 9: Surgery</v>
      </c>
    </row>
    <row r="100" ht="16.5" customHeight="1">
      <c r="A100" s="10" t="str">
        <f>IFERROR(__xludf.DUMMYFUNCTION("GOOGLETRANSLATE(A29,""auto"",""en"")"),"co19_twjhe200_trans_dn")</f>
        <v>co19_twjhe200_trans_dn</v>
      </c>
      <c r="B100" s="10" t="str">
        <f>IFERROR(__xludf.DUMMYFUNCTION("GOOGLETRANSLATE(B29,""auto"",""en"")"),"Specification Details")</f>
        <v>Specification Details</v>
      </c>
      <c r="C100" s="10" t="str">
        <f>IFERROR(__xludf.DUMMYFUNCTION("GOOGLETRANSLATE(C29,""auto"",""en"")"),"28")</f>
        <v>28</v>
      </c>
      <c r="D100" s="10" t="str">
        <f>IFERROR(__xludf.DUMMYFUNCTION("GOOGLETRANSLATE(D29,""auto"",""en"")"),"OINJ_TP_CD")</f>
        <v>OINJ_TP_CD</v>
      </c>
      <c r="E100" s="10" t="str">
        <f>IFERROR(__xludf.DUMMYFUNCTION("GOOGLETRANSLATE(E29,""auto"",""en"")"),"Fancy demarcation code")</f>
        <v>Fancy demarcation code</v>
      </c>
      <c r="F100" s="10" t="str">
        <f>IFERROR(__xludf.DUMMYFUNCTION("GOOGLETRANSLATE(F29,""auto"",""en"")"),"text")</f>
        <v>text</v>
      </c>
      <c r="G100" s="10" t="str">
        <f>IFERROR(__xludf.DUMMYFUNCTION("GOOGLETRANSLATE(G29,""auto"",""en"")"),"2")</f>
        <v>2</v>
      </c>
      <c r="H100" s="10" t="str">
        <f>IFERROR(__xludf.DUMMYFUNCTION("GOOGLETRANSLATE(H29,""auto"",""en"")"),"Officially illness or injury, patients Veterans government expenditure, military family, it's like a soldier both organizations to drive such demarcation code
* Valid Values: 0: normal, 1: fancy, C: the second highest, H: rare incurable diseases, etc.")</f>
        <v>Officially illness or injury, patients Veterans government expenditure, military family, it's like a soldier both organizations to drive such demarcation code
* Valid Values: 0: normal, 1: fancy, C: the second highest, H: rare incurable diseases, etc.</v>
      </c>
    </row>
    <row r="101" ht="16.5" customHeight="1">
      <c r="A101" s="10" t="str">
        <f>IFERROR(__xludf.DUMMYFUNCTION("GOOGLETRANSLATE(A30,""auto"",""en"")"),"co19_twjhe200_trans_dn")</f>
        <v>co19_twjhe200_trans_dn</v>
      </c>
      <c r="B101" s="10" t="str">
        <f>IFERROR(__xludf.DUMMYFUNCTION("GOOGLETRANSLATE(B30,""auto"",""en"")"),"Specification Details")</f>
        <v>Specification Details</v>
      </c>
      <c r="C101" s="10" t="str">
        <f>IFERROR(__xludf.DUMMYFUNCTION("GOOGLETRANSLATE(C30,""auto"",""en"")"),"29")</f>
        <v>29</v>
      </c>
      <c r="D101" s="10" t="str">
        <f>IFERROR(__xludf.DUMMYFUNCTION("GOOGLETRANSLATE(D30,""auto"",""en"")"),"PRCL_SYM_TP_CD")</f>
        <v>PRCL_SYM_TP_CD</v>
      </c>
      <c r="E101" s="10" t="str">
        <f>IFERROR(__xludf.DUMMYFUNCTION("GOOGLETRANSLATE(E30,""auto"",""en"")"),"Certain symbols demarcation code")</f>
        <v>Certain symbols demarcation code</v>
      </c>
      <c r="F101" s="10" t="str">
        <f>IFERROR(__xludf.DUMMYFUNCTION("GOOGLETRANSLATE(F30,""auto"",""en"")"),"text")</f>
        <v>text</v>
      </c>
      <c r="G101" s="10" t="str">
        <f>IFERROR(__xludf.DUMMYFUNCTION("GOOGLETRANSLATE(G30,""auto"",""en"")"),"8")</f>
        <v>8</v>
      </c>
      <c r="H101" s="10" t="str">
        <f>IFERROR(__xludf.DUMMYFUNCTION("GOOGLETRANSLATE(H30,""auto"",""en"")"),"Details of the specific historical demarcation code MT002 (specific symbol)")</f>
        <v>Details of the specific historical demarcation code MT002 (specific symbol)</v>
      </c>
    </row>
    <row r="102" ht="16.5" customHeight="1">
      <c r="A102" s="10" t="str">
        <f>IFERROR(__xludf.DUMMYFUNCTION("GOOGLETRANSLATE(A31,""auto"",""en"")"),"co19_twjhe200_trans_dn")</f>
        <v>co19_twjhe200_trans_dn</v>
      </c>
      <c r="B102" s="10" t="str">
        <f>IFERROR(__xludf.DUMMYFUNCTION("GOOGLETRANSLATE(B31,""auto"",""en"")"),"Specification Details")</f>
        <v>Specification Details</v>
      </c>
      <c r="C102" s="10" t="str">
        <f>IFERROR(__xludf.DUMMYFUNCTION("GOOGLETRANSLATE(C31,""auto"",""en"")"),"30")</f>
        <v>30</v>
      </c>
      <c r="D102" s="10" t="str">
        <f>IFERROR(__xludf.DUMMYFUNCTION("GOOGLETRANSLATE(D31,""auto"",""en"")"),"INJ_EXA_TP_CD")</f>
        <v>INJ_EXA_TP_CD</v>
      </c>
      <c r="E102" s="10" t="str">
        <f>IFERROR(__xludf.DUMMYFUNCTION("GOOGLETRANSLATE(E31,""auto"",""en"")"),"Shanghai Foreign demarcation code")</f>
        <v>Shanghai Foreign demarcation code</v>
      </c>
      <c r="F102" s="10" t="str">
        <f>IFERROR(__xludf.DUMMYFUNCTION("GOOGLETRANSLATE(F31,""auto"",""en"")"),"text")</f>
        <v>text</v>
      </c>
      <c r="G102" s="10" t="str">
        <f>IFERROR(__xludf.DUMMYFUNCTION("GOOGLETRANSLATE(G31,""auto"",""en"")"),"4")</f>
        <v>4</v>
      </c>
      <c r="H102" s="10" t="str">
        <f>IFERROR(__xludf.DUMMYFUNCTION("GOOGLETRANSLATE(H31,""auto"",""en"")"),"Specification details of specific historical demarcation code MT001 (exogenous Shanghai)")</f>
        <v>Specification details of specific historical demarcation code MT001 (exogenous Shanghai)</v>
      </c>
    </row>
    <row r="103" ht="16.5" customHeight="1">
      <c r="A103" s="10" t="str">
        <f>IFERROR(__xludf.DUMMYFUNCTION("GOOGLETRANSLATE(A32,""auto"",""en"")"),"co19_twjhe200_trans_dn")</f>
        <v>co19_twjhe200_trans_dn</v>
      </c>
      <c r="B103" s="10" t="str">
        <f>IFERROR(__xludf.DUMMYFUNCTION("GOOGLETRANSLATE(B32,""auto"",""en"")"),"Specification Details")</f>
        <v>Specification Details</v>
      </c>
      <c r="C103" s="10" t="str">
        <f>IFERROR(__xludf.DUMMYFUNCTION("GOOGLETRANSLATE(C32,""auto"",""en"")"),"31")</f>
        <v>31</v>
      </c>
      <c r="D103" s="10" t="str">
        <f>IFERROR(__xludf.DUMMYFUNCTION("GOOGLETRANSLATE(D32,""auto"",""en"")"),"DGRSLT_TP_CD")</f>
        <v>DGRSLT_TP_CD</v>
      </c>
      <c r="E103" s="10" t="str">
        <f>IFERROR(__xludf.DUMMYFUNCTION("GOOGLETRANSLATE(E32,""auto"",""en"")"),"Care Results By Code")</f>
        <v>Care Results By Code</v>
      </c>
      <c r="F103" s="10" t="str">
        <f>IFERROR(__xludf.DUMMYFUNCTION("GOOGLETRANSLATE(F32,""auto"",""en"")"),"text")</f>
        <v>text</v>
      </c>
      <c r="G103" s="10" t="str">
        <f>IFERROR(__xludf.DUMMYFUNCTION("GOOGLETRANSLATE(G32,""auto"",""en"")"),"2")</f>
        <v>2</v>
      </c>
      <c r="H103" s="10" t="str">
        <f>IFERROR(__xludf.DUMMYFUNCTION("GOOGLETRANSLATE(H32,""auto"",""en"")"),"Cost reimbursement statements on the separation of the patient's condition based on the final jinryoil
* Valid Values: 1 continued, second transfer, three returned, 4 dead, 5 other, before and 8, 9 and other")</f>
        <v>Cost reimbursement statements on the separation of the patient's condition based on the final jinryoil
* Valid Values: 1 continued, second transfer, three returned, 4 dead, 5 other, before and 8, 9 and other</v>
      </c>
    </row>
    <row r="104" ht="16.5" customHeight="1">
      <c r="A104" s="10" t="str">
        <f>IFERROR(__xludf.DUMMYFUNCTION("GOOGLETRANSLATE(A33,""auto"",""en"")"),"co19_twjhe200_trans_dn")</f>
        <v>co19_twjhe200_trans_dn</v>
      </c>
      <c r="B104" s="10" t="str">
        <f>IFERROR(__xludf.DUMMYFUNCTION("GOOGLETRANSLATE(B33,""auto"",""en"")"),"Specification Details")</f>
        <v>Specification Details</v>
      </c>
      <c r="C104" s="10" t="str">
        <f>IFERROR(__xludf.DUMMYFUNCTION("GOOGLETRANSLATE(C33,""auto"",""en"")"),"32")</f>
        <v>32</v>
      </c>
      <c r="D104" s="10" t="str">
        <f>IFERROR(__xludf.DUMMYFUNCTION("GOOGLETRANSLATE(D33,""auto"",""en"")"),"IPAT_ARIV_PTH_TP")</f>
        <v>IPAT_ARIV_PTH_TP</v>
      </c>
      <c r="E104" s="10" t="str">
        <f>IFERROR(__xludf.DUMMYFUNCTION("GOOGLETRANSLATE(E33,""auto"",""en"")"),"Hospital arrival path separator code")</f>
        <v>Hospital arrival path separator code</v>
      </c>
      <c r="F104" s="10" t="str">
        <f>IFERROR(__xludf.DUMMYFUNCTION("GOOGLETRANSLATE(F33,""auto"",""en"")"),"text")</f>
        <v>text</v>
      </c>
      <c r="G104" s="10" t="str">
        <f>IFERROR(__xludf.DUMMYFUNCTION("GOOGLETRANSLATE(G33,""auto"",""en"")"),"4")</f>
        <v>4</v>
      </c>
      <c r="H104" s="10" t="str">
        <f>IFERROR(__xludf.DUMMYFUNCTION("GOOGLETRANSLATE(H33,""auto"",""en"")"),"Reimbursement of costs or computerized information network media, but described later in hospital grade medical institutions, medical institutions charged with arriving path and the code of the item, each separated by an admission path")</f>
        <v>Reimbursement of costs or computerized information network media, but described later in hospital grade medical institutions, medical institutions charged with arriving path and the code of the item, each separated by an admission path</v>
      </c>
    </row>
    <row r="105" ht="16.5" customHeight="1">
      <c r="A105" s="10" t="str">
        <f>IFERROR(__xludf.DUMMYFUNCTION("GOOGLETRANSLATE(A34,""auto"",""en"")"),"co19_twjhe200_trans_dn")</f>
        <v>co19_twjhe200_trans_dn</v>
      </c>
      <c r="B105" s="10" t="str">
        <f>IFERROR(__xludf.DUMMYFUNCTION("GOOGLETRANSLATE(B34,""auto"",""en"")"),"Specification Details")</f>
        <v>Specification Details</v>
      </c>
      <c r="C105" s="10" t="str">
        <f>IFERROR(__xludf.DUMMYFUNCTION("GOOGLETRANSLATE(C34,""auto"",""en"")"),"33")</f>
        <v>33</v>
      </c>
      <c r="D105" s="10" t="str">
        <f>IFERROR(__xludf.DUMMYFUNCTION("GOOGLETRANSLATE(D34,""auto"",""en"")"),"MAIDCL_CD")</f>
        <v>MAIDCL_CD</v>
      </c>
      <c r="E105" s="10" t="str">
        <f>IFERROR(__xludf.DUMMYFUNCTION("GOOGLETRANSLATE(E34,""auto"",""en"")"),"Medical care category codes")</f>
        <v>Medical care category codes</v>
      </c>
      <c r="F105" s="10" t="str">
        <f>IFERROR(__xludf.DUMMYFUNCTION("GOOGLETRANSLATE(F34,""auto"",""en"")"),"text")</f>
        <v>text</v>
      </c>
      <c r="G105" s="10" t="str">
        <f>IFERROR(__xludf.DUMMYFUNCTION("GOOGLETRANSLATE(G34,""auto"",""en"")"),"2")</f>
        <v>2</v>
      </c>
      <c r="H105" s="10" t="str">
        <f>IFERROR(__xludf.DUMMYFUNCTION("GOOGLETRANSLATE(H34,""auto"",""en"")"),"Medical care type identifying information of the medical care person")</f>
        <v>Medical care type identifying information of the medical care person</v>
      </c>
    </row>
    <row r="106" ht="16.5" customHeight="1">
      <c r="A106" s="10" t="str">
        <f>IFERROR(__xludf.DUMMYFUNCTION("GOOGLETRANSLATE(A35,""auto"",""en"")"),"co19_twjhe200_trans_dn")</f>
        <v>co19_twjhe200_trans_dn</v>
      </c>
      <c r="B106" s="10" t="str">
        <f>IFERROR(__xludf.DUMMYFUNCTION("GOOGLETRANSLATE(B35,""auto"",""en"")"),"Specification Details")</f>
        <v>Specification Details</v>
      </c>
      <c r="C106" s="10" t="str">
        <f>IFERROR(__xludf.DUMMYFUNCTION("GOOGLETRANSLATE(C35,""auto"",""en"")"),"34")</f>
        <v>34</v>
      </c>
      <c r="D106" s="10" t="str">
        <f>IFERROR(__xludf.DUMMYFUNCTION("GOOGLETRANSLATE(D35,""auto"",""en"")"),"DMD_FRM_CD")</f>
        <v>DMD_FRM_CD</v>
      </c>
      <c r="E106" s="10" t="str">
        <f>IFERROR(__xludf.DUMMYFUNCTION("GOOGLETRANSLATE(E35,""auto"",""en"")"),"Billing code form")</f>
        <v>Billing code form</v>
      </c>
      <c r="F106" s="10" t="str">
        <f>IFERROR(__xludf.DUMMYFUNCTION("GOOGLETRANSLATE(F35,""auto"",""en"")"),"text")</f>
        <v>text</v>
      </c>
      <c r="G106" s="10" t="str">
        <f>IFERROR(__xludf.DUMMYFUNCTION("GOOGLETRANSLATE(G35,""auto"",""en"")"),"2")</f>
        <v>2</v>
      </c>
      <c r="H106" s="10" t="str">
        <f>IFERROR(__xludf.DUMMYFUNCTION("GOOGLETRANSLATE(H35,""auto"",""en"")"),"If the DRG payment system distinction according to the type of charge remaining DRG code is written according to the claim form, separated by a computerized media, electronic documents
* Valid values: 1 written and 2 computational media, three electronic "&amp;"documents, 4DRG")</f>
        <v>If the DRG payment system distinction according to the type of charge remaining DRG code is written according to the claim form, separated by a computerized media, electronic documents
* Valid values: 1 written and 2 computational media, three electronic documents, 4DRG</v>
      </c>
    </row>
    <row r="107" ht="16.5" customHeight="1">
      <c r="A107" s="10" t="str">
        <f>IFERROR(__xludf.DUMMYFUNCTION("GOOGLETRANSLATE(A36,""auto"",""en"")"),"co19_twjhe200_trans_dn")</f>
        <v>co19_twjhe200_trans_dn</v>
      </c>
      <c r="B107" s="10" t="str">
        <f>IFERROR(__xludf.DUMMYFUNCTION("GOOGLETRANSLATE(B36,""auto"",""en"")"),"Specification Details")</f>
        <v>Specification Details</v>
      </c>
      <c r="C107" s="10" t="str">
        <f>IFERROR(__xludf.DUMMYFUNCTION("GOOGLETRANSLATE(C36,""auto"",""en"")"),"35")</f>
        <v>35</v>
      </c>
      <c r="D107" s="10" t="str">
        <f>IFERROR(__xludf.DUMMYFUNCTION("GOOGLETRANSLATE(D36,""auto"",""en"")"),"DMD_TP_CD")</f>
        <v>DMD_TP_CD</v>
      </c>
      <c r="E107" s="10" t="str">
        <f>IFERROR(__xludf.DUMMYFUNCTION("GOOGLETRANSLATE(E36,""auto"",""en"")"),"Charged demarcation code")</f>
        <v>Charged demarcation code</v>
      </c>
      <c r="F107" s="10" t="str">
        <f>IFERROR(__xludf.DUMMYFUNCTION("GOOGLETRANSLATE(F36,""auto"",""en"")"),"text")</f>
        <v>text</v>
      </c>
      <c r="G107" s="10" t="str">
        <f>IFERROR(__xludf.DUMMYFUNCTION("GOOGLETRANSLATE(G36,""auto"",""en"")"),"2")</f>
        <v>2</v>
      </c>
      <c r="H107" s="10" t="str">
        <f>IFERROR(__xludf.DUMMYFUNCTION("GOOGLETRANSLATE(H36,""auto"",""en"")"),"Code to distinguish between the complementary charges, additional charges, such as charges during separate hospital reimbursement costs
* Valid Values: 0 General claims, complementary claims 1, 2, additional charges, three separate charges, etc.")</f>
        <v>Code to distinguish between the complementary charges, additional charges, such as charges during separate hospital reimbursement costs
* Valid Values: 0 General claims, complementary claims 1, 2, additional charges, three separate charges, etc.</v>
      </c>
    </row>
    <row r="108" ht="16.5" customHeight="1">
      <c r="A108" s="10" t="str">
        <f>IFERROR(__xludf.DUMMYFUNCTION("GOOGLETRANSLATE(A37,""auto"",""en"")"),"co19_twjhe200_trans_dn")</f>
        <v>co19_twjhe200_trans_dn</v>
      </c>
      <c r="B108" s="10" t="str">
        <f>IFERROR(__xludf.DUMMYFUNCTION("GOOGLETRANSLATE(B37,""auto"",""en"")"),"Specification Details")</f>
        <v>Specification Details</v>
      </c>
      <c r="C108" s="10" t="str">
        <f>IFERROR(__xludf.DUMMYFUNCTION("GOOGLETRANSLATE(C37,""auto"",""en"")"),"36")</f>
        <v>36</v>
      </c>
      <c r="D108" s="10" t="str">
        <f>IFERROR(__xludf.DUMMYFUNCTION("GOOGLETRANSLATE(D37,""auto"",""en"")"),"RV_YM")</f>
        <v>RV_YM</v>
      </c>
      <c r="E108" s="10" t="str">
        <f>IFERROR(__xludf.DUMMYFUNCTION("GOOGLETRANSLATE(E37,""auto"",""en"")"),"Date of examination")</f>
        <v>Date of examination</v>
      </c>
      <c r="F108" s="10" t="str">
        <f>IFERROR(__xludf.DUMMYFUNCTION("GOOGLETRANSLATE(F37,""auto"",""en"")"),"text")</f>
        <v>text</v>
      </c>
      <c r="G108" s="10" t="str">
        <f>IFERROR(__xludf.DUMMYFUNCTION("GOOGLETRANSLATE(G37,""auto"",""en"")"),"12")</f>
        <v>12</v>
      </c>
      <c r="H108" s="10" t="str">
        <f>IFERROR(__xludf.DUMMYFUNCTION("GOOGLETRANSLATE(H37,""auto"",""en"")"),"Date of Review decision point")</f>
        <v>Date of Review decision point</v>
      </c>
    </row>
    <row r="109" ht="16.5" customHeight="1">
      <c r="A109" s="10" t="str">
        <f>IFERROR(__xludf.DUMMYFUNCTION("GOOGLETRANSLATE(A38,""auto"",""en"")"),"co19_twjhe200_trans_dn")</f>
        <v>co19_twjhe200_trans_dn</v>
      </c>
      <c r="B109" s="10" t="str">
        <f>IFERROR(__xludf.DUMMYFUNCTION("GOOGLETRANSLATE(B38,""auto"",""en"")"),"Specification Details")</f>
        <v>Specification Details</v>
      </c>
      <c r="C109" s="10" t="str">
        <f>IFERROR(__xludf.DUMMYFUNCTION("GOOGLETRANSLATE(C38,""auto"",""en"")"),"37")</f>
        <v>37</v>
      </c>
      <c r="D109" s="10" t="str">
        <f>IFERROR(__xludf.DUMMYFUNCTION("GOOGLETRANSLATE(D38,""auto"",""en"")"),"SHW_SBJT_CD")</f>
        <v>SHW_SBJT_CD</v>
      </c>
      <c r="E109" s="10" t="str">
        <f>IFERROR(__xludf.DUMMYFUNCTION("GOOGLETRANSLATE(E38,""auto"",""en"")"),"Display Course code")</f>
        <v>Display Course code</v>
      </c>
      <c r="F109" s="10" t="str">
        <f>IFERROR(__xludf.DUMMYFUNCTION("GOOGLETRANSLATE(F38,""auto"",""en"")"),"text")</f>
        <v>text</v>
      </c>
      <c r="G109" s="10" t="str">
        <f>IFERROR(__xludf.DUMMYFUNCTION("GOOGLETRANSLATE(G38,""auto"",""en"")"),"4")</f>
        <v>4</v>
      </c>
      <c r="H109" s="10" t="str">
        <f>IFERROR(__xludf.DUMMYFUNCTION("GOOGLETRANSLATE(H38,""auto"",""en"")"),"Medical institutions, the Departments code defined to appear on the outside")</f>
        <v>Medical institutions, the Departments code defined to appear on the outside</v>
      </c>
    </row>
    <row r="110" ht="16.5" customHeight="1">
      <c r="A110" s="10" t="str">
        <f>IFERROR(__xludf.DUMMYFUNCTION("GOOGLETRANSLATE(A39,""auto"",""en"")"),"co19_twjhe300_trans_dn")</f>
        <v>co19_twjhe300_trans_dn</v>
      </c>
      <c r="B110" s="10" t="str">
        <f>IFERROR(__xludf.DUMMYFUNCTION("GOOGLETRANSLATE(B39,""auto"",""en"")"),"Medical history")</f>
        <v>Medical history</v>
      </c>
      <c r="C110" s="10" t="str">
        <f>IFERROR(__xludf.DUMMYFUNCTION("GOOGLETRANSLATE(C39,""auto"",""en"")"),"1")</f>
        <v>1</v>
      </c>
      <c r="D110" s="10" t="str">
        <f>IFERROR(__xludf.DUMMYFUNCTION("GOOGLETRANSLATE(D39,""auto"",""en"")"),"MID")</f>
        <v>MID</v>
      </c>
      <c r="E110" s="10" t="str">
        <f>IFERROR(__xludf.DUMMYFUNCTION("GOOGLETRANSLATE(E39,""auto"",""en"")"),"Statement join key")</f>
        <v>Statement join key</v>
      </c>
      <c r="F110" s="10" t="str">
        <f>IFERROR(__xludf.DUMMYFUNCTION("GOOGLETRANSLATE(F39,""auto"",""en"")"),"number")</f>
        <v>number</v>
      </c>
      <c r="G110" s="10" t="str">
        <f>IFERROR(__xludf.DUMMYFUNCTION("GOOGLETRANSLATE(G39,""auto"",""en"")"),"8")</f>
        <v>8</v>
      </c>
      <c r="H110" s="10" t="str">
        <f>IFERROR(__xludf.DUMMYFUNCTION("GOOGLETRANSLATE(H39,""auto"",""en"")"),"Replacement of specification unique to identify one statement ID number, the join between the statements Key")</f>
        <v>Replacement of specification unique to identify one statement ID number, the join between the statements Key</v>
      </c>
    </row>
    <row r="111" ht="16.5" customHeight="1">
      <c r="A111" s="10" t="str">
        <f>IFERROR(__xludf.DUMMYFUNCTION("GOOGLETRANSLATE(A40,""auto"",""en"")"),"co19_twjhe300_trans_dn")</f>
        <v>co19_twjhe300_trans_dn</v>
      </c>
      <c r="B111" s="10" t="str">
        <f>IFERROR(__xludf.DUMMYFUNCTION("GOOGLETRANSLATE(B40,""auto"",""en"")"),"Medical history")</f>
        <v>Medical history</v>
      </c>
      <c r="C111" s="10" t="str">
        <f>IFERROR(__xludf.DUMMYFUNCTION("GOOGLETRANSLATE(C40,""auto"",""en"")"),"2")</f>
        <v>2</v>
      </c>
      <c r="D111" s="10" t="str">
        <f>IFERROR(__xludf.DUMMYFUNCTION("GOOGLETRANSLATE(D40,""auto"",""en"")"),"CZ_ITEM_CD")</f>
        <v>CZ_ITEM_CD</v>
      </c>
      <c r="E111" s="10" t="str">
        <f>IFERROR(__xludf.DUMMYFUNCTION("GOOGLETRANSLATE(E40,""auto"",""en"")"),"Item code")</f>
        <v>Item code</v>
      </c>
      <c r="F111" s="10" t="str">
        <f>IFERROR(__xludf.DUMMYFUNCTION("GOOGLETRANSLATE(F40,""auto"",""en"")"),"text")</f>
        <v>text</v>
      </c>
      <c r="G111" s="10" t="str">
        <f>IFERROR(__xludf.DUMMYFUNCTION("GOOGLETRANSLATE(G40,""auto"",""en"")"),"10")</f>
        <v>10</v>
      </c>
      <c r="H111" s="10" t="str">
        <f>IFERROR(__xludf.DUMMYFUNCTION("GOOGLETRANSLATE(H40,""auto"",""en"")"),"Specification code that combines code and wherein the neck cord
※ configuration: wherein the code (2) and the neck cord 2 + demarcation code (1)
* Demarcation code: ""1"" (except for one shot), or ""2"" (one shot), or ""3"" (Pharmacy)")</f>
        <v>Specification code that combines code and wherein the neck cord
※ configuration: wherein the code (2) and the neck cord 2 + demarcation code (1)
* Demarcation code: "1" (except for one shot), or "2" (one shot), or "3" (Pharmacy)</v>
      </c>
    </row>
    <row r="112" ht="16.5" customHeight="1">
      <c r="A112" s="10" t="str">
        <f>IFERROR(__xludf.DUMMYFUNCTION("GOOGLETRANSLATE(A41,""auto"",""en"")"),"co19_twjhe300_trans_dn")</f>
        <v>co19_twjhe300_trans_dn</v>
      </c>
      <c r="B112" s="10" t="str">
        <f>IFERROR(__xludf.DUMMYFUNCTION("GOOGLETRANSLATE(B41,""auto"",""en"")"),"Medical history")</f>
        <v>Medical history</v>
      </c>
      <c r="C112" s="10" t="str">
        <f>IFERROR(__xludf.DUMMYFUNCTION("GOOGLETRANSLATE(C41,""auto"",""en"")"),"3")</f>
        <v>3</v>
      </c>
      <c r="D112" s="10" t="str">
        <f>IFERROR(__xludf.DUMMYFUNCTION("GOOGLETRANSLATE(D41,""auto"",""en"")"),"DIV_TY_CD")</f>
        <v>DIV_TY_CD</v>
      </c>
      <c r="E112" s="10" t="str">
        <f>IFERROR(__xludf.DUMMYFUNCTION("GOOGLETRANSLATE(E41,""auto"",""en"")"),"Category Type Code")</f>
        <v>Category Type Code</v>
      </c>
      <c r="F112" s="10" t="str">
        <f>IFERROR(__xludf.DUMMYFUNCTION("GOOGLETRANSLATE(F41,""auto"",""en"")"),"text")</f>
        <v>text</v>
      </c>
      <c r="G112" s="10" t="str">
        <f>IFERROR(__xludf.DUMMYFUNCTION("GOOGLETRANSLATE(G41,""auto"",""en"")"),"2")</f>
        <v>2</v>
      </c>
      <c r="H112" s="10" t="str">
        <f>IFERROR(__xludf.DUMMYFUNCTION("GOOGLETRANSLATE(H41,""auto"",""en"")"),"Code number, drug code, such as code jaeryodae code that classifies a comprehensive code
* Valid values: 1, number 2 mutatis mutandis number three listed insurance medicine, four imported raw material medicine, re-7 agreement, including 8 treatment jaeryo"&amp;"dae")</f>
        <v>Code number, drug code, such as code jaeryodae code that classifies a comprehensive code
* Valid values: 1, number 2 mutatis mutandis number three listed insurance medicine, four imported raw material medicine, re-7 agreement, including 8 treatment jaeryodae</v>
      </c>
    </row>
    <row r="113" ht="16.5" customHeight="1">
      <c r="A113" s="10" t="str">
        <f>IFERROR(__xludf.DUMMYFUNCTION("GOOGLETRANSLATE(A42,""auto"",""en"")"),"co19_twjhe300_trans_dn")</f>
        <v>co19_twjhe300_trans_dn</v>
      </c>
      <c r="B113" s="10" t="str">
        <f>IFERROR(__xludf.DUMMYFUNCTION("GOOGLETRANSLATE(B42,""auto"",""en"")"),"Medical history")</f>
        <v>Medical history</v>
      </c>
      <c r="C113" s="10" t="str">
        <f>IFERROR(__xludf.DUMMYFUNCTION("GOOGLETRANSLATE(C42,""auto"",""en"")"),"4")</f>
        <v>4</v>
      </c>
      <c r="D113" s="10" t="str">
        <f>IFERROR(__xludf.DUMMYFUNCTION("GOOGLETRANSLATE(D42,""auto"",""en"")"),"DIV_CD")</f>
        <v>DIV_CD</v>
      </c>
      <c r="E113" s="10" t="str">
        <f>IFERROR(__xludf.DUMMYFUNCTION("GOOGLETRANSLATE(E42,""auto"",""en"")"),"Classification Code")</f>
        <v>Classification Code</v>
      </c>
      <c r="F113" s="10" t="str">
        <f>IFERROR(__xludf.DUMMYFUNCTION("GOOGLETRANSLATE(F42,""auto"",""en"")"),"text")</f>
        <v>text</v>
      </c>
      <c r="G113" s="10" t="str">
        <f>IFERROR(__xludf.DUMMYFUNCTION("GOOGLETRANSLATE(G42,""auto"",""en"")"),"18")</f>
        <v>18</v>
      </c>
      <c r="H113" s="10" t="str">
        <f>IFERROR(__xludf.DUMMYFUNCTION("GOOGLETRANSLATE(H42,""auto"",""en"")"),"Number, a list that separates the drug, therapy materials, such as gender classification codes")</f>
        <v>Number, a list that separates the drug, therapy materials, such as gender classification codes</v>
      </c>
    </row>
    <row r="114" ht="16.5" customHeight="1">
      <c r="A114" s="10" t="str">
        <f>IFERROR(__xludf.DUMMYFUNCTION("GOOGLETRANSLATE(A43,""auto"",""en"")"),"co19_twjhe300_trans_dn")</f>
        <v>co19_twjhe300_trans_dn</v>
      </c>
      <c r="B114" s="10" t="str">
        <f>IFERROR(__xludf.DUMMYFUNCTION("GOOGLETRANSLATE(B43,""auto"",""en"")"),"Medical history")</f>
        <v>Medical history</v>
      </c>
      <c r="C114" s="10" t="str">
        <f>IFERROR(__xludf.DUMMYFUNCTION("GOOGLETRANSLATE(C43,""auto"",""en"")"),"5")</f>
        <v>5</v>
      </c>
      <c r="D114" s="10" t="str">
        <f>IFERROR(__xludf.DUMMYFUNCTION("GOOGLETRANSLATE(D43,""auto"",""en"")"),"FQ1_MDCT_QTY")</f>
        <v>FQ1_MDCT_QTY</v>
      </c>
      <c r="E114" s="10" t="str">
        <f>IFERROR(__xludf.DUMMYFUNCTION("GOOGLETRANSLATE(E43,""auto"",""en"")"),"One dose")</f>
        <v>One dose</v>
      </c>
      <c r="F114" s="10" t="str">
        <f>IFERROR(__xludf.DUMMYFUNCTION("GOOGLETRANSLATE(F43,""auto"",""en"")"),"number")</f>
        <v>number</v>
      </c>
      <c r="G114" s="10" t="str">
        <f>IFERROR(__xludf.DUMMYFUNCTION("GOOGLETRANSLATE(G43,""auto"",""en"")"),"8")</f>
        <v>8</v>
      </c>
      <c r="H114" s="10" t="str">
        <f>IFERROR(__xludf.DUMMYFUNCTION("GOOGLETRANSLATE(H43,""auto"",""en"")"),"The amount of medication at a time")</f>
        <v>The amount of medication at a time</v>
      </c>
    </row>
    <row r="115" ht="16.5" customHeight="1">
      <c r="A115" s="10" t="str">
        <f>IFERROR(__xludf.DUMMYFUNCTION("GOOGLETRANSLATE(A44,""auto"",""en"")"),"co19_twjhe300_trans_dn")</f>
        <v>co19_twjhe300_trans_dn</v>
      </c>
      <c r="B115" s="10" t="str">
        <f>IFERROR(__xludf.DUMMYFUNCTION("GOOGLETRANSLATE(B44,""auto"",""en"")"),"Medical history")</f>
        <v>Medical history</v>
      </c>
      <c r="C115" s="10" t="str">
        <f>IFERROR(__xludf.DUMMYFUNCTION("GOOGLETRANSLATE(C44,""auto"",""en"")"),"6")</f>
        <v>6</v>
      </c>
      <c r="D115" s="10" t="str">
        <f>IFERROR(__xludf.DUMMYFUNCTION("GOOGLETRANSLATE(D44,""auto"",""en"")"),"DY1_MDCT_QTY")</f>
        <v>DY1_MDCT_QTY</v>
      </c>
      <c r="E115" s="10" t="str">
        <f>IFERROR(__xludf.DUMMYFUNCTION("GOOGLETRANSLATE(E44,""auto"",""en"")"),"The 1st dose")</f>
        <v>The 1st dose</v>
      </c>
      <c r="F115" s="10" t="str">
        <f>IFERROR(__xludf.DUMMYFUNCTION("GOOGLETRANSLATE(F44,""auto"",""en"")"),"number")</f>
        <v>number</v>
      </c>
      <c r="G115" s="10" t="str">
        <f>IFERROR(__xludf.DUMMYFUNCTION("GOOGLETRANSLATE(G44,""auto"",""en"")"),"8")</f>
        <v>8</v>
      </c>
      <c r="H115" s="10" t="str">
        <f>IFERROR(__xludf.DUMMYFUNCTION("GOOGLETRANSLATE(H44,""auto"",""en"")"),"The daily dose or number of embodiments")</f>
        <v>The daily dose or number of embodiments</v>
      </c>
    </row>
    <row r="116" ht="16.5" customHeight="1">
      <c r="A116" s="10" t="str">
        <f>IFERROR(__xludf.DUMMYFUNCTION("GOOGLETRANSLATE(A45,""auto"",""en"")"),"co19_twjhe300_trans_dn")</f>
        <v>co19_twjhe300_trans_dn</v>
      </c>
      <c r="B116" s="10" t="str">
        <f>IFERROR(__xludf.DUMMYFUNCTION("GOOGLETRANSLATE(B45,""auto"",""en"")"),"Medical history")</f>
        <v>Medical history</v>
      </c>
      <c r="C116" s="10" t="str">
        <f>IFERROR(__xludf.DUMMYFUNCTION("GOOGLETRANSLATE(C45,""auto"",""en"")"),"7")</f>
        <v>7</v>
      </c>
      <c r="D116" s="10" t="str">
        <f>IFERROR(__xludf.DUMMYFUNCTION("GOOGLETRANSLATE(D45,""auto"",""en"")"),"DY1_INJC_QTY_EXEC_FQ")</f>
        <v>DY1_INJC_QTY_EXEC_FQ</v>
      </c>
      <c r="E116" s="10" t="str">
        <f>IFERROR(__xludf.DUMMYFUNCTION("GOOGLETRANSLATE(E45,""auto"",""en"")"),"The daily dose exemplary number")</f>
        <v>The daily dose exemplary number</v>
      </c>
      <c r="F116" s="10" t="str">
        <f>IFERROR(__xludf.DUMMYFUNCTION("GOOGLETRANSLATE(F45,""auto"",""en"")"),"number")</f>
        <v>number</v>
      </c>
      <c r="G116" s="10" t="str">
        <f>IFERROR(__xludf.DUMMYFUNCTION("GOOGLETRANSLATE(G45,""auto"",""en"")"),"8")</f>
        <v>8</v>
      </c>
      <c r="H116" s="10" t="str">
        <f>IFERROR(__xludf.DUMMYFUNCTION("GOOGLETRANSLATE(H45,""auto"",""en"")"),"Administration of the total daily amount or number of embodiments")</f>
        <v>Administration of the total daily amount or number of embodiments</v>
      </c>
    </row>
    <row r="117" ht="16.5" customHeight="1">
      <c r="A117" s="10" t="str">
        <f>IFERROR(__xludf.DUMMYFUNCTION("GOOGLETRANSLATE(A46,""auto"",""en"")"),"co19_twjhe300_trans_dn")</f>
        <v>co19_twjhe300_trans_dn</v>
      </c>
      <c r="B117" s="10" t="str">
        <f>IFERROR(__xludf.DUMMYFUNCTION("GOOGLETRANSLATE(B46,""auto"",""en"")"),"Medical history")</f>
        <v>Medical history</v>
      </c>
      <c r="C117" s="10" t="str">
        <f>IFERROR(__xludf.DUMMYFUNCTION("GOOGLETRANSLATE(C46,""auto"",""en"")"),"8")</f>
        <v>8</v>
      </c>
      <c r="D117" s="10" t="str">
        <f>IFERROR(__xludf.DUMMYFUNCTION("GOOGLETRANSLATE(D46,""auto"",""en"")"),"TOT_INJC_DDCNT_EXEC_FQ")</f>
        <v>TOT_INJC_DDCNT_EXEC_FQ</v>
      </c>
      <c r="E117" s="10" t="str">
        <f>IFERROR(__xludf.DUMMYFUNCTION("GOOGLETRANSLATE(E46,""auto"",""en"")"),"The total number of administration days conducted")</f>
        <v>The total number of administration days conducted</v>
      </c>
      <c r="F117" s="10" t="str">
        <f>IFERROR(__xludf.DUMMYFUNCTION("GOOGLETRANSLATE(F46,""auto"",""en"")"),"number")</f>
        <v>number</v>
      </c>
      <c r="G117" s="10" t="str">
        <f>IFERROR(__xludf.DUMMYFUNCTION("GOOGLETRANSLATE(G46,""auto"",""en"")"),"8")</f>
        <v>8</v>
      </c>
      <c r="H117" s="10" t="str">
        <f>IFERROR(__xludf.DUMMYFUNCTION("GOOGLETRANSLATE(H46,""auto"",""en"")"),"The total number of days of administration, or the total number of embodiments")</f>
        <v>The total number of days of administration, or the total number of embodiments</v>
      </c>
    </row>
    <row r="118" ht="16.5" customHeight="1">
      <c r="A118" s="10" t="str">
        <f>IFERROR(__xludf.DUMMYFUNCTION("GOOGLETRANSLATE(A47,""auto"",""en"")"),"co19_twjhe300_trans_dn")</f>
        <v>co19_twjhe300_trans_dn</v>
      </c>
      <c r="B118" s="10" t="str">
        <f>IFERROR(__xludf.DUMMYFUNCTION("GOOGLETRANSLATE(B47,""auto"",""en"")"),"Medical history")</f>
        <v>Medical history</v>
      </c>
      <c r="C118" s="10" t="str">
        <f>IFERROR(__xludf.DUMMYFUNCTION("GOOGLETRANSLATE(C47,""auto"",""en"")"),"9")</f>
        <v>9</v>
      </c>
      <c r="D118" s="10" t="str">
        <f>IFERROR(__xludf.DUMMYFUNCTION("GOOGLETRANSLATE(D47,""auto"",""en"")"),"TOT_USE_QTY_OR_EXEC_FQ")</f>
        <v>TOT_USE_QTY_OR_EXEC_FQ</v>
      </c>
      <c r="E118" s="10" t="str">
        <f>IFERROR(__xludf.DUMMYFUNCTION("GOOGLETRANSLATE(E47,""auto"",""en"")"),"The total amount carried count")</f>
        <v>The total amount carried count</v>
      </c>
      <c r="F118" s="10" t="str">
        <f>IFERROR(__xludf.DUMMYFUNCTION("GOOGLETRANSLATE(F47,""auto"",""en"")"),"number")</f>
        <v>number</v>
      </c>
      <c r="G118" s="10" t="str">
        <f>IFERROR(__xludf.DUMMYFUNCTION("GOOGLETRANSLATE(G47,""auto"",""en"")"),"8")</f>
        <v>8</v>
      </c>
      <c r="H118" s="10" t="str">
        <f>IFERROR(__xludf.DUMMYFUNCTION("GOOGLETRANSLATE(H47,""auto"",""en"")"),"The total amount carried count")</f>
        <v>The total amount carried count</v>
      </c>
    </row>
    <row r="119" ht="16.5" customHeight="1">
      <c r="A119" s="10" t="str">
        <f>IFERROR(__xludf.DUMMYFUNCTION("GOOGLETRANSLATE(A48,""auto"",""en"")"),"co19_twjhe300_trans_dn")</f>
        <v>co19_twjhe300_trans_dn</v>
      </c>
      <c r="B119" s="10" t="str">
        <f>IFERROR(__xludf.DUMMYFUNCTION("GOOGLETRANSLATE(B48,""auto"",""en"")"),"Medical history")</f>
        <v>Medical history</v>
      </c>
      <c r="C119" s="10" t="str">
        <f>IFERROR(__xludf.DUMMYFUNCTION("GOOGLETRANSLATE(C48,""auto"",""en"")"),"10")</f>
        <v>10</v>
      </c>
      <c r="D119" s="10" t="str">
        <f>IFERROR(__xludf.DUMMYFUNCTION("GOOGLETRANSLATE(D48,""auto"",""en"")"),"UNPRC")</f>
        <v>UNPRC</v>
      </c>
      <c r="E119" s="10" t="str">
        <f>IFERROR(__xludf.DUMMYFUNCTION("GOOGLETRANSLATE(E48,""auto"",""en"")"),"Price calculation")</f>
        <v>Price calculation</v>
      </c>
      <c r="F119" s="10" t="str">
        <f>IFERROR(__xludf.DUMMYFUNCTION("GOOGLETRANSLATE(F48,""auto"",""en"")"),"number")</f>
        <v>number</v>
      </c>
      <c r="G119" s="10" t="str">
        <f>IFERROR(__xludf.DUMMYFUNCTION("GOOGLETRANSLATE(G48,""auto"",""en"")"),"8")</f>
        <v>8</v>
      </c>
      <c r="H119" s="10" t="str">
        <f>IFERROR(__xludf.DUMMYFUNCTION("GOOGLETRANSLATE(H48,""auto"",""en"")"),"Price of the classification code (number / drug / treatment material code)")</f>
        <v>Price of the classification code (number / drug / treatment material code)</v>
      </c>
    </row>
    <row r="120" ht="16.5" customHeight="1">
      <c r="A120" s="10" t="str">
        <f>IFERROR(__xludf.DUMMYFUNCTION("GOOGLETRANSLATE(A49,""auto"",""en"")"),"co19_twjhe300_trans_dn")</f>
        <v>co19_twjhe300_trans_dn</v>
      </c>
      <c r="B120" s="10" t="str">
        <f>IFERROR(__xludf.DUMMYFUNCTION("GOOGLETRANSLATE(B49,""auto"",""en"")"),"Medical history")</f>
        <v>Medical history</v>
      </c>
      <c r="C120" s="10" t="str">
        <f>IFERROR(__xludf.DUMMYFUNCTION("GOOGLETRANSLATE(C49,""auto"",""en"")"),"11")</f>
        <v>11</v>
      </c>
      <c r="D120" s="10" t="str">
        <f>IFERROR(__xludf.DUMMYFUNCTION("GOOGLETRANSLATE(D49,""auto"",""en"")"),"AMT")</f>
        <v>AMT</v>
      </c>
      <c r="E120" s="10" t="str">
        <f>IFERROR(__xludf.DUMMYFUNCTION("GOOGLETRANSLATE(E49,""auto"",""en"")"),"Call money")</f>
        <v>Call money</v>
      </c>
      <c r="F120" s="10" t="str">
        <f>IFERROR(__xludf.DUMMYFUNCTION("GOOGLETRANSLATE(F49,""auto"",""en"")"),"number")</f>
        <v>number</v>
      </c>
      <c r="G120" s="10" t="str">
        <f>IFERROR(__xludf.DUMMYFUNCTION("GOOGLETRANSLATE(G49,""auto"",""en"")"),"8")</f>
        <v>8</v>
      </c>
      <c r="H120" s="10" t="str">
        <f>IFERROR(__xludf.DUMMYFUNCTION("GOOGLETRANSLATE(H49,""auto"",""en"")"),"Call money")</f>
        <v>Call money</v>
      </c>
    </row>
    <row r="121" ht="16.5" customHeight="1">
      <c r="A121" s="10" t="str">
        <f>IFERROR(__xludf.DUMMYFUNCTION("GOOGLETRANSLATE(A50,""auto"",""en"")"),"co19_twjhe300_trans_dn")</f>
        <v>co19_twjhe300_trans_dn</v>
      </c>
      <c r="B121" s="10" t="str">
        <f>IFERROR(__xludf.DUMMYFUNCTION("GOOGLETRANSLATE(B50,""auto"",""en"")"),"Medical history")</f>
        <v>Medical history</v>
      </c>
      <c r="C121" s="10" t="str">
        <f>IFERROR(__xludf.DUMMYFUNCTION("GOOGLETRANSLATE(C50,""auto"",""en"")"),"12")</f>
        <v>12</v>
      </c>
      <c r="D121" s="10" t="str">
        <f>IFERROR(__xludf.DUMMYFUNCTION("GOOGLETRANSLATE(D50,""auto"",""en"")"),"ADDC_ADT_AMT")</f>
        <v>ADDC_ADT_AMT</v>
      </c>
      <c r="E121" s="10" t="str">
        <f>IFERROR(__xludf.DUMMYFUNCTION("GOOGLETRANSLATE(E50,""auto"",""en"")"),"Plus applicable amount")</f>
        <v>Plus applicable amount</v>
      </c>
      <c r="F121" s="10" t="str">
        <f>IFERROR(__xludf.DUMMYFUNCTION("GOOGLETRANSLATE(F50,""auto"",""en"")"),"text")</f>
        <v>text</v>
      </c>
      <c r="G121" s="10" t="str">
        <f>IFERROR(__xludf.DUMMYFUNCTION("GOOGLETRANSLATE(G50,""auto"",""en"")"),"18")</f>
        <v>18</v>
      </c>
      <c r="H121" s="10" t="str">
        <f>IFERROR(__xludf.DUMMYFUNCTION("GOOGLETRANSLATE(H50,""auto"",""en"")"),"2. What if the act of adding value applied to medical institutions type addition ratio")</f>
        <v>2. What if the act of adding value applied to medical institutions type addition ratio</v>
      </c>
    </row>
    <row r="122" ht="16.5" customHeight="1">
      <c r="A122" s="10" t="str">
        <f>IFERROR(__xludf.DUMMYFUNCTION("GOOGLETRANSLATE(A51,""auto"",""en"")"),"co19_twjhe300_trans_dn")</f>
        <v>co19_twjhe300_trans_dn</v>
      </c>
      <c r="B122" s="10" t="str">
        <f>IFERROR(__xludf.DUMMYFUNCTION("GOOGLETRANSLATE(B51,""auto"",""en"")"),"Medical history")</f>
        <v>Medical history</v>
      </c>
      <c r="C122" s="10" t="str">
        <f>IFERROR(__xludf.DUMMYFUNCTION("GOOGLETRANSLATE(C51,""auto"",""en"")"),"13")</f>
        <v>13</v>
      </c>
      <c r="D122" s="10" t="str">
        <f>IFERROR(__xludf.DUMMYFUNCTION("GOOGLETRANSLATE(D51,""auto"",""en"")"),"GNL_CD")</f>
        <v>GNL_CD</v>
      </c>
      <c r="E122" s="10" t="str">
        <f>IFERROR(__xludf.DUMMYFUNCTION("GOOGLETRANSLATE(E51,""auto"",""en"")"),"Generic code")</f>
        <v>Generic code</v>
      </c>
      <c r="F122" s="10" t="str">
        <f>IFERROR(__xludf.DUMMYFUNCTION("GOOGLETRANSLATE(F51,""auto"",""en"")"),"text")</f>
        <v>text</v>
      </c>
      <c r="G122" s="10" t="str">
        <f>IFERROR(__xludf.DUMMYFUNCTION("GOOGLETRANSLATE(G51,""auto"",""en"")"),"18")</f>
        <v>18</v>
      </c>
      <c r="H122" s="10" t="str">
        <f>IFERROR(__xludf.DUMMYFUNCTION("GOOGLETRANSLATE(H51,""auto"",""en"")"),"Drug chief ingredient listed drugs, importing drugs generic code")</f>
        <v>Drug chief ingredient listed drugs, importing drugs generic code</v>
      </c>
    </row>
    <row r="123" ht="16.5" customHeight="1">
      <c r="A123" s="10" t="str">
        <f>IFERROR(__xludf.DUMMYFUNCTION("GOOGLETRANSLATE(A52,""auto"",""en"")"),"co19_twjhe300_trans_dn")</f>
        <v>co19_twjhe300_trans_dn</v>
      </c>
      <c r="B123" s="10" t="str">
        <f>IFERROR(__xludf.DUMMYFUNCTION("GOOGLETRANSLATE(B52,""auto"",""en"")"),"Medical history")</f>
        <v>Medical history</v>
      </c>
      <c r="C123" s="10" t="str">
        <f>IFERROR(__xludf.DUMMYFUNCTION("GOOGLETRANSLATE(C52,""auto"",""en"")"),"14")</f>
        <v>14</v>
      </c>
      <c r="D123" s="10" t="str">
        <f>IFERROR(__xludf.DUMMYFUNCTION("GOOGLETRANSLATE(D52,""auto"",""en"")"),"EXP_TP_CD")</f>
        <v>EXP_TP_CD</v>
      </c>
      <c r="E123" s="10" t="str">
        <f>IFERROR(__xludf.DUMMYFUNCTION("GOOGLETRANSLATE(E52,""auto"",""en"")"),"ST exception demarcation code")</f>
        <v>ST exception demarcation code</v>
      </c>
      <c r="F123" s="10" t="str">
        <f>IFERROR(__xludf.DUMMYFUNCTION("GOOGLETRANSLATE(F52,""auto"",""en"")"),"text")</f>
        <v>text</v>
      </c>
      <c r="G123" s="10" t="str">
        <f>IFERROR(__xludf.DUMMYFUNCTION("GOOGLETRANSLATE(G52,""auto"",""en"")"),"4")</f>
        <v>4</v>
      </c>
      <c r="H123" s="10" t="str">
        <f>IFERROR(__xludf.DUMMYFUNCTION("GOOGLETRANSLATE(H52,""auto"",""en"")"),"If that is the pharmaceutical division of exceptions made to prepare the hospital administered exception demarcation code")</f>
        <v>If that is the pharmaceutical division of exceptions made to prepare the hospital administered exception demarcation code</v>
      </c>
    </row>
    <row r="124" ht="16.5" customHeight="1">
      <c r="A124" s="10" t="str">
        <f>IFERROR(__xludf.DUMMYFUNCTION("GOOGLETRANSLATE(A53,""auto"",""en"")"),"co19_twjhe300_trans_dn")</f>
        <v>co19_twjhe300_trans_dn</v>
      </c>
      <c r="B124" s="10" t="str">
        <f>IFERROR(__xludf.DUMMYFUNCTION("GOOGLETRANSLATE(B53,""auto"",""en"")"),"Medical history")</f>
        <v>Medical history</v>
      </c>
      <c r="C124" s="10" t="str">
        <f>IFERROR(__xludf.DUMMYFUNCTION("GOOGLETRANSLATE(C53,""auto"",""en"")"),"15")</f>
        <v>15</v>
      </c>
      <c r="D124" s="10" t="str">
        <f>IFERROR(__xludf.DUMMYFUNCTION("GOOGLETRANSLATE(D53,""auto"",""en"")"),"SP1_SP2_TP_CD")</f>
        <v>SP1_SP2_TP_CD</v>
      </c>
      <c r="E124" s="10" t="str">
        <f>IFERROR(__xludf.DUMMYFUNCTION("GOOGLETRANSLATE(E53,""auto"",""en"")"),"Addition demarcation code")</f>
        <v>Addition demarcation code</v>
      </c>
      <c r="F124" s="10" t="str">
        <f>IFERROR(__xludf.DUMMYFUNCTION("GOOGLETRANSLATE(F53,""auto"",""en"")"),"text")</f>
        <v>text</v>
      </c>
      <c r="G124" s="10" t="str">
        <f>IFERROR(__xludf.DUMMYFUNCTION("GOOGLETRANSLATE(G53,""auto"",""en"")"),"2")</f>
        <v>2</v>
      </c>
      <c r="H124" s="10" t="str">
        <f>IFERROR(__xludf.DUMMYFUNCTION("GOOGLETRANSLATE(H53,""auto"",""en"")"),"It acts salary codes to distinguish whether the medical institution type addition ratio applied in accordance with the general principles")</f>
        <v>It acts salary codes to distinguish whether the medical institution type addition ratio applied in accordance with the general principles</v>
      </c>
    </row>
    <row r="125" ht="16.5" customHeight="1">
      <c r="A125" s="10" t="str">
        <f>IFERROR(__xludf.DUMMYFUNCTION("GOOGLETRANSLATE(A54,""auto"",""en"")"),"co19_twjhe400_trans_dn")</f>
        <v>co19_twjhe400_trans_dn</v>
      </c>
      <c r="B125" s="10" t="str">
        <f>IFERROR(__xludf.DUMMYFUNCTION("GOOGLETRANSLATE(B54,""auto"",""en"")"),"Corporal History")</f>
        <v>Corporal History</v>
      </c>
      <c r="C125" s="10" t="str">
        <f>IFERROR(__xludf.DUMMYFUNCTION("GOOGLETRANSLATE(C54,""auto"",""en"")"),"1")</f>
        <v>1</v>
      </c>
      <c r="D125" s="10" t="str">
        <f>IFERROR(__xludf.DUMMYFUNCTION("GOOGLETRANSLATE(D54,""auto"",""en"")"),"MID")</f>
        <v>MID</v>
      </c>
      <c r="E125" s="10" t="str">
        <f>IFERROR(__xludf.DUMMYFUNCTION("GOOGLETRANSLATE(E54,""auto"",""en"")"),"Statement join key")</f>
        <v>Statement join key</v>
      </c>
      <c r="F125" s="10" t="str">
        <f>IFERROR(__xludf.DUMMYFUNCTION("GOOGLETRANSLATE(F54,""auto"",""en"")"),"number")</f>
        <v>number</v>
      </c>
      <c r="G125" s="10" t="str">
        <f>IFERROR(__xludf.DUMMYFUNCTION("GOOGLETRANSLATE(G54,""auto"",""en"")"),"8")</f>
        <v>8</v>
      </c>
      <c r="H125" s="10" t="str">
        <f>IFERROR(__xludf.DUMMYFUNCTION("GOOGLETRANSLATE(H54,""auto"",""en"")"),"Replacement of specification unique to identify one statement ID number, the join between the statements Key")</f>
        <v>Replacement of specification unique to identify one statement ID number, the join between the statements Key</v>
      </c>
    </row>
    <row r="126" ht="16.5" customHeight="1">
      <c r="A126" s="10" t="str">
        <f>IFERROR(__xludf.DUMMYFUNCTION("GOOGLETRANSLATE(A55,""auto"",""en"")"),"co19_twjhe400_trans_dn")</f>
        <v>co19_twjhe400_trans_dn</v>
      </c>
      <c r="B126" s="10" t="str">
        <f>IFERROR(__xludf.DUMMYFUNCTION("GOOGLETRANSLATE(B55,""auto"",""en"")"),"Corporal History")</f>
        <v>Corporal History</v>
      </c>
      <c r="C126" s="10" t="str">
        <f>IFERROR(__xludf.DUMMYFUNCTION("GOOGLETRANSLATE(C55,""auto"",""en"")"),"2")</f>
        <v>2</v>
      </c>
      <c r="D126" s="10" t="str">
        <f>IFERROR(__xludf.DUMMYFUNCTION("GOOGLETRANSLATE(D55,""auto"",""en"")"),"SICK_SNO")</f>
        <v>SICK_SNO</v>
      </c>
      <c r="E126" s="10" t="str">
        <f>IFERROR(__xludf.DUMMYFUNCTION("GOOGLETRANSLATE(E55,""auto"",""en"")"),"Corporal serial number")</f>
        <v>Corporal serial number</v>
      </c>
      <c r="F126" s="10" t="str">
        <f>IFERROR(__xludf.DUMMYFUNCTION("GOOGLETRANSLATE(F55,""auto"",""en"")"),"number")</f>
        <v>number</v>
      </c>
      <c r="G126" s="10" t="str">
        <f>IFERROR(__xludf.DUMMYFUNCTION("GOOGLETRANSLATE(G55,""auto"",""en"")"),"8")</f>
        <v>8</v>
      </c>
      <c r="H126" s="10" t="str">
        <f>IFERROR(__xludf.DUMMYFUNCTION("GOOGLETRANSLATE(H55,""auto"",""en"")"),"Corporal symbol serial number")</f>
        <v>Corporal symbol serial number</v>
      </c>
    </row>
    <row r="127" ht="16.5" customHeight="1">
      <c r="A127" s="10" t="str">
        <f>IFERROR(__xludf.DUMMYFUNCTION("GOOGLETRANSLATE(A56,""auto"",""en"")"),"co19_twjhe400_trans_dn")</f>
        <v>co19_twjhe400_trans_dn</v>
      </c>
      <c r="B127" s="10" t="str">
        <f>IFERROR(__xludf.DUMMYFUNCTION("GOOGLETRANSLATE(B56,""auto"",""en"")"),"Corporal History")</f>
        <v>Corporal History</v>
      </c>
      <c r="C127" s="10" t="str">
        <f>IFERROR(__xludf.DUMMYFUNCTION("GOOGLETRANSLATE(C56,""auto"",""en"")"),"3")</f>
        <v>3</v>
      </c>
      <c r="D127" s="10" t="str">
        <f>IFERROR(__xludf.DUMMYFUNCTION("GOOGLETRANSLATE(D56,""auto"",""en"")"),"SICK_CD")</f>
        <v>SICK_CD</v>
      </c>
      <c r="E127" s="10" t="str">
        <f>IFERROR(__xludf.DUMMYFUNCTION("GOOGLETRANSLATE(E56,""auto"",""en"")"),"Corporal symbol")</f>
        <v>Corporal symbol</v>
      </c>
      <c r="F127" s="10" t="str">
        <f>IFERROR(__xludf.DUMMYFUNCTION("GOOGLETRANSLATE(F56,""auto"",""en"")"),"text")</f>
        <v>text</v>
      </c>
      <c r="G127" s="10" t="str">
        <f>IFERROR(__xludf.DUMMYFUNCTION("GOOGLETRANSLATE(G56,""auto"",""en"")"),"12")</f>
        <v>12</v>
      </c>
      <c r="H127" s="10" t="str">
        <f>IFERROR(__xludf.DUMMYFUNCTION("GOOGLETRANSLATE(H56,""auto"",""en"")"),"South Korea CPI classification symbol sign of disease classification standards")</f>
        <v>South Korea CPI classification symbol sign of disease classification standards</v>
      </c>
    </row>
    <row r="128" ht="16.5" customHeight="1">
      <c r="A128" s="10" t="str">
        <f>IFERROR(__xludf.DUMMYFUNCTION("GOOGLETRANSLATE(A57,""auto"",""en"")"),"co19_twjhe400_trans_dn")</f>
        <v>co19_twjhe400_trans_dn</v>
      </c>
      <c r="B128" s="10" t="str">
        <f>IFERROR(__xludf.DUMMYFUNCTION("GOOGLETRANSLATE(B57,""auto"",""en"")"),"Corporal History")</f>
        <v>Corporal History</v>
      </c>
      <c r="C128" s="10" t="str">
        <f>IFERROR(__xludf.DUMMYFUNCTION("GOOGLETRANSLATE(C57,""auto"",""en"")"),"4")</f>
        <v>4</v>
      </c>
      <c r="D128" s="10" t="str">
        <f>IFERROR(__xludf.DUMMYFUNCTION("GOOGLETRANSLATE(D57,""auto"",""en"")"),"SICK_TY_CD")</f>
        <v>SICK_TY_CD</v>
      </c>
      <c r="E128" s="10" t="str">
        <f>IFERROR(__xludf.DUMMYFUNCTION("GOOGLETRANSLATE(E57,""auto"",""en"")"),"Corporal classification categories Code")</f>
        <v>Corporal classification categories Code</v>
      </c>
      <c r="F128" s="10" t="str">
        <f>IFERROR(__xludf.DUMMYFUNCTION("GOOGLETRANSLATE(F57,""auto"",""en"")"),"text")</f>
        <v>text</v>
      </c>
      <c r="G128" s="10" t="str">
        <f>IFERROR(__xludf.DUMMYFUNCTION("GOOGLETRANSLATE(G57,""auto"",""en"")"),"2")</f>
        <v>2</v>
      </c>
      <c r="H128" s="10" t="str">
        <f>IFERROR(__xludf.DUMMYFUNCTION("GOOGLETRANSLATE(H57,""auto"",""en"")"),"Code to distinguish between the major / minor / exclusion Corporal Corporal each classification symbol
* Valid Values: 1 bottle of the main phase, wounded 2, 3 excluding the corporal")</f>
        <v>Code to distinguish between the major / minor / exclusion Corporal Corporal each classification symbol
* Valid Values: 1 bottle of the main phase, wounded 2, 3 excluding the corporal</v>
      </c>
    </row>
    <row r="129" ht="16.5" customHeight="1">
      <c r="A129" s="10" t="str">
        <f>IFERROR(__xludf.DUMMYFUNCTION("GOOGLETRANSLATE(A58,""auto"",""en"")"),"co19_twjhe400_trans_dn")</f>
        <v>co19_twjhe400_trans_dn</v>
      </c>
      <c r="B129" s="10" t="str">
        <f>IFERROR(__xludf.DUMMYFUNCTION("GOOGLETRANSLATE(B58,""auto"",""en"")"),"Corporal History")</f>
        <v>Corporal History</v>
      </c>
      <c r="C129" s="10" t="str">
        <f>IFERROR(__xludf.DUMMYFUNCTION("GOOGLETRANSLATE(C58,""auto"",""en"")"),"5")</f>
        <v>5</v>
      </c>
      <c r="D129" s="10" t="str">
        <f>IFERROR(__xludf.DUMMYFUNCTION("GOOGLETRANSLATE(D58,""auto"",""en"")"),"DMD_DGSBJT_CD")</f>
        <v>DMD_DGSBJT_CD</v>
      </c>
      <c r="E129" s="10" t="str">
        <f>IFERROR(__xludf.DUMMYFUNCTION("GOOGLETRANSLATE(E58,""auto"",""en"")"),"Departments code")</f>
        <v>Departments code</v>
      </c>
      <c r="F129" s="10" t="str">
        <f>IFERROR(__xludf.DUMMYFUNCTION("GOOGLETRANSLATE(F58,""auto"",""en"")"),"text")</f>
        <v>text</v>
      </c>
      <c r="G129" s="10" t="str">
        <f>IFERROR(__xludf.DUMMYFUNCTION("GOOGLETRANSLATE(G58,""auto"",""en"")"),"4")</f>
        <v>4</v>
      </c>
      <c r="H129" s="10" t="str">
        <f>IFERROR(__xludf.DUMMYFUNCTION("GOOGLETRANSLATE(H58,""auto"",""en"")"),"Departments receiving the actual medical care subjects corresponding to the (hospital-grade or higher) or the main diagnosis person (medical institutions, clinics)")</f>
        <v>Departments receiving the actual medical care subjects corresponding to the (hospital-grade or higher) or the main diagnosis person (medical institutions, clinics)</v>
      </c>
    </row>
    <row r="130" ht="16.5" customHeight="1">
      <c r="A130" s="10" t="str">
        <f>IFERROR(__xludf.DUMMYFUNCTION("GOOGLETRANSLATE(A59,""auto"",""en"")"),"co19_twjhe400_trans_dn")</f>
        <v>co19_twjhe400_trans_dn</v>
      </c>
      <c r="B130" s="10" t="str">
        <f>IFERROR(__xludf.DUMMYFUNCTION("GOOGLETRANSLATE(B59,""auto"",""en"")"),"Corporal History")</f>
        <v>Corporal History</v>
      </c>
      <c r="C130" s="10" t="str">
        <f>IFERROR(__xludf.DUMMYFUNCTION("GOOGLETRANSLATE(C59,""auto"",""en"")"),"6")</f>
        <v>6</v>
      </c>
      <c r="D130" s="10" t="str">
        <f>IFERROR(__xludf.DUMMYFUNCTION("GOOGLETRANSLATE(D59,""auto"",""en"")"),"IFLD_DTL_SPC_SBJT_CD")</f>
        <v>IFLD_DTL_SPC_SBJT_CD</v>
      </c>
      <c r="E130" s="10" t="str">
        <f>IFERROR(__xludf.DUMMYFUNCTION("GOOGLETRANSLATE(E59,""auto"",""en"")"),"Medical Specializations detail Code")</f>
        <v>Medical Specializations detail Code</v>
      </c>
      <c r="F130" s="10" t="str">
        <f>IFERROR(__xludf.DUMMYFUNCTION("GOOGLETRANSLATE(F59,""auto"",""en"")"),"text")</f>
        <v>text</v>
      </c>
      <c r="G130" s="10" t="str">
        <f>IFERROR(__xludf.DUMMYFUNCTION("GOOGLETRANSLATE(G59,""auto"",""en"")"),"4")</f>
        <v>4</v>
      </c>
      <c r="H130" s="10" t="str">
        <f>IFERROR(__xludf.DUMMYFUNCTION("GOOGLETRANSLATE(H59,""auto"",""en"")"),"But described the case of medical care hospitals, senior general hospitals that operate under a certified More specialized courses in the 'detail of a professional system certification provisions (of Medicine), ""of course details received medical profess"&amp;"ional courses, Cebu specialized courses 2 If you have more than one base both by Corporal")</f>
        <v>But described the case of medical care hospitals, senior general hospitals that operate under a certified More specialized courses in the 'detail of a professional system certification provisions (of Medicine), "of course details received medical professional courses, Cebu specialized courses 2 If you have more than one base both by Corporal</v>
      </c>
    </row>
    <row r="131" ht="16.5" customHeight="1">
      <c r="A131" s="10" t="str">
        <f>IFERROR(__xludf.DUMMYFUNCTION("GOOGLETRANSLATE(A60,""auto"",""en"")"),"co19_twjhe530_trans_dn")</f>
        <v>co19_twjhe530_trans_dn</v>
      </c>
      <c r="B131" s="10" t="str">
        <f>IFERROR(__xludf.DUMMYFUNCTION("GOOGLETRANSLATE(B60,""auto"",""en"")"),"Prescription issued history")</f>
        <v>Prescription issued history</v>
      </c>
      <c r="C131" s="10" t="str">
        <f>IFERROR(__xludf.DUMMYFUNCTION("GOOGLETRANSLATE(C60,""auto"",""en"")"),"1")</f>
        <v>1</v>
      </c>
      <c r="D131" s="10" t="str">
        <f>IFERROR(__xludf.DUMMYFUNCTION("GOOGLETRANSLATE(D60,""auto"",""en"")"),"MID")</f>
        <v>MID</v>
      </c>
      <c r="E131" s="10" t="str">
        <f>IFERROR(__xludf.DUMMYFUNCTION("GOOGLETRANSLATE(E60,""auto"",""en"")"),"Statement join key")</f>
        <v>Statement join key</v>
      </c>
      <c r="F131" s="10" t="str">
        <f>IFERROR(__xludf.DUMMYFUNCTION("GOOGLETRANSLATE(F60,""auto"",""en"")"),"number")</f>
        <v>number</v>
      </c>
      <c r="G131" s="10" t="str">
        <f>IFERROR(__xludf.DUMMYFUNCTION("GOOGLETRANSLATE(G60,""auto"",""en"")"),"8")</f>
        <v>8</v>
      </c>
      <c r="H131" s="10" t="str">
        <f>IFERROR(__xludf.DUMMYFUNCTION("GOOGLETRANSLATE(H60,""auto"",""en"")"),"Replacement of specification unique to identify one statement ID number, the join between the statements Key")</f>
        <v>Replacement of specification unique to identify one statement ID number, the join between the statements Key</v>
      </c>
    </row>
    <row r="132" ht="16.5" customHeight="1">
      <c r="A132" s="10" t="str">
        <f>IFERROR(__xludf.DUMMYFUNCTION("GOOGLETRANSLATE(A61,""auto"",""en"")"),"co19_twjhe530_trans_dn")</f>
        <v>co19_twjhe530_trans_dn</v>
      </c>
      <c r="B132" s="10" t="str">
        <f>IFERROR(__xludf.DUMMYFUNCTION("GOOGLETRANSLATE(B61,""auto"",""en"")"),"Prescription issued history")</f>
        <v>Prescription issued history</v>
      </c>
      <c r="C132" s="10" t="str">
        <f>IFERROR(__xludf.DUMMYFUNCTION("GOOGLETRANSLATE(C61,""auto"",""en"")"),"2")</f>
        <v>2</v>
      </c>
      <c r="D132" s="10" t="str">
        <f>IFERROR(__xludf.DUMMYFUNCTION("GOOGLETRANSLATE(D61,""auto"",""en"")"),"PRSCP_GRANT_NO")</f>
        <v>PRSCP_GRANT_NO</v>
      </c>
      <c r="E132" s="10" t="str">
        <f>IFERROR(__xludf.DUMMYFUNCTION("GOOGLETRANSLATE(E61,""auto"",""en"")"),"Number of prescriptions issued")</f>
        <v>Number of prescriptions issued</v>
      </c>
      <c r="F132" s="10" t="str">
        <f>IFERROR(__xludf.DUMMYFUNCTION("GOOGLETRANSLATE(F61,""auto"",""en"")"),"text")</f>
        <v>text</v>
      </c>
      <c r="G132" s="10" t="str">
        <f>IFERROR(__xludf.DUMMYFUNCTION("GOOGLETRANSLATE(G61,""auto"",""en"")"),"26")</f>
        <v>26</v>
      </c>
      <c r="H132" s="10" t="str">
        <f>IFERROR(__xludf.DUMMYFUNCTION("GOOGLETRANSLATE(H61,""auto"",""en"")"),"Number of issued prescriptions issued by medical treatment when granting institution")</f>
        <v>Number of issued prescriptions issued by medical treatment when granting institution</v>
      </c>
    </row>
    <row r="133" ht="16.5" customHeight="1">
      <c r="A133" s="10" t="str">
        <f>IFERROR(__xludf.DUMMYFUNCTION("GOOGLETRANSLATE(A62,""auto"",""en"")"),"co19_twjhe530_trans_dn")</f>
        <v>co19_twjhe530_trans_dn</v>
      </c>
      <c r="B133" s="10" t="str">
        <f>IFERROR(__xludf.DUMMYFUNCTION("GOOGLETRANSLATE(B62,""auto"",""en"")"),"Prescription issued history")</f>
        <v>Prescription issued history</v>
      </c>
      <c r="C133" s="10" t="str">
        <f>IFERROR(__xludf.DUMMYFUNCTION("GOOGLETRANSLATE(C62,""auto"",""en"")"),"3")</f>
        <v>3</v>
      </c>
      <c r="D133" s="10" t="str">
        <f>IFERROR(__xludf.DUMMYFUNCTION("GOOGLETRANSLATE(D62,""auto"",""en"")"),"DIV_TY_CD")</f>
        <v>DIV_TY_CD</v>
      </c>
      <c r="E133" s="10" t="str">
        <f>IFERROR(__xludf.DUMMYFUNCTION("GOOGLETRANSLATE(E62,""auto"",""en"")"),"Category Type Code")</f>
        <v>Category Type Code</v>
      </c>
      <c r="F133" s="10" t="str">
        <f>IFERROR(__xludf.DUMMYFUNCTION("GOOGLETRANSLATE(F62,""auto"",""en"")"),"text")</f>
        <v>text</v>
      </c>
      <c r="G133" s="10" t="str">
        <f>IFERROR(__xludf.DUMMYFUNCTION("GOOGLETRANSLATE(G62,""auto"",""en"")"),"2")</f>
        <v>2</v>
      </c>
      <c r="H133" s="10" t="str">
        <f>IFERROR(__xludf.DUMMYFUNCTION("GOOGLETRANSLATE(H62,""auto"",""en"")"),"Code number, drug code, such as code jaeryodae code that classifies a comprehensive code
* Valid values: three listed insurance medicine, four imported raw material medicine, seven agreements, including re")</f>
        <v>Code number, drug code, such as code jaeryodae code that classifies a comprehensive code
* Valid values: three listed insurance medicine, four imported raw material medicine, seven agreements, including re</v>
      </c>
    </row>
    <row r="134" ht="16.5" customHeight="1">
      <c r="A134" s="10" t="str">
        <f>IFERROR(__xludf.DUMMYFUNCTION("GOOGLETRANSLATE(A63,""auto"",""en"")"),"co19_twjhe530_trans_dn")</f>
        <v>co19_twjhe530_trans_dn</v>
      </c>
      <c r="B134" s="10" t="str">
        <f>IFERROR(__xludf.DUMMYFUNCTION("GOOGLETRANSLATE(B63,""auto"",""en"")"),"Prescription issued history")</f>
        <v>Prescription issued history</v>
      </c>
      <c r="C134" s="10" t="str">
        <f>IFERROR(__xludf.DUMMYFUNCTION("GOOGLETRANSLATE(C63,""auto"",""en"")"),"4")</f>
        <v>4</v>
      </c>
      <c r="D134" s="10" t="str">
        <f>IFERROR(__xludf.DUMMYFUNCTION("GOOGLETRANSLATE(D63,""auto"",""en"")"),"DIV_CD")</f>
        <v>DIV_CD</v>
      </c>
      <c r="E134" s="10" t="str">
        <f>IFERROR(__xludf.DUMMYFUNCTION("GOOGLETRANSLATE(E63,""auto"",""en"")"),"Classification Code")</f>
        <v>Classification Code</v>
      </c>
      <c r="F134" s="10" t="str">
        <f>IFERROR(__xludf.DUMMYFUNCTION("GOOGLETRANSLATE(F63,""auto"",""en"")"),"text")</f>
        <v>text</v>
      </c>
      <c r="G134" s="10" t="str">
        <f>IFERROR(__xludf.DUMMYFUNCTION("GOOGLETRANSLATE(G63,""auto"",""en"")"),"18")</f>
        <v>18</v>
      </c>
      <c r="H134" s="10" t="str">
        <f>IFERROR(__xludf.DUMMYFUNCTION("GOOGLETRANSLATE(H63,""auto"",""en"")"),"List of sex classification codes to distinguish between drug")</f>
        <v>List of sex classification codes to distinguish between drug</v>
      </c>
    </row>
    <row r="135" ht="16.5" customHeight="1">
      <c r="A135" s="10" t="str">
        <f>IFERROR(__xludf.DUMMYFUNCTION("GOOGLETRANSLATE(A64,""auto"",""en"")"),"co19_twjhe530_trans_dn")</f>
        <v>co19_twjhe530_trans_dn</v>
      </c>
      <c r="B135" s="10" t="str">
        <f>IFERROR(__xludf.DUMMYFUNCTION("GOOGLETRANSLATE(B64,""auto"",""en"")"),"Prescription issued history")</f>
        <v>Prescription issued history</v>
      </c>
      <c r="C135" s="10" t="str">
        <f>IFERROR(__xludf.DUMMYFUNCTION("GOOGLETRANSLATE(C64,""auto"",""en"")"),"5")</f>
        <v>5</v>
      </c>
      <c r="D135" s="10" t="str">
        <f>IFERROR(__xludf.DUMMYFUNCTION("GOOGLETRANSLATE(D64,""auto"",""en"")"),"FQ1_MDCT_QTY")</f>
        <v>FQ1_MDCT_QTY</v>
      </c>
      <c r="E135" s="10" t="str">
        <f>IFERROR(__xludf.DUMMYFUNCTION("GOOGLETRANSLATE(E64,""auto"",""en"")"),"One dose")</f>
        <v>One dose</v>
      </c>
      <c r="F135" s="10" t="str">
        <f>IFERROR(__xludf.DUMMYFUNCTION("GOOGLETRANSLATE(F64,""auto"",""en"")"),"number")</f>
        <v>number</v>
      </c>
      <c r="G135" s="10" t="str">
        <f>IFERROR(__xludf.DUMMYFUNCTION("GOOGLETRANSLATE(G64,""auto"",""en"")"),"8")</f>
        <v>8</v>
      </c>
      <c r="H135" s="10" t="str">
        <f>IFERROR(__xludf.DUMMYFUNCTION("GOOGLETRANSLATE(H64,""auto"",""en"")"),"The amount of medication at a time")</f>
        <v>The amount of medication at a time</v>
      </c>
    </row>
    <row r="136" ht="16.5" customHeight="1">
      <c r="A136" s="10" t="str">
        <f>IFERROR(__xludf.DUMMYFUNCTION("GOOGLETRANSLATE(A65,""auto"",""en"")"),"co19_twjhe530_trans_dn")</f>
        <v>co19_twjhe530_trans_dn</v>
      </c>
      <c r="B136" s="10" t="str">
        <f>IFERROR(__xludf.DUMMYFUNCTION("GOOGLETRANSLATE(B65,""auto"",""en"")"),"Prescription issued history")</f>
        <v>Prescription issued history</v>
      </c>
      <c r="C136" s="10" t="str">
        <f>IFERROR(__xludf.DUMMYFUNCTION("GOOGLETRANSLATE(C65,""auto"",""en"")"),"6")</f>
        <v>6</v>
      </c>
      <c r="D136" s="10" t="str">
        <f>IFERROR(__xludf.DUMMYFUNCTION("GOOGLETRANSLATE(D65,""auto"",""en"")"),"DY1_MDCT_QTY")</f>
        <v>DY1_MDCT_QTY</v>
      </c>
      <c r="E136" s="10" t="str">
        <f>IFERROR(__xludf.DUMMYFUNCTION("GOOGLETRANSLATE(E65,""auto"",""en"")"),"Daily dosing times")</f>
        <v>Daily dosing times</v>
      </c>
      <c r="F136" s="10" t="str">
        <f>IFERROR(__xludf.DUMMYFUNCTION("GOOGLETRANSLATE(F65,""auto"",""en"")"),"number")</f>
        <v>number</v>
      </c>
      <c r="G136" s="10" t="str">
        <f>IFERROR(__xludf.DUMMYFUNCTION("GOOGLETRANSLATE(G65,""auto"",""en"")"),"8")</f>
        <v>8</v>
      </c>
      <c r="H136" s="10" t="str">
        <f>IFERROR(__xludf.DUMMYFUNCTION("GOOGLETRANSLATE(H65,""auto"",""en"")"),"The daily dose or number of embodiments")</f>
        <v>The daily dose or number of embodiments</v>
      </c>
    </row>
    <row r="137" ht="16.5" customHeight="1">
      <c r="A137" s="10" t="str">
        <f>IFERROR(__xludf.DUMMYFUNCTION("GOOGLETRANSLATE(A66,""auto"",""en"")"),"co19_twjhe530_trans_dn")</f>
        <v>co19_twjhe530_trans_dn</v>
      </c>
      <c r="B137" s="10" t="str">
        <f>IFERROR(__xludf.DUMMYFUNCTION("GOOGLETRANSLATE(B66,""auto"",""en"")"),"Prescription issued history")</f>
        <v>Prescription issued history</v>
      </c>
      <c r="C137" s="10" t="str">
        <f>IFERROR(__xludf.DUMMYFUNCTION("GOOGLETRANSLATE(C66,""auto"",""en"")"),"7")</f>
        <v>7</v>
      </c>
      <c r="D137" s="10" t="str">
        <f>IFERROR(__xludf.DUMMYFUNCTION("GOOGLETRANSLATE(D66,""auto"",""en"")"),"TOT_INJC_DDCNT_EXEC_FQ")</f>
        <v>TOT_INJC_DDCNT_EXEC_FQ</v>
      </c>
      <c r="E137" s="10" t="str">
        <f>IFERROR(__xludf.DUMMYFUNCTION("GOOGLETRANSLATE(E66,""auto"",""en"")"),"The total number of administration days conducted")</f>
        <v>The total number of administration days conducted</v>
      </c>
      <c r="F137" s="10" t="str">
        <f>IFERROR(__xludf.DUMMYFUNCTION("GOOGLETRANSLATE(F66,""auto"",""en"")"),"number")</f>
        <v>number</v>
      </c>
      <c r="G137" s="10" t="str">
        <f>IFERROR(__xludf.DUMMYFUNCTION("GOOGLETRANSLATE(G66,""auto"",""en"")"),"8")</f>
        <v>8</v>
      </c>
      <c r="H137" s="10" t="str">
        <f>IFERROR(__xludf.DUMMYFUNCTION("GOOGLETRANSLATE(H66,""auto"",""en"")"),"The total number of days of administration, or the total number of embodiments")</f>
        <v>The total number of days of administration, or the total number of embodiments</v>
      </c>
    </row>
    <row r="138" ht="16.5" customHeight="1">
      <c r="A138" s="10" t="str">
        <f>IFERROR(__xludf.DUMMYFUNCTION("GOOGLETRANSLATE(A67,""auto"",""en"")"),"co19_twjhe530_trans_dn")</f>
        <v>co19_twjhe530_trans_dn</v>
      </c>
      <c r="B138" s="10" t="str">
        <f>IFERROR(__xludf.DUMMYFUNCTION("GOOGLETRANSLATE(B67,""auto"",""en"")"),"Prescription issued history")</f>
        <v>Prescription issued history</v>
      </c>
      <c r="C138" s="10" t="str">
        <f>IFERROR(__xludf.DUMMYFUNCTION("GOOGLETRANSLATE(C67,""auto"",""en"")"),"8")</f>
        <v>8</v>
      </c>
      <c r="D138" s="10" t="str">
        <f>IFERROR(__xludf.DUMMYFUNCTION("GOOGLETRANSLATE(D67,""auto"",""en"")"),"TOT_USE_QTY_OR_EXEC_FQ")</f>
        <v>TOT_USE_QTY_OR_EXEC_FQ</v>
      </c>
      <c r="E138" s="10" t="str">
        <f>IFERROR(__xludf.DUMMYFUNCTION("GOOGLETRANSLATE(E67,""auto"",""en"")"),"The total amount carried count")</f>
        <v>The total amount carried count</v>
      </c>
      <c r="F138" s="10" t="str">
        <f>IFERROR(__xludf.DUMMYFUNCTION("GOOGLETRANSLATE(F67,""auto"",""en"")"),"number")</f>
        <v>number</v>
      </c>
      <c r="G138" s="10" t="str">
        <f>IFERROR(__xludf.DUMMYFUNCTION("GOOGLETRANSLATE(G67,""auto"",""en"")"),"8")</f>
        <v>8</v>
      </c>
      <c r="H138" s="10" t="str">
        <f>IFERROR(__xludf.DUMMYFUNCTION("GOOGLETRANSLATE(H67,""auto"",""en"")"),"The total amount carried count")</f>
        <v>The total amount carried count</v>
      </c>
    </row>
    <row r="139" ht="16.5" customHeight="1">
      <c r="A139" s="10" t="str">
        <f>IFERROR(__xludf.DUMMYFUNCTION("GOOGLETRANSLATE(A68,""auto"",""en"")"),"co19_twjhe530_trans_dn")</f>
        <v>co19_twjhe530_trans_dn</v>
      </c>
      <c r="B139" s="10" t="str">
        <f>IFERROR(__xludf.DUMMYFUNCTION("GOOGLETRANSLATE(B68,""auto"",""en"")"),"Prescription issued history")</f>
        <v>Prescription issued history</v>
      </c>
      <c r="C139" s="10" t="str">
        <f>IFERROR(__xludf.DUMMYFUNCTION("GOOGLETRANSLATE(C68,""auto"",""en"")"),"9")</f>
        <v>9</v>
      </c>
      <c r="D139" s="10" t="str">
        <f>IFERROR(__xludf.DUMMYFUNCTION("GOOGLETRANSLATE(D68,""auto"",""en"")"),"UNPRC")</f>
        <v>UNPRC</v>
      </c>
      <c r="E139" s="10" t="str">
        <f>IFERROR(__xludf.DUMMYFUNCTION("GOOGLETRANSLATE(E68,""auto"",""en"")"),"Price calculation")</f>
        <v>Price calculation</v>
      </c>
      <c r="F139" s="10" t="str">
        <f>IFERROR(__xludf.DUMMYFUNCTION("GOOGLETRANSLATE(F68,""auto"",""en"")"),"number")</f>
        <v>number</v>
      </c>
      <c r="G139" s="10" t="str">
        <f>IFERROR(__xludf.DUMMYFUNCTION("GOOGLETRANSLATE(G68,""auto"",""en"")"),"8")</f>
        <v>8</v>
      </c>
      <c r="H139" s="10" t="str">
        <f>IFERROR(__xludf.DUMMYFUNCTION("GOOGLETRANSLATE(H68,""auto"",""en"")"),"Price of the classification code")</f>
        <v>Price of the classification code</v>
      </c>
    </row>
    <row r="140" ht="16.5" customHeight="1">
      <c r="A140" s="10" t="str">
        <f>IFERROR(__xludf.DUMMYFUNCTION("GOOGLETRANSLATE(A69,""auto"",""en"")"),"co19_twjhe530_trans_dn")</f>
        <v>co19_twjhe530_trans_dn</v>
      </c>
      <c r="B140" s="10" t="str">
        <f>IFERROR(__xludf.DUMMYFUNCTION("GOOGLETRANSLATE(B69,""auto"",""en"")"),"Prescription issued history")</f>
        <v>Prescription issued history</v>
      </c>
      <c r="C140" s="10" t="str">
        <f>IFERROR(__xludf.DUMMYFUNCTION("GOOGLETRANSLATE(C69,""auto"",""en"")"),"10")</f>
        <v>10</v>
      </c>
      <c r="D140" s="10" t="str">
        <f>IFERROR(__xludf.DUMMYFUNCTION("GOOGLETRANSLATE(D69,""auto"",""en"")"),"AMT")</f>
        <v>AMT</v>
      </c>
      <c r="E140" s="10" t="str">
        <f>IFERROR(__xludf.DUMMYFUNCTION("GOOGLETRANSLATE(E69,""auto"",""en"")"),"Prescribed amount")</f>
        <v>Prescribed amount</v>
      </c>
      <c r="F140" s="10" t="str">
        <f>IFERROR(__xludf.DUMMYFUNCTION("GOOGLETRANSLATE(F69,""auto"",""en"")"),"number")</f>
        <v>number</v>
      </c>
      <c r="G140" s="10" t="str">
        <f>IFERROR(__xludf.DUMMYFUNCTION("GOOGLETRANSLATE(G69,""auto"",""en"")"),"8")</f>
        <v>8</v>
      </c>
      <c r="H140" s="10" t="str">
        <f>IFERROR(__xludf.DUMMYFUNCTION("GOOGLETRANSLATE(H69,""auto"",""en"")"),"Prescribed amount")</f>
        <v>Prescribed amount</v>
      </c>
    </row>
    <row r="141" ht="16.5" customHeight="1">
      <c r="A141" s="10" t="str">
        <f>IFERROR(__xludf.DUMMYFUNCTION("GOOGLETRANSLATE(A70,""auto"",""en"")"),"co19_twjhe530_trans_dn")</f>
        <v>co19_twjhe530_trans_dn</v>
      </c>
      <c r="B141" s="10" t="str">
        <f>IFERROR(__xludf.DUMMYFUNCTION("GOOGLETRANSLATE(B70,""auto"",""en"")"),"Prescription issued history")</f>
        <v>Prescription issued history</v>
      </c>
      <c r="C141" s="10" t="str">
        <f>IFERROR(__xludf.DUMMYFUNCTION("GOOGLETRANSLATE(C70,""auto"",""en"")"),"11")</f>
        <v>11</v>
      </c>
      <c r="D141" s="10" t="str">
        <f>IFERROR(__xludf.DUMMYFUNCTION("GOOGLETRANSLATE(D70,""auto"",""en"")"),"GNL_CD")</f>
        <v>GNL_CD</v>
      </c>
      <c r="E141" s="10" t="str">
        <f>IFERROR(__xludf.DUMMYFUNCTION("GOOGLETRANSLATE(E70,""auto"",""en"")"),"Generic code")</f>
        <v>Generic code</v>
      </c>
      <c r="F141" s="10" t="str">
        <f>IFERROR(__xludf.DUMMYFUNCTION("GOOGLETRANSLATE(F70,""auto"",""en"")"),"text")</f>
        <v>text</v>
      </c>
      <c r="G141" s="10" t="str">
        <f>IFERROR(__xludf.DUMMYFUNCTION("GOOGLETRANSLATE(G70,""auto"",""en"")"),"18")</f>
        <v>18</v>
      </c>
      <c r="H141" s="10" t="str">
        <f>IFERROR(__xludf.DUMMYFUNCTION("GOOGLETRANSLATE(H70,""auto"",""en"")"),"Drug chief ingredient listed drugs, importing drugs generic code")</f>
        <v>Drug chief ingredient listed drugs, importing drugs generic code</v>
      </c>
    </row>
    <row r="142" ht="16.5" customHeight="1">
      <c r="A142" s="10" t="str">
        <f>IFERROR(__xludf.DUMMYFUNCTION("GOOGLETRANSLATE(A71,""auto"",""en"")"),"#VALUE!")</f>
        <v>#VALUE!</v>
      </c>
      <c r="B142" s="10" t="str">
        <f>IFERROR(__xludf.DUMMYFUNCTION("GOOGLETRANSLATE(B71,""auto"",""en"")"),"#VALUE!")</f>
        <v>#VALUE!</v>
      </c>
      <c r="C142" s="10" t="str">
        <f>IFERROR(__xludf.DUMMYFUNCTION("GOOGLETRANSLATE(C71,""auto"",""en"")"),"#VALUE!")</f>
        <v>#VALUE!</v>
      </c>
      <c r="D142" s="10"/>
      <c r="E142" s="10"/>
      <c r="F142" s="10"/>
      <c r="G142" s="10"/>
      <c r="H142" s="10"/>
    </row>
    <row r="143" ht="16.5" customHeight="1">
      <c r="A143" s="10" t="str">
        <f>IFERROR(__xludf.DUMMYFUNCTION("GOOGLETRANSLATE(A72,""auto"",""en"")"),"DataSetEndNm")</f>
        <v>DataSetEndNm</v>
      </c>
      <c r="B143" s="10" t="str">
        <f>IFERROR(__xludf.DUMMYFUNCTION("GOOGLETRANSLATE(B72,""auto"",""en"")"),"DataSetKorNm")</f>
        <v>DataSetKorNm</v>
      </c>
      <c r="C143" s="10" t="str">
        <f>IFERROR(__xludf.DUMMYFUNCTION("GOOGLETRANSLATE(C72,""auto"",""en"")"),"VarSeq")</f>
        <v>VarSeq</v>
      </c>
      <c r="D143" s="10"/>
      <c r="E143" s="10"/>
      <c r="F143" s="10"/>
      <c r="G143" s="10"/>
      <c r="H143" s="10"/>
    </row>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autoFilter ref="$A$1:$H$70"/>
  <printOptions/>
  <pageMargins bottom="0.75" footer="0.0" header="0.0" left="0.7" right="0.7" top="0.75"/>
  <pageSetup orientation="landscape"/>
  <drawing r:id="rId1"/>
</worksheet>
</file>