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3" activeTab="4"/>
  </bookViews>
  <sheets>
    <sheet name="Υπολογισμός Παροχών 1.1" sheetId="1" r:id="rId1"/>
    <sheet name="Δεξαμενή Ύδρευσης 1.2" sheetId="2" r:id="rId2"/>
    <sheet name="Εξωτερικό Υδραγωγείο 1.3 " sheetId="12" r:id="rId3"/>
    <sheet name="2.1" sheetId="5" r:id="rId4"/>
    <sheet name="data-sewer" sheetId="13" r:id="rId5"/>
    <sheet name="2.2" sheetId="6" r:id="rId6"/>
    <sheet name="Δεξαμενή Νερού Παράδειγμα Α. " sheetId="9" r:id="rId7"/>
    <sheet name="Δεξαμενή Νερού Παράδειγμα Β. " sheetId="10" r:id="rId8"/>
    <sheet name="Δεξαμενή Νερού Παράδειγμα C. " sheetId="11" r:id="rId9"/>
  </sheets>
  <calcPr calcId="124519"/>
</workbook>
</file>

<file path=xl/calcChain.xml><?xml version="1.0" encoding="utf-8"?>
<calcChain xmlns="http://schemas.openxmlformats.org/spreadsheetml/2006/main">
  <c r="S32" i="6"/>
  <c r="S31"/>
  <c r="S30"/>
  <c r="S29"/>
  <c r="S28"/>
  <c r="S27"/>
  <c r="S26"/>
  <c r="S25"/>
  <c r="S24"/>
  <c r="S23"/>
  <c r="S22"/>
  <c r="S21"/>
  <c r="S20"/>
  <c r="G34"/>
  <c r="G29"/>
  <c r="G40"/>
  <c r="G27"/>
  <c r="G28" s="1"/>
  <c r="G26"/>
  <c r="G30" s="1"/>
  <c r="G25"/>
  <c r="G31" s="1"/>
  <c r="C40"/>
  <c r="C37"/>
  <c r="C36"/>
  <c r="C35"/>
  <c r="C34"/>
  <c r="C33"/>
  <c r="C32"/>
  <c r="C30"/>
  <c r="C29"/>
  <c r="C31"/>
  <c r="C28"/>
  <c r="C26"/>
  <c r="C27"/>
  <c r="C25"/>
  <c r="J22"/>
  <c r="B5"/>
  <c r="S5"/>
  <c r="U5"/>
  <c r="M15" i="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14"/>
  <c r="G10"/>
  <c r="H23"/>
  <c r="C12"/>
  <c r="U6" i="6"/>
  <c r="U7"/>
  <c r="U8"/>
  <c r="U9"/>
  <c r="U10"/>
  <c r="U11"/>
  <c r="U12"/>
  <c r="U13"/>
  <c r="U14"/>
  <c r="U15"/>
  <c r="U16"/>
  <c r="U17"/>
  <c r="S6"/>
  <c r="S7"/>
  <c r="S8"/>
  <c r="S9"/>
  <c r="S10"/>
  <c r="S11"/>
  <c r="S12"/>
  <c r="S13"/>
  <c r="S14"/>
  <c r="S15"/>
  <c r="S16"/>
  <c r="S17"/>
  <c r="R17"/>
  <c r="R16"/>
  <c r="R15"/>
  <c r="R14"/>
  <c r="R13"/>
  <c r="R12"/>
  <c r="R11"/>
  <c r="R10"/>
  <c r="R9"/>
  <c r="R8"/>
  <c r="R7"/>
  <c r="R6"/>
  <c r="R5"/>
  <c r="G33" l="1"/>
  <c r="G36"/>
  <c r="G32"/>
  <c r="G35"/>
  <c r="G37" s="1"/>
  <c r="E18"/>
  <c r="F17"/>
  <c r="F16"/>
  <c r="F15"/>
  <c r="F14"/>
  <c r="F13"/>
  <c r="F12"/>
  <c r="F11"/>
  <c r="F10"/>
  <c r="F9"/>
  <c r="F8"/>
  <c r="F7"/>
  <c r="F6"/>
  <c r="F5"/>
  <c r="F18" s="1"/>
  <c r="G23" i="5"/>
  <c r="C10"/>
  <c r="C13" l="1"/>
  <c r="W7" i="1"/>
  <c r="W5"/>
  <c r="W12"/>
  <c r="AF17"/>
  <c r="AB17"/>
  <c r="AF16"/>
  <c r="AB16"/>
  <c r="AF15"/>
  <c r="AB15"/>
  <c r="AA15"/>
  <c r="AF14"/>
  <c r="AB14"/>
  <c r="AB13"/>
  <c r="AF11"/>
  <c r="AF10"/>
  <c r="AB10"/>
  <c r="AF9"/>
  <c r="AB9"/>
  <c r="AF8"/>
  <c r="AB8"/>
  <c r="AF7"/>
  <c r="AB7"/>
  <c r="AB6"/>
  <c r="C14" i="5" l="1"/>
  <c r="G11"/>
  <c r="C15"/>
  <c r="G12"/>
  <c r="W14" i="1"/>
  <c r="W13"/>
  <c r="W11"/>
  <c r="AE7" s="1"/>
  <c r="AE14"/>
  <c r="W6"/>
  <c r="W9" s="1"/>
  <c r="W8"/>
  <c r="AA9"/>
  <c r="L6" i="5" l="1"/>
  <c r="W16" i="1"/>
  <c r="W15"/>
  <c r="W10" s="1"/>
  <c r="AE16"/>
  <c r="AE11"/>
  <c r="AA6"/>
  <c r="AE17"/>
  <c r="AA14"/>
  <c r="AA10"/>
  <c r="AE15"/>
  <c r="AE10" l="1"/>
  <c r="AA7"/>
  <c r="G7" i="6" l="1"/>
  <c r="K7" s="1"/>
  <c r="G12"/>
  <c r="G5"/>
  <c r="G11"/>
  <c r="G10"/>
  <c r="K10" s="1"/>
  <c r="G17"/>
  <c r="G9"/>
  <c r="K9" s="1"/>
  <c r="G16"/>
  <c r="G8"/>
  <c r="G15"/>
  <c r="G14"/>
  <c r="G6"/>
  <c r="G13"/>
  <c r="AA13" i="1"/>
  <c r="AA8"/>
  <c r="AA16"/>
  <c r="AE9"/>
  <c r="K13" i="6" l="1"/>
  <c r="H13"/>
  <c r="K14"/>
  <c r="H14"/>
  <c r="K8"/>
  <c r="H8"/>
  <c r="K5"/>
  <c r="H5"/>
  <c r="K6"/>
  <c r="H6"/>
  <c r="K15"/>
  <c r="H15"/>
  <c r="K16"/>
  <c r="H16"/>
  <c r="K17"/>
  <c r="H17"/>
  <c r="K11"/>
  <c r="H11"/>
  <c r="K12"/>
  <c r="H12"/>
  <c r="M8"/>
  <c r="M14"/>
  <c r="M7"/>
  <c r="M12"/>
  <c r="M10"/>
  <c r="M6"/>
  <c r="M11"/>
  <c r="M13"/>
  <c r="M5"/>
  <c r="M9"/>
  <c r="AA17" i="1"/>
  <c r="AE8"/>
  <c r="H10" i="6" l="1"/>
  <c r="H9" s="1"/>
  <c r="H22" s="1"/>
  <c r="H7"/>
  <c r="M15"/>
  <c r="F9" i="12"/>
  <c r="B12"/>
  <c r="B14"/>
  <c r="B13"/>
  <c r="B6"/>
  <c r="B9" s="1"/>
  <c r="D26" i="2"/>
  <c r="H9" i="10"/>
  <c r="V7" i="6" l="1"/>
  <c r="V5"/>
  <c r="V13"/>
  <c r="W13" s="1"/>
  <c r="V15"/>
  <c r="V14"/>
  <c r="W14" s="1"/>
  <c r="V16"/>
  <c r="V12"/>
  <c r="W12" s="1"/>
  <c r="V6"/>
  <c r="V8"/>
  <c r="W8" s="1"/>
  <c r="V10"/>
  <c r="V11"/>
  <c r="W11" s="1"/>
  <c r="V9"/>
  <c r="V17"/>
  <c r="H6" i="10"/>
  <c r="D17" i="11"/>
  <c r="D18"/>
  <c r="D19"/>
  <c r="D11"/>
  <c r="D12"/>
  <c r="D13"/>
  <c r="D14"/>
  <c r="D15"/>
  <c r="D16"/>
  <c r="D1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  <c r="B26"/>
  <c r="L3"/>
  <c r="G6" i="10"/>
  <c r="G7"/>
  <c r="G8"/>
  <c r="G29" s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F29"/>
  <c r="H5"/>
  <c r="K3"/>
  <c r="K7" i="9"/>
  <c r="K6"/>
  <c r="K4"/>
  <c r="K5"/>
  <c r="H6"/>
  <c r="H22"/>
  <c r="H23"/>
  <c r="H24"/>
  <c r="H25"/>
  <c r="H26" s="1"/>
  <c r="H27" s="1"/>
  <c r="H28" s="1"/>
  <c r="H17"/>
  <c r="H18" s="1"/>
  <c r="H19" s="1"/>
  <c r="H20" s="1"/>
  <c r="H21" s="1"/>
  <c r="H15"/>
  <c r="H16" s="1"/>
  <c r="H12"/>
  <c r="H13"/>
  <c r="H14"/>
  <c r="H10"/>
  <c r="H11"/>
  <c r="H9"/>
  <c r="H8"/>
  <c r="H7"/>
  <c r="H5"/>
  <c r="G29"/>
  <c r="G14"/>
  <c r="G15"/>
  <c r="G16"/>
  <c r="G17"/>
  <c r="G18"/>
  <c r="G19"/>
  <c r="G20"/>
  <c r="G21"/>
  <c r="G22"/>
  <c r="G13"/>
  <c r="K3"/>
  <c r="F29"/>
  <c r="W6" i="6" l="1"/>
  <c r="W7" s="1"/>
  <c r="W5"/>
  <c r="V18"/>
  <c r="W15"/>
  <c r="W10" s="1"/>
  <c r="W16"/>
  <c r="W17" s="1"/>
  <c r="E2" i="11"/>
  <c r="E3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26"/>
  <c r="C26"/>
  <c r="H7" i="10"/>
  <c r="H8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I3" i="2"/>
  <c r="H17" i="1"/>
  <c r="G17"/>
  <c r="G14"/>
  <c r="G13"/>
  <c r="G8"/>
  <c r="G10"/>
  <c r="L18"/>
  <c r="M17"/>
  <c r="M16"/>
  <c r="M15"/>
  <c r="M14"/>
  <c r="M13"/>
  <c r="M12"/>
  <c r="M11"/>
  <c r="M10"/>
  <c r="M9"/>
  <c r="M8"/>
  <c r="M7"/>
  <c r="M18" s="1"/>
  <c r="M6"/>
  <c r="M5"/>
  <c r="W9" i="6" l="1"/>
  <c r="W21" s="1"/>
  <c r="I5" i="2"/>
  <c r="E3"/>
  <c r="E5"/>
  <c r="E7"/>
  <c r="E9"/>
  <c r="E11"/>
  <c r="E13"/>
  <c r="E15"/>
  <c r="E17"/>
  <c r="E19"/>
  <c r="E21"/>
  <c r="E4"/>
  <c r="E6"/>
  <c r="E8"/>
  <c r="E10"/>
  <c r="E12"/>
  <c r="E14"/>
  <c r="E16"/>
  <c r="E18"/>
  <c r="E20"/>
  <c r="E22"/>
  <c r="E24"/>
  <c r="E2"/>
  <c r="E23"/>
  <c r="E25"/>
  <c r="J3"/>
  <c r="E26" i="11"/>
  <c r="L4"/>
  <c r="L5"/>
  <c r="K5" i="10"/>
  <c r="K4"/>
  <c r="G15" i="1"/>
  <c r="C23"/>
  <c r="N5" s="1"/>
  <c r="G2" i="2" l="1"/>
  <c r="E26"/>
  <c r="F12"/>
  <c r="F14"/>
  <c r="F16"/>
  <c r="F18"/>
  <c r="F20"/>
  <c r="F22"/>
  <c r="J5"/>
  <c r="F13"/>
  <c r="F15"/>
  <c r="F17"/>
  <c r="F19"/>
  <c r="F21"/>
  <c r="F11"/>
  <c r="L6" i="11"/>
  <c r="L7" s="1"/>
  <c r="K6" i="10"/>
  <c r="K7" s="1"/>
  <c r="N6" i="1"/>
  <c r="O6" s="1"/>
  <c r="N16"/>
  <c r="O16" s="1"/>
  <c r="N7"/>
  <c r="O7" s="1"/>
  <c r="N9"/>
  <c r="O9" s="1"/>
  <c r="N11"/>
  <c r="O11" s="1"/>
  <c r="N13"/>
  <c r="O13" s="1"/>
  <c r="N15"/>
  <c r="O15" s="1"/>
  <c r="N17"/>
  <c r="O17" s="1"/>
  <c r="N8"/>
  <c r="O8" s="1"/>
  <c r="N10"/>
  <c r="O10" s="1"/>
  <c r="N12"/>
  <c r="O12" s="1"/>
  <c r="T13" s="1"/>
  <c r="N14"/>
  <c r="O14" s="1"/>
  <c r="O5"/>
  <c r="G3" i="2" l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F26"/>
  <c r="T14" i="1"/>
  <c r="T10"/>
  <c r="T6"/>
  <c r="T7"/>
  <c r="T12"/>
  <c r="T8"/>
  <c r="T5"/>
  <c r="T9"/>
  <c r="T11"/>
  <c r="I7" i="2" l="1"/>
  <c r="I8"/>
  <c r="T15" i="1"/>
  <c r="I9" i="2" l="1"/>
  <c r="I10" s="1"/>
  <c r="I13" s="1"/>
  <c r="K13" s="1"/>
</calcChain>
</file>

<file path=xl/sharedStrings.xml><?xml version="1.0" encoding="utf-8"?>
<sst xmlns="http://schemas.openxmlformats.org/spreadsheetml/2006/main" count="432" uniqueCount="176">
  <si>
    <t>Γενικά Στοιχεία</t>
  </si>
  <si>
    <t>Τελευταία δύο ψηφία του αριθμού Μητρώου [-]</t>
  </si>
  <si>
    <t>ρυθμός αύξησης πλυθυσμού ανα πενταετία [%]</t>
  </si>
  <si>
    <t>Χρονικός Ορίζοντας Σχεδιασμού Δικτύου [years]</t>
  </si>
  <si>
    <t>Μέγιστος Αριθμός Ορόφων στον Οικισμό (πολεοδομικά επιτρεπτό) [-]</t>
  </si>
  <si>
    <t>Βάθος Άντλησης της Γεώτρησης [m]</t>
  </si>
  <si>
    <t>Παροχή Πηγής [m3/h]</t>
  </si>
  <si>
    <t>Ώρα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</si>
  <si>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</si>
  <si>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</si>
  <si>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</si>
  <si>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</si>
  <si>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</si>
  <si>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</si>
  <si>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</si>
  <si>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</si>
  <si>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</si>
  <si>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</si>
  <si>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</si>
  <si>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</si>
  <si>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</si>
  <si>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</si>
  <si>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</si>
  <si>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</si>
  <si>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</si>
  <si>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</si>
  <si>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</si>
  <si>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</si>
  <si>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</si>
  <si>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</si>
  <si>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Διάμετροι Εμπορίου για PVC 10atm (mm)</t>
  </si>
  <si>
    <t>Αριθμός Ορόφων</t>
  </si>
  <si>
    <t>Απαιτούμενη Πίεση [m]</t>
  </si>
  <si>
    <t>Αρχικός Πλυθησμός [κάτοικοι]</t>
  </si>
  <si>
    <t>Πλυθυσμος σε 30 Χρόνια [κάτοικοι] ε30</t>
  </si>
  <si>
    <t>Qημερ,max στα 30 Χρόνια [m3/day]</t>
  </si>
  <si>
    <t>Συντελεστής διακύμανσης Pημερ,max</t>
  </si>
  <si>
    <t>Qημερ,μέσο στα 30 Χρόνια [m3/day]</t>
  </si>
  <si>
    <t>Σύνολο</t>
  </si>
  <si>
    <t>Section</t>
  </si>
  <si>
    <t>L [cm]</t>
  </si>
  <si>
    <t>L [m]</t>
  </si>
  <si>
    <t>Βρόγχος</t>
  </si>
  <si>
    <t>Κοινοί με Βρόγχους</t>
  </si>
  <si>
    <t>AB</t>
  </si>
  <si>
    <t>BC</t>
  </si>
  <si>
    <t>CD</t>
  </si>
  <si>
    <t>CI</t>
  </si>
  <si>
    <t>DE</t>
  </si>
  <si>
    <t>EH</t>
  </si>
  <si>
    <t>HI</t>
  </si>
  <si>
    <t>AI</t>
  </si>
  <si>
    <t>AJ</t>
  </si>
  <si>
    <t>JG</t>
  </si>
  <si>
    <t>GH</t>
  </si>
  <si>
    <t>GF</t>
  </si>
  <si>
    <t>FE</t>
  </si>
  <si>
    <t>Qημερ,max στα 30 Χρόνια [l/s]</t>
  </si>
  <si>
    <t>Qημερ,max /m</t>
  </si>
  <si>
    <t>[l/s*m]</t>
  </si>
  <si>
    <t>Q/m</t>
  </si>
  <si>
    <t>0,5*Q/m</t>
  </si>
  <si>
    <t>Μέση Ημερήσια Ζήτηση/Kατανάλωση σε Νερό Υδρευρσης ανα Κάτοικο ανα Ημέρα q [l/day]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</si>
  <si>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</si>
  <si>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</si>
  <si>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</si>
  <si>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</si>
  <si>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</si>
  <si>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</si>
  <si>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</si>
  <si>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</si>
  <si>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</si>
  <si>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</si>
  <si>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Κόμβο</t>
  </si>
  <si>
    <t>Παροχή ανα Κόμβο [l/s]</t>
  </si>
  <si>
    <t>Ζήτηση %</t>
  </si>
  <si>
    <t>m3/day</t>
  </si>
  <si>
    <t>Πηγή-&gt;Δεξαμενη %</t>
  </si>
  <si>
    <t>Αντλιοστάσιο-&gt;Δεξαμενή %</t>
  </si>
  <si>
    <t>Qπ/Qmax,daily</t>
  </si>
  <si>
    <t>100%-%πηγής</t>
  </si>
  <si>
    <t>% νερού ανα ώρα</t>
  </si>
  <si>
    <t>Όγκος δεξαμενής (m3)</t>
  </si>
  <si>
    <t>Ύψος (m)</t>
  </si>
  <si>
    <t>Διάμετρος (m)</t>
  </si>
  <si>
    <t>23-24</t>
  </si>
  <si>
    <t>24-1</t>
  </si>
  <si>
    <t>Αντλιοστάσιο [%]</t>
  </si>
  <si>
    <t>Αθροιστικό</t>
  </si>
  <si>
    <t>min</t>
  </si>
  <si>
    <t>max</t>
  </si>
  <si>
    <t>Όγκος Δεξαμενής</t>
  </si>
  <si>
    <t>Ποσοστό Παροχής</t>
  </si>
  <si>
    <t>m3</t>
  </si>
  <si>
    <t>[%]</t>
  </si>
  <si>
    <t>Παροχή</t>
  </si>
  <si>
    <t>m3/d</t>
  </si>
  <si>
    <t>Πηγή [%]</t>
  </si>
  <si>
    <t>12 ώρες λειτουργίας [%]</t>
  </si>
  <si>
    <t>24 ώρες λειτουργίας [%]</t>
  </si>
  <si>
    <t>Θεωρητικός όγκος</t>
  </si>
  <si>
    <t>Θεωρητικός όγκος + 10%</t>
  </si>
  <si>
    <t>Συνολικό μήκος αγωγού</t>
  </si>
  <si>
    <t>Υψομετρική διαφορά πηγής-δεξαμενής</t>
  </si>
  <si>
    <t>Παροχή πηγής</t>
  </si>
  <si>
    <t>Μέγιστη επιτρεπόμενη ταχύτητα</t>
  </si>
  <si>
    <t>Ελάχιστη επιτρεπόμενη ταχύτητα</t>
  </si>
  <si>
    <t xml:space="preserve"> [m3/h]</t>
  </si>
  <si>
    <t>[m]</t>
  </si>
  <si>
    <t>[m/s]</t>
  </si>
  <si>
    <t>Διάμετρος Θεωρητική</t>
  </si>
  <si>
    <t>[mm]</t>
  </si>
  <si>
    <t>ΔP</t>
  </si>
  <si>
    <t>Χρόνος Κλεισίματος Βάνας</t>
  </si>
  <si>
    <t>[s]</t>
  </si>
  <si>
    <t>Ptotal</t>
  </si>
  <si>
    <t>[atm]</t>
  </si>
  <si>
    <t>Άρα επιλέγεται αμιαντοσωλήνας 15[atm]. ???(Giati oxi 12.5 atm)</t>
  </si>
  <si>
    <t>Υψομετρική διαφορά γεώτρησης-δεξαμενής</t>
  </si>
  <si>
    <t>Συνολική υψομετρική διαφορά πυθμένα γεώτρησης- κορυφή δεξαμενής</t>
  </si>
  <si>
    <t>Παροχή γεώτρησης (12ωρη λειτουργεία)</t>
  </si>
  <si>
    <t>[m3/h]</t>
  </si>
  <si>
    <t>QΓ</t>
  </si>
  <si>
    <t>[l/s]</t>
  </si>
  <si>
    <t>loop1</t>
  </si>
  <si>
    <t>loop3</t>
  </si>
  <si>
    <t>loop2</t>
  </si>
  <si>
    <t>loop4</t>
  </si>
  <si>
    <t>Q</t>
  </si>
  <si>
    <t>L</t>
  </si>
  <si>
    <t>P_hour</t>
  </si>
  <si>
    <t>f^*</t>
  </si>
  <si>
    <t>f</t>
  </si>
  <si>
    <t>ΧΧ</t>
  </si>
  <si>
    <t>ε</t>
  </si>
  <si>
    <t>W</t>
  </si>
  <si>
    <t>cm</t>
  </si>
  <si>
    <t>m</t>
  </si>
  <si>
    <t>F [ha]</t>
  </si>
  <si>
    <t>q_ύδρευσης [l/day]</t>
  </si>
  <si>
    <t>P_day [-]</t>
  </si>
  <si>
    <t>α/α</t>
  </si>
  <si>
    <t>Q_υγρής [Q/m]</t>
  </si>
  <si>
    <t>Υψόμετρο κόμβου z [m]</t>
  </si>
  <si>
    <t>L_i/L_total</t>
  </si>
  <si>
    <t>L_total</t>
  </si>
  <si>
    <t>Παροχή Κλάδου [l/s]</t>
  </si>
  <si>
    <t>Πραγματική Παροχή [l/s]</t>
  </si>
  <si>
    <t>Μεταβλητή</t>
  </si>
  <si>
    <t>Μονάδες</t>
  </si>
  <si>
    <t>Τιμή</t>
  </si>
  <si>
    <t>[-]</t>
  </si>
  <si>
    <t>[L/day]</t>
  </si>
  <si>
    <t>[ha]</t>
  </si>
  <si>
    <t>[κάτοικοι/ha]</t>
  </si>
  <si>
    <t>Q_ακαθάρτων_ξηρό</t>
  </si>
  <si>
    <t>Παροχή Ακάθαρτων Ξηρό</t>
  </si>
  <si>
    <t>Παροχή όμβριων</t>
  </si>
  <si>
    <t>[min]</t>
  </si>
  <si>
    <t>[mm/hour]</t>
  </si>
  <si>
    <t>[km^2]</t>
  </si>
  <si>
    <t>[L/sec]</t>
  </si>
  <si>
    <t>Q_ομβρίων</t>
  </si>
  <si>
    <t xml:space="preserve">Α </t>
  </si>
  <si>
    <t>Ψ</t>
  </si>
  <si>
    <t>T</t>
  </si>
  <si>
    <t>Διαστάσεις Οικισμού (από σχήμα 1)</t>
  </si>
  <si>
    <t>Q_ακαθάρτων_υγρής</t>
  </si>
  <si>
    <t>Παροχή Ακάθαρτων υγρό</t>
  </si>
  <si>
    <t xml:space="preserve">Q-ανα αγωγό [L/sec] </t>
  </si>
  <si>
    <t>Q-Αθροιστικό</t>
  </si>
  <si>
    <t xml:space="preserve">IC </t>
  </si>
  <si>
    <t>IH</t>
  </si>
  <si>
    <t>ΔΗ [m]</t>
  </si>
  <si>
    <t>S [m/m]</t>
  </si>
  <si>
    <t>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</si>
</sst>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7" xfId="0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2" fontId="0" fillId="0" borderId="1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7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Border="1"/>
    <xf numFmtId="0" fontId="0" fillId="0" borderId="2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3" xfId="0" applyBorder="1"/>
    <xf numFmtId="0" fontId="0" fillId="0" borderId="19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0" xfId="0" applyFont="1"/>
    <xf numFmtId="0" fontId="4" fillId="4" borderId="0" xfId="0" applyFont="1" applyFill="1"/>
    <xf numFmtId="0" fontId="4" fillId="0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1" fillId="6" borderId="0" xfId="0" applyFont="1" applyFill="1" applyAlignment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0" xfId="0" applyBorder="1"/>
    <xf numFmtId="165" fontId="0" fillId="0" borderId="0" xfId="0" applyNumberFormat="1"/>
    <xf numFmtId="0" fontId="0" fillId="7" borderId="1" xfId="0" applyFill="1" applyBorder="1"/>
    <xf numFmtId="2" fontId="0" fillId="7" borderId="1" xfId="0" applyNumberFormat="1" applyFill="1" applyBorder="1"/>
    <xf numFmtId="2" fontId="0" fillId="7" borderId="4" xfId="0" applyNumberFormat="1" applyFill="1" applyBorder="1"/>
    <xf numFmtId="0" fontId="0" fillId="7" borderId="0" xfId="0" applyFill="1" applyBorder="1"/>
    <xf numFmtId="0" fontId="0" fillId="7" borderId="21" xfId="0" applyFill="1" applyBorder="1"/>
    <xf numFmtId="2" fontId="4" fillId="0" borderId="0" xfId="0" applyNumberFormat="1" applyFont="1"/>
    <xf numFmtId="2" fontId="0" fillId="7" borderId="0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'Δεξαμενή Ύδρευσης 1.2'!$D$1</c:f>
              <c:strCache>
                <c:ptCount val="1"/>
                <c:pt idx="0">
                  <c:v>Ζήτηση %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'Δεξαμενή Ύδρευσης 1.2'!$C$2:$C$25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Ύδρευσης 1.2'!$D$2:$D$25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</c:ser>
        <c:ser>
          <c:idx val="1"/>
          <c:order val="1"/>
          <c:tx>
            <c:strRef>
              <c:f>'Δεξαμενή Ύδρευσης 1.2'!$E$1</c:f>
              <c:strCache>
                <c:ptCount val="1"/>
                <c:pt idx="0">
                  <c:v>Πηγή [%]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'Δεξαμενή Ύδρευσης 1.2'!$C$2:$C$25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Ύδρευσης 1.2'!$E$2:$E$25</c:f>
              <c:numCache>
                <c:formatCode>0.00</c:formatCode>
                <c:ptCount val="24"/>
                <c:pt idx="0">
                  <c:v>-2.8744174360712313</c:v>
                </c:pt>
                <c:pt idx="1">
                  <c:v>-2.8744174360712313</c:v>
                </c:pt>
                <c:pt idx="2">
                  <c:v>-2.8744174360712313</c:v>
                </c:pt>
                <c:pt idx="3">
                  <c:v>-2.8744174360712313</c:v>
                </c:pt>
                <c:pt idx="4">
                  <c:v>-2.8744174360712313</c:v>
                </c:pt>
                <c:pt idx="5">
                  <c:v>-2.8744174360712313</c:v>
                </c:pt>
                <c:pt idx="6">
                  <c:v>-2.8744174360712313</c:v>
                </c:pt>
                <c:pt idx="7">
                  <c:v>-2.8744174360712313</c:v>
                </c:pt>
                <c:pt idx="8">
                  <c:v>-2.8744174360712313</c:v>
                </c:pt>
                <c:pt idx="9">
                  <c:v>-2.8744174360712313</c:v>
                </c:pt>
                <c:pt idx="10">
                  <c:v>-2.8744174360712313</c:v>
                </c:pt>
                <c:pt idx="11">
                  <c:v>-2.8744174360712313</c:v>
                </c:pt>
                <c:pt idx="12">
                  <c:v>-2.8744174360712313</c:v>
                </c:pt>
                <c:pt idx="13">
                  <c:v>-2.8744174360712313</c:v>
                </c:pt>
                <c:pt idx="14">
                  <c:v>-2.8744174360712313</c:v>
                </c:pt>
                <c:pt idx="15">
                  <c:v>-2.8744174360712313</c:v>
                </c:pt>
                <c:pt idx="16">
                  <c:v>-2.8744174360712313</c:v>
                </c:pt>
                <c:pt idx="17">
                  <c:v>-2.8744174360712313</c:v>
                </c:pt>
                <c:pt idx="18">
                  <c:v>-2.8744174360712313</c:v>
                </c:pt>
                <c:pt idx="19">
                  <c:v>-2.8744174360712313</c:v>
                </c:pt>
                <c:pt idx="20">
                  <c:v>-2.8744174360712313</c:v>
                </c:pt>
                <c:pt idx="21">
                  <c:v>-2.8744174360712313</c:v>
                </c:pt>
                <c:pt idx="22">
                  <c:v>-2.8744174360712313</c:v>
                </c:pt>
                <c:pt idx="23">
                  <c:v>-2.8744174360712313</c:v>
                </c:pt>
              </c:numCache>
            </c:numRef>
          </c:yVal>
        </c:ser>
        <c:ser>
          <c:idx val="2"/>
          <c:order val="2"/>
          <c:tx>
            <c:strRef>
              <c:f>'Δεξαμενή Ύδρευσης 1.2'!$F$1</c:f>
              <c:strCache>
                <c:ptCount val="1"/>
                <c:pt idx="0">
                  <c:v>Αντλιοστάσιο [%]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'Δεξαμενή Ύδρευσης 1.2'!$C$2:$C$25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Ύδρευσης 1.2'!$F$2:$F$25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-2.5844984611908708</c:v>
                </c:pt>
                <c:pt idx="10">
                  <c:v>-2.5844984611908708</c:v>
                </c:pt>
                <c:pt idx="11">
                  <c:v>-2.5844984611908708</c:v>
                </c:pt>
                <c:pt idx="12">
                  <c:v>-2.5844984611908708</c:v>
                </c:pt>
                <c:pt idx="13">
                  <c:v>-2.5844984611908708</c:v>
                </c:pt>
                <c:pt idx="14">
                  <c:v>-2.5844984611908708</c:v>
                </c:pt>
                <c:pt idx="15">
                  <c:v>-2.5844984611908708</c:v>
                </c:pt>
                <c:pt idx="16">
                  <c:v>-2.5844984611908708</c:v>
                </c:pt>
                <c:pt idx="17">
                  <c:v>-2.5844984611908708</c:v>
                </c:pt>
                <c:pt idx="18">
                  <c:v>-2.5844984611908708</c:v>
                </c:pt>
                <c:pt idx="19">
                  <c:v>-2.5844984611908708</c:v>
                </c:pt>
                <c:pt idx="20">
                  <c:v>-2.5844984611908708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ser>
          <c:idx val="3"/>
          <c:order val="3"/>
          <c:tx>
            <c:strRef>
              <c:f>'Δεξαμενή Ύδρευσης 1.2'!$G$1</c:f>
              <c:strCache>
                <c:ptCount val="1"/>
                <c:pt idx="0">
                  <c:v>Αθροιστικό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'Δεξαμενή Ύδρευσης 1.2'!$G$2:$G$25</c:f>
              <c:numCache>
                <c:formatCode>0.0</c:formatCode>
                <c:ptCount val="24"/>
                <c:pt idx="0">
                  <c:v>-0.87441743607123135</c:v>
                </c:pt>
                <c:pt idx="1">
                  <c:v>-1.7488348721424627</c:v>
                </c:pt>
                <c:pt idx="2">
                  <c:v>-2.623252308213694</c:v>
                </c:pt>
                <c:pt idx="3">
                  <c:v>-3.4976697442849254</c:v>
                </c:pt>
                <c:pt idx="4">
                  <c:v>-3.3720871803561567</c:v>
                </c:pt>
                <c:pt idx="5">
                  <c:v>-3.2465046164273881</c:v>
                </c:pt>
                <c:pt idx="6">
                  <c:v>-2.1209220524986194</c:v>
                </c:pt>
                <c:pt idx="7">
                  <c:v>4.6605114301492279E-3</c:v>
                </c:pt>
                <c:pt idx="8">
                  <c:v>2.1302430753589179</c:v>
                </c:pt>
                <c:pt idx="9">
                  <c:v>2.6713271780968157</c:v>
                </c:pt>
                <c:pt idx="10">
                  <c:v>4.2124112808347132</c:v>
                </c:pt>
                <c:pt idx="11">
                  <c:v>5.753495383572611</c:v>
                </c:pt>
                <c:pt idx="12">
                  <c:v>8.2945794863105089</c:v>
                </c:pt>
                <c:pt idx="13">
                  <c:v>8.8356635890484068</c:v>
                </c:pt>
                <c:pt idx="14">
                  <c:v>8.3767476917863046</c:v>
                </c:pt>
                <c:pt idx="15">
                  <c:v>7.9178317945242025</c:v>
                </c:pt>
                <c:pt idx="16">
                  <c:v>7.4589158972621004</c:v>
                </c:pt>
                <c:pt idx="17">
                  <c:v>7.9999999999999982</c:v>
                </c:pt>
                <c:pt idx="18">
                  <c:v>6.5410841027378961</c:v>
                </c:pt>
                <c:pt idx="19">
                  <c:v>5.082168205475794</c:v>
                </c:pt>
                <c:pt idx="20">
                  <c:v>2.6232523082136918</c:v>
                </c:pt>
                <c:pt idx="21">
                  <c:v>1.7488348721424605</c:v>
                </c:pt>
                <c:pt idx="22">
                  <c:v>0.87441743607122913</c:v>
                </c:pt>
                <c:pt idx="23">
                  <c:v>-2.2204460492503131E-15</c:v>
                </c:pt>
              </c:numCache>
            </c:numRef>
          </c:yVal>
        </c:ser>
        <c:axId val="144243328"/>
        <c:axId val="144253696"/>
      </c:scatterChart>
      <c:valAx>
        <c:axId val="1442433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4253696"/>
        <c:crosses val="autoZero"/>
        <c:crossBetween val="midCat"/>
      </c:valAx>
      <c:valAx>
        <c:axId val="144253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424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scatterChart>
        <c:scatterStyle val="smoothMarker"/>
        <c:ser>
          <c:idx val="0"/>
          <c:order val="0"/>
          <c:xVal>
            <c:numRef>
              <c:f>'2.1'!$L$14:$L$42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xVal>
          <c:yVal>
            <c:numRef>
              <c:f>'2.1'!$M$14:$M$42</c:f>
              <c:numCache>
                <c:formatCode>0.00</c:formatCode>
                <c:ptCount val="29"/>
                <c:pt idx="0">
                  <c:v>32.043940775943597</c:v>
                </c:pt>
                <c:pt idx="1">
                  <c:v>13.566528320826341</c:v>
                </c:pt>
                <c:pt idx="2">
                  <c:v>9.5892609159711544</c:v>
                </c:pt>
                <c:pt idx="3">
                  <c:v>7.6868059988444477</c:v>
                </c:pt>
                <c:pt idx="4">
                  <c:v>6.532825261938048</c:v>
                </c:pt>
                <c:pt idx="5">
                  <c:v>5.7436971303465878</c:v>
                </c:pt>
                <c:pt idx="6">
                  <c:v>5.1631969059116916</c:v>
                </c:pt>
                <c:pt idx="7">
                  <c:v>4.7145892139637695</c:v>
                </c:pt>
                <c:pt idx="8">
                  <c:v>4.3553505411671871</c:v>
                </c:pt>
                <c:pt idx="9">
                  <c:v>4.059830864809884</c:v>
                </c:pt>
                <c:pt idx="10">
                  <c:v>3.8115504299612124</c:v>
                </c:pt>
                <c:pt idx="11">
                  <c:v>3.59939071346533</c:v>
                </c:pt>
                <c:pt idx="12">
                  <c:v>3.4155516055601955</c:v>
                </c:pt>
                <c:pt idx="13">
                  <c:v>3.254383473280845</c:v>
                </c:pt>
                <c:pt idx="14">
                  <c:v>3.1116839367294089</c:v>
                </c:pt>
                <c:pt idx="15">
                  <c:v>2.9842559247103413</c:v>
                </c:pt>
                <c:pt idx="16">
                  <c:v>2.8696197373952415</c:v>
                </c:pt>
                <c:pt idx="17">
                  <c:v>2.7658195835147703</c:v>
                </c:pt>
                <c:pt idx="18">
                  <c:v>2.6712900894734308</c:v>
                </c:pt>
                <c:pt idx="19">
                  <c:v>2.5847620245880165</c:v>
                </c:pt>
                <c:pt idx="20">
                  <c:v>2.5051943449786296</c:v>
                </c:pt>
                <c:pt idx="21">
                  <c:v>2.4317243103755355</c:v>
                </c:pt>
                <c:pt idx="22">
                  <c:v>2.3636302675782845</c:v>
                </c:pt>
                <c:pt idx="23">
                  <c:v>2.3003034754298599</c:v>
                </c:pt>
                <c:pt idx="24">
                  <c:v>2.2412264909605799</c:v>
                </c:pt>
                <c:pt idx="25">
                  <c:v>2.1859563884427144</c:v>
                </c:pt>
                <c:pt idx="26">
                  <c:v>2.1341115870705281</c:v>
                </c:pt>
                <c:pt idx="27">
                  <c:v>2.0853614068258901</c:v>
                </c:pt>
                <c:pt idx="28">
                  <c:v>2.0394177105705578</c:v>
                </c:pt>
              </c:numCache>
            </c:numRef>
          </c:yVal>
          <c:smooth val="1"/>
        </c:ser>
        <c:axId val="144260096"/>
        <c:axId val="166617856"/>
      </c:scatterChart>
      <c:valAx>
        <c:axId val="144260096"/>
        <c:scaling>
          <c:orientation val="minMax"/>
        </c:scaling>
        <c:axPos val="b"/>
        <c:numFmt formatCode="General" sourceLinked="1"/>
        <c:tickLblPos val="nextTo"/>
        <c:crossAx val="166617856"/>
        <c:crosses val="autoZero"/>
        <c:crossBetween val="midCat"/>
      </c:valAx>
      <c:valAx>
        <c:axId val="166617856"/>
        <c:scaling>
          <c:orientation val="minMax"/>
        </c:scaling>
        <c:axPos val="l"/>
        <c:majorGridlines/>
        <c:numFmt formatCode="0.00" sourceLinked="1"/>
        <c:tickLblPos val="nextTo"/>
        <c:crossAx val="144260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scatterChart>
        <c:scatterStyle val="smoothMarker"/>
        <c:ser>
          <c:idx val="0"/>
          <c:order val="0"/>
          <c:tx>
            <c:v>Ζήτηση [%]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'Δεξαμενή Νερού Παράδειγμα Α. '!$E$5:$E$28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Νερού Παράδειγμα Α. '!$F$5:$F$28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Αντλιοστάσιο [%]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'Δεξαμενή Νερού Παράδειγμα Α. '!$E$5:$E$28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Νερού Παράδειγμα Α. 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Αθροιστικό [%]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'Δεξαμενή Νερού Παράδειγμα Α. '!$E$5:$E$28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Νερού Παράδειγμα Α. '!$H$5:$H$28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18</c:v>
                </c:pt>
                <c:pt idx="9">
                  <c:v>14</c:v>
                </c:pt>
                <c:pt idx="10">
                  <c:v>11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-3</c:v>
                </c:pt>
                <c:pt idx="15">
                  <c:v>-8</c:v>
                </c:pt>
                <c:pt idx="16">
                  <c:v>-13</c:v>
                </c:pt>
                <c:pt idx="17">
                  <c:v>-17</c:v>
                </c:pt>
                <c:pt idx="18">
                  <c:v>-13</c:v>
                </c:pt>
                <c:pt idx="19">
                  <c:v>-9</c:v>
                </c:pt>
                <c:pt idx="20">
                  <c:v>-6</c:v>
                </c:pt>
                <c:pt idx="21">
                  <c:v>-4</c:v>
                </c:pt>
                <c:pt idx="22">
                  <c:v>-2</c:v>
                </c:pt>
                <c:pt idx="23">
                  <c:v>0</c:v>
                </c:pt>
              </c:numCache>
            </c:numRef>
          </c:yVal>
          <c:smooth val="1"/>
        </c:ser>
        <c:axId val="164840192"/>
        <c:axId val="164841728"/>
      </c:scatterChart>
      <c:valAx>
        <c:axId val="1648401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4841728"/>
        <c:crosses val="autoZero"/>
        <c:crossBetween val="midCat"/>
      </c:valAx>
      <c:valAx>
        <c:axId val="164841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48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scatterChart>
        <c:scatterStyle val="smoothMarker"/>
        <c:ser>
          <c:idx val="0"/>
          <c:order val="0"/>
          <c:tx>
            <c:v>Ζήτηση [%]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'Δεξαμενή Νερού Παράδειγμα Β. '!$E$5:$E$28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Νερού Παράδειγμα Β. '!$F$5:$F$28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Αντλιοστάσιο [%]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'Δεξαμενή Νερού Παράδειγμα Β. '!$E$5:$E$28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Νερού Παράδειγμα Β. '!$G$5:$G$28</c:f>
              <c:numCache>
                <c:formatCode>0.00</c:formatCode>
                <c:ptCount val="24"/>
                <c:pt idx="0">
                  <c:v>-4.166666666666667</c:v>
                </c:pt>
                <c:pt idx="1">
                  <c:v>-4.166666666666667</c:v>
                </c:pt>
                <c:pt idx="2">
                  <c:v>-4.166666666666667</c:v>
                </c:pt>
                <c:pt idx="3">
                  <c:v>-4.166666666666667</c:v>
                </c:pt>
                <c:pt idx="4">
                  <c:v>-4.166666666666667</c:v>
                </c:pt>
                <c:pt idx="5">
                  <c:v>-4.166666666666667</c:v>
                </c:pt>
                <c:pt idx="6">
                  <c:v>-4.166666666666667</c:v>
                </c:pt>
                <c:pt idx="7">
                  <c:v>-4.166666666666667</c:v>
                </c:pt>
                <c:pt idx="8">
                  <c:v>-4.166666666666667</c:v>
                </c:pt>
                <c:pt idx="9">
                  <c:v>-4.166666666666667</c:v>
                </c:pt>
                <c:pt idx="10">
                  <c:v>-4.166666666666667</c:v>
                </c:pt>
                <c:pt idx="11">
                  <c:v>-4.166666666666667</c:v>
                </c:pt>
                <c:pt idx="12">
                  <c:v>-4.166666666666667</c:v>
                </c:pt>
                <c:pt idx="13">
                  <c:v>-4.166666666666667</c:v>
                </c:pt>
                <c:pt idx="14">
                  <c:v>-4.166666666666667</c:v>
                </c:pt>
                <c:pt idx="15">
                  <c:v>-4.166666666666667</c:v>
                </c:pt>
                <c:pt idx="16">
                  <c:v>-4.166666666666667</c:v>
                </c:pt>
                <c:pt idx="17">
                  <c:v>-4.166666666666667</c:v>
                </c:pt>
                <c:pt idx="18">
                  <c:v>-4.166666666666667</c:v>
                </c:pt>
                <c:pt idx="19">
                  <c:v>-4.166666666666667</c:v>
                </c:pt>
                <c:pt idx="20">
                  <c:v>-4.166666666666667</c:v>
                </c:pt>
                <c:pt idx="21">
                  <c:v>-4.166666666666667</c:v>
                </c:pt>
                <c:pt idx="22">
                  <c:v>-4.166666666666667</c:v>
                </c:pt>
                <c:pt idx="23">
                  <c:v>-4.166666666666667</c:v>
                </c:pt>
              </c:numCache>
            </c:numRef>
          </c:yVal>
          <c:smooth val="1"/>
        </c:ser>
        <c:ser>
          <c:idx val="2"/>
          <c:order val="2"/>
          <c:tx>
            <c:v>Αθροιστικό [%]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'Δεξαμενή Νερού Παράδειγμα Β. '!$E$5:$E$28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Νερού Παράδειγμα Β. '!$H$5:$H$28</c:f>
              <c:numCache>
                <c:formatCode>0.00</c:formatCode>
                <c:ptCount val="24"/>
                <c:pt idx="0">
                  <c:v>-2.166666666666667</c:v>
                </c:pt>
                <c:pt idx="1">
                  <c:v>-4.3333333333333339</c:v>
                </c:pt>
                <c:pt idx="2">
                  <c:v>-6.5000000000000009</c:v>
                </c:pt>
                <c:pt idx="3">
                  <c:v>-8.6666666666666679</c:v>
                </c:pt>
                <c:pt idx="4">
                  <c:v>-9.8333333333333357</c:v>
                </c:pt>
                <c:pt idx="5">
                  <c:v>-11.000000000000004</c:v>
                </c:pt>
                <c:pt idx="6">
                  <c:v>-11.166666666666671</c:v>
                </c:pt>
                <c:pt idx="7">
                  <c:v>-10.333333333333339</c:v>
                </c:pt>
                <c:pt idx="8">
                  <c:v>-9.5000000000000071</c:v>
                </c:pt>
                <c:pt idx="9">
                  <c:v>-7.6666666666666741</c:v>
                </c:pt>
                <c:pt idx="10">
                  <c:v>-4.833333333333341</c:v>
                </c:pt>
                <c:pt idx="11">
                  <c:v>-2.000000000000008</c:v>
                </c:pt>
                <c:pt idx="12">
                  <c:v>1.833333333333325</c:v>
                </c:pt>
                <c:pt idx="13">
                  <c:v>3.6666666666666581</c:v>
                </c:pt>
                <c:pt idx="14">
                  <c:v>4.4999999999999902</c:v>
                </c:pt>
                <c:pt idx="15">
                  <c:v>5.3333333333333224</c:v>
                </c:pt>
                <c:pt idx="16">
                  <c:v>6.1666666666666545</c:v>
                </c:pt>
                <c:pt idx="17">
                  <c:v>7.9999999999999867</c:v>
                </c:pt>
                <c:pt idx="18">
                  <c:v>7.8333333333333188</c:v>
                </c:pt>
                <c:pt idx="19">
                  <c:v>7.666666666666651</c:v>
                </c:pt>
                <c:pt idx="20">
                  <c:v>6.4999999999999831</c:v>
                </c:pt>
                <c:pt idx="21">
                  <c:v>4.3333333333333153</c:v>
                </c:pt>
                <c:pt idx="22">
                  <c:v>2.1666666666666483</c:v>
                </c:pt>
                <c:pt idx="23">
                  <c:v>-1.865174681370263E-14</c:v>
                </c:pt>
              </c:numCache>
            </c:numRef>
          </c:yVal>
          <c:smooth val="1"/>
        </c:ser>
        <c:axId val="72968448"/>
        <c:axId val="72982912"/>
      </c:scatterChart>
      <c:valAx>
        <c:axId val="729684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982912"/>
        <c:crosses val="autoZero"/>
        <c:crossBetween val="midCat"/>
      </c:valAx>
      <c:valAx>
        <c:axId val="72982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9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'Δεξαμενή Νερού Παράδειγμα C. '!$A$2:$A$25</c:f>
              <c:strCache>
                <c:ptCount val="24"/>
                <c:pt idx="0">
                  <c:v>24-1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xVal>
          <c:yVal>
            <c:numRef>
              <c:f>'Δεξαμενή Νερού Παράδειγμα C. '!$B$2:$B$25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'Δεξαμενή Νερού Παράδειγμα C. '!$C$2:$C$25</c:f>
              <c:numCache>
                <c:formatCode>0.0</c:formatCode>
                <c:ptCount val="24"/>
                <c:pt idx="0">
                  <c:v>-2.0833333333333335</c:v>
                </c:pt>
                <c:pt idx="1">
                  <c:v>-2.0833333333333335</c:v>
                </c:pt>
                <c:pt idx="2">
                  <c:v>-2.0833333333333335</c:v>
                </c:pt>
                <c:pt idx="3">
                  <c:v>-2.0833333333333335</c:v>
                </c:pt>
                <c:pt idx="4">
                  <c:v>-2.0833333333333335</c:v>
                </c:pt>
                <c:pt idx="5">
                  <c:v>-2.0833333333333335</c:v>
                </c:pt>
                <c:pt idx="6">
                  <c:v>-2.0833333333333335</c:v>
                </c:pt>
                <c:pt idx="7">
                  <c:v>-2.0833333333333335</c:v>
                </c:pt>
                <c:pt idx="8">
                  <c:v>-2.0833333333333335</c:v>
                </c:pt>
                <c:pt idx="9">
                  <c:v>-2.0833333333333335</c:v>
                </c:pt>
                <c:pt idx="10">
                  <c:v>-2.0833333333333335</c:v>
                </c:pt>
                <c:pt idx="11">
                  <c:v>-2.0833333333333335</c:v>
                </c:pt>
                <c:pt idx="12">
                  <c:v>-2.0833333333333335</c:v>
                </c:pt>
                <c:pt idx="13">
                  <c:v>-2.0833333333333335</c:v>
                </c:pt>
                <c:pt idx="14">
                  <c:v>-2.0833333333333335</c:v>
                </c:pt>
                <c:pt idx="15">
                  <c:v>-2.0833333333333335</c:v>
                </c:pt>
                <c:pt idx="16">
                  <c:v>-2.0833333333333335</c:v>
                </c:pt>
                <c:pt idx="17">
                  <c:v>-2.0833333333333335</c:v>
                </c:pt>
                <c:pt idx="18">
                  <c:v>-2.0833333333333335</c:v>
                </c:pt>
                <c:pt idx="19">
                  <c:v>-2.0833333333333335</c:v>
                </c:pt>
                <c:pt idx="20">
                  <c:v>-2.0833333333333335</c:v>
                </c:pt>
                <c:pt idx="21">
                  <c:v>-2.0833333333333335</c:v>
                </c:pt>
                <c:pt idx="22">
                  <c:v>-2.0833333333333335</c:v>
                </c:pt>
                <c:pt idx="23">
                  <c:v>-2.0833333333333335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'Δεξαμενή Νερού Παράδειγμα C. '!$D$2:$D$25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'Δεξαμενή Νερού Παράδειγμα C. '!$E$2:$E$25</c:f>
              <c:numCache>
                <c:formatCode>0.0</c:formatCode>
                <c:ptCount val="24"/>
                <c:pt idx="0">
                  <c:v>-8.3333333333333481E-2</c:v>
                </c:pt>
                <c:pt idx="1">
                  <c:v>-0.16666666666666696</c:v>
                </c:pt>
                <c:pt idx="2">
                  <c:v>-0.25000000000000044</c:v>
                </c:pt>
                <c:pt idx="3">
                  <c:v>-0.33333333333333393</c:v>
                </c:pt>
                <c:pt idx="4">
                  <c:v>0.58333333333333259</c:v>
                </c:pt>
                <c:pt idx="5">
                  <c:v>1.4999999999999991</c:v>
                </c:pt>
                <c:pt idx="6">
                  <c:v>3.4166666666666656</c:v>
                </c:pt>
                <c:pt idx="7">
                  <c:v>6.3333333333333321</c:v>
                </c:pt>
                <c:pt idx="8">
                  <c:v>4.2499999999999982</c:v>
                </c:pt>
                <c:pt idx="9">
                  <c:v>3.1666666666666647</c:v>
                </c:pt>
                <c:pt idx="10">
                  <c:v>3.0833333333333308</c:v>
                </c:pt>
                <c:pt idx="11">
                  <c:v>2.9999999999999969</c:v>
                </c:pt>
                <c:pt idx="12">
                  <c:v>3.916666666666663</c:v>
                </c:pt>
                <c:pt idx="13">
                  <c:v>2.8333333333333295</c:v>
                </c:pt>
                <c:pt idx="14">
                  <c:v>0.749999999999996</c:v>
                </c:pt>
                <c:pt idx="15">
                  <c:v>-1.3333333333333375</c:v>
                </c:pt>
                <c:pt idx="16">
                  <c:v>-3.416666666666671</c:v>
                </c:pt>
                <c:pt idx="17">
                  <c:v>-4.5000000000000044</c:v>
                </c:pt>
                <c:pt idx="18">
                  <c:v>-2.5833333333333379</c:v>
                </c:pt>
                <c:pt idx="19">
                  <c:v>-0.6666666666666714</c:v>
                </c:pt>
                <c:pt idx="20">
                  <c:v>0.24999999999999512</c:v>
                </c:pt>
                <c:pt idx="21">
                  <c:v>0.16666666666666163</c:v>
                </c:pt>
                <c:pt idx="22">
                  <c:v>8.3333333333328152E-2</c:v>
                </c:pt>
                <c:pt idx="23">
                  <c:v>-5.3290705182007514E-15</c:v>
                </c:pt>
              </c:numCache>
            </c:numRef>
          </c:yVal>
          <c:smooth val="1"/>
        </c:ser>
        <c:axId val="152524672"/>
        <c:axId val="152539136"/>
      </c:scatterChart>
      <c:valAx>
        <c:axId val="1525246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2539136"/>
        <c:crosses val="autoZero"/>
        <c:crossBetween val="midCat"/>
      </c:valAx>
      <c:valAx>
        <c:axId val="152539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25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13</xdr:row>
      <xdr:rowOff>128587</xdr:rowOff>
    </xdr:from>
    <xdr:to>
      <xdr:col>12</xdr:col>
      <xdr:colOff>561975</xdr:colOff>
      <xdr:row>28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16</xdr:row>
      <xdr:rowOff>19050</xdr:rowOff>
    </xdr:from>
    <xdr:to>
      <xdr:col>3</xdr:col>
      <xdr:colOff>819150</xdr:colOff>
      <xdr:row>19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067050"/>
          <a:ext cx="4695825" cy="6667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571500</xdr:colOff>
      <xdr:row>19</xdr:row>
      <xdr:rowOff>47625</xdr:rowOff>
    </xdr:from>
    <xdr:to>
      <xdr:col>2</xdr:col>
      <xdr:colOff>314325</xdr:colOff>
      <xdr:row>22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667125"/>
          <a:ext cx="2809875" cy="5905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723900</xdr:colOff>
      <xdr:row>23</xdr:row>
      <xdr:rowOff>19050</xdr:rowOff>
    </xdr:from>
    <xdr:to>
      <xdr:col>1</xdr:col>
      <xdr:colOff>514350</xdr:colOff>
      <xdr:row>24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400550"/>
          <a:ext cx="2238375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790575</xdr:colOff>
      <xdr:row>25</xdr:row>
      <xdr:rowOff>28575</xdr:rowOff>
    </xdr:from>
    <xdr:to>
      <xdr:col>1</xdr:col>
      <xdr:colOff>47625</xdr:colOff>
      <xdr:row>26</xdr:row>
      <xdr:rowOff>19050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791075"/>
          <a:ext cx="1704975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14</xdr:row>
      <xdr:rowOff>66675</xdr:rowOff>
    </xdr:from>
    <xdr:to>
      <xdr:col>21</xdr:col>
      <xdr:colOff>28575</xdr:colOff>
      <xdr:row>28</xdr:row>
      <xdr:rowOff>142875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8</xdr:row>
      <xdr:rowOff>33337</xdr:rowOff>
    </xdr:from>
    <xdr:to>
      <xdr:col>15</xdr:col>
      <xdr:colOff>180975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7</xdr:row>
      <xdr:rowOff>185737</xdr:rowOff>
    </xdr:from>
    <xdr:to>
      <xdr:col>16</xdr:col>
      <xdr:colOff>0</xdr:colOff>
      <xdr:row>22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8</xdr:row>
      <xdr:rowOff>128587</xdr:rowOff>
    </xdr:from>
    <xdr:to>
      <xdr:col>12</xdr:col>
      <xdr:colOff>228600</xdr:colOff>
      <xdr:row>23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F44"/>
  <sheetViews>
    <sheetView workbookViewId="0">
      <selection activeCell="I6" sqref="I6"/>
    </sheetView>
  </sheetViews>
  <sheetFormatPr defaultRowHeight="15"/>
  <cols>
    <col min="2" max="2" width="44.42578125" bestFit="1" customWidth="1"/>
    <col min="3" max="3" width="12" bestFit="1" customWidth="1"/>
    <col min="4" max="4" width="7.42578125" bestFit="1" customWidth="1"/>
    <col min="5" max="6" width="9.140625" customWidth="1"/>
    <col min="7" max="7" width="5.5703125" bestFit="1" customWidth="1"/>
    <col min="8" max="8" width="7" bestFit="1" customWidth="1"/>
    <col min="9" max="9" width="7.7109375" bestFit="1" customWidth="1"/>
    <col min="10" max="10" width="10.85546875" bestFit="1" customWidth="1"/>
    <col min="11" max="11" width="7.5703125" bestFit="1" customWidth="1"/>
    <col min="12" max="12" width="6.28515625" bestFit="1" customWidth="1"/>
    <col min="13" max="13" width="5.42578125" bestFit="1" customWidth="1"/>
    <col min="14" max="14" width="5" bestFit="1" customWidth="1"/>
    <col min="15" max="15" width="8.5703125" bestFit="1" customWidth="1"/>
    <col min="16" max="16" width="8.28515625" bestFit="1" customWidth="1"/>
    <col min="17" max="17" width="18.28515625" bestFit="1" customWidth="1"/>
    <col min="18" max="18" width="14.140625" customWidth="1"/>
    <col min="19" max="19" width="7.42578125" bestFit="1" customWidth="1"/>
    <col min="20" max="20" width="22.5703125" bestFit="1" customWidth="1"/>
    <col min="22" max="22" width="7.5703125" bestFit="1" customWidth="1"/>
    <col min="23" max="23" width="12" bestFit="1" customWidth="1"/>
    <col min="24" max="25" width="4" bestFit="1" customWidth="1"/>
    <col min="26" max="26" width="6" bestFit="1" customWidth="1"/>
    <col min="27" max="27" width="16.5703125" bestFit="1" customWidth="1"/>
    <col min="28" max="28" width="22.42578125" bestFit="1" customWidth="1"/>
    <col min="30" max="30" width="6" bestFit="1" customWidth="1"/>
    <col min="31" max="31" width="12" bestFit="1" customWidth="1"/>
    <col min="32" max="32" width="4" bestFit="1" customWidth="1"/>
  </cols>
  <sheetData>
    <row r="3" spans="2:32" ht="15.75" thickBot="1">
      <c r="B3" s="101" t="s">
        <v>0</v>
      </c>
      <c r="C3" s="101"/>
      <c r="D3" s="101"/>
      <c r="E3" s="101"/>
      <c r="F3" s="101"/>
      <c r="G3" s="101"/>
    </row>
    <row r="4" spans="2:32" ht="15.75" thickBot="1">
      <c r="B4" s="101"/>
      <c r="C4" s="101"/>
      <c r="D4" s="101"/>
      <c r="E4" s="101"/>
      <c r="F4" s="101"/>
      <c r="G4" s="101"/>
      <c r="K4" s="12" t="s">
        <v>39</v>
      </c>
      <c r="L4" s="12" t="s">
        <v>40</v>
      </c>
      <c r="M4" s="12" t="s">
        <v>41</v>
      </c>
      <c r="N4" s="12" t="s">
        <v>60</v>
      </c>
      <c r="O4" s="12" t="s">
        <v>61</v>
      </c>
      <c r="P4" s="12" t="s">
        <v>42</v>
      </c>
      <c r="Q4" s="12" t="s">
        <v>43</v>
      </c>
      <c r="S4" s="23" t="s">
        <v>73</v>
      </c>
      <c r="T4" s="24" t="s">
        <v>74</v>
      </c>
      <c r="V4" s="64" t="s">
        <v>39</v>
      </c>
      <c r="W4" s="65" t="s">
        <v>128</v>
      </c>
      <c r="X4" s="66" t="s">
        <v>129</v>
      </c>
    </row>
    <row r="5" spans="2:32">
      <c r="B5" s="97" t="s">
        <v>1</v>
      </c>
      <c r="C5" s="97"/>
      <c r="D5" s="97"/>
      <c r="E5" s="97"/>
      <c r="F5" s="97"/>
      <c r="G5" s="1">
        <v>52</v>
      </c>
      <c r="K5" s="12" t="s">
        <v>44</v>
      </c>
      <c r="L5" s="12">
        <v>8</v>
      </c>
      <c r="M5" s="12">
        <f>(L5*2000)/100</f>
        <v>160</v>
      </c>
      <c r="N5" s="22">
        <f t="shared" ref="N5:N17" si="0">C$23*M5</f>
        <v>4.300449385829415</v>
      </c>
      <c r="O5" s="22">
        <f>0.5*N5</f>
        <v>2.1502246929147075</v>
      </c>
      <c r="P5" s="12">
        <v>4</v>
      </c>
      <c r="Q5" s="12"/>
      <c r="S5" s="25" t="s">
        <v>63</v>
      </c>
      <c r="T5" s="26">
        <f>O13+O12+O5</f>
        <v>5.2949283063024666</v>
      </c>
      <c r="V5" s="56" t="s">
        <v>44</v>
      </c>
      <c r="W5" s="57">
        <f>(1/3)*(T15-T5)</f>
        <v>12.408588332028623</v>
      </c>
      <c r="X5" s="58">
        <v>160</v>
      </c>
      <c r="Z5" t="s">
        <v>124</v>
      </c>
    </row>
    <row r="6" spans="2:32">
      <c r="B6" s="97" t="s">
        <v>33</v>
      </c>
      <c r="C6" s="97"/>
      <c r="D6" s="97"/>
      <c r="E6" s="97"/>
      <c r="F6" s="97"/>
      <c r="G6" s="1">
        <v>6000</v>
      </c>
      <c r="K6" s="12" t="s">
        <v>45</v>
      </c>
      <c r="L6" s="12">
        <v>5.2</v>
      </c>
      <c r="M6" s="12">
        <f t="shared" ref="M6:M17" si="1">(L6*2000)/100</f>
        <v>104</v>
      </c>
      <c r="N6" s="22">
        <f t="shared" si="0"/>
        <v>2.7952921007891196</v>
      </c>
      <c r="O6" s="22">
        <f t="shared" ref="O6:O17" si="2">0.5*N6</f>
        <v>1.3976460503945598</v>
      </c>
      <c r="P6" s="12">
        <v>4</v>
      </c>
      <c r="Q6" s="12"/>
      <c r="S6" s="25" t="s">
        <v>64</v>
      </c>
      <c r="T6" s="26">
        <f>O6+O5</f>
        <v>3.5478707433092671</v>
      </c>
      <c r="V6" s="59" t="s">
        <v>45</v>
      </c>
      <c r="W6" s="12">
        <f>W5-T6</f>
        <v>8.860717588719357</v>
      </c>
      <c r="X6" s="60">
        <v>104</v>
      </c>
      <c r="Z6" t="s">
        <v>52</v>
      </c>
      <c r="AA6">
        <f t="shared" ref="AA6:AB8" si="3">W13</f>
        <v>12.408588332028623</v>
      </c>
      <c r="AB6">
        <f t="shared" si="3"/>
        <v>124</v>
      </c>
      <c r="AD6" t="s">
        <v>125</v>
      </c>
    </row>
    <row r="7" spans="2:32">
      <c r="B7" s="97" t="s">
        <v>2</v>
      </c>
      <c r="C7" s="97"/>
      <c r="D7" s="97"/>
      <c r="E7" s="97"/>
      <c r="F7" s="97"/>
      <c r="G7" s="1">
        <v>7</v>
      </c>
      <c r="K7" s="12" t="s">
        <v>46</v>
      </c>
      <c r="L7" s="12">
        <v>10</v>
      </c>
      <c r="M7" s="12">
        <f t="shared" si="1"/>
        <v>200</v>
      </c>
      <c r="N7" s="22">
        <f t="shared" si="0"/>
        <v>5.3755617322867684</v>
      </c>
      <c r="O7" s="22">
        <f t="shared" si="2"/>
        <v>2.6877808661433842</v>
      </c>
      <c r="P7" s="12">
        <v>3</v>
      </c>
      <c r="Q7" s="12"/>
      <c r="S7" s="25" t="s">
        <v>65</v>
      </c>
      <c r="T7" s="26">
        <f>O6+O7+O8</f>
        <v>5.9131179055154455</v>
      </c>
      <c r="V7" s="59" t="s">
        <v>46</v>
      </c>
      <c r="W7" s="22">
        <f>W6+W8-T7</f>
        <v>6.8807190173270634</v>
      </c>
      <c r="X7" s="60">
        <v>200</v>
      </c>
      <c r="Z7" t="s">
        <v>53</v>
      </c>
      <c r="AA7">
        <f t="shared" si="3"/>
        <v>9.5326628052552032</v>
      </c>
      <c r="AB7">
        <f t="shared" si="3"/>
        <v>90</v>
      </c>
      <c r="AD7" t="s">
        <v>50</v>
      </c>
      <c r="AE7">
        <f>W11</f>
        <v>3.9331193341231518</v>
      </c>
      <c r="AF7">
        <f>X11</f>
        <v>92</v>
      </c>
    </row>
    <row r="8" spans="2:32">
      <c r="B8" s="16" t="s">
        <v>34</v>
      </c>
      <c r="C8" s="17"/>
      <c r="D8" s="17"/>
      <c r="E8" s="17"/>
      <c r="F8" s="18"/>
      <c r="G8" s="8">
        <f>G6*(1+(G7/100))^6</f>
        <v>9004.3821110940007</v>
      </c>
      <c r="K8" s="13" t="s">
        <v>47</v>
      </c>
      <c r="L8" s="13">
        <v>6.8</v>
      </c>
      <c r="M8" s="13">
        <f t="shared" si="1"/>
        <v>136</v>
      </c>
      <c r="N8" s="22">
        <f t="shared" si="0"/>
        <v>3.6553819779550025</v>
      </c>
      <c r="O8" s="22">
        <f t="shared" si="2"/>
        <v>1.8276909889775013</v>
      </c>
      <c r="P8" s="13"/>
      <c r="Q8" s="13">
        <v>4.3</v>
      </c>
      <c r="S8" s="25" t="s">
        <v>66</v>
      </c>
      <c r="T8" s="26">
        <f>O7+O9</f>
        <v>4.0316712992150761</v>
      </c>
      <c r="V8" s="59" t="s">
        <v>47</v>
      </c>
      <c r="W8" s="12">
        <f>(W5-T13)/2</f>
        <v>3.9331193341231518</v>
      </c>
      <c r="X8" s="60">
        <v>136</v>
      </c>
      <c r="Z8" t="s">
        <v>54</v>
      </c>
      <c r="AA8">
        <f t="shared" si="3"/>
        <v>2.5757899967207436</v>
      </c>
      <c r="AB8">
        <f t="shared" si="3"/>
        <v>126</v>
      </c>
      <c r="AD8" t="s">
        <v>49</v>
      </c>
      <c r="AE8">
        <f>W10</f>
        <v>2.1278265190301795</v>
      </c>
      <c r="AF8">
        <f>X10</f>
        <v>108</v>
      </c>
    </row>
    <row r="9" spans="2:32" ht="15" customHeight="1">
      <c r="K9" s="12" t="s">
        <v>48</v>
      </c>
      <c r="L9" s="12">
        <v>5</v>
      </c>
      <c r="M9" s="12">
        <f t="shared" si="1"/>
        <v>100</v>
      </c>
      <c r="N9" s="22">
        <f t="shared" si="0"/>
        <v>2.6877808661433842</v>
      </c>
      <c r="O9" s="22">
        <f t="shared" si="2"/>
        <v>1.3438904330716921</v>
      </c>
      <c r="P9" s="12">
        <v>3</v>
      </c>
      <c r="Q9" s="12"/>
      <c r="S9" s="25" t="s">
        <v>67</v>
      </c>
      <c r="T9" s="26">
        <f>O9+O10+O17</f>
        <v>4.4348384291365841</v>
      </c>
      <c r="V9" s="59" t="s">
        <v>48</v>
      </c>
      <c r="W9" s="12">
        <f>W7-T8</f>
        <v>2.8490477181119873</v>
      </c>
      <c r="X9" s="60">
        <v>100</v>
      </c>
      <c r="Z9" t="s">
        <v>50</v>
      </c>
      <c r="AA9">
        <f>W11</f>
        <v>3.9331193341231518</v>
      </c>
      <c r="AB9">
        <f>X11</f>
        <v>92</v>
      </c>
      <c r="AD9" t="s">
        <v>48</v>
      </c>
      <c r="AE9">
        <f>W9</f>
        <v>2.8490477181119873</v>
      </c>
      <c r="AF9">
        <f>X9</f>
        <v>100</v>
      </c>
    </row>
    <row r="10" spans="2:32">
      <c r="B10" s="102" t="s">
        <v>62</v>
      </c>
      <c r="C10" s="103"/>
      <c r="D10" s="103"/>
      <c r="E10" s="103"/>
      <c r="F10" s="104"/>
      <c r="G10" s="108">
        <f>220+G5</f>
        <v>272</v>
      </c>
      <c r="K10" s="13" t="s">
        <v>49</v>
      </c>
      <c r="L10" s="13">
        <v>5.4</v>
      </c>
      <c r="M10" s="13">
        <f t="shared" si="1"/>
        <v>108</v>
      </c>
      <c r="N10" s="22">
        <f t="shared" si="0"/>
        <v>2.902803335434855</v>
      </c>
      <c r="O10" s="22">
        <f t="shared" si="2"/>
        <v>1.4514016677174275</v>
      </c>
      <c r="P10" s="13"/>
      <c r="Q10" s="13">
        <v>2.2999999999999998</v>
      </c>
      <c r="S10" s="25" t="s">
        <v>68</v>
      </c>
      <c r="T10" s="26">
        <f>O17+O16</f>
        <v>3.1178258047263254</v>
      </c>
      <c r="V10" s="59" t="s">
        <v>49</v>
      </c>
      <c r="W10" s="12">
        <f>W15+W11-T12</f>
        <v>2.1278265190301795</v>
      </c>
      <c r="X10" s="60">
        <v>108</v>
      </c>
      <c r="Z10" t="s">
        <v>51</v>
      </c>
      <c r="AA10">
        <f>W12</f>
        <v>12.408588332028623</v>
      </c>
      <c r="AB10">
        <f>X12</f>
        <v>110</v>
      </c>
      <c r="AD10" t="s">
        <v>46</v>
      </c>
      <c r="AE10">
        <f>W7</f>
        <v>6.8807190173270634</v>
      </c>
      <c r="AF10">
        <f>X7</f>
        <v>200</v>
      </c>
    </row>
    <row r="11" spans="2:32" ht="15" customHeight="1">
      <c r="B11" s="105"/>
      <c r="C11" s="106"/>
      <c r="D11" s="106"/>
      <c r="E11" s="106"/>
      <c r="F11" s="107"/>
      <c r="G11" s="109"/>
      <c r="K11" s="13" t="s">
        <v>50</v>
      </c>
      <c r="L11" s="13">
        <v>4.5999999999999996</v>
      </c>
      <c r="M11" s="13">
        <f t="shared" si="1"/>
        <v>92</v>
      </c>
      <c r="N11" s="22">
        <f t="shared" si="0"/>
        <v>2.4727583968519133</v>
      </c>
      <c r="O11" s="22">
        <f t="shared" si="2"/>
        <v>1.2363791984259567</v>
      </c>
      <c r="P11" s="13"/>
      <c r="Q11" s="13">
        <v>1.3</v>
      </c>
      <c r="S11" s="25" t="s">
        <v>69</v>
      </c>
      <c r="T11" s="26">
        <f>O16+O15+O14</f>
        <v>4.3810828118137159</v>
      </c>
      <c r="V11" s="59" t="s">
        <v>50</v>
      </c>
      <c r="W11" s="12">
        <f>(W5-T13)/2</f>
        <v>3.9331193341231518</v>
      </c>
      <c r="X11" s="60">
        <v>92</v>
      </c>
      <c r="AD11" t="s">
        <v>47</v>
      </c>
      <c r="AE11">
        <f>W8</f>
        <v>3.9331193341231518</v>
      </c>
      <c r="AF11">
        <f>X8</f>
        <v>136</v>
      </c>
    </row>
    <row r="12" spans="2:32" ht="15" customHeight="1">
      <c r="B12" s="98" t="s">
        <v>36</v>
      </c>
      <c r="C12" s="99"/>
      <c r="D12" s="99"/>
      <c r="E12" s="99"/>
      <c r="F12" s="100"/>
      <c r="G12" s="7">
        <v>1.5</v>
      </c>
      <c r="K12" s="13" t="s">
        <v>51</v>
      </c>
      <c r="L12" s="13">
        <v>5.5</v>
      </c>
      <c r="M12" s="13">
        <f t="shared" si="1"/>
        <v>110</v>
      </c>
      <c r="N12" s="22">
        <f t="shared" si="0"/>
        <v>2.9565589527577227</v>
      </c>
      <c r="O12" s="22">
        <f t="shared" si="2"/>
        <v>1.4782794763788614</v>
      </c>
      <c r="P12" s="13"/>
      <c r="Q12" s="13">
        <v>1.4</v>
      </c>
      <c r="S12" s="25" t="s">
        <v>70</v>
      </c>
      <c r="T12" s="26">
        <f>O15+O11+O10</f>
        <v>4.3810828118137159</v>
      </c>
      <c r="V12" s="59" t="s">
        <v>51</v>
      </c>
      <c r="W12" s="12">
        <f>W5</f>
        <v>12.408588332028623</v>
      </c>
      <c r="X12" s="60">
        <v>110</v>
      </c>
      <c r="Z12" t="s">
        <v>126</v>
      </c>
    </row>
    <row r="13" spans="2:32" ht="15" customHeight="1">
      <c r="B13" s="98" t="s">
        <v>37</v>
      </c>
      <c r="C13" s="99"/>
      <c r="D13" s="99"/>
      <c r="E13" s="99"/>
      <c r="F13" s="100"/>
      <c r="G13" s="14">
        <f>G10*G8*10^-3</f>
        <v>2449.1919342175679</v>
      </c>
      <c r="K13" s="12" t="s">
        <v>52</v>
      </c>
      <c r="L13" s="12">
        <v>6.2</v>
      </c>
      <c r="M13" s="12">
        <f t="shared" si="1"/>
        <v>124</v>
      </c>
      <c r="N13" s="22">
        <f t="shared" si="0"/>
        <v>3.3328482740177963</v>
      </c>
      <c r="O13" s="22">
        <f t="shared" si="2"/>
        <v>1.6664241370088981</v>
      </c>
      <c r="P13" s="12">
        <v>1</v>
      </c>
      <c r="Q13" s="12"/>
      <c r="S13" s="25" t="s">
        <v>71</v>
      </c>
      <c r="T13" s="26">
        <f>O12+O11+O8</f>
        <v>4.5423496637823195</v>
      </c>
      <c r="V13" s="59" t="s">
        <v>52</v>
      </c>
      <c r="W13" s="12">
        <f>W12</f>
        <v>12.408588332028623</v>
      </c>
      <c r="X13" s="60">
        <v>124</v>
      </c>
      <c r="Z13" t="s">
        <v>54</v>
      </c>
      <c r="AA13">
        <f>W15</f>
        <v>2.5757899967207436</v>
      </c>
      <c r="AB13">
        <f>X15</f>
        <v>126</v>
      </c>
      <c r="AD13" t="s">
        <v>127</v>
      </c>
    </row>
    <row r="14" spans="2:32" ht="15" customHeight="1" thickBot="1">
      <c r="B14" s="98" t="s">
        <v>35</v>
      </c>
      <c r="C14" s="99"/>
      <c r="D14" s="99"/>
      <c r="E14" s="99"/>
      <c r="F14" s="100"/>
      <c r="G14" s="14">
        <f>G13*1.5</f>
        <v>3673.7879013263519</v>
      </c>
      <c r="K14" s="12" t="s">
        <v>53</v>
      </c>
      <c r="L14" s="12">
        <v>4.5</v>
      </c>
      <c r="M14" s="12">
        <f t="shared" si="1"/>
        <v>90</v>
      </c>
      <c r="N14" s="22">
        <f t="shared" si="0"/>
        <v>2.4190027795290456</v>
      </c>
      <c r="O14" s="22">
        <f t="shared" si="2"/>
        <v>1.2095013897645228</v>
      </c>
      <c r="P14" s="12">
        <v>1</v>
      </c>
      <c r="Q14" s="12"/>
      <c r="S14" s="27" t="s">
        <v>72</v>
      </c>
      <c r="T14" s="28">
        <f>O14+O13</f>
        <v>2.8759255267734209</v>
      </c>
      <c r="V14" s="59" t="s">
        <v>53</v>
      </c>
      <c r="W14" s="12">
        <f>W12-T14</f>
        <v>9.5326628052552032</v>
      </c>
      <c r="X14" s="60">
        <v>90</v>
      </c>
      <c r="Z14" t="s">
        <v>51</v>
      </c>
      <c r="AA14">
        <f>W12</f>
        <v>12.408588332028623</v>
      </c>
      <c r="AB14">
        <f>X12</f>
        <v>110</v>
      </c>
      <c r="AD14" t="s">
        <v>44</v>
      </c>
      <c r="AE14">
        <f>W5</f>
        <v>12.408588332028623</v>
      </c>
      <c r="AF14">
        <f>X5</f>
        <v>160</v>
      </c>
    </row>
    <row r="15" spans="2:32">
      <c r="B15" s="98" t="s">
        <v>57</v>
      </c>
      <c r="C15" s="99"/>
      <c r="D15" s="99"/>
      <c r="E15" s="99"/>
      <c r="F15" s="100"/>
      <c r="G15" s="29">
        <f>(G14/(24*60*60))*10^3</f>
        <v>42.520693302388338</v>
      </c>
      <c r="K15" s="13" t="s">
        <v>54</v>
      </c>
      <c r="L15" s="13">
        <v>6.3</v>
      </c>
      <c r="M15" s="13">
        <f t="shared" si="1"/>
        <v>126</v>
      </c>
      <c r="N15" s="22">
        <f t="shared" si="0"/>
        <v>3.386603891340664</v>
      </c>
      <c r="O15" s="22">
        <f t="shared" si="2"/>
        <v>1.693301945670332</v>
      </c>
      <c r="P15" s="13"/>
      <c r="Q15" s="13">
        <v>1.2</v>
      </c>
      <c r="S15" s="30" t="s">
        <v>38</v>
      </c>
      <c r="T15" s="31">
        <f>SUM(T5:T14)</f>
        <v>42.520693302388338</v>
      </c>
      <c r="V15" s="59" t="s">
        <v>54</v>
      </c>
      <c r="W15" s="12">
        <f>(W14-T11)/2</f>
        <v>2.5757899967207436</v>
      </c>
      <c r="X15" s="60">
        <v>126</v>
      </c>
      <c r="Z15" t="s">
        <v>56</v>
      </c>
      <c r="AA15">
        <f>W17</f>
        <v>2</v>
      </c>
      <c r="AB15">
        <f>X17</f>
        <v>122</v>
      </c>
      <c r="AD15" t="s">
        <v>45</v>
      </c>
      <c r="AE15">
        <f>W6</f>
        <v>8.860717588719357</v>
      </c>
      <c r="AF15">
        <f>X6</f>
        <v>104</v>
      </c>
    </row>
    <row r="16" spans="2:32">
      <c r="B16" s="9"/>
      <c r="C16" s="10"/>
      <c r="D16" s="10"/>
      <c r="E16" s="10"/>
      <c r="F16" s="11"/>
      <c r="K16" s="12" t="s">
        <v>55</v>
      </c>
      <c r="L16" s="12">
        <v>5.5</v>
      </c>
      <c r="M16" s="12">
        <f t="shared" si="1"/>
        <v>110</v>
      </c>
      <c r="N16" s="22">
        <f t="shared" si="0"/>
        <v>2.9565589527577227</v>
      </c>
      <c r="O16" s="22">
        <f t="shared" si="2"/>
        <v>1.4782794763788614</v>
      </c>
      <c r="P16" s="12">
        <v>2</v>
      </c>
      <c r="Q16" s="12"/>
      <c r="V16" s="59" t="s">
        <v>55</v>
      </c>
      <c r="W16" s="12">
        <f>(W14-T11)/2</f>
        <v>2.5757899967207436</v>
      </c>
      <c r="X16" s="60">
        <v>110</v>
      </c>
      <c r="Z16" t="s">
        <v>48</v>
      </c>
      <c r="AA16">
        <f>W9</f>
        <v>2.8490477181119873</v>
      </c>
      <c r="AB16">
        <f>X9</f>
        <v>100</v>
      </c>
      <c r="AD16" t="s">
        <v>47</v>
      </c>
      <c r="AE16">
        <f>W8</f>
        <v>3.9331193341231518</v>
      </c>
      <c r="AF16">
        <f>X8</f>
        <v>136</v>
      </c>
    </row>
    <row r="17" spans="2:32" ht="15.75" thickBot="1">
      <c r="B17" s="113" t="s">
        <v>6</v>
      </c>
      <c r="C17" s="114"/>
      <c r="D17" s="114"/>
      <c r="E17" s="114"/>
      <c r="F17" s="115"/>
      <c r="G17" s="7">
        <f>60+(G5/5)</f>
        <v>70.400000000000006</v>
      </c>
      <c r="H17">
        <f>G17*24</f>
        <v>1689.6000000000001</v>
      </c>
      <c r="I17" t="s">
        <v>76</v>
      </c>
      <c r="K17" s="12" t="s">
        <v>56</v>
      </c>
      <c r="L17" s="12">
        <v>6.1</v>
      </c>
      <c r="M17" s="12">
        <f t="shared" si="1"/>
        <v>122</v>
      </c>
      <c r="N17" s="22">
        <f t="shared" si="0"/>
        <v>3.2790926566949286</v>
      </c>
      <c r="O17" s="22">
        <f t="shared" si="2"/>
        <v>1.6395463283474643</v>
      </c>
      <c r="P17" s="12">
        <v>2</v>
      </c>
      <c r="Q17" s="12"/>
      <c r="V17" s="61" t="s">
        <v>56</v>
      </c>
      <c r="W17" s="62">
        <v>2</v>
      </c>
      <c r="X17" s="63">
        <v>122</v>
      </c>
      <c r="Z17" t="s">
        <v>49</v>
      </c>
      <c r="AA17">
        <f>W10</f>
        <v>2.1278265190301795</v>
      </c>
      <c r="AB17">
        <f>X10</f>
        <v>108</v>
      </c>
      <c r="AD17" t="s">
        <v>51</v>
      </c>
      <c r="AE17">
        <f>W12</f>
        <v>12.408588332028623</v>
      </c>
      <c r="AF17">
        <f>X12</f>
        <v>110</v>
      </c>
    </row>
    <row r="18" spans="2:32" ht="15" customHeight="1">
      <c r="B18" s="110" t="s">
        <v>5</v>
      </c>
      <c r="C18" s="111"/>
      <c r="D18" s="111"/>
      <c r="E18" s="111"/>
      <c r="F18" s="112"/>
      <c r="G18" s="2">
        <v>40</v>
      </c>
      <c r="K18" s="15" t="s">
        <v>38</v>
      </c>
      <c r="L18">
        <f>SUM(L5:L17)</f>
        <v>79.099999999999994</v>
      </c>
      <c r="M18">
        <f>SUM(M5:M17)</f>
        <v>1582</v>
      </c>
      <c r="N18" s="12"/>
    </row>
    <row r="19" spans="2:32" ht="15" customHeight="1">
      <c r="B19" s="102" t="s">
        <v>4</v>
      </c>
      <c r="C19" s="103"/>
      <c r="D19" s="103"/>
      <c r="E19" s="103"/>
      <c r="F19" s="104"/>
      <c r="G19" s="116">
        <v>4</v>
      </c>
    </row>
    <row r="20" spans="2:32">
      <c r="B20" s="105"/>
      <c r="C20" s="106"/>
      <c r="D20" s="106"/>
      <c r="E20" s="106"/>
      <c r="F20" s="107"/>
      <c r="G20" s="117"/>
    </row>
    <row r="21" spans="2:32">
      <c r="B21" s="19" t="s">
        <v>3</v>
      </c>
      <c r="C21" s="20"/>
      <c r="D21" s="20"/>
      <c r="E21" s="20"/>
      <c r="F21" s="21"/>
      <c r="G21" s="5">
        <v>30</v>
      </c>
    </row>
    <row r="23" spans="2:32">
      <c r="B23" t="s">
        <v>58</v>
      </c>
      <c r="C23">
        <f>G15/M18</f>
        <v>2.6877808661433841E-2</v>
      </c>
      <c r="D23" t="s">
        <v>59</v>
      </c>
    </row>
    <row r="35" spans="11:28">
      <c r="X35" s="96" t="s">
        <v>30</v>
      </c>
      <c r="Y35" s="96"/>
      <c r="AA35" s="96" t="s">
        <v>31</v>
      </c>
      <c r="AB35" s="96" t="s">
        <v>32</v>
      </c>
    </row>
    <row r="36" spans="11:28">
      <c r="X36" s="96"/>
      <c r="Y36" s="96"/>
      <c r="AA36" s="96"/>
      <c r="AB36" s="96"/>
    </row>
    <row r="37" spans="11:28">
      <c r="X37" s="5">
        <v>50</v>
      </c>
      <c r="Y37" s="5">
        <v>180</v>
      </c>
      <c r="AA37" s="6">
        <v>1</v>
      </c>
      <c r="AB37" s="6">
        <v>32</v>
      </c>
    </row>
    <row r="38" spans="11:28">
      <c r="K38" s="3"/>
      <c r="X38" s="5">
        <v>63</v>
      </c>
      <c r="Y38" s="5">
        <v>200</v>
      </c>
      <c r="AA38" s="6">
        <v>2</v>
      </c>
      <c r="AB38" s="6">
        <v>35</v>
      </c>
    </row>
    <row r="39" spans="11:28">
      <c r="X39" s="5">
        <v>75</v>
      </c>
      <c r="Y39" s="5">
        <v>225</v>
      </c>
      <c r="AA39" s="6">
        <v>3</v>
      </c>
      <c r="AB39" s="6">
        <v>38</v>
      </c>
    </row>
    <row r="40" spans="11:28">
      <c r="X40" s="5">
        <v>90</v>
      </c>
      <c r="Y40" s="5">
        <v>250</v>
      </c>
      <c r="AA40" s="6">
        <v>4</v>
      </c>
      <c r="AB40" s="6">
        <v>41</v>
      </c>
    </row>
    <row r="41" spans="11:28">
      <c r="X41" s="5">
        <v>110</v>
      </c>
      <c r="Y41" s="5">
        <v>280</v>
      </c>
      <c r="AA41" s="6">
        <v>5</v>
      </c>
      <c r="AB41" s="6">
        <v>44</v>
      </c>
    </row>
    <row r="42" spans="11:28">
      <c r="X42" s="5">
        <v>125</v>
      </c>
      <c r="Y42" s="5">
        <v>315</v>
      </c>
    </row>
    <row r="43" spans="11:28">
      <c r="X43" s="5">
        <v>140</v>
      </c>
      <c r="Y43" s="5">
        <v>355</v>
      </c>
    </row>
    <row r="44" spans="11:28">
      <c r="X44" s="5">
        <v>160</v>
      </c>
      <c r="Y44" s="5">
        <v>400</v>
      </c>
    </row>
  </sheetData>
  <mergeCells count="17">
    <mergeCell ref="B3:G4"/>
    <mergeCell ref="B6:F6"/>
    <mergeCell ref="X35:Y36"/>
    <mergeCell ref="AA35:AA36"/>
    <mergeCell ref="B14:F14"/>
    <mergeCell ref="B10:F11"/>
    <mergeCell ref="G10:G11"/>
    <mergeCell ref="B15:F15"/>
    <mergeCell ref="B19:F20"/>
    <mergeCell ref="B18:F18"/>
    <mergeCell ref="B17:F17"/>
    <mergeCell ref="G19:G20"/>
    <mergeCell ref="AB35:AB36"/>
    <mergeCell ref="B5:F5"/>
    <mergeCell ref="B7:F7"/>
    <mergeCell ref="B13:F13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topLeftCell="F7" workbookViewId="0">
      <selection activeCell="H31" sqref="H31"/>
    </sheetView>
  </sheetViews>
  <sheetFormatPr defaultRowHeight="15"/>
  <cols>
    <col min="1" max="2" width="2" style="34" bestFit="1" customWidth="1"/>
    <col min="3" max="3" width="5.7109375" style="34" bestFit="1" customWidth="1"/>
    <col min="4" max="4" width="9.42578125" style="34" bestFit="1" customWidth="1"/>
    <col min="5" max="5" width="9" style="34" bestFit="1" customWidth="1"/>
    <col min="6" max="6" width="16.5703125" style="34" bestFit="1" customWidth="1"/>
    <col min="7" max="7" width="12.7109375" style="34" bestFit="1" customWidth="1"/>
    <col min="8" max="8" width="23" style="34" bestFit="1" customWidth="1"/>
    <col min="9" max="9" width="22.7109375" style="34" bestFit="1" customWidth="1"/>
    <col min="10" max="10" width="26" style="34" bestFit="1" customWidth="1"/>
    <col min="11" max="11" width="13.85546875" style="34" bestFit="1" customWidth="1"/>
    <col min="12" max="16384" width="9.140625" style="34"/>
  </cols>
  <sheetData>
    <row r="1" spans="1:11">
      <c r="A1" s="118"/>
      <c r="B1" s="119"/>
      <c r="C1" s="4" t="s">
        <v>7</v>
      </c>
      <c r="D1" s="4" t="s">
        <v>75</v>
      </c>
      <c r="E1" s="41" t="s">
        <v>97</v>
      </c>
      <c r="F1" s="4" t="s">
        <v>87</v>
      </c>
      <c r="G1" s="4" t="s">
        <v>88</v>
      </c>
      <c r="I1" s="4" t="s">
        <v>77</v>
      </c>
      <c r="J1" s="4" t="s">
        <v>78</v>
      </c>
    </row>
    <row r="2" spans="1:11">
      <c r="A2" s="34">
        <v>2</v>
      </c>
      <c r="B2" s="34">
        <v>8</v>
      </c>
      <c r="C2" s="39" t="s">
        <v>86</v>
      </c>
      <c r="D2" s="5">
        <v>2</v>
      </c>
      <c r="E2" s="31">
        <f>-I$3/24</f>
        <v>-2.8744174360712313</v>
      </c>
      <c r="F2" s="31">
        <v>0</v>
      </c>
      <c r="G2" s="46">
        <f>SUM(D2:F2)</f>
        <v>-0.87441743607123135</v>
      </c>
      <c r="I2" s="5" t="s">
        <v>79</v>
      </c>
      <c r="J2" s="5" t="s">
        <v>80</v>
      </c>
    </row>
    <row r="3" spans="1:11">
      <c r="A3" s="34">
        <v>2</v>
      </c>
      <c r="B3" s="34">
        <v>8</v>
      </c>
      <c r="C3" s="39" t="s">
        <v>8</v>
      </c>
      <c r="D3" s="5">
        <v>2</v>
      </c>
      <c r="E3" s="31">
        <f t="shared" ref="E3:E25" si="0">-I$3/24</f>
        <v>-2.8744174360712313</v>
      </c>
      <c r="F3" s="31">
        <v>0</v>
      </c>
      <c r="G3" s="46">
        <f>SUM(D3:F3)+G2</f>
        <v>-1.7488348721424627</v>
      </c>
      <c r="I3" s="8">
        <f>'Υπολογισμός Παροχών 1.1'!H17/'Υπολογισμός Παροχών 1.1'!G13*100</f>
        <v>68.986018465709549</v>
      </c>
      <c r="J3" s="8">
        <f>100-I3</f>
        <v>31.013981534290451</v>
      </c>
    </row>
    <row r="4" spans="1:11">
      <c r="A4" s="34">
        <v>2</v>
      </c>
      <c r="B4" s="34">
        <v>8</v>
      </c>
      <c r="C4" s="39" t="s">
        <v>9</v>
      </c>
      <c r="D4" s="5">
        <v>2</v>
      </c>
      <c r="E4" s="31">
        <f t="shared" si="0"/>
        <v>-2.8744174360712313</v>
      </c>
      <c r="F4" s="31">
        <v>0</v>
      </c>
      <c r="G4" s="46">
        <f t="shared" ref="G4:G25" si="1">SUM(D4:F4)+G3</f>
        <v>-2.623252308213694</v>
      </c>
      <c r="H4" s="108" t="s">
        <v>81</v>
      </c>
      <c r="I4" s="5" t="s">
        <v>99</v>
      </c>
      <c r="J4" s="5" t="s">
        <v>98</v>
      </c>
    </row>
    <row r="5" spans="1:11">
      <c r="A5" s="34">
        <v>2</v>
      </c>
      <c r="B5" s="34">
        <v>8</v>
      </c>
      <c r="C5" s="39" t="s">
        <v>10</v>
      </c>
      <c r="D5" s="5">
        <v>2</v>
      </c>
      <c r="E5" s="31">
        <f t="shared" si="0"/>
        <v>-2.8744174360712313</v>
      </c>
      <c r="F5" s="31">
        <v>0</v>
      </c>
      <c r="G5" s="46">
        <f t="shared" si="1"/>
        <v>-3.4976697442849254</v>
      </c>
      <c r="H5" s="109"/>
      <c r="I5" s="40">
        <f>-I3/24</f>
        <v>-2.8744174360712313</v>
      </c>
      <c r="J5" s="40">
        <f>-J3/12</f>
        <v>-2.5844984611908708</v>
      </c>
    </row>
    <row r="6" spans="1:11">
      <c r="A6" s="34">
        <v>2</v>
      </c>
      <c r="B6" s="34">
        <v>8</v>
      </c>
      <c r="C6" s="39" t="s">
        <v>11</v>
      </c>
      <c r="D6" s="5">
        <v>3</v>
      </c>
      <c r="E6" s="31">
        <f t="shared" si="0"/>
        <v>-2.8744174360712313</v>
      </c>
      <c r="F6" s="31">
        <v>0</v>
      </c>
      <c r="G6" s="46">
        <f t="shared" si="1"/>
        <v>-3.3720871803561567</v>
      </c>
    </row>
    <row r="7" spans="1:11">
      <c r="A7" s="34">
        <v>2</v>
      </c>
      <c r="B7" s="34">
        <v>8</v>
      </c>
      <c r="C7" s="39" t="s">
        <v>12</v>
      </c>
      <c r="D7" s="5">
        <v>3</v>
      </c>
      <c r="E7" s="31">
        <f t="shared" si="0"/>
        <v>-2.8744174360712313</v>
      </c>
      <c r="F7" s="31">
        <v>0</v>
      </c>
      <c r="G7" s="46">
        <f t="shared" si="1"/>
        <v>-3.2465046164273881</v>
      </c>
      <c r="H7" s="34" t="s">
        <v>90</v>
      </c>
      <c r="I7" s="46">
        <f>MAX(G2:G25)</f>
        <v>8.8356635890484068</v>
      </c>
    </row>
    <row r="8" spans="1:11">
      <c r="A8" s="34">
        <v>2</v>
      </c>
      <c r="B8" s="34">
        <v>8</v>
      </c>
      <c r="C8" s="39" t="s">
        <v>13</v>
      </c>
      <c r="D8" s="5">
        <v>4</v>
      </c>
      <c r="E8" s="31">
        <f t="shared" si="0"/>
        <v>-2.8744174360712313</v>
      </c>
      <c r="F8" s="31">
        <v>0</v>
      </c>
      <c r="G8" s="46">
        <f t="shared" si="1"/>
        <v>-2.1209220524986194</v>
      </c>
      <c r="H8" s="34" t="s">
        <v>89</v>
      </c>
      <c r="I8" s="46">
        <f>MIN(G2:G25)</f>
        <v>-3.4976697442849254</v>
      </c>
    </row>
    <row r="9" spans="1:11">
      <c r="A9" s="34">
        <v>2</v>
      </c>
      <c r="B9" s="34">
        <v>8</v>
      </c>
      <c r="C9" s="39" t="s">
        <v>14</v>
      </c>
      <c r="D9" s="5">
        <v>5</v>
      </c>
      <c r="E9" s="31">
        <f t="shared" si="0"/>
        <v>-2.8744174360712313</v>
      </c>
      <c r="F9" s="31">
        <v>0</v>
      </c>
      <c r="G9" s="46">
        <f t="shared" si="1"/>
        <v>4.6605114301492279E-3</v>
      </c>
      <c r="H9" s="34" t="s">
        <v>100</v>
      </c>
      <c r="I9" s="34">
        <f>((ABS(I7)+ABS(I8))/100)*'Υπολογισμός Παροχών 1.1'!G14</f>
        <v>453.10050783025002</v>
      </c>
    </row>
    <row r="10" spans="1:11">
      <c r="A10" s="34">
        <v>2</v>
      </c>
      <c r="B10" s="34">
        <v>8</v>
      </c>
      <c r="C10" s="39" t="s">
        <v>15</v>
      </c>
      <c r="D10" s="5">
        <v>5</v>
      </c>
      <c r="E10" s="31">
        <f t="shared" si="0"/>
        <v>-2.8744174360712313</v>
      </c>
      <c r="F10" s="31">
        <v>0</v>
      </c>
      <c r="G10" s="46">
        <f t="shared" si="1"/>
        <v>2.1302430753589179</v>
      </c>
      <c r="H10" s="34" t="s">
        <v>101</v>
      </c>
      <c r="I10" s="34">
        <f>I9+0.1*I9</f>
        <v>498.41055861327504</v>
      </c>
    </row>
    <row r="11" spans="1:11">
      <c r="A11" s="34">
        <v>2</v>
      </c>
      <c r="B11" s="34">
        <v>8</v>
      </c>
      <c r="C11" s="39" t="s">
        <v>16</v>
      </c>
      <c r="D11" s="5">
        <v>6</v>
      </c>
      <c r="E11" s="31">
        <f t="shared" si="0"/>
        <v>-2.8744174360712313</v>
      </c>
      <c r="F11" s="31">
        <f>-J$3/12</f>
        <v>-2.5844984611908708</v>
      </c>
      <c r="G11" s="46">
        <f t="shared" si="1"/>
        <v>2.6713271780968157</v>
      </c>
    </row>
    <row r="12" spans="1:11">
      <c r="A12" s="34">
        <v>2</v>
      </c>
      <c r="B12" s="34">
        <v>8</v>
      </c>
      <c r="C12" s="39" t="s">
        <v>17</v>
      </c>
      <c r="D12" s="5">
        <v>7</v>
      </c>
      <c r="E12" s="31">
        <f t="shared" si="0"/>
        <v>-2.8744174360712313</v>
      </c>
      <c r="F12" s="31">
        <f t="shared" ref="F12:F22" si="2">-J$3/12</f>
        <v>-2.5844984611908708</v>
      </c>
      <c r="G12" s="46">
        <f t="shared" si="1"/>
        <v>4.2124112808347132</v>
      </c>
      <c r="I12" s="5" t="s">
        <v>82</v>
      </c>
      <c r="J12" s="5" t="s">
        <v>83</v>
      </c>
      <c r="K12" s="5" t="s">
        <v>84</v>
      </c>
    </row>
    <row r="13" spans="1:11">
      <c r="A13" s="34">
        <v>2</v>
      </c>
      <c r="B13" s="34">
        <v>8</v>
      </c>
      <c r="C13" s="39" t="s">
        <v>18</v>
      </c>
      <c r="D13" s="5">
        <v>7</v>
      </c>
      <c r="E13" s="31">
        <f t="shared" si="0"/>
        <v>-2.8744174360712313</v>
      </c>
      <c r="F13" s="31">
        <f t="shared" si="2"/>
        <v>-2.5844984611908708</v>
      </c>
      <c r="G13" s="46">
        <f t="shared" si="1"/>
        <v>5.753495383572611</v>
      </c>
      <c r="I13" s="44">
        <f>I10</f>
        <v>498.41055861327504</v>
      </c>
      <c r="J13" s="5">
        <v>3</v>
      </c>
      <c r="K13" s="42">
        <f>SQRT((4*I13)/(3.14*J13))</f>
        <v>14.547828120393056</v>
      </c>
    </row>
    <row r="14" spans="1:11">
      <c r="A14" s="34">
        <v>2</v>
      </c>
      <c r="B14" s="34">
        <v>8</v>
      </c>
      <c r="C14" s="39" t="s">
        <v>19</v>
      </c>
      <c r="D14" s="5">
        <v>8</v>
      </c>
      <c r="E14" s="31">
        <f t="shared" si="0"/>
        <v>-2.8744174360712313</v>
      </c>
      <c r="F14" s="31">
        <f t="shared" si="2"/>
        <v>-2.5844984611908708</v>
      </c>
      <c r="G14" s="46">
        <f t="shared" si="1"/>
        <v>8.2945794863105089</v>
      </c>
    </row>
    <row r="15" spans="1:11">
      <c r="A15" s="34">
        <v>2</v>
      </c>
      <c r="B15" s="34">
        <v>8</v>
      </c>
      <c r="C15" s="39" t="s">
        <v>20</v>
      </c>
      <c r="D15" s="5">
        <v>6</v>
      </c>
      <c r="E15" s="31">
        <f t="shared" si="0"/>
        <v>-2.8744174360712313</v>
      </c>
      <c r="F15" s="31">
        <f t="shared" si="2"/>
        <v>-2.5844984611908708</v>
      </c>
      <c r="G15" s="46">
        <f t="shared" si="1"/>
        <v>8.8356635890484068</v>
      </c>
    </row>
    <row r="16" spans="1:11">
      <c r="A16" s="34">
        <v>2</v>
      </c>
      <c r="B16" s="34">
        <v>8</v>
      </c>
      <c r="C16" s="39" t="s">
        <v>21</v>
      </c>
      <c r="D16" s="5">
        <v>5</v>
      </c>
      <c r="E16" s="31">
        <f t="shared" si="0"/>
        <v>-2.8744174360712313</v>
      </c>
      <c r="F16" s="31">
        <f t="shared" si="2"/>
        <v>-2.5844984611908708</v>
      </c>
      <c r="G16" s="46">
        <f t="shared" si="1"/>
        <v>8.3767476917863046</v>
      </c>
    </row>
    <row r="17" spans="1:7">
      <c r="A17" s="34">
        <v>2</v>
      </c>
      <c r="B17" s="34">
        <v>8</v>
      </c>
      <c r="C17" s="39" t="s">
        <v>22</v>
      </c>
      <c r="D17" s="5">
        <v>5</v>
      </c>
      <c r="E17" s="31">
        <f t="shared" si="0"/>
        <v>-2.8744174360712313</v>
      </c>
      <c r="F17" s="31">
        <f t="shared" si="2"/>
        <v>-2.5844984611908708</v>
      </c>
      <c r="G17" s="46">
        <f t="shared" si="1"/>
        <v>7.9178317945242025</v>
      </c>
    </row>
    <row r="18" spans="1:7">
      <c r="A18" s="34">
        <v>2</v>
      </c>
      <c r="B18" s="34">
        <v>8</v>
      </c>
      <c r="C18" s="39" t="s">
        <v>23</v>
      </c>
      <c r="D18" s="5">
        <v>5</v>
      </c>
      <c r="E18" s="31">
        <f t="shared" si="0"/>
        <v>-2.8744174360712313</v>
      </c>
      <c r="F18" s="31">
        <f t="shared" si="2"/>
        <v>-2.5844984611908708</v>
      </c>
      <c r="G18" s="46">
        <f t="shared" si="1"/>
        <v>7.4589158972621004</v>
      </c>
    </row>
    <row r="19" spans="1:7">
      <c r="A19" s="34">
        <v>2</v>
      </c>
      <c r="B19" s="34">
        <v>8</v>
      </c>
      <c r="C19" s="39" t="s">
        <v>24</v>
      </c>
      <c r="D19" s="5">
        <v>6</v>
      </c>
      <c r="E19" s="31">
        <f t="shared" si="0"/>
        <v>-2.8744174360712313</v>
      </c>
      <c r="F19" s="31">
        <f t="shared" si="2"/>
        <v>-2.5844984611908708</v>
      </c>
      <c r="G19" s="46">
        <f t="shared" si="1"/>
        <v>7.9999999999999982</v>
      </c>
    </row>
    <row r="20" spans="1:7">
      <c r="A20" s="34">
        <v>2</v>
      </c>
      <c r="B20" s="34">
        <v>8</v>
      </c>
      <c r="C20" s="39" t="s">
        <v>25</v>
      </c>
      <c r="D20" s="5">
        <v>4</v>
      </c>
      <c r="E20" s="31">
        <f t="shared" si="0"/>
        <v>-2.8744174360712313</v>
      </c>
      <c r="F20" s="31">
        <f t="shared" si="2"/>
        <v>-2.5844984611908708</v>
      </c>
      <c r="G20" s="46">
        <f t="shared" si="1"/>
        <v>6.5410841027378961</v>
      </c>
    </row>
    <row r="21" spans="1:7">
      <c r="A21" s="34">
        <v>2</v>
      </c>
      <c r="B21" s="34">
        <v>8</v>
      </c>
      <c r="C21" s="39" t="s">
        <v>26</v>
      </c>
      <c r="D21" s="5">
        <v>4</v>
      </c>
      <c r="E21" s="31">
        <f t="shared" si="0"/>
        <v>-2.8744174360712313</v>
      </c>
      <c r="F21" s="31">
        <f t="shared" si="2"/>
        <v>-2.5844984611908708</v>
      </c>
      <c r="G21" s="46">
        <f t="shared" si="1"/>
        <v>5.082168205475794</v>
      </c>
    </row>
    <row r="22" spans="1:7">
      <c r="A22" s="34">
        <v>2</v>
      </c>
      <c r="B22" s="34">
        <v>8</v>
      </c>
      <c r="C22" s="39" t="s">
        <v>27</v>
      </c>
      <c r="D22" s="5">
        <v>3</v>
      </c>
      <c r="E22" s="31">
        <f t="shared" si="0"/>
        <v>-2.8744174360712313</v>
      </c>
      <c r="F22" s="31">
        <f t="shared" si="2"/>
        <v>-2.5844984611908708</v>
      </c>
      <c r="G22" s="46">
        <f t="shared" si="1"/>
        <v>2.6232523082136918</v>
      </c>
    </row>
    <row r="23" spans="1:7">
      <c r="A23" s="34">
        <v>2</v>
      </c>
      <c r="B23" s="34">
        <v>8</v>
      </c>
      <c r="C23" s="39" t="s">
        <v>28</v>
      </c>
      <c r="D23" s="5">
        <v>2</v>
      </c>
      <c r="E23" s="31">
        <f t="shared" si="0"/>
        <v>-2.8744174360712313</v>
      </c>
      <c r="F23" s="31">
        <v>0</v>
      </c>
      <c r="G23" s="46">
        <f t="shared" si="1"/>
        <v>1.7488348721424605</v>
      </c>
    </row>
    <row r="24" spans="1:7">
      <c r="A24" s="34">
        <v>2</v>
      </c>
      <c r="B24" s="34">
        <v>8</v>
      </c>
      <c r="C24" s="39" t="s">
        <v>29</v>
      </c>
      <c r="D24" s="5">
        <v>2</v>
      </c>
      <c r="E24" s="31">
        <f t="shared" si="0"/>
        <v>-2.8744174360712313</v>
      </c>
      <c r="F24" s="31">
        <v>0</v>
      </c>
      <c r="G24" s="46">
        <f t="shared" si="1"/>
        <v>0.87441743607122913</v>
      </c>
    </row>
    <row r="25" spans="1:7">
      <c r="A25" s="34">
        <v>2</v>
      </c>
      <c r="B25" s="34">
        <v>8</v>
      </c>
      <c r="C25" s="39" t="s">
        <v>85</v>
      </c>
      <c r="D25" s="5">
        <v>2</v>
      </c>
      <c r="E25" s="31">
        <f t="shared" si="0"/>
        <v>-2.8744174360712313</v>
      </c>
      <c r="F25" s="31">
        <v>0</v>
      </c>
      <c r="G25" s="46">
        <f t="shared" si="1"/>
        <v>-2.2204460492503131E-15</v>
      </c>
    </row>
    <row r="26" spans="1:7">
      <c r="D26" s="34">
        <f>SUM(D2:D25)</f>
        <v>100</v>
      </c>
      <c r="E26" s="45">
        <f t="shared" ref="E26:F26" si="3">SUM(E2:E25)</f>
        <v>-68.986018465709563</v>
      </c>
      <c r="F26" s="45">
        <f t="shared" si="3"/>
        <v>-31.013981534290455</v>
      </c>
    </row>
  </sheetData>
  <mergeCells count="2">
    <mergeCell ref="A1:B1"/>
    <mergeCell ref="H4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G28"/>
  <sheetViews>
    <sheetView topLeftCell="K83" workbookViewId="0">
      <selection activeCell="E17" sqref="E17:R106"/>
    </sheetView>
  </sheetViews>
  <sheetFormatPr defaultColWidth="19.28515625" defaultRowHeight="15"/>
  <cols>
    <col min="1" max="1" width="36.7109375" bestFit="1" customWidth="1"/>
    <col min="2" max="2" width="9.28515625" bestFit="1" customWidth="1"/>
    <col min="3" max="3" width="16.28515625" customWidth="1"/>
    <col min="5" max="5" width="67.140625" customWidth="1"/>
    <col min="6" max="6" width="5" bestFit="1" customWidth="1"/>
    <col min="7" max="7" width="7.140625" bestFit="1" customWidth="1"/>
  </cols>
  <sheetData>
    <row r="4" spans="1:7">
      <c r="A4" s="47" t="s">
        <v>102</v>
      </c>
      <c r="B4" s="48">
        <v>3580</v>
      </c>
      <c r="C4" s="5" t="s">
        <v>108</v>
      </c>
    </row>
    <row r="5" spans="1:7">
      <c r="A5" s="47" t="s">
        <v>103</v>
      </c>
      <c r="B5" s="49">
        <v>120</v>
      </c>
      <c r="C5" s="5" t="s">
        <v>108</v>
      </c>
      <c r="E5" s="47" t="s">
        <v>102</v>
      </c>
      <c r="F5" s="49">
        <v>1000</v>
      </c>
      <c r="G5" s="5" t="s">
        <v>108</v>
      </c>
    </row>
    <row r="6" spans="1:7">
      <c r="A6" s="47" t="s">
        <v>104</v>
      </c>
      <c r="B6" s="47">
        <f>'Υπολογισμός Παροχών 1.1'!G17</f>
        <v>70.400000000000006</v>
      </c>
      <c r="C6" s="5" t="s">
        <v>107</v>
      </c>
      <c r="E6" s="47" t="s">
        <v>118</v>
      </c>
      <c r="F6" s="49">
        <v>20</v>
      </c>
      <c r="G6" s="54" t="s">
        <v>108</v>
      </c>
    </row>
    <row r="7" spans="1:7">
      <c r="A7" s="47" t="s">
        <v>105</v>
      </c>
      <c r="B7" s="49">
        <v>1</v>
      </c>
      <c r="C7" s="5" t="s">
        <v>109</v>
      </c>
      <c r="E7" s="47" t="s">
        <v>119</v>
      </c>
      <c r="F7" s="49">
        <v>63</v>
      </c>
      <c r="G7" s="5" t="s">
        <v>108</v>
      </c>
    </row>
    <row r="8" spans="1:7">
      <c r="A8" s="47" t="s">
        <v>106</v>
      </c>
      <c r="B8" s="49">
        <v>0.5</v>
      </c>
      <c r="C8" s="5" t="s">
        <v>109</v>
      </c>
      <c r="E8" s="55" t="s">
        <v>120</v>
      </c>
      <c r="F8" s="49">
        <v>116</v>
      </c>
      <c r="G8" s="5" t="s">
        <v>121</v>
      </c>
    </row>
    <row r="9" spans="1:7">
      <c r="A9" s="50" t="s">
        <v>110</v>
      </c>
      <c r="B9">
        <f>SQRT(B7*((B6*4*(1/3600))/PI()))</f>
        <v>0.15779387393875194</v>
      </c>
      <c r="C9" s="52" t="s">
        <v>108</v>
      </c>
      <c r="E9" s="54" t="s">
        <v>122</v>
      </c>
      <c r="F9" s="12">
        <f>F8*1000/3600</f>
        <v>32.222222222222221</v>
      </c>
      <c r="G9" s="6" t="s">
        <v>123</v>
      </c>
    </row>
    <row r="10" spans="1:7">
      <c r="A10" s="50" t="s">
        <v>110</v>
      </c>
      <c r="B10" s="51"/>
      <c r="C10" s="52" t="s">
        <v>111</v>
      </c>
    </row>
    <row r="11" spans="1:7">
      <c r="A11" s="50" t="s">
        <v>113</v>
      </c>
      <c r="B11">
        <v>150</v>
      </c>
      <c r="C11" s="52" t="s">
        <v>114</v>
      </c>
    </row>
    <row r="12" spans="1:7">
      <c r="A12" s="50" t="s">
        <v>112</v>
      </c>
      <c r="B12">
        <f>(2*B4*B7)/(150*9.81)</f>
        <v>4.8657832144070676</v>
      </c>
      <c r="C12" s="52" t="s">
        <v>108</v>
      </c>
    </row>
    <row r="13" spans="1:7">
      <c r="A13" s="50" t="s">
        <v>115</v>
      </c>
      <c r="B13">
        <f>B12+B5</f>
        <v>124.86578321440707</v>
      </c>
      <c r="C13" s="52" t="s">
        <v>108</v>
      </c>
    </row>
    <row r="14" spans="1:7">
      <c r="A14" s="50" t="s">
        <v>115</v>
      </c>
      <c r="B14">
        <f>B13/10</f>
        <v>12.486578321440707</v>
      </c>
      <c r="C14" s="52" t="s">
        <v>116</v>
      </c>
    </row>
    <row r="28" spans="1:1">
      <c r="A28" s="53" t="s">
        <v>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M42"/>
  <sheetViews>
    <sheetView topLeftCell="H4" workbookViewId="0">
      <selection activeCell="K6" sqref="K6:M6"/>
    </sheetView>
  </sheetViews>
  <sheetFormatPr defaultRowHeight="15"/>
  <cols>
    <col min="2" max="2" width="18.5703125" bestFit="1" customWidth="1"/>
    <col min="3" max="3" width="4.85546875" bestFit="1" customWidth="1"/>
    <col min="4" max="4" width="13.140625" bestFit="1" customWidth="1"/>
    <col min="5" max="5" width="12.28515625" bestFit="1" customWidth="1"/>
    <col min="6" max="6" width="16.28515625" bestFit="1" customWidth="1"/>
    <col min="7" max="7" width="5" bestFit="1" customWidth="1"/>
    <col min="8" max="8" width="10.85546875" bestFit="1" customWidth="1"/>
    <col min="11" max="11" width="18.5703125" bestFit="1" customWidth="1"/>
    <col min="12" max="12" width="4" bestFit="1" customWidth="1"/>
    <col min="13" max="13" width="9.28515625" bestFit="1" customWidth="1"/>
  </cols>
  <sheetData>
    <row r="3" spans="2:13">
      <c r="B3" t="s">
        <v>133</v>
      </c>
      <c r="C3">
        <v>96</v>
      </c>
    </row>
    <row r="5" spans="2:13">
      <c r="B5" s="120" t="s">
        <v>156</v>
      </c>
      <c r="C5" s="120"/>
      <c r="D5" s="120"/>
      <c r="F5" s="83" t="s">
        <v>157</v>
      </c>
      <c r="G5" s="83"/>
      <c r="H5" s="83"/>
      <c r="K5" s="121" t="s">
        <v>168</v>
      </c>
      <c r="L5" s="121"/>
      <c r="M5" s="121"/>
    </row>
    <row r="6" spans="2:13">
      <c r="K6" s="69" t="s">
        <v>167</v>
      </c>
      <c r="L6" s="68">
        <f>C15+G12</f>
        <v>448.36897846895278</v>
      </c>
      <c r="M6" t="s">
        <v>161</v>
      </c>
    </row>
    <row r="7" spans="2:13">
      <c r="B7" s="4" t="s">
        <v>148</v>
      </c>
      <c r="C7" s="4" t="s">
        <v>150</v>
      </c>
      <c r="D7" s="4" t="s">
        <v>149</v>
      </c>
      <c r="F7" s="4" t="s">
        <v>148</v>
      </c>
      <c r="G7" s="4" t="s">
        <v>150</v>
      </c>
      <c r="H7" s="4" t="s">
        <v>149</v>
      </c>
    </row>
    <row r="8" spans="2:13">
      <c r="B8" s="4" t="s">
        <v>132</v>
      </c>
      <c r="C8" s="81">
        <v>0.8</v>
      </c>
      <c r="D8" s="4" t="s">
        <v>151</v>
      </c>
      <c r="F8" s="80" t="s">
        <v>165</v>
      </c>
      <c r="G8" s="80">
        <v>10</v>
      </c>
      <c r="H8" s="80" t="s">
        <v>158</v>
      </c>
    </row>
    <row r="9" spans="2:13">
      <c r="B9" s="4" t="s">
        <v>131</v>
      </c>
      <c r="C9" s="81">
        <v>12</v>
      </c>
      <c r="D9" s="4" t="s">
        <v>151</v>
      </c>
      <c r="F9" s="80" t="s">
        <v>164</v>
      </c>
      <c r="G9" s="80">
        <v>0.85</v>
      </c>
      <c r="H9" s="80" t="s">
        <v>151</v>
      </c>
    </row>
    <row r="10" spans="2:13">
      <c r="B10" s="4" t="s">
        <v>130</v>
      </c>
      <c r="C10" s="81">
        <f>24/C9</f>
        <v>2</v>
      </c>
      <c r="D10" s="4" t="s">
        <v>151</v>
      </c>
      <c r="F10" s="80" t="s">
        <v>71</v>
      </c>
      <c r="G10" s="40">
        <f>2.531*(G8/60)^-0.62</f>
        <v>7.6868059988444477</v>
      </c>
      <c r="H10" s="80" t="s">
        <v>159</v>
      </c>
    </row>
    <row r="11" spans="2:13">
      <c r="B11" s="4" t="s">
        <v>140</v>
      </c>
      <c r="C11" s="81">
        <v>1.5</v>
      </c>
      <c r="D11" s="4" t="s">
        <v>151</v>
      </c>
      <c r="F11" s="80" t="s">
        <v>163</v>
      </c>
      <c r="G11" s="42">
        <f>C13/100</f>
        <v>0.20333376</v>
      </c>
      <c r="H11" s="80" t="s">
        <v>160</v>
      </c>
    </row>
    <row r="12" spans="2:13">
      <c r="B12" s="4" t="s">
        <v>139</v>
      </c>
      <c r="C12" s="81">
        <f>220+(C3)</f>
        <v>316</v>
      </c>
      <c r="D12" s="4" t="s">
        <v>152</v>
      </c>
      <c r="F12" s="80" t="s">
        <v>162</v>
      </c>
      <c r="G12" s="8">
        <f>0.278*G9*G10*G11*10^3</f>
        <v>369.33386735784165</v>
      </c>
      <c r="H12" s="80" t="s">
        <v>161</v>
      </c>
    </row>
    <row r="13" spans="2:13">
      <c r="B13" s="4" t="s">
        <v>138</v>
      </c>
      <c r="C13" s="82">
        <f>(G23*H23)/10000</f>
        <v>20.333376000000001</v>
      </c>
      <c r="D13" s="4" t="s">
        <v>153</v>
      </c>
      <c r="F13" s="84"/>
      <c r="G13" s="85"/>
      <c r="H13" s="86"/>
    </row>
    <row r="14" spans="2:13">
      <c r="B14" s="4" t="s">
        <v>134</v>
      </c>
      <c r="C14" s="82">
        <f>9004/C13</f>
        <v>442.81874293771972</v>
      </c>
      <c r="D14" s="4" t="s">
        <v>154</v>
      </c>
      <c r="L14">
        <v>1</v>
      </c>
      <c r="M14" s="40">
        <f>2.531*(L14/60)^-0.62</f>
        <v>32.043940775943597</v>
      </c>
    </row>
    <row r="15" spans="2:13">
      <c r="B15" s="4" t="s">
        <v>155</v>
      </c>
      <c r="C15" s="82">
        <f>(C8*C10*C11*C12*C13*C14)/(24*3600)</f>
        <v>79.035111111111121</v>
      </c>
      <c r="D15" s="4" t="s">
        <v>161</v>
      </c>
      <c r="J15" s="67"/>
      <c r="K15" s="43"/>
      <c r="L15">
        <v>4</v>
      </c>
      <c r="M15" s="40">
        <f t="shared" ref="M15:M42" si="0">2.531*(L15/60)^-0.62</f>
        <v>13.566528320826341</v>
      </c>
    </row>
    <row r="16" spans="2:13">
      <c r="L16">
        <v>7</v>
      </c>
      <c r="M16" s="40">
        <f t="shared" si="0"/>
        <v>9.5892609159711544</v>
      </c>
    </row>
    <row r="17" spans="6:13">
      <c r="L17">
        <v>10</v>
      </c>
      <c r="M17" s="40">
        <f t="shared" si="0"/>
        <v>7.6868059988444477</v>
      </c>
    </row>
    <row r="18" spans="6:13">
      <c r="L18">
        <v>13</v>
      </c>
      <c r="M18" s="40">
        <f t="shared" si="0"/>
        <v>6.532825261938048</v>
      </c>
    </row>
    <row r="19" spans="6:13">
      <c r="L19">
        <v>16</v>
      </c>
      <c r="M19" s="40">
        <f t="shared" si="0"/>
        <v>5.7436971303465878</v>
      </c>
    </row>
    <row r="20" spans="6:13">
      <c r="F20" s="110" t="s">
        <v>166</v>
      </c>
      <c r="G20" s="111"/>
      <c r="H20" s="112"/>
      <c r="K20" s="69"/>
      <c r="L20">
        <v>19</v>
      </c>
      <c r="M20" s="40">
        <f t="shared" si="0"/>
        <v>5.1631969059116916</v>
      </c>
    </row>
    <row r="21" spans="6:13">
      <c r="F21" s="80" t="s">
        <v>141</v>
      </c>
      <c r="G21" s="80" t="s">
        <v>129</v>
      </c>
      <c r="H21" s="80" t="s">
        <v>135</v>
      </c>
      <c r="L21">
        <v>22</v>
      </c>
      <c r="M21" s="40">
        <f t="shared" si="0"/>
        <v>4.7145892139637695</v>
      </c>
    </row>
    <row r="22" spans="6:13">
      <c r="F22" s="80" t="s">
        <v>136</v>
      </c>
      <c r="G22" s="80">
        <v>2.1</v>
      </c>
      <c r="H22" s="80">
        <v>1.6</v>
      </c>
      <c r="L22">
        <v>25</v>
      </c>
      <c r="M22" s="40">
        <f t="shared" si="0"/>
        <v>4.3553505411671871</v>
      </c>
    </row>
    <row r="23" spans="6:13">
      <c r="F23" s="80" t="s">
        <v>137</v>
      </c>
      <c r="G23" s="80">
        <f>(G22*(15000+($C3*100)))/100</f>
        <v>516.6</v>
      </c>
      <c r="H23" s="80">
        <f>(H22*(15000+($C3*100)))/100</f>
        <v>393.6</v>
      </c>
      <c r="L23">
        <v>28</v>
      </c>
      <c r="M23" s="40">
        <f t="shared" si="0"/>
        <v>4.059830864809884</v>
      </c>
    </row>
    <row r="24" spans="6:13">
      <c r="L24">
        <v>31</v>
      </c>
      <c r="M24" s="40">
        <f t="shared" si="0"/>
        <v>3.8115504299612124</v>
      </c>
    </row>
    <row r="25" spans="6:13">
      <c r="L25">
        <v>34</v>
      </c>
      <c r="M25" s="40">
        <f t="shared" si="0"/>
        <v>3.59939071346533</v>
      </c>
    </row>
    <row r="26" spans="6:13">
      <c r="L26">
        <v>37</v>
      </c>
      <c r="M26" s="40">
        <f t="shared" si="0"/>
        <v>3.4155516055601955</v>
      </c>
    </row>
    <row r="27" spans="6:13">
      <c r="L27">
        <v>40</v>
      </c>
      <c r="M27" s="40">
        <f t="shared" si="0"/>
        <v>3.254383473280845</v>
      </c>
    </row>
    <row r="28" spans="6:13">
      <c r="L28">
        <v>43</v>
      </c>
      <c r="M28" s="40">
        <f t="shared" si="0"/>
        <v>3.1116839367294089</v>
      </c>
    </row>
    <row r="29" spans="6:13">
      <c r="L29">
        <v>46</v>
      </c>
      <c r="M29" s="40">
        <f t="shared" si="0"/>
        <v>2.9842559247103413</v>
      </c>
    </row>
    <row r="30" spans="6:13">
      <c r="L30">
        <v>49</v>
      </c>
      <c r="M30" s="40">
        <f t="shared" si="0"/>
        <v>2.8696197373952415</v>
      </c>
    </row>
    <row r="31" spans="6:13">
      <c r="L31">
        <v>52</v>
      </c>
      <c r="M31" s="40">
        <f t="shared" si="0"/>
        <v>2.7658195835147703</v>
      </c>
    </row>
    <row r="32" spans="6:13">
      <c r="L32">
        <v>55</v>
      </c>
      <c r="M32" s="40">
        <f t="shared" si="0"/>
        <v>2.6712900894734308</v>
      </c>
    </row>
    <row r="33" spans="12:13">
      <c r="L33">
        <v>58</v>
      </c>
      <c r="M33" s="40">
        <f t="shared" si="0"/>
        <v>2.5847620245880165</v>
      </c>
    </row>
    <row r="34" spans="12:13">
      <c r="L34">
        <v>61</v>
      </c>
      <c r="M34" s="40">
        <f t="shared" si="0"/>
        <v>2.5051943449786296</v>
      </c>
    </row>
    <row r="35" spans="12:13">
      <c r="L35">
        <v>64</v>
      </c>
      <c r="M35" s="40">
        <f t="shared" si="0"/>
        <v>2.4317243103755355</v>
      </c>
    </row>
    <row r="36" spans="12:13">
      <c r="L36">
        <v>67</v>
      </c>
      <c r="M36" s="40">
        <f t="shared" si="0"/>
        <v>2.3636302675782845</v>
      </c>
    </row>
    <row r="37" spans="12:13">
      <c r="L37">
        <v>70</v>
      </c>
      <c r="M37" s="40">
        <f t="shared" si="0"/>
        <v>2.3003034754298599</v>
      </c>
    </row>
    <row r="38" spans="12:13">
      <c r="L38">
        <v>73</v>
      </c>
      <c r="M38" s="40">
        <f t="shared" si="0"/>
        <v>2.2412264909605799</v>
      </c>
    </row>
    <row r="39" spans="12:13">
      <c r="L39">
        <v>76</v>
      </c>
      <c r="M39" s="40">
        <f t="shared" si="0"/>
        <v>2.1859563884427144</v>
      </c>
    </row>
    <row r="40" spans="12:13">
      <c r="L40">
        <v>79</v>
      </c>
      <c r="M40" s="40">
        <f t="shared" si="0"/>
        <v>2.1341115870705281</v>
      </c>
    </row>
    <row r="41" spans="12:13">
      <c r="L41">
        <v>82</v>
      </c>
      <c r="M41" s="40">
        <f t="shared" si="0"/>
        <v>2.0853614068258901</v>
      </c>
    </row>
    <row r="42" spans="12:13">
      <c r="L42">
        <v>85</v>
      </c>
      <c r="M42" s="40">
        <f t="shared" si="0"/>
        <v>2.0394177105705578</v>
      </c>
    </row>
  </sheetData>
  <mergeCells count="3">
    <mergeCell ref="B5:D5"/>
    <mergeCell ref="F20:H20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D3" sqref="D3"/>
    </sheetView>
  </sheetViews>
  <sheetFormatPr defaultRowHeight="15"/>
  <sheetData>
    <row r="1" spans="1:3">
      <c r="A1" t="s">
        <v>39</v>
      </c>
      <c r="B1" t="s">
        <v>128</v>
      </c>
      <c r="C1" t="s">
        <v>175</v>
      </c>
    </row>
    <row r="2" spans="1:3">
      <c r="A2" s="88" t="s">
        <v>44</v>
      </c>
      <c r="B2">
        <v>45.347052183964884</v>
      </c>
      <c r="C2">
        <v>3.4375000000000003E-2</v>
      </c>
    </row>
    <row r="3" spans="1:3">
      <c r="A3" s="88" t="s">
        <v>51</v>
      </c>
      <c r="B3">
        <v>31.176098376475856</v>
      </c>
      <c r="C3">
        <v>9.6153846153846159E-2</v>
      </c>
    </row>
    <row r="4" spans="1:3">
      <c r="A4" s="88" t="s">
        <v>52</v>
      </c>
      <c r="B4">
        <v>35.143965442572785</v>
      </c>
      <c r="C4">
        <v>0.1125</v>
      </c>
    </row>
    <row r="5" spans="1:3">
      <c r="A5" s="88" t="s">
        <v>53</v>
      </c>
      <c r="B5">
        <v>60.651682296053032</v>
      </c>
      <c r="C5">
        <v>6.25E-2</v>
      </c>
    </row>
    <row r="6" spans="1:3">
      <c r="A6" s="88" t="s">
        <v>172</v>
      </c>
      <c r="B6">
        <v>18.705659025885517</v>
      </c>
      <c r="C6">
        <v>0.05</v>
      </c>
    </row>
    <row r="7" spans="1:3">
      <c r="A7" s="88" t="s">
        <v>171</v>
      </c>
      <c r="B7">
        <v>51.015433706960486</v>
      </c>
      <c r="C7">
        <v>0.14814814814814814</v>
      </c>
    </row>
    <row r="8" spans="1:3">
      <c r="A8" s="88" t="s">
        <v>45</v>
      </c>
      <c r="B8">
        <v>74.822636103542052</v>
      </c>
      <c r="C8">
        <v>0.10869565217391304</v>
      </c>
    </row>
    <row r="9" spans="1:3">
      <c r="A9" s="88" t="s">
        <v>46</v>
      </c>
      <c r="B9">
        <v>182.52188504045864</v>
      </c>
      <c r="C9">
        <v>6.363636363636363E-2</v>
      </c>
    </row>
    <row r="10" spans="1:3">
      <c r="A10" s="88" t="s">
        <v>54</v>
      </c>
      <c r="B10">
        <v>96.36248589092537</v>
      </c>
      <c r="C10">
        <v>3.2258064516129031E-2</v>
      </c>
    </row>
    <row r="11" spans="1:3">
      <c r="A11" s="88" t="s">
        <v>55</v>
      </c>
      <c r="B11">
        <v>56.116977077656543</v>
      </c>
      <c r="C11">
        <v>8.8888888888888892E-2</v>
      </c>
    </row>
    <row r="12" spans="1:3">
      <c r="A12" s="88" t="s">
        <v>49</v>
      </c>
      <c r="B12">
        <v>145.67740514098719</v>
      </c>
      <c r="C12">
        <v>3.968253968253968E-2</v>
      </c>
    </row>
    <row r="13" spans="1:3">
      <c r="A13" s="88" t="s">
        <v>56</v>
      </c>
      <c r="B13">
        <v>90.694104367929768</v>
      </c>
      <c r="C13">
        <v>0.13636363636363635</v>
      </c>
    </row>
    <row r="14" spans="1:3">
      <c r="A14" s="88" t="s">
        <v>48</v>
      </c>
      <c r="B14">
        <v>264.713417123895</v>
      </c>
      <c r="C14">
        <v>4.9180327868852458E-2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W50"/>
  <sheetViews>
    <sheetView topLeftCell="C14" zoomScale="90" zoomScaleNormal="90" workbookViewId="0">
      <selection activeCell="E31" sqref="E31"/>
    </sheetView>
  </sheetViews>
  <sheetFormatPr defaultRowHeight="15"/>
  <cols>
    <col min="2" max="2" width="20.140625" bestFit="1" customWidth="1"/>
    <col min="3" max="3" width="13.28515625" bestFit="1" customWidth="1"/>
    <col min="6" max="6" width="18.5703125" customWidth="1"/>
    <col min="7" max="7" width="16.5703125" customWidth="1"/>
    <col min="8" max="8" width="13.28515625" bestFit="1" customWidth="1"/>
    <col min="13" max="13" width="22.5703125" bestFit="1" customWidth="1"/>
    <col min="14" max="14" width="22.42578125" bestFit="1" customWidth="1"/>
    <col min="15" max="15" width="6.7109375" bestFit="1" customWidth="1"/>
    <col min="16" max="16" width="7.5703125" bestFit="1" customWidth="1"/>
    <col min="17" max="17" width="5.5703125" bestFit="1" customWidth="1"/>
    <col min="18" max="18" width="7.140625" bestFit="1" customWidth="1"/>
    <col min="19" max="19" width="8.28515625" bestFit="1" customWidth="1"/>
    <col min="20" max="20" width="13.28515625" bestFit="1" customWidth="1"/>
    <col min="21" max="21" width="19.7109375" bestFit="1" customWidth="1"/>
    <col min="22" max="22" width="23.7109375" bestFit="1" customWidth="1"/>
  </cols>
  <sheetData>
    <row r="3" spans="2:23">
      <c r="P3" s="72"/>
      <c r="Q3" s="72"/>
      <c r="R3" s="72"/>
    </row>
    <row r="4" spans="2:23">
      <c r="B4" t="s">
        <v>142</v>
      </c>
      <c r="D4" s="88" t="s">
        <v>39</v>
      </c>
      <c r="E4" s="88" t="s">
        <v>40</v>
      </c>
      <c r="F4" s="88" t="s">
        <v>41</v>
      </c>
      <c r="G4" s="88" t="s">
        <v>169</v>
      </c>
      <c r="H4" s="92" t="s">
        <v>170</v>
      </c>
      <c r="I4" s="70"/>
      <c r="J4" s="70"/>
      <c r="K4" s="88" t="s">
        <v>61</v>
      </c>
      <c r="L4" s="80" t="s">
        <v>73</v>
      </c>
      <c r="M4" s="80" t="s">
        <v>74</v>
      </c>
      <c r="N4" t="s">
        <v>143</v>
      </c>
      <c r="P4" s="73" t="s">
        <v>39</v>
      </c>
      <c r="Q4" s="73" t="s">
        <v>41</v>
      </c>
      <c r="R4" s="73" t="s">
        <v>173</v>
      </c>
      <c r="S4" s="73" t="s">
        <v>174</v>
      </c>
      <c r="U4" s="74" t="s">
        <v>144</v>
      </c>
      <c r="V4" s="74" t="s">
        <v>146</v>
      </c>
      <c r="W4" s="74" t="s">
        <v>147</v>
      </c>
    </row>
    <row r="5" spans="2:23">
      <c r="B5" s="87">
        <f>'2.1'!L6/F18</f>
        <v>0.28341907614978051</v>
      </c>
      <c r="D5" s="88" t="s">
        <v>44</v>
      </c>
      <c r="E5" s="88">
        <v>8</v>
      </c>
      <c r="F5" s="88">
        <f>(E5*2000)/100</f>
        <v>160</v>
      </c>
      <c r="G5" s="89">
        <f>B$5*F5</f>
        <v>45.347052183964884</v>
      </c>
      <c r="H5" s="77">
        <f>G5</f>
        <v>45.347052183964884</v>
      </c>
      <c r="I5" s="70"/>
      <c r="J5" s="70"/>
      <c r="K5" s="89">
        <f t="shared" ref="K5:K17" si="0">0.5*G5</f>
        <v>22.673526091982442</v>
      </c>
      <c r="L5" s="80" t="s">
        <v>63</v>
      </c>
      <c r="M5" s="40">
        <f>K13+K12+K5</f>
        <v>55.833558001506759</v>
      </c>
      <c r="N5">
        <v>128</v>
      </c>
      <c r="P5" s="73" t="s">
        <v>44</v>
      </c>
      <c r="Q5" s="6">
        <v>160</v>
      </c>
      <c r="R5" s="95">
        <f>(N5-N6)</f>
        <v>5.5</v>
      </c>
      <c r="S5" s="71">
        <f>R5/Q5</f>
        <v>3.4375000000000003E-2</v>
      </c>
      <c r="U5">
        <f t="shared" ref="U5:U17" si="1">Q5/Q$18</f>
        <v>0.1011378002528445</v>
      </c>
      <c r="V5">
        <f t="shared" ref="V5:V17" si="2">M$15*U5</f>
        <v>45.347052183964891</v>
      </c>
      <c r="W5" s="77">
        <f>V5</f>
        <v>45.347052183964891</v>
      </c>
    </row>
    <row r="6" spans="2:23">
      <c r="D6" s="88" t="s">
        <v>45</v>
      </c>
      <c r="E6" s="88">
        <v>5.2</v>
      </c>
      <c r="F6" s="88">
        <f t="shared" ref="F6:F17" si="3">(E6*2000)/100</f>
        <v>104</v>
      </c>
      <c r="G6" s="89">
        <f t="shared" ref="G6:G17" si="4">B$5*F6</f>
        <v>29.475583919577172</v>
      </c>
      <c r="H6">
        <f>G6+G5</f>
        <v>74.822636103542052</v>
      </c>
      <c r="I6" s="70"/>
      <c r="J6" s="70"/>
      <c r="K6" s="89">
        <f t="shared" si="0"/>
        <v>14.737791959788586</v>
      </c>
      <c r="L6" s="80" t="s">
        <v>64</v>
      </c>
      <c r="M6" s="40">
        <f>K6+K5</f>
        <v>37.411318051771026</v>
      </c>
      <c r="N6">
        <v>122.5</v>
      </c>
      <c r="P6" s="73" t="s">
        <v>45</v>
      </c>
      <c r="Q6" s="6">
        <v>104</v>
      </c>
      <c r="R6" s="95">
        <f>-(N7-N6)</f>
        <v>10</v>
      </c>
      <c r="S6" s="71">
        <f t="shared" ref="S6:S17" si="5">R6/Q6</f>
        <v>9.6153846153846159E-2</v>
      </c>
      <c r="U6">
        <f t="shared" si="1"/>
        <v>6.5739570164348921E-2</v>
      </c>
      <c r="V6">
        <f t="shared" si="2"/>
        <v>29.475583919577179</v>
      </c>
      <c r="W6">
        <f>V6+V5</f>
        <v>74.822636103542067</v>
      </c>
    </row>
    <row r="7" spans="2:23">
      <c r="D7" s="88" t="s">
        <v>46</v>
      </c>
      <c r="E7" s="88">
        <v>10</v>
      </c>
      <c r="F7" s="88">
        <f t="shared" si="3"/>
        <v>200</v>
      </c>
      <c r="G7" s="89">
        <f t="shared" si="4"/>
        <v>56.683815229956103</v>
      </c>
      <c r="H7" s="79">
        <f>H8+H6</f>
        <v>144.54372883638806</v>
      </c>
      <c r="I7" s="70"/>
      <c r="J7" s="70"/>
      <c r="K7" s="89">
        <f t="shared" si="0"/>
        <v>28.341907614978052</v>
      </c>
      <c r="L7" s="80" t="s">
        <v>65</v>
      </c>
      <c r="M7" s="40">
        <f>K6+K7+K8</f>
        <v>62.352196752951713</v>
      </c>
      <c r="N7">
        <v>112.5</v>
      </c>
      <c r="P7" s="73" t="s">
        <v>46</v>
      </c>
      <c r="Q7" s="6">
        <v>200</v>
      </c>
      <c r="R7" s="95">
        <f>(N7-N8)</f>
        <v>22.5</v>
      </c>
      <c r="S7" s="71">
        <f t="shared" si="5"/>
        <v>0.1125</v>
      </c>
      <c r="U7">
        <f t="shared" si="1"/>
        <v>0.12642225031605561</v>
      </c>
      <c r="V7">
        <f t="shared" si="2"/>
        <v>56.68381522995611</v>
      </c>
      <c r="W7" s="79">
        <f>W8+W6</f>
        <v>144.54372883638808</v>
      </c>
    </row>
    <row r="8" spans="2:23">
      <c r="D8" s="88" t="s">
        <v>47</v>
      </c>
      <c r="E8" s="88">
        <v>6.8</v>
      </c>
      <c r="F8" s="88">
        <f t="shared" si="3"/>
        <v>136</v>
      </c>
      <c r="G8" s="89">
        <f t="shared" si="4"/>
        <v>38.544994356370147</v>
      </c>
      <c r="H8" s="78">
        <f>G8+G12</f>
        <v>69.721092732846003</v>
      </c>
      <c r="I8" s="70"/>
      <c r="J8" s="70"/>
      <c r="K8" s="89">
        <f t="shared" si="0"/>
        <v>19.272497178185073</v>
      </c>
      <c r="L8" s="80" t="s">
        <v>66</v>
      </c>
      <c r="M8" s="40">
        <f>K7+K9</f>
        <v>42.512861422467076</v>
      </c>
      <c r="N8">
        <v>90</v>
      </c>
      <c r="P8" s="73" t="s">
        <v>47</v>
      </c>
      <c r="Q8" s="6">
        <v>136</v>
      </c>
      <c r="R8" s="95">
        <f>-(N7-N13)</f>
        <v>8.5</v>
      </c>
      <c r="S8" s="71">
        <f t="shared" si="5"/>
        <v>6.25E-2</v>
      </c>
      <c r="U8">
        <f t="shared" si="1"/>
        <v>8.5967130214917822E-2</v>
      </c>
      <c r="V8">
        <f t="shared" si="2"/>
        <v>38.544994356370161</v>
      </c>
      <c r="W8" s="78">
        <f>V8+V12</f>
        <v>69.721092732846031</v>
      </c>
    </row>
    <row r="9" spans="2:23">
      <c r="D9" s="88" t="s">
        <v>48</v>
      </c>
      <c r="E9" s="88">
        <v>5</v>
      </c>
      <c r="F9" s="88">
        <f t="shared" si="3"/>
        <v>100</v>
      </c>
      <c r="G9" s="89">
        <f t="shared" si="4"/>
        <v>28.341907614978052</v>
      </c>
      <c r="H9" s="79">
        <f>H17+H10+G9</f>
        <v>300.42422071876734</v>
      </c>
      <c r="I9" s="70"/>
      <c r="J9" s="70"/>
      <c r="K9" s="89">
        <f t="shared" si="0"/>
        <v>14.170953807489026</v>
      </c>
      <c r="L9" s="80" t="s">
        <v>67</v>
      </c>
      <c r="M9" s="40">
        <f>K9+K10+K17</f>
        <v>46.764147564713788</v>
      </c>
      <c r="N9">
        <v>95</v>
      </c>
      <c r="P9" s="73" t="s">
        <v>48</v>
      </c>
      <c r="Q9" s="6">
        <v>100</v>
      </c>
      <c r="R9" s="95">
        <f>(N9-N8)</f>
        <v>5</v>
      </c>
      <c r="S9" s="71">
        <f t="shared" si="5"/>
        <v>0.05</v>
      </c>
      <c r="U9">
        <f t="shared" si="1"/>
        <v>6.3211125158027806E-2</v>
      </c>
      <c r="V9">
        <f t="shared" si="2"/>
        <v>28.341907614978055</v>
      </c>
      <c r="W9" s="79">
        <f>W17+W10+V9</f>
        <v>338.96921507513753</v>
      </c>
    </row>
    <row r="10" spans="2:23">
      <c r="D10" s="88" t="s">
        <v>49</v>
      </c>
      <c r="E10" s="88">
        <v>5.4</v>
      </c>
      <c r="F10" s="88">
        <f t="shared" si="3"/>
        <v>108</v>
      </c>
      <c r="G10" s="89">
        <f t="shared" si="4"/>
        <v>30.609260224176296</v>
      </c>
      <c r="H10" s="67">
        <f>H15+H11+G10</f>
        <v>145.67740514098719</v>
      </c>
      <c r="I10" s="70"/>
      <c r="J10" s="70"/>
      <c r="K10" s="89">
        <f t="shared" si="0"/>
        <v>15.304630112088148</v>
      </c>
      <c r="L10" s="80" t="s">
        <v>68</v>
      </c>
      <c r="M10" s="40">
        <f>K17+K16</f>
        <v>32.876612833374537</v>
      </c>
      <c r="N10">
        <v>101</v>
      </c>
      <c r="P10" s="73" t="s">
        <v>49</v>
      </c>
      <c r="Q10" s="6">
        <v>108</v>
      </c>
      <c r="R10" s="95">
        <f>-(N9-N12)</f>
        <v>16</v>
      </c>
      <c r="S10" s="71">
        <f t="shared" si="5"/>
        <v>0.14814814814814814</v>
      </c>
      <c r="U10">
        <f t="shared" si="1"/>
        <v>6.8268015170670035E-2</v>
      </c>
      <c r="V10">
        <f t="shared" si="2"/>
        <v>30.609260224176303</v>
      </c>
      <c r="W10">
        <f>W15+W11+V10</f>
        <v>184.22239949735737</v>
      </c>
    </row>
    <row r="11" spans="2:23">
      <c r="D11" s="88" t="s">
        <v>50</v>
      </c>
      <c r="E11" s="88">
        <v>4.5999999999999996</v>
      </c>
      <c r="F11" s="88">
        <f t="shared" si="3"/>
        <v>92</v>
      </c>
      <c r="G11" s="89">
        <f t="shared" si="4"/>
        <v>26.074555005779807</v>
      </c>
      <c r="H11" s="67">
        <f>G11+G12-G8</f>
        <v>18.705659025885517</v>
      </c>
      <c r="I11" s="70"/>
      <c r="J11" s="70"/>
      <c r="K11" s="89">
        <f t="shared" si="0"/>
        <v>13.037277502889904</v>
      </c>
      <c r="L11" s="80" t="s">
        <v>69</v>
      </c>
      <c r="M11" s="40">
        <f>K16+K15+K14</f>
        <v>46.197309412414228</v>
      </c>
      <c r="N11">
        <v>116</v>
      </c>
      <c r="P11" s="73" t="s">
        <v>50</v>
      </c>
      <c r="Q11" s="6">
        <v>92</v>
      </c>
      <c r="R11" s="95">
        <f>(N13-N12)</f>
        <v>10</v>
      </c>
      <c r="S11" s="71">
        <f t="shared" si="5"/>
        <v>0.10869565217391304</v>
      </c>
      <c r="U11">
        <f t="shared" si="1"/>
        <v>5.8154235145385591E-2</v>
      </c>
      <c r="V11">
        <f t="shared" si="2"/>
        <v>26.074555005779814</v>
      </c>
      <c r="W11">
        <f>V11+V12</f>
        <v>57.250653382255678</v>
      </c>
    </row>
    <row r="12" spans="2:23">
      <c r="D12" s="88" t="s">
        <v>51</v>
      </c>
      <c r="E12" s="88">
        <v>5.5</v>
      </c>
      <c r="F12" s="88">
        <f t="shared" si="3"/>
        <v>110</v>
      </c>
      <c r="G12" s="89">
        <f t="shared" si="4"/>
        <v>31.176098376475856</v>
      </c>
      <c r="H12" s="77">
        <f>G12</f>
        <v>31.176098376475856</v>
      </c>
      <c r="I12" s="70"/>
      <c r="J12" s="70"/>
      <c r="K12" s="89">
        <f t="shared" si="0"/>
        <v>15.588049188237928</v>
      </c>
      <c r="L12" s="80" t="s">
        <v>70</v>
      </c>
      <c r="M12" s="40">
        <f>K15+K11+K10</f>
        <v>46.197309412414228</v>
      </c>
      <c r="N12">
        <v>111</v>
      </c>
      <c r="P12" s="73" t="s">
        <v>51</v>
      </c>
      <c r="Q12" s="6">
        <v>110</v>
      </c>
      <c r="R12" s="95">
        <f>(N5-N13)</f>
        <v>7</v>
      </c>
      <c r="S12" s="71">
        <f t="shared" si="5"/>
        <v>6.363636363636363E-2</v>
      </c>
      <c r="U12">
        <f t="shared" si="1"/>
        <v>6.9532237673830599E-2</v>
      </c>
      <c r="V12">
        <f t="shared" si="2"/>
        <v>31.176098376475867</v>
      </c>
      <c r="W12" s="77">
        <f>V12</f>
        <v>31.176098376475867</v>
      </c>
    </row>
    <row r="13" spans="2:23">
      <c r="D13" s="88" t="s">
        <v>52</v>
      </c>
      <c r="E13" s="88">
        <v>6.2</v>
      </c>
      <c r="F13" s="88">
        <f t="shared" si="3"/>
        <v>124</v>
      </c>
      <c r="G13" s="89">
        <f t="shared" si="4"/>
        <v>35.143965442572785</v>
      </c>
      <c r="H13" s="77">
        <f>G13</f>
        <v>35.143965442572785</v>
      </c>
      <c r="I13" s="70"/>
      <c r="J13" s="70"/>
      <c r="K13" s="89">
        <f t="shared" si="0"/>
        <v>17.571982721286393</v>
      </c>
      <c r="L13" s="80" t="s">
        <v>71</v>
      </c>
      <c r="M13" s="40">
        <f>K12+K11+K8</f>
        <v>47.897823869312901</v>
      </c>
      <c r="N13">
        <v>121</v>
      </c>
      <c r="P13" s="73" t="s">
        <v>52</v>
      </c>
      <c r="Q13" s="6">
        <v>124</v>
      </c>
      <c r="R13" s="95">
        <f>(N5-N14)</f>
        <v>4</v>
      </c>
      <c r="S13" s="71">
        <f t="shared" si="5"/>
        <v>3.2258064516129031E-2</v>
      </c>
      <c r="U13">
        <f t="shared" si="1"/>
        <v>7.8381795195954493E-2</v>
      </c>
      <c r="V13">
        <f t="shared" si="2"/>
        <v>35.143965442572792</v>
      </c>
      <c r="W13" s="77">
        <f>V13</f>
        <v>35.143965442572792</v>
      </c>
    </row>
    <row r="14" spans="2:23">
      <c r="D14" s="88" t="s">
        <v>53</v>
      </c>
      <c r="E14" s="88">
        <v>4.5</v>
      </c>
      <c r="F14" s="88">
        <f t="shared" si="3"/>
        <v>90</v>
      </c>
      <c r="G14" s="89">
        <f t="shared" si="4"/>
        <v>25.507716853480247</v>
      </c>
      <c r="H14" s="93">
        <f>G14+G13</f>
        <v>60.651682296053032</v>
      </c>
      <c r="I14" s="70"/>
      <c r="J14" s="70"/>
      <c r="K14" s="89">
        <f t="shared" si="0"/>
        <v>12.753858426740123</v>
      </c>
      <c r="L14" s="80" t="s">
        <v>72</v>
      </c>
      <c r="M14" s="40">
        <f>K14+K13</f>
        <v>30.325841148026516</v>
      </c>
      <c r="N14">
        <v>124</v>
      </c>
      <c r="P14" s="73" t="s">
        <v>53</v>
      </c>
      <c r="Q14" s="6">
        <v>90</v>
      </c>
      <c r="R14" s="95">
        <f>(N14-N11)</f>
        <v>8</v>
      </c>
      <c r="S14" s="71">
        <f t="shared" si="5"/>
        <v>8.8888888888888892E-2</v>
      </c>
      <c r="U14">
        <f t="shared" si="1"/>
        <v>5.6890012642225034E-2</v>
      </c>
      <c r="V14">
        <f t="shared" si="2"/>
        <v>25.507716853480254</v>
      </c>
      <c r="W14" s="76">
        <f>V14+V13</f>
        <v>60.651682296053046</v>
      </c>
    </row>
    <row r="15" spans="2:23">
      <c r="D15" s="88" t="s">
        <v>54</v>
      </c>
      <c r="E15" s="88">
        <v>6.3</v>
      </c>
      <c r="F15" s="88">
        <f t="shared" si="3"/>
        <v>126</v>
      </c>
      <c r="G15" s="89">
        <f t="shared" si="4"/>
        <v>35.710803594872345</v>
      </c>
      <c r="H15">
        <f>G15+H14</f>
        <v>96.36248589092537</v>
      </c>
      <c r="I15" s="70"/>
      <c r="J15" s="70"/>
      <c r="K15" s="89">
        <f t="shared" si="0"/>
        <v>17.855401797436173</v>
      </c>
      <c r="L15" s="6" t="s">
        <v>38</v>
      </c>
      <c r="M15" s="40">
        <f>SUM(M5:M14)</f>
        <v>448.36897846895289</v>
      </c>
      <c r="P15" s="73" t="s">
        <v>54</v>
      </c>
      <c r="Q15" s="6">
        <v>126</v>
      </c>
      <c r="R15" s="95">
        <f>(N11-N12)</f>
        <v>5</v>
      </c>
      <c r="S15" s="71">
        <f t="shared" si="5"/>
        <v>3.968253968253968E-2</v>
      </c>
      <c r="U15">
        <f t="shared" si="1"/>
        <v>7.9646017699115043E-2</v>
      </c>
      <c r="V15">
        <f t="shared" si="2"/>
        <v>35.710803594872353</v>
      </c>
      <c r="W15">
        <f>V15+W14</f>
        <v>96.362485890925399</v>
      </c>
    </row>
    <row r="16" spans="2:23">
      <c r="D16" s="88" t="s">
        <v>55</v>
      </c>
      <c r="E16" s="88">
        <v>5.5</v>
      </c>
      <c r="F16" s="88">
        <f t="shared" si="3"/>
        <v>110</v>
      </c>
      <c r="G16" s="89">
        <f t="shared" si="4"/>
        <v>31.176098376475856</v>
      </c>
      <c r="H16" s="67">
        <f>G16+H14</f>
        <v>91.827780672528888</v>
      </c>
      <c r="I16" s="70"/>
      <c r="J16" s="70"/>
      <c r="K16" s="89">
        <f t="shared" si="0"/>
        <v>15.588049188237928</v>
      </c>
      <c r="P16" s="73" t="s">
        <v>55</v>
      </c>
      <c r="Q16" s="6">
        <v>110</v>
      </c>
      <c r="R16" s="95">
        <f>(N11-N10)</f>
        <v>15</v>
      </c>
      <c r="S16" s="71">
        <f t="shared" si="5"/>
        <v>0.13636363636363635</v>
      </c>
      <c r="U16">
        <f t="shared" si="1"/>
        <v>6.9532237673830599E-2</v>
      </c>
      <c r="V16">
        <f t="shared" si="2"/>
        <v>31.176098376475867</v>
      </c>
      <c r="W16">
        <f>V16+W14</f>
        <v>91.827780672528917</v>
      </c>
    </row>
    <row r="17" spans="1:23">
      <c r="D17" s="88" t="s">
        <v>56</v>
      </c>
      <c r="E17" s="88">
        <v>6.1</v>
      </c>
      <c r="F17" s="88">
        <f t="shared" si="3"/>
        <v>122</v>
      </c>
      <c r="G17" s="90">
        <f t="shared" si="4"/>
        <v>34.577127290273225</v>
      </c>
      <c r="H17">
        <f>G17+H16</f>
        <v>126.40490796280211</v>
      </c>
      <c r="I17" s="70"/>
      <c r="J17" s="70"/>
      <c r="K17" s="89">
        <f t="shared" si="0"/>
        <v>17.288563645136612</v>
      </c>
      <c r="P17" s="4" t="s">
        <v>56</v>
      </c>
      <c r="Q17" s="5">
        <v>122</v>
      </c>
      <c r="R17" s="42">
        <f>(N10-N9)</f>
        <v>6</v>
      </c>
      <c r="S17" s="71">
        <f t="shared" si="5"/>
        <v>4.9180327868852458E-2</v>
      </c>
      <c r="U17">
        <f t="shared" si="1"/>
        <v>7.7117572692793929E-2</v>
      </c>
      <c r="V17">
        <f t="shared" si="2"/>
        <v>34.577127290273232</v>
      </c>
      <c r="W17">
        <f>V17+W16</f>
        <v>126.40490796280216</v>
      </c>
    </row>
    <row r="18" spans="1:23">
      <c r="D18" s="88" t="s">
        <v>38</v>
      </c>
      <c r="E18" s="88">
        <f>SUM(E5:E17)</f>
        <v>79.099999999999994</v>
      </c>
      <c r="F18" s="88">
        <f>SUM(F5:F17)</f>
        <v>1582</v>
      </c>
      <c r="G18" s="91"/>
      <c r="H18" s="91"/>
      <c r="P18" s="75" t="s">
        <v>145</v>
      </c>
      <c r="Q18">
        <v>1582</v>
      </c>
      <c r="V18">
        <f>SUM(V5:V17)</f>
        <v>448.36897846895283</v>
      </c>
    </row>
    <row r="20" spans="1:23">
      <c r="S20" s="71" t="e">
        <f>R20/Q20</f>
        <v>#DIV/0!</v>
      </c>
    </row>
    <row r="21" spans="1:23">
      <c r="S21" s="71" t="e">
        <f t="shared" ref="S21:S32" si="6">R21/Q21</f>
        <v>#DIV/0!</v>
      </c>
      <c r="W21">
        <f>W9+W7</f>
        <v>483.51294391152561</v>
      </c>
    </row>
    <row r="22" spans="1:23">
      <c r="H22">
        <f>H9+H7</f>
        <v>444.96794955515543</v>
      </c>
      <c r="J22">
        <f>448-28.34-56.68</f>
        <v>362.98</v>
      </c>
      <c r="S22" s="71" t="e">
        <f t="shared" si="6"/>
        <v>#DIV/0!</v>
      </c>
    </row>
    <row r="23" spans="1:23">
      <c r="S23" s="71" t="e">
        <f t="shared" si="6"/>
        <v>#DIV/0!</v>
      </c>
    </row>
    <row r="24" spans="1:23">
      <c r="A24" s="88" t="s">
        <v>39</v>
      </c>
      <c r="B24" s="88" t="s">
        <v>169</v>
      </c>
      <c r="C24" s="92" t="s">
        <v>170</v>
      </c>
      <c r="E24" s="88" t="s">
        <v>39</v>
      </c>
      <c r="F24" s="88" t="s">
        <v>169</v>
      </c>
      <c r="G24" s="88" t="s">
        <v>170</v>
      </c>
      <c r="S24" s="71" t="e">
        <f t="shared" si="6"/>
        <v>#DIV/0!</v>
      </c>
    </row>
    <row r="25" spans="1:23">
      <c r="A25" s="88" t="s">
        <v>44</v>
      </c>
      <c r="B25">
        <v>45.347052183964884</v>
      </c>
      <c r="C25">
        <f>B25</f>
        <v>45.347052183964884</v>
      </c>
      <c r="E25" s="88" t="s">
        <v>44</v>
      </c>
      <c r="F25" s="12">
        <v>45.347052183964884</v>
      </c>
      <c r="G25" s="22">
        <f>F25</f>
        <v>45.347052183964884</v>
      </c>
      <c r="S25" s="71" t="e">
        <f t="shared" si="6"/>
        <v>#DIV/0!</v>
      </c>
    </row>
    <row r="26" spans="1:23">
      <c r="A26" s="88" t="s">
        <v>51</v>
      </c>
      <c r="B26">
        <v>31.176098376475856</v>
      </c>
      <c r="C26">
        <f t="shared" ref="C26:C27" si="7">B26</f>
        <v>31.176098376475856</v>
      </c>
      <c r="E26" s="88" t="s">
        <v>51</v>
      </c>
      <c r="F26" s="12">
        <v>31.176098376475856</v>
      </c>
      <c r="G26" s="22">
        <f t="shared" ref="G26:G27" si="8">F26</f>
        <v>31.176098376475856</v>
      </c>
      <c r="S26" s="71" t="e">
        <f t="shared" si="6"/>
        <v>#DIV/0!</v>
      </c>
    </row>
    <row r="27" spans="1:23">
      <c r="A27" s="88" t="s">
        <v>52</v>
      </c>
      <c r="B27">
        <v>35.143965442572785</v>
      </c>
      <c r="C27">
        <f t="shared" si="7"/>
        <v>35.143965442572785</v>
      </c>
      <c r="E27" s="88" t="s">
        <v>52</v>
      </c>
      <c r="F27" s="12">
        <v>35.143965442572785</v>
      </c>
      <c r="G27" s="22">
        <f t="shared" si="8"/>
        <v>35.143965442572785</v>
      </c>
      <c r="S27" s="71" t="e">
        <f t="shared" si="6"/>
        <v>#DIV/0!</v>
      </c>
    </row>
    <row r="28" spans="1:23">
      <c r="A28" s="88" t="s">
        <v>53</v>
      </c>
      <c r="B28">
        <v>25.507716853480247</v>
      </c>
      <c r="C28">
        <f>C27+B28</f>
        <v>60.651682296053032</v>
      </c>
      <c r="E28" s="88" t="s">
        <v>53</v>
      </c>
      <c r="F28" s="12">
        <v>25.507716853480247</v>
      </c>
      <c r="G28" s="22">
        <f>G27+F28</f>
        <v>60.651682296053032</v>
      </c>
      <c r="S28" s="71" t="e">
        <f t="shared" si="6"/>
        <v>#DIV/0!</v>
      </c>
    </row>
    <row r="29" spans="1:23">
      <c r="A29" s="88" t="s">
        <v>172</v>
      </c>
      <c r="B29">
        <v>26.074555005779807</v>
      </c>
      <c r="C29">
        <f>B29+C26</f>
        <v>57.250653382255663</v>
      </c>
      <c r="E29" s="88" t="s">
        <v>172</v>
      </c>
      <c r="F29" s="12">
        <v>26.074555005779807</v>
      </c>
      <c r="G29" s="22">
        <f>F29+G26-F30</f>
        <v>18.705659025885517</v>
      </c>
      <c r="S29" s="71" t="e">
        <f t="shared" si="6"/>
        <v>#DIV/0!</v>
      </c>
    </row>
    <row r="30" spans="1:23">
      <c r="A30" s="88" t="s">
        <v>171</v>
      </c>
      <c r="B30">
        <v>38.544994356370147</v>
      </c>
      <c r="C30">
        <f>C26-C29+B30</f>
        <v>12.47043935059034</v>
      </c>
      <c r="E30" s="88" t="s">
        <v>171</v>
      </c>
      <c r="F30" s="12">
        <v>38.544994356370147</v>
      </c>
      <c r="G30" s="22">
        <f>G26-G29+F30</f>
        <v>51.015433706960486</v>
      </c>
      <c r="S30" s="71" t="e">
        <f t="shared" si="6"/>
        <v>#DIV/0!</v>
      </c>
    </row>
    <row r="31" spans="1:23">
      <c r="A31" s="88" t="s">
        <v>45</v>
      </c>
      <c r="B31">
        <v>29.475583919577172</v>
      </c>
      <c r="C31">
        <f>C25+B31</f>
        <v>74.822636103542052</v>
      </c>
      <c r="E31" s="88" t="s">
        <v>45</v>
      </c>
      <c r="F31" s="12">
        <v>29.475583919577172</v>
      </c>
      <c r="G31" s="22">
        <f>G25+F31</f>
        <v>74.822636103542052</v>
      </c>
      <c r="S31" s="71" t="e">
        <f t="shared" si="6"/>
        <v>#DIV/0!</v>
      </c>
    </row>
    <row r="32" spans="1:23">
      <c r="A32" s="88" t="s">
        <v>46</v>
      </c>
      <c r="B32">
        <v>56.683815229956103</v>
      </c>
      <c r="C32">
        <f>B32+C30+C31</f>
        <v>143.97689068408852</v>
      </c>
      <c r="E32" s="88" t="s">
        <v>46</v>
      </c>
      <c r="F32" s="12">
        <v>56.683815229956103</v>
      </c>
      <c r="G32" s="22">
        <f>F32+G30+G31</f>
        <v>182.52188504045864</v>
      </c>
      <c r="S32" s="71" t="e">
        <f t="shared" si="6"/>
        <v>#DIV/0!</v>
      </c>
    </row>
    <row r="33" spans="1:7">
      <c r="A33" s="88" t="s">
        <v>54</v>
      </c>
      <c r="B33">
        <v>35.710803594872345</v>
      </c>
      <c r="C33">
        <f>B33+C28</f>
        <v>96.36248589092537</v>
      </c>
      <c r="E33" s="88" t="s">
        <v>54</v>
      </c>
      <c r="F33" s="12">
        <v>35.710803594872345</v>
      </c>
      <c r="G33" s="22">
        <f>F33+G28</f>
        <v>96.36248589092537</v>
      </c>
    </row>
    <row r="34" spans="1:7">
      <c r="A34" s="88" t="s">
        <v>55</v>
      </c>
      <c r="B34" s="88">
        <v>31.176098376475856</v>
      </c>
      <c r="C34">
        <f>B34+C28-B33</f>
        <v>56.116977077656543</v>
      </c>
      <c r="E34" s="88" t="s">
        <v>55</v>
      </c>
      <c r="F34" s="88">
        <v>31.176098376475856</v>
      </c>
      <c r="G34" s="22">
        <f>F34+G28-F33</f>
        <v>56.116977077656543</v>
      </c>
    </row>
    <row r="35" spans="1:7">
      <c r="A35" s="88" t="s">
        <v>49</v>
      </c>
      <c r="B35">
        <v>30.609260224176296</v>
      </c>
      <c r="C35">
        <f>C29+B35+C33</f>
        <v>184.22239949735734</v>
      </c>
      <c r="E35" s="88" t="s">
        <v>49</v>
      </c>
      <c r="F35" s="12">
        <v>30.609260224176296</v>
      </c>
      <c r="G35" s="22">
        <f>G29+F35+G33</f>
        <v>145.67740514098719</v>
      </c>
    </row>
    <row r="36" spans="1:7">
      <c r="A36" s="88" t="s">
        <v>56</v>
      </c>
      <c r="B36" s="88">
        <v>34.577127290273225</v>
      </c>
      <c r="C36" s="91">
        <f>B36+C34</f>
        <v>90.694104367929768</v>
      </c>
      <c r="E36" s="88" t="s">
        <v>56</v>
      </c>
      <c r="F36" s="88">
        <v>34.577127290273225</v>
      </c>
      <c r="G36" s="89">
        <f>F36+G34</f>
        <v>90.694104367929768</v>
      </c>
    </row>
    <row r="37" spans="1:7">
      <c r="A37" s="88" t="s">
        <v>48</v>
      </c>
      <c r="B37">
        <v>28.341907614978052</v>
      </c>
      <c r="C37" s="91">
        <f>B37+C35+C36</f>
        <v>303.25841148026518</v>
      </c>
      <c r="E37" s="88" t="s">
        <v>48</v>
      </c>
      <c r="F37" s="12">
        <v>28.341907614978052</v>
      </c>
      <c r="G37" s="89">
        <f>F37+G35+G36</f>
        <v>264.713417123895</v>
      </c>
    </row>
    <row r="38" spans="1:7">
      <c r="C38" s="91"/>
      <c r="G38" s="91"/>
    </row>
    <row r="39" spans="1:7">
      <c r="C39" s="91"/>
      <c r="G39" s="91"/>
    </row>
    <row r="40" spans="1:7">
      <c r="C40">
        <f>C37+C32</f>
        <v>447.2353021643537</v>
      </c>
      <c r="G40">
        <f>G37+G32</f>
        <v>447.23530216435364</v>
      </c>
    </row>
    <row r="41" spans="1:7">
      <c r="A41" s="91"/>
      <c r="B41" s="91"/>
      <c r="C41" s="91"/>
      <c r="E41" s="91"/>
      <c r="F41" s="91"/>
      <c r="G41" s="91"/>
    </row>
    <row r="42" spans="1:7">
      <c r="C42" s="91"/>
      <c r="D42" s="91"/>
      <c r="G42" s="91"/>
    </row>
    <row r="43" spans="1:7">
      <c r="C43" s="91"/>
      <c r="D43" s="91"/>
      <c r="G43" s="91"/>
    </row>
    <row r="44" spans="1:7">
      <c r="C44" s="91"/>
      <c r="D44" s="91"/>
      <c r="E44" s="91"/>
      <c r="F44" s="94"/>
    </row>
    <row r="45" spans="1:7">
      <c r="C45" s="91"/>
      <c r="D45" s="91"/>
      <c r="E45" s="91"/>
      <c r="F45" s="94"/>
    </row>
    <row r="46" spans="1:7">
      <c r="C46" s="91"/>
      <c r="D46" s="91"/>
      <c r="E46" s="91"/>
      <c r="F46" s="94"/>
    </row>
    <row r="47" spans="1:7">
      <c r="C47" s="91"/>
      <c r="D47" s="91"/>
      <c r="E47" s="91"/>
      <c r="F47" s="94"/>
    </row>
    <row r="48" spans="1:7">
      <c r="C48" s="91"/>
      <c r="D48" s="91"/>
      <c r="E48" s="91"/>
      <c r="F48" s="94"/>
    </row>
    <row r="49" spans="3:6">
      <c r="C49" s="91"/>
      <c r="D49" s="91"/>
      <c r="E49" s="91"/>
      <c r="F49" s="91"/>
    </row>
    <row r="50" spans="3:6">
      <c r="C50" s="86"/>
      <c r="D50" s="86"/>
      <c r="E50" s="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E2:L29"/>
  <sheetViews>
    <sheetView topLeftCell="H1" workbookViewId="0">
      <selection activeCell="C20" sqref="C20"/>
    </sheetView>
  </sheetViews>
  <sheetFormatPr defaultRowHeight="15"/>
  <cols>
    <col min="5" max="5" width="5.7109375" bestFit="1" customWidth="1"/>
    <col min="6" max="6" width="9.42578125" bestFit="1" customWidth="1"/>
    <col min="7" max="7" width="16.5703125" bestFit="1" customWidth="1"/>
    <col min="8" max="8" width="11" bestFit="1" customWidth="1"/>
    <col min="10" max="10" width="17.28515625" bestFit="1" customWidth="1"/>
    <col min="11" max="11" width="4" bestFit="1" customWidth="1"/>
    <col min="12" max="12" width="5.7109375" bestFit="1" customWidth="1"/>
  </cols>
  <sheetData>
    <row r="2" spans="5:12" ht="15.75" thickBot="1"/>
    <row r="3" spans="5:12">
      <c r="J3" s="23" t="s">
        <v>95</v>
      </c>
      <c r="K3" s="35">
        <f>2000*300*10^-3</f>
        <v>600</v>
      </c>
      <c r="L3" s="24" t="s">
        <v>96</v>
      </c>
    </row>
    <row r="4" spans="5:12">
      <c r="E4" s="32" t="s">
        <v>7</v>
      </c>
      <c r="F4" s="32" t="s">
        <v>75</v>
      </c>
      <c r="G4" s="32" t="s">
        <v>87</v>
      </c>
      <c r="H4" s="32" t="s">
        <v>88</v>
      </c>
      <c r="J4" s="25" t="s">
        <v>90</v>
      </c>
      <c r="K4" s="5">
        <f>MAX(H5:H28)</f>
        <v>23</v>
      </c>
      <c r="L4" s="36" t="s">
        <v>94</v>
      </c>
    </row>
    <row r="5" spans="5:12">
      <c r="E5" s="39" t="s">
        <v>86</v>
      </c>
      <c r="F5" s="5">
        <v>2</v>
      </c>
      <c r="G5" s="5">
        <v>0</v>
      </c>
      <c r="H5" s="12">
        <f>F5+G5</f>
        <v>2</v>
      </c>
      <c r="J5" s="25" t="s">
        <v>89</v>
      </c>
      <c r="K5" s="5">
        <f>MIN(H5:H28)</f>
        <v>-17</v>
      </c>
      <c r="L5" s="36" t="s">
        <v>94</v>
      </c>
    </row>
    <row r="6" spans="5:12">
      <c r="E6" s="39" t="s">
        <v>8</v>
      </c>
      <c r="F6" s="5">
        <v>2</v>
      </c>
      <c r="G6" s="5">
        <v>0</v>
      </c>
      <c r="H6" s="12">
        <f>H5+F6+G6</f>
        <v>4</v>
      </c>
      <c r="J6" s="25" t="s">
        <v>92</v>
      </c>
      <c r="K6" s="5">
        <f>ABS(K4)+ABS(K5)</f>
        <v>40</v>
      </c>
      <c r="L6" s="36" t="s">
        <v>94</v>
      </c>
    </row>
    <row r="7" spans="5:12" ht="15.75" thickBot="1">
      <c r="E7" s="39" t="s">
        <v>9</v>
      </c>
      <c r="F7" s="5">
        <v>2</v>
      </c>
      <c r="G7" s="5">
        <v>0</v>
      </c>
      <c r="H7" s="12">
        <f>H6+F7+G7</f>
        <v>6</v>
      </c>
      <c r="J7" s="27" t="s">
        <v>91</v>
      </c>
      <c r="K7" s="37">
        <f>K3*(K6/100)</f>
        <v>240</v>
      </c>
      <c r="L7" s="38" t="s">
        <v>93</v>
      </c>
    </row>
    <row r="8" spans="5:12">
      <c r="E8" s="39" t="s">
        <v>10</v>
      </c>
      <c r="F8" s="5">
        <v>2</v>
      </c>
      <c r="G8" s="5">
        <v>0</v>
      </c>
      <c r="H8" s="12">
        <f>H7+F8+G8</f>
        <v>8</v>
      </c>
    </row>
    <row r="9" spans="5:12">
      <c r="E9" s="39" t="s">
        <v>11</v>
      </c>
      <c r="F9" s="5">
        <v>3</v>
      </c>
      <c r="G9" s="5">
        <v>0</v>
      </c>
      <c r="H9" s="12">
        <f>H8+F9+G9</f>
        <v>11</v>
      </c>
    </row>
    <row r="10" spans="5:12">
      <c r="E10" s="39" t="s">
        <v>12</v>
      </c>
      <c r="F10" s="5">
        <v>3</v>
      </c>
      <c r="G10" s="5">
        <v>0</v>
      </c>
      <c r="H10" s="12">
        <f t="shared" ref="H10:H27" si="0">H9+F10+G10</f>
        <v>14</v>
      </c>
    </row>
    <row r="11" spans="5:12">
      <c r="E11" s="39" t="s">
        <v>13</v>
      </c>
      <c r="F11" s="5">
        <v>4</v>
      </c>
      <c r="G11" s="5">
        <v>0</v>
      </c>
      <c r="H11" s="12">
        <f t="shared" si="0"/>
        <v>18</v>
      </c>
    </row>
    <row r="12" spans="5:12">
      <c r="E12" s="39" t="s">
        <v>14</v>
      </c>
      <c r="F12" s="5">
        <v>5</v>
      </c>
      <c r="G12" s="5">
        <v>0</v>
      </c>
      <c r="H12" s="12">
        <f>H11+F12+G12</f>
        <v>23</v>
      </c>
    </row>
    <row r="13" spans="5:12">
      <c r="E13" s="39" t="s">
        <v>15</v>
      </c>
      <c r="F13" s="5">
        <v>5</v>
      </c>
      <c r="G13" s="5">
        <f>-100/10</f>
        <v>-10</v>
      </c>
      <c r="H13" s="12">
        <f t="shared" si="0"/>
        <v>18</v>
      </c>
    </row>
    <row r="14" spans="5:12">
      <c r="E14" s="39" t="s">
        <v>16</v>
      </c>
      <c r="F14" s="5">
        <v>6</v>
      </c>
      <c r="G14" s="5">
        <f t="shared" ref="G14:G22" si="1">-100/10</f>
        <v>-10</v>
      </c>
      <c r="H14" s="12">
        <f t="shared" si="0"/>
        <v>14</v>
      </c>
    </row>
    <row r="15" spans="5:12">
      <c r="E15" s="39" t="s">
        <v>17</v>
      </c>
      <c r="F15" s="5">
        <v>7</v>
      </c>
      <c r="G15" s="5">
        <f t="shared" si="1"/>
        <v>-10</v>
      </c>
      <c r="H15" s="12">
        <f>H14+F15+G15</f>
        <v>11</v>
      </c>
    </row>
    <row r="16" spans="5:12">
      <c r="E16" s="39" t="s">
        <v>18</v>
      </c>
      <c r="F16" s="5">
        <v>7</v>
      </c>
      <c r="G16" s="5">
        <f t="shared" si="1"/>
        <v>-10</v>
      </c>
      <c r="H16" s="12">
        <f t="shared" si="0"/>
        <v>8</v>
      </c>
    </row>
    <row r="17" spans="5:8">
      <c r="E17" s="39" t="s">
        <v>19</v>
      </c>
      <c r="F17" s="5">
        <v>8</v>
      </c>
      <c r="G17" s="5">
        <f t="shared" si="1"/>
        <v>-10</v>
      </c>
      <c r="H17" s="12">
        <f>H16+F17+G17</f>
        <v>6</v>
      </c>
    </row>
    <row r="18" spans="5:8">
      <c r="E18" s="39" t="s">
        <v>20</v>
      </c>
      <c r="F18" s="5">
        <v>6</v>
      </c>
      <c r="G18" s="5">
        <f t="shared" si="1"/>
        <v>-10</v>
      </c>
      <c r="H18" s="12">
        <f t="shared" si="0"/>
        <v>2</v>
      </c>
    </row>
    <row r="19" spans="5:8">
      <c r="E19" s="39" t="s">
        <v>21</v>
      </c>
      <c r="F19" s="5">
        <v>5</v>
      </c>
      <c r="G19" s="5">
        <f t="shared" si="1"/>
        <v>-10</v>
      </c>
      <c r="H19" s="12">
        <f t="shared" si="0"/>
        <v>-3</v>
      </c>
    </row>
    <row r="20" spans="5:8">
      <c r="E20" s="39" t="s">
        <v>22</v>
      </c>
      <c r="F20" s="5">
        <v>5</v>
      </c>
      <c r="G20" s="5">
        <f t="shared" si="1"/>
        <v>-10</v>
      </c>
      <c r="H20" s="12">
        <f>H19+F20+G20</f>
        <v>-8</v>
      </c>
    </row>
    <row r="21" spans="5:8">
      <c r="E21" s="39" t="s">
        <v>23</v>
      </c>
      <c r="F21" s="5">
        <v>5</v>
      </c>
      <c r="G21" s="5">
        <f t="shared" si="1"/>
        <v>-10</v>
      </c>
      <c r="H21" s="12">
        <f t="shared" si="0"/>
        <v>-13</v>
      </c>
    </row>
    <row r="22" spans="5:8">
      <c r="E22" s="39" t="s">
        <v>24</v>
      </c>
      <c r="F22" s="5">
        <v>6</v>
      </c>
      <c r="G22" s="5">
        <f t="shared" si="1"/>
        <v>-10</v>
      </c>
      <c r="H22" s="12">
        <f>H21+F22+G22</f>
        <v>-17</v>
      </c>
    </row>
    <row r="23" spans="5:8">
      <c r="E23" s="39" t="s">
        <v>25</v>
      </c>
      <c r="F23" s="5">
        <v>4</v>
      </c>
      <c r="G23" s="5">
        <v>0</v>
      </c>
      <c r="H23" s="12">
        <f t="shared" si="0"/>
        <v>-13</v>
      </c>
    </row>
    <row r="24" spans="5:8">
      <c r="E24" s="39" t="s">
        <v>26</v>
      </c>
      <c r="F24" s="5">
        <v>4</v>
      </c>
      <c r="G24" s="5">
        <v>0</v>
      </c>
      <c r="H24" s="12">
        <f t="shared" si="0"/>
        <v>-9</v>
      </c>
    </row>
    <row r="25" spans="5:8">
      <c r="E25" s="39" t="s">
        <v>27</v>
      </c>
      <c r="F25" s="5">
        <v>3</v>
      </c>
      <c r="G25" s="5">
        <v>0</v>
      </c>
      <c r="H25" s="12">
        <f>H24+F25+G25</f>
        <v>-6</v>
      </c>
    </row>
    <row r="26" spans="5:8">
      <c r="E26" s="39" t="s">
        <v>28</v>
      </c>
      <c r="F26" s="5">
        <v>2</v>
      </c>
      <c r="G26" s="5">
        <v>0</v>
      </c>
      <c r="H26" s="12">
        <f t="shared" si="0"/>
        <v>-4</v>
      </c>
    </row>
    <row r="27" spans="5:8">
      <c r="E27" s="39" t="s">
        <v>29</v>
      </c>
      <c r="F27" s="5">
        <v>2</v>
      </c>
      <c r="G27" s="5">
        <v>0</v>
      </c>
      <c r="H27" s="12">
        <f t="shared" si="0"/>
        <v>-2</v>
      </c>
    </row>
    <row r="28" spans="5:8">
      <c r="E28" s="39" t="s">
        <v>85</v>
      </c>
      <c r="F28" s="5">
        <v>2</v>
      </c>
      <c r="G28" s="5">
        <v>0</v>
      </c>
      <c r="H28" s="12">
        <f>H27+F28+G28</f>
        <v>0</v>
      </c>
    </row>
    <row r="29" spans="5:8">
      <c r="F29">
        <f>SUM(F5:F28)</f>
        <v>100</v>
      </c>
      <c r="G29">
        <f>SUM(G5:G28)</f>
        <v>-100</v>
      </c>
    </row>
  </sheetData>
  <pageMargins left="0.7" right="0.7" top="0.75" bottom="0.75" header="0.3" footer="0.3"/>
  <ignoredErrors>
    <ignoredError sqref="E17" twoDigitTextYea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E2:L29"/>
  <sheetViews>
    <sheetView topLeftCell="A5" workbookViewId="0">
      <selection activeCell="H10" sqref="H10"/>
    </sheetView>
  </sheetViews>
  <sheetFormatPr defaultRowHeight="15"/>
  <cols>
    <col min="5" max="5" width="5.7109375" bestFit="1" customWidth="1"/>
    <col min="6" max="6" width="9.42578125" bestFit="1" customWidth="1"/>
    <col min="7" max="7" width="16.5703125" bestFit="1" customWidth="1"/>
    <col min="8" max="8" width="11" bestFit="1" customWidth="1"/>
    <col min="10" max="10" width="17.28515625" bestFit="1" customWidth="1"/>
    <col min="11" max="11" width="4" bestFit="1" customWidth="1"/>
    <col min="12" max="12" width="5.7109375" bestFit="1" customWidth="1"/>
  </cols>
  <sheetData>
    <row r="2" spans="5:12" ht="15.75" thickBot="1"/>
    <row r="3" spans="5:12">
      <c r="J3" s="23" t="s">
        <v>95</v>
      </c>
      <c r="K3" s="35">
        <f>2000*300*10^-3</f>
        <v>600</v>
      </c>
      <c r="L3" s="24" t="s">
        <v>96</v>
      </c>
    </row>
    <row r="4" spans="5:12">
      <c r="E4" s="32" t="s">
        <v>7</v>
      </c>
      <c r="F4" s="32" t="s">
        <v>75</v>
      </c>
      <c r="G4" s="32" t="s">
        <v>87</v>
      </c>
      <c r="H4" s="32" t="s">
        <v>88</v>
      </c>
      <c r="J4" s="25" t="s">
        <v>90</v>
      </c>
      <c r="K4" s="5">
        <f>MAX(H5:H28)</f>
        <v>7.9999999999999867</v>
      </c>
      <c r="L4" s="36" t="s">
        <v>94</v>
      </c>
    </row>
    <row r="5" spans="5:12">
      <c r="E5" s="39" t="s">
        <v>86</v>
      </c>
      <c r="F5" s="5">
        <v>2</v>
      </c>
      <c r="G5" s="40">
        <f>-100/24</f>
        <v>-4.166666666666667</v>
      </c>
      <c r="H5" s="22">
        <f>F5+G5</f>
        <v>-2.166666666666667</v>
      </c>
      <c r="J5" s="25" t="s">
        <v>89</v>
      </c>
      <c r="K5" s="5">
        <f>MIN(H5:H28)</f>
        <v>-11.166666666666671</v>
      </c>
      <c r="L5" s="36" t="s">
        <v>94</v>
      </c>
    </row>
    <row r="6" spans="5:12">
      <c r="E6" s="39" t="s">
        <v>8</v>
      </c>
      <c r="F6" s="5">
        <v>2</v>
      </c>
      <c r="G6" s="40">
        <f t="shared" ref="G6:G28" si="0">-100/24</f>
        <v>-4.166666666666667</v>
      </c>
      <c r="H6" s="22">
        <f>H5+F6+G6</f>
        <v>-4.3333333333333339</v>
      </c>
      <c r="J6" s="25" t="s">
        <v>92</v>
      </c>
      <c r="K6" s="5">
        <f>ABS(K4)+ABS(K5)</f>
        <v>19.166666666666657</v>
      </c>
      <c r="L6" s="36" t="s">
        <v>94</v>
      </c>
    </row>
    <row r="7" spans="5:12" ht="15.75" thickBot="1">
      <c r="E7" s="39" t="s">
        <v>9</v>
      </c>
      <c r="F7" s="5">
        <v>2</v>
      </c>
      <c r="G7" s="40">
        <f t="shared" si="0"/>
        <v>-4.166666666666667</v>
      </c>
      <c r="H7" s="22">
        <f>H6+F7+G7</f>
        <v>-6.5000000000000009</v>
      </c>
      <c r="J7" s="27" t="s">
        <v>91</v>
      </c>
      <c r="K7" s="37">
        <f>K3*(K6/100)</f>
        <v>114.99999999999994</v>
      </c>
      <c r="L7" s="38" t="s">
        <v>93</v>
      </c>
    </row>
    <row r="8" spans="5:12">
      <c r="E8" s="39" t="s">
        <v>10</v>
      </c>
      <c r="F8" s="5">
        <v>2</v>
      </c>
      <c r="G8" s="40">
        <f t="shared" si="0"/>
        <v>-4.166666666666667</v>
      </c>
      <c r="H8" s="22">
        <f>H7+F8+G8</f>
        <v>-8.6666666666666679</v>
      </c>
    </row>
    <row r="9" spans="5:12">
      <c r="E9" s="39" t="s">
        <v>11</v>
      </c>
      <c r="F9" s="5">
        <v>3</v>
      </c>
      <c r="G9" s="40">
        <f t="shared" si="0"/>
        <v>-4.166666666666667</v>
      </c>
      <c r="H9" s="22">
        <f>H8+F9+G9</f>
        <v>-9.8333333333333357</v>
      </c>
    </row>
    <row r="10" spans="5:12">
      <c r="E10" s="39" t="s">
        <v>12</v>
      </c>
      <c r="F10" s="5">
        <v>3</v>
      </c>
      <c r="G10" s="40">
        <f t="shared" si="0"/>
        <v>-4.166666666666667</v>
      </c>
      <c r="H10" s="22">
        <f t="shared" ref="H10:H27" si="1">H9+F10+G10</f>
        <v>-11.000000000000004</v>
      </c>
    </row>
    <row r="11" spans="5:12">
      <c r="E11" s="39" t="s">
        <v>13</v>
      </c>
      <c r="F11" s="5">
        <v>4</v>
      </c>
      <c r="G11" s="40">
        <f t="shared" si="0"/>
        <v>-4.166666666666667</v>
      </c>
      <c r="H11" s="22">
        <f t="shared" si="1"/>
        <v>-11.166666666666671</v>
      </c>
    </row>
    <row r="12" spans="5:12">
      <c r="E12" s="39" t="s">
        <v>14</v>
      </c>
      <c r="F12" s="5">
        <v>5</v>
      </c>
      <c r="G12" s="40">
        <f t="shared" si="0"/>
        <v>-4.166666666666667</v>
      </c>
      <c r="H12" s="22">
        <f>H11+F12+G12</f>
        <v>-10.333333333333339</v>
      </c>
    </row>
    <row r="13" spans="5:12">
      <c r="E13" s="39" t="s">
        <v>15</v>
      </c>
      <c r="F13" s="5">
        <v>5</v>
      </c>
      <c r="G13" s="40">
        <f t="shared" si="0"/>
        <v>-4.166666666666667</v>
      </c>
      <c r="H13" s="22">
        <f t="shared" si="1"/>
        <v>-9.5000000000000071</v>
      </c>
    </row>
    <row r="14" spans="5:12">
      <c r="E14" s="39" t="s">
        <v>16</v>
      </c>
      <c r="F14" s="5">
        <v>6</v>
      </c>
      <c r="G14" s="40">
        <f t="shared" si="0"/>
        <v>-4.166666666666667</v>
      </c>
      <c r="H14" s="22">
        <f t="shared" si="1"/>
        <v>-7.6666666666666741</v>
      </c>
    </row>
    <row r="15" spans="5:12">
      <c r="E15" s="39" t="s">
        <v>17</v>
      </c>
      <c r="F15" s="5">
        <v>7</v>
      </c>
      <c r="G15" s="40">
        <f t="shared" si="0"/>
        <v>-4.166666666666667</v>
      </c>
      <c r="H15" s="22">
        <f>H14+F15+G15</f>
        <v>-4.833333333333341</v>
      </c>
    </row>
    <row r="16" spans="5:12">
      <c r="E16" s="39" t="s">
        <v>18</v>
      </c>
      <c r="F16" s="5">
        <v>7</v>
      </c>
      <c r="G16" s="40">
        <f t="shared" si="0"/>
        <v>-4.166666666666667</v>
      </c>
      <c r="H16" s="22">
        <f t="shared" si="1"/>
        <v>-2.000000000000008</v>
      </c>
    </row>
    <row r="17" spans="5:8">
      <c r="E17" s="39" t="s">
        <v>19</v>
      </c>
      <c r="F17" s="5">
        <v>8</v>
      </c>
      <c r="G17" s="40">
        <f t="shared" si="0"/>
        <v>-4.166666666666667</v>
      </c>
      <c r="H17" s="22">
        <f>H16+F17+G17</f>
        <v>1.833333333333325</v>
      </c>
    </row>
    <row r="18" spans="5:8">
      <c r="E18" s="39" t="s">
        <v>20</v>
      </c>
      <c r="F18" s="5">
        <v>6</v>
      </c>
      <c r="G18" s="40">
        <f t="shared" si="0"/>
        <v>-4.166666666666667</v>
      </c>
      <c r="H18" s="22">
        <f t="shared" si="1"/>
        <v>3.6666666666666581</v>
      </c>
    </row>
    <row r="19" spans="5:8">
      <c r="E19" s="39" t="s">
        <v>21</v>
      </c>
      <c r="F19" s="5">
        <v>5</v>
      </c>
      <c r="G19" s="40">
        <f t="shared" si="0"/>
        <v>-4.166666666666667</v>
      </c>
      <c r="H19" s="22">
        <f t="shared" si="1"/>
        <v>4.4999999999999902</v>
      </c>
    </row>
    <row r="20" spans="5:8">
      <c r="E20" s="39" t="s">
        <v>22</v>
      </c>
      <c r="F20" s="5">
        <v>5</v>
      </c>
      <c r="G20" s="40">
        <f t="shared" si="0"/>
        <v>-4.166666666666667</v>
      </c>
      <c r="H20" s="22">
        <f>H19+F20+G20</f>
        <v>5.3333333333333224</v>
      </c>
    </row>
    <row r="21" spans="5:8">
      <c r="E21" s="39" t="s">
        <v>23</v>
      </c>
      <c r="F21" s="5">
        <v>5</v>
      </c>
      <c r="G21" s="40">
        <f t="shared" si="0"/>
        <v>-4.166666666666667</v>
      </c>
      <c r="H21" s="22">
        <f t="shared" si="1"/>
        <v>6.1666666666666545</v>
      </c>
    </row>
    <row r="22" spans="5:8">
      <c r="E22" s="39" t="s">
        <v>24</v>
      </c>
      <c r="F22" s="5">
        <v>6</v>
      </c>
      <c r="G22" s="40">
        <f t="shared" si="0"/>
        <v>-4.166666666666667</v>
      </c>
      <c r="H22" s="22">
        <f>H21+F22+G22</f>
        <v>7.9999999999999867</v>
      </c>
    </row>
    <row r="23" spans="5:8">
      <c r="E23" s="39" t="s">
        <v>25</v>
      </c>
      <c r="F23" s="5">
        <v>4</v>
      </c>
      <c r="G23" s="40">
        <f t="shared" si="0"/>
        <v>-4.166666666666667</v>
      </c>
      <c r="H23" s="22">
        <f t="shared" si="1"/>
        <v>7.8333333333333188</v>
      </c>
    </row>
    <row r="24" spans="5:8">
      <c r="E24" s="39" t="s">
        <v>26</v>
      </c>
      <c r="F24" s="5">
        <v>4</v>
      </c>
      <c r="G24" s="40">
        <f t="shared" si="0"/>
        <v>-4.166666666666667</v>
      </c>
      <c r="H24" s="22">
        <f t="shared" si="1"/>
        <v>7.666666666666651</v>
      </c>
    </row>
    <row r="25" spans="5:8">
      <c r="E25" s="39" t="s">
        <v>27</v>
      </c>
      <c r="F25" s="5">
        <v>3</v>
      </c>
      <c r="G25" s="40">
        <f t="shared" si="0"/>
        <v>-4.166666666666667</v>
      </c>
      <c r="H25" s="22">
        <f>H24+F25+G25</f>
        <v>6.4999999999999831</v>
      </c>
    </row>
    <row r="26" spans="5:8">
      <c r="E26" s="39" t="s">
        <v>28</v>
      </c>
      <c r="F26" s="5">
        <v>2</v>
      </c>
      <c r="G26" s="40">
        <f t="shared" si="0"/>
        <v>-4.166666666666667</v>
      </c>
      <c r="H26" s="22">
        <f t="shared" si="1"/>
        <v>4.3333333333333153</v>
      </c>
    </row>
    <row r="27" spans="5:8">
      <c r="E27" s="39" t="s">
        <v>29</v>
      </c>
      <c r="F27" s="5">
        <v>2</v>
      </c>
      <c r="G27" s="40">
        <f t="shared" si="0"/>
        <v>-4.166666666666667</v>
      </c>
      <c r="H27" s="22">
        <f t="shared" si="1"/>
        <v>2.1666666666666483</v>
      </c>
    </row>
    <row r="28" spans="5:8">
      <c r="E28" s="39" t="s">
        <v>85</v>
      </c>
      <c r="F28" s="5">
        <v>2</v>
      </c>
      <c r="G28" s="40">
        <f t="shared" si="0"/>
        <v>-4.166666666666667</v>
      </c>
      <c r="H28" s="22">
        <f>H27+F28+G28</f>
        <v>-1.865174681370263E-14</v>
      </c>
    </row>
    <row r="29" spans="5:8">
      <c r="F29">
        <f>SUM(F5:F28)</f>
        <v>100</v>
      </c>
      <c r="G29">
        <f>SUM(G5:G28)</f>
        <v>-100.00000000000003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C1" sqref="C1:E1"/>
    </sheetView>
  </sheetViews>
  <sheetFormatPr defaultRowHeight="15"/>
  <cols>
    <col min="1" max="1" width="5.7109375" bestFit="1" customWidth="1"/>
    <col min="2" max="2" width="9.42578125" bestFit="1" customWidth="1"/>
    <col min="3" max="3" width="9" bestFit="1" customWidth="1"/>
    <col min="4" max="4" width="16.5703125" bestFit="1" customWidth="1"/>
    <col min="5" max="5" width="11" bestFit="1" customWidth="1"/>
    <col min="6" max="6" width="11.28515625" bestFit="1" customWidth="1"/>
    <col min="8" max="8" width="16.5703125" customWidth="1"/>
    <col min="9" max="9" width="11" bestFit="1" customWidth="1"/>
    <col min="11" max="11" width="17.28515625" bestFit="1" customWidth="1"/>
    <col min="12" max="12" width="12" bestFit="1" customWidth="1"/>
    <col min="13" max="13" width="5.7109375" bestFit="1" customWidth="1"/>
  </cols>
  <sheetData>
    <row r="1" spans="1:13">
      <c r="A1" s="4" t="s">
        <v>7</v>
      </c>
      <c r="B1" s="4" t="s">
        <v>75</v>
      </c>
      <c r="C1" s="41" t="s">
        <v>97</v>
      </c>
      <c r="D1" s="4" t="s">
        <v>87</v>
      </c>
      <c r="E1" s="4" t="s">
        <v>88</v>
      </c>
    </row>
    <row r="2" spans="1:13" ht="15.75" thickBot="1">
      <c r="A2" s="39" t="s">
        <v>86</v>
      </c>
      <c r="B2" s="5">
        <v>2</v>
      </c>
      <c r="C2" s="42">
        <f>-50/24</f>
        <v>-2.0833333333333335</v>
      </c>
      <c r="D2" s="40">
        <v>0</v>
      </c>
      <c r="E2" s="33">
        <f>B2+C2+D2</f>
        <v>-8.3333333333333481E-2</v>
      </c>
    </row>
    <row r="3" spans="1:13">
      <c r="A3" s="39" t="s">
        <v>8</v>
      </c>
      <c r="B3" s="5">
        <v>2</v>
      </c>
      <c r="C3" s="42">
        <f t="shared" ref="C3:C25" si="0">-50/24</f>
        <v>-2.0833333333333335</v>
      </c>
      <c r="D3" s="40">
        <v>0</v>
      </c>
      <c r="E3" s="33">
        <f t="shared" ref="E3:E25" si="1">SUM(B3:D3)+E2</f>
        <v>-0.16666666666666696</v>
      </c>
      <c r="F3" s="43"/>
      <c r="K3" s="23" t="s">
        <v>95</v>
      </c>
      <c r="L3" s="35">
        <f>2000*300*10^-3</f>
        <v>600</v>
      </c>
      <c r="M3" s="24" t="s">
        <v>96</v>
      </c>
    </row>
    <row r="4" spans="1:13">
      <c r="A4" s="39" t="s">
        <v>9</v>
      </c>
      <c r="B4" s="5">
        <v>2</v>
      </c>
      <c r="C4" s="42">
        <f t="shared" si="0"/>
        <v>-2.0833333333333335</v>
      </c>
      <c r="D4" s="40">
        <v>0</v>
      </c>
      <c r="E4" s="33">
        <f t="shared" si="1"/>
        <v>-0.25000000000000044</v>
      </c>
      <c r="F4" s="43"/>
      <c r="K4" s="25" t="s">
        <v>90</v>
      </c>
      <c r="L4" s="5">
        <f>MAX(E2:E25)</f>
        <v>6.3333333333333321</v>
      </c>
      <c r="M4" s="36" t="s">
        <v>94</v>
      </c>
    </row>
    <row r="5" spans="1:13">
      <c r="A5" s="39" t="s">
        <v>10</v>
      </c>
      <c r="B5" s="5">
        <v>2</v>
      </c>
      <c r="C5" s="42">
        <f t="shared" si="0"/>
        <v>-2.0833333333333335</v>
      </c>
      <c r="D5" s="40">
        <v>0</v>
      </c>
      <c r="E5" s="33">
        <f t="shared" si="1"/>
        <v>-0.33333333333333393</v>
      </c>
      <c r="F5" s="43"/>
      <c r="K5" s="25" t="s">
        <v>89</v>
      </c>
      <c r="L5" s="5">
        <f>MIN(E2:E25)</f>
        <v>-4.5000000000000044</v>
      </c>
      <c r="M5" s="36" t="s">
        <v>94</v>
      </c>
    </row>
    <row r="6" spans="1:13">
      <c r="A6" s="39" t="s">
        <v>11</v>
      </c>
      <c r="B6" s="5">
        <v>3</v>
      </c>
      <c r="C6" s="42">
        <f t="shared" si="0"/>
        <v>-2.0833333333333335</v>
      </c>
      <c r="D6" s="40">
        <v>0</v>
      </c>
      <c r="E6" s="33">
        <f t="shared" si="1"/>
        <v>0.58333333333333259</v>
      </c>
      <c r="F6" s="43"/>
      <c r="K6" s="25" t="s">
        <v>92</v>
      </c>
      <c r="L6" s="5">
        <f>ABS(L4)+ABS(L5)</f>
        <v>10.833333333333336</v>
      </c>
      <c r="M6" s="36" t="s">
        <v>94</v>
      </c>
    </row>
    <row r="7" spans="1:13" ht="15.75" thickBot="1">
      <c r="A7" s="39" t="s">
        <v>12</v>
      </c>
      <c r="B7" s="5">
        <v>3</v>
      </c>
      <c r="C7" s="42">
        <f t="shared" si="0"/>
        <v>-2.0833333333333335</v>
      </c>
      <c r="D7" s="40">
        <v>0</v>
      </c>
      <c r="E7" s="33">
        <f t="shared" si="1"/>
        <v>1.4999999999999991</v>
      </c>
      <c r="F7" s="43"/>
      <c r="K7" s="27" t="s">
        <v>91</v>
      </c>
      <c r="L7" s="37">
        <f>L3*(L6/100)</f>
        <v>65.000000000000014</v>
      </c>
      <c r="M7" s="38" t="s">
        <v>93</v>
      </c>
    </row>
    <row r="8" spans="1:13">
      <c r="A8" s="39" t="s">
        <v>13</v>
      </c>
      <c r="B8" s="5">
        <v>4</v>
      </c>
      <c r="C8" s="42">
        <f t="shared" si="0"/>
        <v>-2.0833333333333335</v>
      </c>
      <c r="D8" s="40">
        <v>0</v>
      </c>
      <c r="E8" s="33">
        <f t="shared" si="1"/>
        <v>3.4166666666666656</v>
      </c>
      <c r="F8" s="43"/>
    </row>
    <row r="9" spans="1:13">
      <c r="A9" s="39" t="s">
        <v>14</v>
      </c>
      <c r="B9" s="5">
        <v>5</v>
      </c>
      <c r="C9" s="42">
        <f t="shared" si="0"/>
        <v>-2.0833333333333335</v>
      </c>
      <c r="D9" s="40">
        <v>0</v>
      </c>
      <c r="E9" s="33">
        <f t="shared" si="1"/>
        <v>6.3333333333333321</v>
      </c>
      <c r="F9" s="43"/>
    </row>
    <row r="10" spans="1:13">
      <c r="A10" s="39" t="s">
        <v>15</v>
      </c>
      <c r="B10" s="5">
        <v>5</v>
      </c>
      <c r="C10" s="42">
        <f t="shared" si="0"/>
        <v>-2.0833333333333335</v>
      </c>
      <c r="D10" s="40">
        <f>-50/10</f>
        <v>-5</v>
      </c>
      <c r="E10" s="33">
        <f t="shared" si="1"/>
        <v>4.2499999999999982</v>
      </c>
      <c r="F10" s="43"/>
    </row>
    <row r="11" spans="1:13">
      <c r="A11" s="39" t="s">
        <v>16</v>
      </c>
      <c r="B11" s="5">
        <v>6</v>
      </c>
      <c r="C11" s="42">
        <f t="shared" si="0"/>
        <v>-2.0833333333333335</v>
      </c>
      <c r="D11" s="40">
        <f t="shared" ref="D11:D19" si="2">-50/10</f>
        <v>-5</v>
      </c>
      <c r="E11" s="33">
        <f t="shared" si="1"/>
        <v>3.1666666666666647</v>
      </c>
      <c r="F11" s="43"/>
    </row>
    <row r="12" spans="1:13">
      <c r="A12" s="39" t="s">
        <v>17</v>
      </c>
      <c r="B12" s="5">
        <v>7</v>
      </c>
      <c r="C12" s="42">
        <f t="shared" si="0"/>
        <v>-2.0833333333333335</v>
      </c>
      <c r="D12" s="40">
        <f t="shared" si="2"/>
        <v>-5</v>
      </c>
      <c r="E12" s="33">
        <f t="shared" si="1"/>
        <v>3.0833333333333308</v>
      </c>
      <c r="F12" s="43"/>
    </row>
    <row r="13" spans="1:13">
      <c r="A13" s="39" t="s">
        <v>18</v>
      </c>
      <c r="B13" s="5">
        <v>7</v>
      </c>
      <c r="C13" s="42">
        <f t="shared" si="0"/>
        <v>-2.0833333333333335</v>
      </c>
      <c r="D13" s="40">
        <f t="shared" si="2"/>
        <v>-5</v>
      </c>
      <c r="E13" s="33">
        <f t="shared" si="1"/>
        <v>2.9999999999999969</v>
      </c>
      <c r="F13" s="43"/>
    </row>
    <row r="14" spans="1:13">
      <c r="A14" s="39" t="s">
        <v>19</v>
      </c>
      <c r="B14" s="5">
        <v>8</v>
      </c>
      <c r="C14" s="42">
        <f t="shared" si="0"/>
        <v>-2.0833333333333335</v>
      </c>
      <c r="D14" s="40">
        <f t="shared" si="2"/>
        <v>-5</v>
      </c>
      <c r="E14" s="33">
        <f t="shared" si="1"/>
        <v>3.916666666666663</v>
      </c>
      <c r="F14" s="43"/>
    </row>
    <row r="15" spans="1:13">
      <c r="A15" s="39" t="s">
        <v>20</v>
      </c>
      <c r="B15" s="5">
        <v>6</v>
      </c>
      <c r="C15" s="42">
        <f t="shared" si="0"/>
        <v>-2.0833333333333335</v>
      </c>
      <c r="D15" s="40">
        <f t="shared" si="2"/>
        <v>-5</v>
      </c>
      <c r="E15" s="33">
        <f t="shared" si="1"/>
        <v>2.8333333333333295</v>
      </c>
      <c r="F15" s="43"/>
    </row>
    <row r="16" spans="1:13">
      <c r="A16" s="39" t="s">
        <v>21</v>
      </c>
      <c r="B16" s="5">
        <v>5</v>
      </c>
      <c r="C16" s="42">
        <f t="shared" si="0"/>
        <v>-2.0833333333333335</v>
      </c>
      <c r="D16" s="40">
        <f t="shared" si="2"/>
        <v>-5</v>
      </c>
      <c r="E16" s="33">
        <f t="shared" si="1"/>
        <v>0.749999999999996</v>
      </c>
      <c r="F16" s="43"/>
    </row>
    <row r="17" spans="1:6">
      <c r="A17" s="39" t="s">
        <v>22</v>
      </c>
      <c r="B17" s="5">
        <v>5</v>
      </c>
      <c r="C17" s="42">
        <f t="shared" si="0"/>
        <v>-2.0833333333333335</v>
      </c>
      <c r="D17" s="40">
        <f>-50/10</f>
        <v>-5</v>
      </c>
      <c r="E17" s="33">
        <f t="shared" si="1"/>
        <v>-1.3333333333333375</v>
      </c>
      <c r="F17" s="43"/>
    </row>
    <row r="18" spans="1:6">
      <c r="A18" s="39" t="s">
        <v>23</v>
      </c>
      <c r="B18" s="5">
        <v>5</v>
      </c>
      <c r="C18" s="42">
        <f t="shared" si="0"/>
        <v>-2.0833333333333335</v>
      </c>
      <c r="D18" s="40">
        <f t="shared" si="2"/>
        <v>-5</v>
      </c>
      <c r="E18" s="33">
        <f t="shared" si="1"/>
        <v>-3.416666666666671</v>
      </c>
      <c r="F18" s="43"/>
    </row>
    <row r="19" spans="1:6">
      <c r="A19" s="39" t="s">
        <v>24</v>
      </c>
      <c r="B19" s="5">
        <v>6</v>
      </c>
      <c r="C19" s="42">
        <f t="shared" si="0"/>
        <v>-2.0833333333333335</v>
      </c>
      <c r="D19" s="40">
        <f t="shared" si="2"/>
        <v>-5</v>
      </c>
      <c r="E19" s="33">
        <f t="shared" si="1"/>
        <v>-4.5000000000000044</v>
      </c>
      <c r="F19" s="43"/>
    </row>
    <row r="20" spans="1:6">
      <c r="A20" s="39" t="s">
        <v>25</v>
      </c>
      <c r="B20" s="5">
        <v>4</v>
      </c>
      <c r="C20" s="42">
        <f t="shared" si="0"/>
        <v>-2.0833333333333335</v>
      </c>
      <c r="D20" s="40">
        <v>0</v>
      </c>
      <c r="E20" s="33">
        <f t="shared" si="1"/>
        <v>-2.5833333333333379</v>
      </c>
      <c r="F20" s="43"/>
    </row>
    <row r="21" spans="1:6">
      <c r="A21" s="39" t="s">
        <v>26</v>
      </c>
      <c r="B21" s="5">
        <v>4</v>
      </c>
      <c r="C21" s="42">
        <f t="shared" si="0"/>
        <v>-2.0833333333333335</v>
      </c>
      <c r="D21" s="40">
        <v>0</v>
      </c>
      <c r="E21" s="33">
        <f t="shared" si="1"/>
        <v>-0.6666666666666714</v>
      </c>
      <c r="F21" s="43"/>
    </row>
    <row r="22" spans="1:6">
      <c r="A22" s="39" t="s">
        <v>27</v>
      </c>
      <c r="B22" s="5">
        <v>3</v>
      </c>
      <c r="C22" s="42">
        <f t="shared" si="0"/>
        <v>-2.0833333333333335</v>
      </c>
      <c r="D22" s="40">
        <v>0</v>
      </c>
      <c r="E22" s="33">
        <f t="shared" si="1"/>
        <v>0.24999999999999512</v>
      </c>
      <c r="F22" s="43"/>
    </row>
    <row r="23" spans="1:6">
      <c r="A23" s="39" t="s">
        <v>28</v>
      </c>
      <c r="B23" s="5">
        <v>2</v>
      </c>
      <c r="C23" s="42">
        <f t="shared" si="0"/>
        <v>-2.0833333333333335</v>
      </c>
      <c r="D23" s="40">
        <v>0</v>
      </c>
      <c r="E23" s="33">
        <f t="shared" si="1"/>
        <v>0.16666666666666163</v>
      </c>
      <c r="F23" s="43"/>
    </row>
    <row r="24" spans="1:6">
      <c r="A24" s="39" t="s">
        <v>29</v>
      </c>
      <c r="B24" s="5">
        <v>2</v>
      </c>
      <c r="C24" s="42">
        <f t="shared" si="0"/>
        <v>-2.0833333333333335</v>
      </c>
      <c r="D24" s="40">
        <v>0</v>
      </c>
      <c r="E24" s="33">
        <f t="shared" si="1"/>
        <v>8.3333333333328152E-2</v>
      </c>
      <c r="F24" s="43"/>
    </row>
    <row r="25" spans="1:6">
      <c r="A25" s="39" t="s">
        <v>85</v>
      </c>
      <c r="B25" s="5">
        <v>2</v>
      </c>
      <c r="C25" s="42">
        <f t="shared" si="0"/>
        <v>-2.0833333333333335</v>
      </c>
      <c r="D25" s="40">
        <v>0</v>
      </c>
      <c r="E25" s="33">
        <f t="shared" si="1"/>
        <v>-5.3290705182007514E-15</v>
      </c>
      <c r="F25" s="43"/>
    </row>
    <row r="26" spans="1:6">
      <c r="B26">
        <f>SUM(B2:B25)</f>
        <v>100</v>
      </c>
      <c r="C26">
        <f>SUM(C2:C25)</f>
        <v>-50.000000000000014</v>
      </c>
      <c r="D26">
        <f>SUM(D2:D25)</f>
        <v>-50</v>
      </c>
      <c r="E26">
        <f>SUM(E2:E25)</f>
        <v>19.999999999999929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Υπολογισμός Παροχών 1.1</vt:lpstr>
      <vt:lpstr>Δεξαμενή Ύδρευσης 1.2</vt:lpstr>
      <vt:lpstr>Εξωτερικό Υδραγωγείο 1.3 </vt:lpstr>
      <vt:lpstr>2.1</vt:lpstr>
      <vt:lpstr>data-sewer</vt:lpstr>
      <vt:lpstr>2.2</vt:lpstr>
      <vt:lpstr>Δεξαμενή Νερού Παράδειγμα Α. </vt:lpstr>
      <vt:lpstr>Δεξαμενή Νερού Παράδειγμα Β. </vt:lpstr>
      <vt:lpstr>Δεξαμενή Νερού Παράδειγμα C.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</dc:creator>
  <cp:lastModifiedBy>giorgos</cp:lastModifiedBy>
  <dcterms:created xsi:type="dcterms:W3CDTF">2015-03-16T16:44:41Z</dcterms:created>
  <dcterms:modified xsi:type="dcterms:W3CDTF">2015-06-11T00:43:15Z</dcterms:modified>
</cp:coreProperties>
</file>