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43480" windowHeight="13300" tabRatio="990" activeTab="14"/>
  </bookViews>
  <sheets>
    <sheet name="Batch Experiment" sheetId="1" r:id="rId1"/>
    <sheet name="18_5_2016 Batch Static" sheetId="2" r:id="rId2"/>
    <sheet name="Static FA_NTX1" sheetId="3" r:id="rId3"/>
    <sheet name="Dynamic FA_SAND" sheetId="4" r:id="rId4"/>
    <sheet name="Static FA_SAND" sheetId="5" r:id="rId5"/>
    <sheet name="Static FA_NTX1_SAND" sheetId="6" r:id="rId6"/>
    <sheet name="Dynamic_FA_SAND_NTX1" sheetId="7" r:id="rId7"/>
    <sheet name="Dynamic_FA_NTX1" sheetId="8" r:id="rId8"/>
    <sheet name="Κινητική πρώτης τάξης" sheetId="9" r:id="rId9"/>
    <sheet name="Κινητική Δέυτερης Τάξης" sheetId="10" r:id="rId10"/>
    <sheet name="Διασωματιδιακή Διάχυση" sheetId="11" r:id="rId11"/>
    <sheet name="Αποτελέσματα Colloid Fit " sheetId="12" r:id="rId12"/>
    <sheet name="Ψευδοδεύτερης τάξης" sheetId="13" r:id="rId13"/>
    <sheet name="static" sheetId="14" r:id="rId14"/>
    <sheet name="dynamic" sheetId="15" r:id="rId15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3" i="3" l="1"/>
  <c r="F56" i="3"/>
  <c r="E10" i="12"/>
  <c r="F9" i="11"/>
  <c r="G9" i="11"/>
  <c r="E31" i="11"/>
  <c r="D53" i="11"/>
  <c r="D76" i="11"/>
  <c r="H76" i="11"/>
  <c r="L76" i="11"/>
  <c r="M76" i="11"/>
  <c r="G14" i="3"/>
  <c r="F57" i="3"/>
  <c r="E11" i="12"/>
  <c r="F10" i="11"/>
  <c r="G10" i="11"/>
  <c r="E32" i="11"/>
  <c r="D54" i="11"/>
  <c r="D77" i="11"/>
  <c r="H77" i="11"/>
  <c r="L77" i="11"/>
  <c r="M77" i="11"/>
  <c r="G15" i="3"/>
  <c r="F58" i="3"/>
  <c r="E12" i="12"/>
  <c r="F11" i="11"/>
  <c r="G11" i="11"/>
  <c r="E33" i="11"/>
  <c r="D55" i="11"/>
  <c r="D78" i="11"/>
  <c r="H78" i="11"/>
  <c r="L78" i="11"/>
  <c r="M78" i="11"/>
  <c r="G16" i="3"/>
  <c r="F59" i="3"/>
  <c r="E13" i="12"/>
  <c r="F12" i="11"/>
  <c r="G12" i="11"/>
  <c r="E34" i="11"/>
  <c r="D56" i="11"/>
  <c r="D79" i="11"/>
  <c r="H79" i="11"/>
  <c r="L79" i="11"/>
  <c r="M79" i="11"/>
  <c r="G17" i="3"/>
  <c r="F60" i="3"/>
  <c r="E14" i="12"/>
  <c r="F13" i="11"/>
  <c r="G13" i="11"/>
  <c r="E35" i="11"/>
  <c r="D57" i="11"/>
  <c r="D80" i="11"/>
  <c r="H80" i="11"/>
  <c r="L80" i="11"/>
  <c r="M80" i="11"/>
  <c r="G18" i="3"/>
  <c r="F61" i="3"/>
  <c r="E15" i="12"/>
  <c r="F14" i="11"/>
  <c r="G14" i="11"/>
  <c r="E36" i="11"/>
  <c r="D58" i="11"/>
  <c r="D81" i="11"/>
  <c r="H81" i="11"/>
  <c r="L81" i="11"/>
  <c r="M81" i="11"/>
  <c r="G19" i="3"/>
  <c r="F62" i="3"/>
  <c r="E16" i="12"/>
  <c r="F15" i="11"/>
  <c r="G15" i="11"/>
  <c r="E37" i="11"/>
  <c r="D59" i="11"/>
  <c r="D82" i="11"/>
  <c r="H82" i="11"/>
  <c r="L82" i="11"/>
  <c r="M82" i="11"/>
  <c r="G20" i="3"/>
  <c r="F63" i="3"/>
  <c r="E17" i="12"/>
  <c r="F16" i="11"/>
  <c r="G16" i="11"/>
  <c r="E38" i="11"/>
  <c r="D60" i="11"/>
  <c r="D83" i="11"/>
  <c r="H83" i="11"/>
  <c r="L83" i="11"/>
  <c r="M83" i="11"/>
  <c r="G21" i="3"/>
  <c r="F64" i="3"/>
  <c r="E18" i="12"/>
  <c r="F17" i="11"/>
  <c r="G17" i="11"/>
  <c r="E39" i="11"/>
  <c r="D61" i="11"/>
  <c r="D84" i="11"/>
  <c r="H84" i="11"/>
  <c r="L84" i="11"/>
  <c r="M84" i="11"/>
  <c r="G22" i="3"/>
  <c r="F65" i="3"/>
  <c r="E19" i="12"/>
  <c r="F18" i="11"/>
  <c r="G18" i="11"/>
  <c r="E40" i="11"/>
  <c r="D62" i="11"/>
  <c r="D85" i="11"/>
  <c r="H85" i="11"/>
  <c r="L85" i="11"/>
  <c r="M85" i="11"/>
  <c r="G23" i="3"/>
  <c r="F66" i="3"/>
  <c r="E20" i="12"/>
  <c r="F19" i="11"/>
  <c r="G19" i="11"/>
  <c r="E41" i="11"/>
  <c r="D63" i="11"/>
  <c r="D86" i="11"/>
  <c r="H86" i="11"/>
  <c r="L86" i="11"/>
  <c r="M86" i="11"/>
  <c r="G24" i="3"/>
  <c r="F67" i="3"/>
  <c r="E21" i="12"/>
  <c r="F20" i="11"/>
  <c r="G20" i="11"/>
  <c r="E42" i="11"/>
  <c r="D64" i="11"/>
  <c r="D87" i="11"/>
  <c r="H87" i="11"/>
  <c r="L87" i="11"/>
  <c r="M87" i="11"/>
  <c r="G25" i="3"/>
  <c r="F68" i="3"/>
  <c r="E22" i="12"/>
  <c r="F21" i="11"/>
  <c r="G21" i="11"/>
  <c r="E43" i="11"/>
  <c r="D65" i="11"/>
  <c r="D88" i="11"/>
  <c r="H88" i="11"/>
  <c r="L88" i="11"/>
  <c r="M88" i="11"/>
  <c r="G26" i="3"/>
  <c r="F69" i="3"/>
  <c r="E23" i="12"/>
  <c r="F22" i="11"/>
  <c r="G22" i="11"/>
  <c r="E44" i="11"/>
  <c r="D66" i="11"/>
  <c r="D89" i="11"/>
  <c r="H89" i="11"/>
  <c r="L89" i="11"/>
  <c r="M89" i="11"/>
  <c r="G27" i="3"/>
  <c r="F70" i="3"/>
  <c r="E24" i="12"/>
  <c r="F23" i="11"/>
  <c r="G23" i="11"/>
  <c r="E45" i="11"/>
  <c r="D67" i="11"/>
  <c r="D90" i="11"/>
  <c r="H90" i="11"/>
  <c r="L90" i="11"/>
  <c r="M90" i="11"/>
  <c r="G28" i="3"/>
  <c r="F71" i="3"/>
  <c r="E25" i="12"/>
  <c r="F24" i="11"/>
  <c r="G24" i="11"/>
  <c r="E46" i="11"/>
  <c r="D68" i="11"/>
  <c r="D91" i="11"/>
  <c r="H91" i="11"/>
  <c r="L91" i="11"/>
  <c r="M91" i="11"/>
  <c r="E6" i="4"/>
  <c r="D11" i="4"/>
  <c r="D12" i="4"/>
  <c r="D33" i="4"/>
  <c r="M58" i="12"/>
  <c r="U9" i="11"/>
  <c r="D13" i="4"/>
  <c r="D34" i="4"/>
  <c r="M59" i="12"/>
  <c r="U10" i="11"/>
  <c r="D14" i="4"/>
  <c r="D35" i="4"/>
  <c r="M60" i="12"/>
  <c r="U11" i="11"/>
  <c r="D15" i="4"/>
  <c r="D36" i="4"/>
  <c r="M61" i="12"/>
  <c r="U12" i="11"/>
  <c r="D16" i="4"/>
  <c r="D37" i="4"/>
  <c r="M62" i="12"/>
  <c r="U13" i="11"/>
  <c r="D17" i="4"/>
  <c r="D38" i="4"/>
  <c r="M63" i="12"/>
  <c r="U14" i="11"/>
  <c r="D18" i="4"/>
  <c r="D39" i="4"/>
  <c r="M64" i="12"/>
  <c r="U15" i="11"/>
  <c r="D19" i="4"/>
  <c r="D40" i="4"/>
  <c r="M65" i="12"/>
  <c r="U16" i="11"/>
  <c r="D20" i="4"/>
  <c r="D41" i="4"/>
  <c r="M66" i="12"/>
  <c r="U17" i="11"/>
  <c r="D21" i="4"/>
  <c r="D42" i="4"/>
  <c r="M67" i="12"/>
  <c r="U18" i="11"/>
  <c r="D22" i="4"/>
  <c r="D43" i="4"/>
  <c r="M68" i="12"/>
  <c r="U19" i="11"/>
  <c r="D23" i="4"/>
  <c r="D44" i="4"/>
  <c r="M69" i="12"/>
  <c r="U20" i="11"/>
  <c r="D24" i="4"/>
  <c r="D45" i="4"/>
  <c r="M70" i="12"/>
  <c r="U21" i="11"/>
  <c r="D25" i="4"/>
  <c r="D46" i="4"/>
  <c r="M71" i="12"/>
  <c r="U22" i="11"/>
  <c r="D26" i="4"/>
  <c r="D47" i="4"/>
  <c r="M72" i="12"/>
  <c r="U23" i="11"/>
  <c r="D27" i="4"/>
  <c r="D48" i="4"/>
  <c r="M73" i="12"/>
  <c r="U24" i="11"/>
  <c r="D9" i="8"/>
  <c r="D13" i="8"/>
  <c r="E65" i="8"/>
  <c r="D14" i="8"/>
  <c r="E66" i="8"/>
  <c r="F66" i="8"/>
  <c r="M10" i="12"/>
  <c r="O9" i="11"/>
  <c r="D15" i="8"/>
  <c r="E67" i="8"/>
  <c r="F67" i="8"/>
  <c r="M11" i="12"/>
  <c r="O10" i="11"/>
  <c r="D16" i="8"/>
  <c r="E68" i="8"/>
  <c r="F68" i="8"/>
  <c r="M12" i="12"/>
  <c r="O11" i="11"/>
  <c r="D17" i="8"/>
  <c r="E69" i="8"/>
  <c r="F69" i="8"/>
  <c r="M13" i="12"/>
  <c r="O12" i="11"/>
  <c r="D18" i="8"/>
  <c r="E70" i="8"/>
  <c r="F70" i="8"/>
  <c r="M14" i="12"/>
  <c r="O13" i="11"/>
  <c r="D19" i="8"/>
  <c r="E71" i="8"/>
  <c r="F71" i="8"/>
  <c r="M15" i="12"/>
  <c r="O14" i="11"/>
  <c r="D20" i="8"/>
  <c r="E72" i="8"/>
  <c r="F72" i="8"/>
  <c r="M16" i="12"/>
  <c r="O15" i="11"/>
  <c r="D21" i="8"/>
  <c r="E73" i="8"/>
  <c r="F73" i="8"/>
  <c r="M17" i="12"/>
  <c r="O16" i="11"/>
  <c r="D22" i="8"/>
  <c r="E74" i="8"/>
  <c r="F74" i="8"/>
  <c r="M18" i="12"/>
  <c r="O17" i="11"/>
  <c r="D23" i="8"/>
  <c r="E75" i="8"/>
  <c r="F75" i="8"/>
  <c r="M19" i="12"/>
  <c r="O18" i="11"/>
  <c r="D24" i="8"/>
  <c r="E76" i="8"/>
  <c r="F76" i="8"/>
  <c r="M20" i="12"/>
  <c r="O19" i="11"/>
  <c r="D25" i="8"/>
  <c r="E77" i="8"/>
  <c r="F77" i="8"/>
  <c r="M21" i="12"/>
  <c r="O20" i="11"/>
  <c r="D26" i="8"/>
  <c r="E78" i="8"/>
  <c r="F78" i="8"/>
  <c r="M22" i="12"/>
  <c r="O21" i="11"/>
  <c r="D27" i="8"/>
  <c r="E79" i="8"/>
  <c r="F79" i="8"/>
  <c r="M23" i="12"/>
  <c r="O22" i="11"/>
  <c r="D28" i="8"/>
  <c r="E80" i="8"/>
  <c r="F80" i="8"/>
  <c r="M24" i="12"/>
  <c r="O23" i="11"/>
  <c r="D29" i="8"/>
  <c r="E81" i="8"/>
  <c r="F81" i="8"/>
  <c r="M25" i="12"/>
  <c r="O24" i="11"/>
  <c r="M9" i="12"/>
  <c r="O8" i="11"/>
  <c r="F57" i="12"/>
  <c r="K8" i="11"/>
  <c r="E56" i="6"/>
  <c r="F33" i="12"/>
  <c r="H8" i="11"/>
  <c r="C21" i="13"/>
  <c r="E21" i="13"/>
  <c r="C20" i="13"/>
  <c r="G20" i="13"/>
  <c r="C19" i="13"/>
  <c r="E19" i="13"/>
  <c r="F19" i="13"/>
  <c r="C18" i="13"/>
  <c r="G18" i="13"/>
  <c r="C17" i="13"/>
  <c r="E17" i="13"/>
  <c r="F17" i="13"/>
  <c r="C16" i="13"/>
  <c r="G16" i="13"/>
  <c r="C15" i="13"/>
  <c r="E15" i="13"/>
  <c r="F15" i="13"/>
  <c r="C14" i="13"/>
  <c r="G14" i="13"/>
  <c r="C13" i="13"/>
  <c r="E13" i="13"/>
  <c r="F13" i="13"/>
  <c r="C12" i="13"/>
  <c r="G12" i="13"/>
  <c r="C11" i="13"/>
  <c r="E11" i="13"/>
  <c r="F11" i="13"/>
  <c r="C10" i="13"/>
  <c r="G10" i="13"/>
  <c r="C9" i="13"/>
  <c r="E9" i="13"/>
  <c r="F9" i="13"/>
  <c r="C8" i="13"/>
  <c r="G8" i="13"/>
  <c r="C7" i="13"/>
  <c r="E7" i="13"/>
  <c r="F7" i="13"/>
  <c r="C6" i="13"/>
  <c r="G6" i="13"/>
  <c r="C5" i="13"/>
  <c r="L172" i="12"/>
  <c r="K172" i="12"/>
  <c r="G172" i="12"/>
  <c r="F172" i="12"/>
  <c r="E172" i="12"/>
  <c r="K149" i="12"/>
  <c r="J149" i="12"/>
  <c r="G149" i="12"/>
  <c r="F149" i="12"/>
  <c r="E149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P57" i="12"/>
  <c r="L149" i="12"/>
  <c r="M57" i="12"/>
  <c r="E57" i="12"/>
  <c r="O9" i="12"/>
  <c r="J172" i="12"/>
  <c r="E9" i="12"/>
  <c r="D149" i="12"/>
  <c r="P8" i="12"/>
  <c r="O8" i="12"/>
  <c r="N8" i="12"/>
  <c r="L8" i="12"/>
  <c r="L74" i="11"/>
  <c r="N51" i="11"/>
  <c r="F51" i="11"/>
  <c r="D51" i="11"/>
  <c r="H51" i="11"/>
  <c r="L51" i="11"/>
  <c r="U8" i="11"/>
  <c r="N30" i="11"/>
  <c r="H30" i="11"/>
  <c r="F8" i="11"/>
  <c r="I8" i="11"/>
  <c r="J8" i="11"/>
  <c r="G8" i="11"/>
  <c r="E30" i="11"/>
  <c r="D52" i="11"/>
  <c r="O88" i="10"/>
  <c r="N88" i="10"/>
  <c r="M88" i="10"/>
  <c r="Q87" i="10"/>
  <c r="R83" i="10"/>
  <c r="R82" i="10"/>
  <c r="T82" i="10"/>
  <c r="O104" i="10"/>
  <c r="R81" i="10"/>
  <c r="T81" i="10"/>
  <c r="O103" i="10"/>
  <c r="R80" i="10"/>
  <c r="R79" i="10"/>
  <c r="R78" i="10"/>
  <c r="T78" i="10"/>
  <c r="O100" i="10"/>
  <c r="R77" i="10"/>
  <c r="T77" i="10"/>
  <c r="O99" i="10"/>
  <c r="R76" i="10"/>
  <c r="R75" i="10"/>
  <c r="R74" i="10"/>
  <c r="T74" i="10"/>
  <c r="O96" i="10"/>
  <c r="R73" i="10"/>
  <c r="T73" i="10"/>
  <c r="O95" i="10"/>
  <c r="R72" i="10"/>
  <c r="T72" i="10"/>
  <c r="O94" i="10"/>
  <c r="R71" i="10"/>
  <c r="R70" i="10"/>
  <c r="T70" i="10"/>
  <c r="O92" i="10"/>
  <c r="R69" i="10"/>
  <c r="T69" i="10"/>
  <c r="O91" i="10"/>
  <c r="R68" i="10"/>
  <c r="T68" i="10"/>
  <c r="O90" i="10"/>
  <c r="R67" i="10"/>
  <c r="O37" i="10"/>
  <c r="N37" i="10"/>
  <c r="M37" i="10"/>
  <c r="Q36" i="10"/>
  <c r="M16" i="10"/>
  <c r="P16" i="10"/>
  <c r="S16" i="10"/>
  <c r="L38" i="10"/>
  <c r="G81" i="9"/>
  <c r="F81" i="9"/>
  <c r="E81" i="9"/>
  <c r="I80" i="9"/>
  <c r="J76" i="9"/>
  <c r="L76" i="9"/>
  <c r="G98" i="9"/>
  <c r="J75" i="9"/>
  <c r="L75" i="9"/>
  <c r="G97" i="9"/>
  <c r="J74" i="9"/>
  <c r="J73" i="9"/>
  <c r="J72" i="9"/>
  <c r="L72" i="9"/>
  <c r="G94" i="9"/>
  <c r="J71" i="9"/>
  <c r="L71" i="9"/>
  <c r="G93" i="9"/>
  <c r="J70" i="9"/>
  <c r="J69" i="9"/>
  <c r="J68" i="9"/>
  <c r="J67" i="9"/>
  <c r="L67" i="9"/>
  <c r="G89" i="9"/>
  <c r="J66" i="9"/>
  <c r="J65" i="9"/>
  <c r="J64" i="9"/>
  <c r="J63" i="9"/>
  <c r="L63" i="9"/>
  <c r="G85" i="9"/>
  <c r="J62" i="9"/>
  <c r="J61" i="9"/>
  <c r="J60" i="9"/>
  <c r="G30" i="9"/>
  <c r="F30" i="9"/>
  <c r="E30" i="9"/>
  <c r="I29" i="9"/>
  <c r="X9" i="9"/>
  <c r="E9" i="9"/>
  <c r="D31" i="9"/>
  <c r="J65" i="8"/>
  <c r="C65" i="8"/>
  <c r="L9" i="12"/>
  <c r="G55" i="8"/>
  <c r="G54" i="8"/>
  <c r="G53" i="8"/>
  <c r="G52" i="8"/>
  <c r="G51" i="8"/>
  <c r="G50" i="8"/>
  <c r="G49" i="8"/>
  <c r="G48" i="8"/>
  <c r="G47" i="8"/>
  <c r="G30" i="8"/>
  <c r="C81" i="8"/>
  <c r="L25" i="12"/>
  <c r="G29" i="8"/>
  <c r="C80" i="8"/>
  <c r="L24" i="12"/>
  <c r="G28" i="8"/>
  <c r="C79" i="8"/>
  <c r="L23" i="12"/>
  <c r="G27" i="8"/>
  <c r="C78" i="8"/>
  <c r="L22" i="12"/>
  <c r="G26" i="8"/>
  <c r="C77" i="8"/>
  <c r="L21" i="12"/>
  <c r="G25" i="8"/>
  <c r="C76" i="8"/>
  <c r="L20" i="12"/>
  <c r="G24" i="8"/>
  <c r="C75" i="8"/>
  <c r="L19" i="12"/>
  <c r="G23" i="8"/>
  <c r="C74" i="8"/>
  <c r="L18" i="12"/>
  <c r="G22" i="8"/>
  <c r="C73" i="8"/>
  <c r="L17" i="12"/>
  <c r="G21" i="8"/>
  <c r="C72" i="8"/>
  <c r="L16" i="12"/>
  <c r="G20" i="8"/>
  <c r="C71" i="8"/>
  <c r="L15" i="12"/>
  <c r="G19" i="8"/>
  <c r="C70" i="8"/>
  <c r="L14" i="12"/>
  <c r="G18" i="8"/>
  <c r="C69" i="8"/>
  <c r="L13" i="12"/>
  <c r="G17" i="8"/>
  <c r="C68" i="8"/>
  <c r="L12" i="12"/>
  <c r="G16" i="8"/>
  <c r="C67" i="8"/>
  <c r="L11" i="12"/>
  <c r="G15" i="8"/>
  <c r="C66" i="8"/>
  <c r="L10" i="12"/>
  <c r="D38" i="7"/>
  <c r="M33" i="12"/>
  <c r="C38" i="7"/>
  <c r="L33" i="12"/>
  <c r="D37" i="7"/>
  <c r="M32" i="12"/>
  <c r="G30" i="7"/>
  <c r="C54" i="7"/>
  <c r="L49" i="12"/>
  <c r="C9" i="7"/>
  <c r="D30" i="7"/>
  <c r="N49" i="12"/>
  <c r="G29" i="7"/>
  <c r="C53" i="7"/>
  <c r="L48" i="12"/>
  <c r="G28" i="7"/>
  <c r="C52" i="7"/>
  <c r="L47" i="12"/>
  <c r="D28" i="7"/>
  <c r="N47" i="12"/>
  <c r="G27" i="7"/>
  <c r="C51" i="7"/>
  <c r="L46" i="12"/>
  <c r="G26" i="7"/>
  <c r="C50" i="7"/>
  <c r="L45" i="12"/>
  <c r="D26" i="7"/>
  <c r="N45" i="12"/>
  <c r="G25" i="7"/>
  <c r="C49" i="7"/>
  <c r="L44" i="12"/>
  <c r="G24" i="7"/>
  <c r="C48" i="7"/>
  <c r="L43" i="12"/>
  <c r="D24" i="7"/>
  <c r="N43" i="12"/>
  <c r="G23" i="7"/>
  <c r="C47" i="7"/>
  <c r="L42" i="12"/>
  <c r="G22" i="7"/>
  <c r="C46" i="7"/>
  <c r="L41" i="12"/>
  <c r="D22" i="7"/>
  <c r="N41" i="12"/>
  <c r="G21" i="7"/>
  <c r="C45" i="7"/>
  <c r="L40" i="12"/>
  <c r="G20" i="7"/>
  <c r="C44" i="7"/>
  <c r="L39" i="12"/>
  <c r="D20" i="7"/>
  <c r="N39" i="12"/>
  <c r="G19" i="7"/>
  <c r="C43" i="7"/>
  <c r="L38" i="12"/>
  <c r="G18" i="7"/>
  <c r="C42" i="7"/>
  <c r="L37" i="12"/>
  <c r="D18" i="7"/>
  <c r="N37" i="12"/>
  <c r="G17" i="7"/>
  <c r="C41" i="7"/>
  <c r="L36" i="12"/>
  <c r="G16" i="7"/>
  <c r="C40" i="7"/>
  <c r="L35" i="12"/>
  <c r="D16" i="7"/>
  <c r="N35" i="12"/>
  <c r="G15" i="7"/>
  <c r="C39" i="7"/>
  <c r="L34" i="12"/>
  <c r="D14" i="7"/>
  <c r="N33" i="12"/>
  <c r="D29" i="7"/>
  <c r="L3" i="7"/>
  <c r="G28" i="6"/>
  <c r="D72" i="6"/>
  <c r="E49" i="12"/>
  <c r="G26" i="6"/>
  <c r="D70" i="6"/>
  <c r="E47" i="12"/>
  <c r="G24" i="6"/>
  <c r="D68" i="6"/>
  <c r="E45" i="12"/>
  <c r="G22" i="6"/>
  <c r="D66" i="6"/>
  <c r="E43" i="12"/>
  <c r="G20" i="6"/>
  <c r="D64" i="6"/>
  <c r="E41" i="12"/>
  <c r="G18" i="6"/>
  <c r="D62" i="6"/>
  <c r="E39" i="12"/>
  <c r="G16" i="6"/>
  <c r="D60" i="6"/>
  <c r="E37" i="12"/>
  <c r="G14" i="6"/>
  <c r="D58" i="6"/>
  <c r="E35" i="12"/>
  <c r="D56" i="6"/>
  <c r="E33" i="12"/>
  <c r="E55" i="6"/>
  <c r="F32" i="12"/>
  <c r="O29" i="6"/>
  <c r="D7" i="6"/>
  <c r="D28" i="6"/>
  <c r="G49" i="12"/>
  <c r="O32" i="10"/>
  <c r="G27" i="6"/>
  <c r="D71" i="6"/>
  <c r="E48" i="12"/>
  <c r="C27" i="6"/>
  <c r="D27" i="6"/>
  <c r="G48" i="12"/>
  <c r="O31" i="10"/>
  <c r="D26" i="6"/>
  <c r="D12" i="6"/>
  <c r="E26" i="6"/>
  <c r="H47" i="12"/>
  <c r="F186" i="12"/>
  <c r="G47" i="12"/>
  <c r="O30" i="10"/>
  <c r="G25" i="6"/>
  <c r="D69" i="6"/>
  <c r="E46" i="12"/>
  <c r="D25" i="6"/>
  <c r="E25" i="6"/>
  <c r="H46" i="12"/>
  <c r="F185" i="12"/>
  <c r="G46" i="12"/>
  <c r="O29" i="10"/>
  <c r="D24" i="6"/>
  <c r="E24" i="6"/>
  <c r="H45" i="12"/>
  <c r="F184" i="12"/>
  <c r="G45" i="12"/>
  <c r="O28" i="10"/>
  <c r="G23" i="6"/>
  <c r="D67" i="6"/>
  <c r="E44" i="12"/>
  <c r="D23" i="6"/>
  <c r="E23" i="6"/>
  <c r="H44" i="12"/>
  <c r="F183" i="12"/>
  <c r="G44" i="12"/>
  <c r="O27" i="10"/>
  <c r="D22" i="6"/>
  <c r="E22" i="6"/>
  <c r="H43" i="12"/>
  <c r="F182" i="12"/>
  <c r="G43" i="12"/>
  <c r="O26" i="10"/>
  <c r="G21" i="6"/>
  <c r="D65" i="6"/>
  <c r="E42" i="12"/>
  <c r="D21" i="6"/>
  <c r="E21" i="6"/>
  <c r="H42" i="12"/>
  <c r="F181" i="12"/>
  <c r="G42" i="12"/>
  <c r="O25" i="10"/>
  <c r="D20" i="6"/>
  <c r="E20" i="6"/>
  <c r="H41" i="12"/>
  <c r="F180" i="12"/>
  <c r="G41" i="12"/>
  <c r="O24" i="10"/>
  <c r="G19" i="6"/>
  <c r="D63" i="6"/>
  <c r="E40" i="12"/>
  <c r="D19" i="6"/>
  <c r="E19" i="6"/>
  <c r="H40" i="12"/>
  <c r="F179" i="12"/>
  <c r="G40" i="12"/>
  <c r="O23" i="10"/>
  <c r="D18" i="6"/>
  <c r="E18" i="6"/>
  <c r="H39" i="12"/>
  <c r="F178" i="12"/>
  <c r="G39" i="12"/>
  <c r="O22" i="10"/>
  <c r="G17" i="6"/>
  <c r="D61" i="6"/>
  <c r="E38" i="12"/>
  <c r="D17" i="6"/>
  <c r="E17" i="6"/>
  <c r="H38" i="12"/>
  <c r="F177" i="12"/>
  <c r="G38" i="12"/>
  <c r="O21" i="10"/>
  <c r="D16" i="6"/>
  <c r="E16" i="6"/>
  <c r="H37" i="12"/>
  <c r="F176" i="12"/>
  <c r="G37" i="12"/>
  <c r="O20" i="10"/>
  <c r="G15" i="6"/>
  <c r="D59" i="6"/>
  <c r="E36" i="12"/>
  <c r="D15" i="6"/>
  <c r="E15" i="6"/>
  <c r="H36" i="12"/>
  <c r="F175" i="12"/>
  <c r="G36" i="12"/>
  <c r="O19" i="10"/>
  <c r="D14" i="6"/>
  <c r="E14" i="6"/>
  <c r="H35" i="12"/>
  <c r="F174" i="12"/>
  <c r="G35" i="12"/>
  <c r="O18" i="10"/>
  <c r="G13" i="6"/>
  <c r="D57" i="6"/>
  <c r="E34" i="12"/>
  <c r="D13" i="6"/>
  <c r="E13" i="6"/>
  <c r="H34" i="12"/>
  <c r="F173" i="12"/>
  <c r="G34" i="12"/>
  <c r="O17" i="10"/>
  <c r="G33" i="12"/>
  <c r="O16" i="10"/>
  <c r="G28" i="5"/>
  <c r="E72" i="5"/>
  <c r="E73" i="12"/>
  <c r="G24" i="5"/>
  <c r="E68" i="5"/>
  <c r="E69" i="12"/>
  <c r="G22" i="5"/>
  <c r="E66" i="5"/>
  <c r="E67" i="12"/>
  <c r="G20" i="5"/>
  <c r="E64" i="5"/>
  <c r="E65" i="12"/>
  <c r="G18" i="5"/>
  <c r="E62" i="5"/>
  <c r="E63" i="12"/>
  <c r="G16" i="5"/>
  <c r="E60" i="5"/>
  <c r="E61" i="12"/>
  <c r="G14" i="5"/>
  <c r="E58" i="5"/>
  <c r="E59" i="12"/>
  <c r="F55" i="5"/>
  <c r="F56" i="12"/>
  <c r="M56" i="12"/>
  <c r="E55" i="5"/>
  <c r="V32" i="5"/>
  <c r="N28" i="5"/>
  <c r="G27" i="5"/>
  <c r="E71" i="5"/>
  <c r="E72" i="12"/>
  <c r="G26" i="5"/>
  <c r="E70" i="5"/>
  <c r="E71" i="12"/>
  <c r="G25" i="5"/>
  <c r="E69" i="5"/>
  <c r="E70" i="12"/>
  <c r="A25" i="5"/>
  <c r="C26" i="5"/>
  <c r="C27" i="5"/>
  <c r="E7" i="5"/>
  <c r="D24" i="5"/>
  <c r="G69" i="12"/>
  <c r="G23" i="5"/>
  <c r="E67" i="5"/>
  <c r="E68" i="12"/>
  <c r="D23" i="5"/>
  <c r="G68" i="12"/>
  <c r="D22" i="5"/>
  <c r="G67" i="12"/>
  <c r="G21" i="5"/>
  <c r="E65" i="5"/>
  <c r="E66" i="12"/>
  <c r="D21" i="5"/>
  <c r="G66" i="12"/>
  <c r="D20" i="5"/>
  <c r="G65" i="12"/>
  <c r="G19" i="5"/>
  <c r="E63" i="5"/>
  <c r="E64" i="12"/>
  <c r="D19" i="5"/>
  <c r="G64" i="12"/>
  <c r="D18" i="5"/>
  <c r="G63" i="12"/>
  <c r="G17" i="5"/>
  <c r="E61" i="5"/>
  <c r="E62" i="12"/>
  <c r="D17" i="5"/>
  <c r="G62" i="12"/>
  <c r="D16" i="5"/>
  <c r="G61" i="12"/>
  <c r="G15" i="5"/>
  <c r="E59" i="5"/>
  <c r="E60" i="12"/>
  <c r="D15" i="5"/>
  <c r="G60" i="12"/>
  <c r="D14" i="5"/>
  <c r="G59" i="12"/>
  <c r="G13" i="5"/>
  <c r="E57" i="5"/>
  <c r="E58" i="12"/>
  <c r="D13" i="5"/>
  <c r="G58" i="12"/>
  <c r="D12" i="5"/>
  <c r="G57" i="12"/>
  <c r="D25" i="5"/>
  <c r="G27" i="4"/>
  <c r="C48" i="4"/>
  <c r="G25" i="4"/>
  <c r="C46" i="4"/>
  <c r="G23" i="4"/>
  <c r="C44" i="4"/>
  <c r="G21" i="4"/>
  <c r="C42" i="4"/>
  <c r="G19" i="4"/>
  <c r="C40" i="4"/>
  <c r="G17" i="4"/>
  <c r="C38" i="4"/>
  <c r="C32" i="4"/>
  <c r="G26" i="4"/>
  <c r="C47" i="4"/>
  <c r="G24" i="4"/>
  <c r="C45" i="4"/>
  <c r="G22" i="4"/>
  <c r="C43" i="4"/>
  <c r="G20" i="4"/>
  <c r="C41" i="4"/>
  <c r="G18" i="4"/>
  <c r="C39" i="4"/>
  <c r="G16" i="4"/>
  <c r="C37" i="4"/>
  <c r="G15" i="4"/>
  <c r="C36" i="4"/>
  <c r="G14" i="4"/>
  <c r="C35" i="4"/>
  <c r="G13" i="4"/>
  <c r="C34" i="4"/>
  <c r="G12" i="4"/>
  <c r="C33" i="4"/>
  <c r="N57" i="12"/>
  <c r="G73" i="3"/>
  <c r="F73" i="3"/>
  <c r="G72" i="3"/>
  <c r="F72" i="3"/>
  <c r="G55" i="3"/>
  <c r="F9" i="12"/>
  <c r="E8" i="11"/>
  <c r="G54" i="3"/>
  <c r="F8" i="12"/>
  <c r="M8" i="12"/>
  <c r="F54" i="3"/>
  <c r="G51" i="3"/>
  <c r="G50" i="3"/>
  <c r="S29" i="3"/>
  <c r="C26" i="3"/>
  <c r="C27" i="3"/>
  <c r="C28" i="3"/>
  <c r="D7" i="3"/>
  <c r="D28" i="3"/>
  <c r="D12" i="3"/>
  <c r="G9" i="12"/>
  <c r="D25" i="3"/>
  <c r="B23" i="2"/>
  <c r="D21" i="2"/>
  <c r="C21" i="2"/>
  <c r="B22" i="2"/>
  <c r="D19" i="2"/>
  <c r="C19" i="2"/>
  <c r="B19" i="2"/>
  <c r="B20" i="2"/>
  <c r="C22" i="1"/>
  <c r="B19" i="1"/>
  <c r="C13" i="1"/>
  <c r="B9" i="1"/>
  <c r="E5" i="1"/>
  <c r="E4" i="1"/>
  <c r="E3" i="1"/>
  <c r="E6" i="1"/>
  <c r="D157" i="12"/>
  <c r="E17" i="9"/>
  <c r="M24" i="10"/>
  <c r="G22" i="12"/>
  <c r="G46" i="3"/>
  <c r="E25" i="3"/>
  <c r="D152" i="12"/>
  <c r="E12" i="9"/>
  <c r="M19" i="10"/>
  <c r="D160" i="12"/>
  <c r="E20" i="9"/>
  <c r="M27" i="10"/>
  <c r="D151" i="12"/>
  <c r="M18" i="10"/>
  <c r="E11" i="9"/>
  <c r="D155" i="12"/>
  <c r="M22" i="10"/>
  <c r="E15" i="9"/>
  <c r="D159" i="12"/>
  <c r="M26" i="10"/>
  <c r="E19" i="9"/>
  <c r="G25" i="12"/>
  <c r="E28" i="3"/>
  <c r="G49" i="3"/>
  <c r="G70" i="12"/>
  <c r="G48" i="5"/>
  <c r="E25" i="5"/>
  <c r="N48" i="12"/>
  <c r="I29" i="7"/>
  <c r="E29" i="7"/>
  <c r="D153" i="12"/>
  <c r="E13" i="9"/>
  <c r="M20" i="10"/>
  <c r="D161" i="12"/>
  <c r="E21" i="9"/>
  <c r="M28" i="10"/>
  <c r="C28" i="5"/>
  <c r="D28" i="5"/>
  <c r="D27" i="5"/>
  <c r="D156" i="12"/>
  <c r="E16" i="9"/>
  <c r="M23" i="10"/>
  <c r="D163" i="12"/>
  <c r="M30" i="10"/>
  <c r="E23" i="9"/>
  <c r="N9" i="12"/>
  <c r="D150" i="12"/>
  <c r="M17" i="10"/>
  <c r="E10" i="9"/>
  <c r="D154" i="12"/>
  <c r="M21" i="10"/>
  <c r="E14" i="9"/>
  <c r="D158" i="12"/>
  <c r="M25" i="10"/>
  <c r="E18" i="9"/>
  <c r="D162" i="12"/>
  <c r="M29" i="10"/>
  <c r="E22" i="9"/>
  <c r="D165" i="12"/>
  <c r="E25" i="9"/>
  <c r="M32" i="10"/>
  <c r="N73" i="12"/>
  <c r="E27" i="4"/>
  <c r="F52" i="11"/>
  <c r="F30" i="11"/>
  <c r="Q16" i="10"/>
  <c r="N38" i="10"/>
  <c r="I150" i="12"/>
  <c r="P9" i="11"/>
  <c r="M68" i="10"/>
  <c r="E61" i="9"/>
  <c r="I151" i="12"/>
  <c r="P10" i="11"/>
  <c r="E62" i="9"/>
  <c r="M69" i="10"/>
  <c r="I152" i="12"/>
  <c r="P11" i="11"/>
  <c r="M70" i="10"/>
  <c r="E63" i="9"/>
  <c r="I153" i="12"/>
  <c r="P12" i="11"/>
  <c r="M71" i="10"/>
  <c r="E64" i="9"/>
  <c r="I160" i="12"/>
  <c r="P19" i="11"/>
  <c r="M78" i="10"/>
  <c r="E71" i="9"/>
  <c r="I164" i="12"/>
  <c r="P23" i="11"/>
  <c r="M82" i="10"/>
  <c r="E75" i="9"/>
  <c r="D26" i="3"/>
  <c r="D26" i="5"/>
  <c r="G35" i="5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G36" i="6"/>
  <c r="G38" i="6"/>
  <c r="G40" i="6"/>
  <c r="G42" i="6"/>
  <c r="G44" i="6"/>
  <c r="G46" i="6"/>
  <c r="G48" i="6"/>
  <c r="G50" i="6"/>
  <c r="P49" i="12"/>
  <c r="K165" i="12"/>
  <c r="P47" i="12"/>
  <c r="K163" i="12"/>
  <c r="P45" i="12"/>
  <c r="K161" i="12"/>
  <c r="P43" i="12"/>
  <c r="K159" i="12"/>
  <c r="P41" i="12"/>
  <c r="K157" i="12"/>
  <c r="P39" i="12"/>
  <c r="K155" i="12"/>
  <c r="P37" i="12"/>
  <c r="K153" i="12"/>
  <c r="P35" i="12"/>
  <c r="K151" i="12"/>
  <c r="I70" i="12"/>
  <c r="G162" i="12"/>
  <c r="I68" i="12"/>
  <c r="G160" i="12"/>
  <c r="I66" i="12"/>
  <c r="G158" i="12"/>
  <c r="I64" i="12"/>
  <c r="G156" i="12"/>
  <c r="I62" i="12"/>
  <c r="G154" i="12"/>
  <c r="I60" i="12"/>
  <c r="G152" i="12"/>
  <c r="I58" i="12"/>
  <c r="G150" i="12"/>
  <c r="I48" i="12"/>
  <c r="F164" i="12"/>
  <c r="I46" i="12"/>
  <c r="F162" i="12"/>
  <c r="I44" i="12"/>
  <c r="F160" i="12"/>
  <c r="I42" i="12"/>
  <c r="F158" i="12"/>
  <c r="I40" i="12"/>
  <c r="F156" i="12"/>
  <c r="I38" i="12"/>
  <c r="F154" i="12"/>
  <c r="I36" i="12"/>
  <c r="F152" i="12"/>
  <c r="I34" i="12"/>
  <c r="F150" i="12"/>
  <c r="I22" i="12"/>
  <c r="E162" i="12"/>
  <c r="P48" i="12"/>
  <c r="K164" i="12"/>
  <c r="I69" i="12"/>
  <c r="G161" i="12"/>
  <c r="I67" i="12"/>
  <c r="G159" i="12"/>
  <c r="I65" i="12"/>
  <c r="G157" i="12"/>
  <c r="I63" i="12"/>
  <c r="G155" i="12"/>
  <c r="I61" i="12"/>
  <c r="G153" i="12"/>
  <c r="I59" i="12"/>
  <c r="G151" i="12"/>
  <c r="I49" i="12"/>
  <c r="F165" i="12"/>
  <c r="I47" i="12"/>
  <c r="F163" i="12"/>
  <c r="I45" i="12"/>
  <c r="F161" i="12"/>
  <c r="I43" i="12"/>
  <c r="F159" i="12"/>
  <c r="I41" i="12"/>
  <c r="F157" i="12"/>
  <c r="I39" i="12"/>
  <c r="F155" i="12"/>
  <c r="I37" i="12"/>
  <c r="F153" i="12"/>
  <c r="I35" i="12"/>
  <c r="F151" i="12"/>
  <c r="I25" i="12"/>
  <c r="E165" i="12"/>
  <c r="L16" i="10"/>
  <c r="D9" i="9"/>
  <c r="D164" i="12"/>
  <c r="E24" i="9"/>
  <c r="M31" i="10"/>
  <c r="I154" i="12"/>
  <c r="P13" i="11"/>
  <c r="M72" i="10"/>
  <c r="E65" i="9"/>
  <c r="I156" i="12"/>
  <c r="P15" i="11"/>
  <c r="M74" i="10"/>
  <c r="E67" i="9"/>
  <c r="I159" i="12"/>
  <c r="P18" i="11"/>
  <c r="E70" i="9"/>
  <c r="M77" i="10"/>
  <c r="I163" i="12"/>
  <c r="P22" i="11"/>
  <c r="E74" i="9"/>
  <c r="M81" i="10"/>
  <c r="D27" i="3"/>
  <c r="D13" i="3"/>
  <c r="D14" i="3"/>
  <c r="D15" i="3"/>
  <c r="D16" i="3"/>
  <c r="D17" i="3"/>
  <c r="D18" i="3"/>
  <c r="D19" i="3"/>
  <c r="D20" i="3"/>
  <c r="D21" i="3"/>
  <c r="D22" i="3"/>
  <c r="D23" i="3"/>
  <c r="D24" i="3"/>
  <c r="G33" i="3"/>
  <c r="E13" i="5"/>
  <c r="E14" i="5"/>
  <c r="E15" i="5"/>
  <c r="E16" i="5"/>
  <c r="E17" i="5"/>
  <c r="E18" i="5"/>
  <c r="E19" i="5"/>
  <c r="E20" i="5"/>
  <c r="E21" i="5"/>
  <c r="E22" i="5"/>
  <c r="E23" i="5"/>
  <c r="E24" i="5"/>
  <c r="G37" i="5"/>
  <c r="G39" i="5"/>
  <c r="G41" i="5"/>
  <c r="G43" i="5"/>
  <c r="G45" i="5"/>
  <c r="G47" i="5"/>
  <c r="E27" i="6"/>
  <c r="E28" i="6"/>
  <c r="G35" i="6"/>
  <c r="D15" i="7"/>
  <c r="D17" i="7"/>
  <c r="D19" i="7"/>
  <c r="D21" i="7"/>
  <c r="D23" i="7"/>
  <c r="D25" i="7"/>
  <c r="D27" i="7"/>
  <c r="P73" i="12"/>
  <c r="L165" i="12"/>
  <c r="R17" i="10"/>
  <c r="J10" i="9"/>
  <c r="J11" i="9"/>
  <c r="R18" i="10"/>
  <c r="J12" i="9"/>
  <c r="R19" i="10"/>
  <c r="R20" i="10"/>
  <c r="J13" i="9"/>
  <c r="R21" i="10"/>
  <c r="J14" i="9"/>
  <c r="J15" i="9"/>
  <c r="R22" i="10"/>
  <c r="J16" i="9"/>
  <c r="R23" i="10"/>
  <c r="R24" i="10"/>
  <c r="J17" i="9"/>
  <c r="R25" i="10"/>
  <c r="J18" i="9"/>
  <c r="J19" i="9"/>
  <c r="R26" i="10"/>
  <c r="J20" i="9"/>
  <c r="R27" i="10"/>
  <c r="R28" i="10"/>
  <c r="J21" i="9"/>
  <c r="Q31" i="10"/>
  <c r="N53" i="10"/>
  <c r="Q32" i="10"/>
  <c r="N54" i="10"/>
  <c r="J52" i="11"/>
  <c r="G30" i="11"/>
  <c r="D46" i="8"/>
  <c r="D55" i="8"/>
  <c r="D54" i="8"/>
  <c r="D53" i="8"/>
  <c r="D52" i="8"/>
  <c r="E52" i="8"/>
  <c r="H52" i="8"/>
  <c r="D51" i="8"/>
  <c r="E51" i="8"/>
  <c r="H51" i="8"/>
  <c r="D50" i="8"/>
  <c r="D49" i="8"/>
  <c r="D48" i="8"/>
  <c r="E48" i="8"/>
  <c r="H48" i="8"/>
  <c r="D47" i="8"/>
  <c r="E47" i="8"/>
  <c r="H47" i="8"/>
  <c r="I158" i="12"/>
  <c r="P17" i="11"/>
  <c r="M76" i="10"/>
  <c r="E69" i="9"/>
  <c r="I162" i="12"/>
  <c r="P21" i="11"/>
  <c r="M80" i="10"/>
  <c r="E73" i="9"/>
  <c r="G37" i="6"/>
  <c r="G39" i="6"/>
  <c r="G41" i="6"/>
  <c r="G43" i="6"/>
  <c r="G45" i="6"/>
  <c r="G47" i="6"/>
  <c r="G49" i="6"/>
  <c r="G51" i="6"/>
  <c r="I14" i="7"/>
  <c r="E16" i="7"/>
  <c r="E18" i="7"/>
  <c r="E20" i="7"/>
  <c r="E22" i="7"/>
  <c r="E24" i="7"/>
  <c r="E26" i="7"/>
  <c r="E28" i="7"/>
  <c r="E30" i="7"/>
  <c r="R16" i="10"/>
  <c r="J9" i="9"/>
  <c r="Q17" i="10"/>
  <c r="N39" i="10"/>
  <c r="Q18" i="10"/>
  <c r="N40" i="10"/>
  <c r="Q19" i="10"/>
  <c r="N41" i="10"/>
  <c r="Q20" i="10"/>
  <c r="N42" i="10"/>
  <c r="Q21" i="10"/>
  <c r="N43" i="10"/>
  <c r="Q22" i="10"/>
  <c r="N44" i="10"/>
  <c r="Q23" i="10"/>
  <c r="N45" i="10"/>
  <c r="Q24" i="10"/>
  <c r="N46" i="10"/>
  <c r="Q25" i="10"/>
  <c r="N47" i="10"/>
  <c r="Q26" i="10"/>
  <c r="N48" i="10"/>
  <c r="Q27" i="10"/>
  <c r="N49" i="10"/>
  <c r="Q28" i="10"/>
  <c r="N50" i="10"/>
  <c r="Q29" i="10"/>
  <c r="N51" i="10"/>
  <c r="Q30" i="10"/>
  <c r="N52" i="10"/>
  <c r="G60" i="9"/>
  <c r="O67" i="10"/>
  <c r="O69" i="10"/>
  <c r="G62" i="9"/>
  <c r="G64" i="9"/>
  <c r="O71" i="10"/>
  <c r="O73" i="10"/>
  <c r="G66" i="9"/>
  <c r="G68" i="9"/>
  <c r="O75" i="10"/>
  <c r="O77" i="10"/>
  <c r="G70" i="9"/>
  <c r="G72" i="9"/>
  <c r="O79" i="10"/>
  <c r="O81" i="10"/>
  <c r="G74" i="9"/>
  <c r="G76" i="9"/>
  <c r="O83" i="10"/>
  <c r="R8" i="11"/>
  <c r="M30" i="11"/>
  <c r="J75" i="11"/>
  <c r="L30" i="11"/>
  <c r="F75" i="11"/>
  <c r="I155" i="12"/>
  <c r="P14" i="11"/>
  <c r="E66" i="9"/>
  <c r="M73" i="10"/>
  <c r="I157" i="12"/>
  <c r="M75" i="10"/>
  <c r="P16" i="11"/>
  <c r="E68" i="9"/>
  <c r="I161" i="12"/>
  <c r="M79" i="10"/>
  <c r="P20" i="11"/>
  <c r="E72" i="9"/>
  <c r="I165" i="12"/>
  <c r="M83" i="10"/>
  <c r="P24" i="11"/>
  <c r="E76" i="9"/>
  <c r="G36" i="5"/>
  <c r="G38" i="5"/>
  <c r="G40" i="5"/>
  <c r="G42" i="5"/>
  <c r="G44" i="5"/>
  <c r="G46" i="5"/>
  <c r="I16" i="7"/>
  <c r="I18" i="7"/>
  <c r="I20" i="7"/>
  <c r="I22" i="7"/>
  <c r="I24" i="7"/>
  <c r="I26" i="7"/>
  <c r="I28" i="7"/>
  <c r="I30" i="7"/>
  <c r="I149" i="12"/>
  <c r="P8" i="11"/>
  <c r="D75" i="11"/>
  <c r="E52" i="11"/>
  <c r="H52" i="11"/>
  <c r="H9" i="9"/>
  <c r="K9" i="9"/>
  <c r="L62" i="9"/>
  <c r="G84" i="9"/>
  <c r="L66" i="9"/>
  <c r="G88" i="9"/>
  <c r="L70" i="9"/>
  <c r="G92" i="9"/>
  <c r="L74" i="9"/>
  <c r="G96" i="9"/>
  <c r="Q37" i="10"/>
  <c r="S37" i="10"/>
  <c r="E60" i="9"/>
  <c r="L61" i="9"/>
  <c r="G83" i="9"/>
  <c r="L65" i="9"/>
  <c r="G87" i="9"/>
  <c r="L69" i="9"/>
  <c r="G91" i="9"/>
  <c r="L73" i="9"/>
  <c r="G95" i="9"/>
  <c r="T76" i="10"/>
  <c r="O98" i="10"/>
  <c r="T80" i="10"/>
  <c r="O102" i="10"/>
  <c r="I30" i="9"/>
  <c r="L60" i="9"/>
  <c r="G82" i="9"/>
  <c r="L64" i="9"/>
  <c r="G86" i="9"/>
  <c r="L68" i="9"/>
  <c r="G90" i="9"/>
  <c r="M67" i="10"/>
  <c r="I172" i="12"/>
  <c r="D172" i="12"/>
  <c r="T67" i="10"/>
  <c r="O89" i="10"/>
  <c r="T71" i="10"/>
  <c r="O93" i="10"/>
  <c r="T75" i="10"/>
  <c r="O97" i="10"/>
  <c r="T79" i="10"/>
  <c r="O101" i="10"/>
  <c r="T83" i="10"/>
  <c r="O105" i="10"/>
  <c r="L8" i="11"/>
  <c r="M8" i="11"/>
  <c r="K30" i="11"/>
  <c r="N52" i="11"/>
  <c r="N75" i="11"/>
  <c r="F6" i="13"/>
  <c r="D7" i="13"/>
  <c r="H7" i="13"/>
  <c r="F8" i="13"/>
  <c r="D9" i="13"/>
  <c r="H9" i="13"/>
  <c r="F10" i="13"/>
  <c r="D11" i="13"/>
  <c r="H11" i="13"/>
  <c r="F12" i="13"/>
  <c r="D13" i="13"/>
  <c r="H13" i="13"/>
  <c r="F14" i="13"/>
  <c r="D15" i="13"/>
  <c r="H15" i="13"/>
  <c r="F16" i="13"/>
  <c r="D17" i="13"/>
  <c r="H17" i="13"/>
  <c r="F18" i="13"/>
  <c r="D19" i="13"/>
  <c r="H19" i="13"/>
  <c r="F20" i="13"/>
  <c r="D21" i="13"/>
  <c r="H21" i="13"/>
  <c r="E6" i="13"/>
  <c r="G7" i="13"/>
  <c r="E8" i="13"/>
  <c r="G9" i="13"/>
  <c r="E10" i="13"/>
  <c r="G11" i="13"/>
  <c r="E12" i="13"/>
  <c r="G13" i="13"/>
  <c r="E14" i="13"/>
  <c r="G15" i="13"/>
  <c r="E16" i="13"/>
  <c r="G17" i="13"/>
  <c r="E18" i="13"/>
  <c r="G19" i="13"/>
  <c r="E20" i="13"/>
  <c r="G21" i="13"/>
  <c r="D6" i="13"/>
  <c r="H6" i="13"/>
  <c r="D8" i="13"/>
  <c r="H8" i="13"/>
  <c r="D10" i="13"/>
  <c r="H10" i="13"/>
  <c r="D12" i="13"/>
  <c r="H12" i="13"/>
  <c r="D14" i="13"/>
  <c r="H14" i="13"/>
  <c r="D16" i="13"/>
  <c r="H16" i="13"/>
  <c r="D18" i="13"/>
  <c r="H18" i="13"/>
  <c r="D20" i="13"/>
  <c r="H20" i="13"/>
  <c r="F21" i="13"/>
  <c r="N85" i="11"/>
  <c r="N40" i="11"/>
  <c r="N77" i="11"/>
  <c r="N32" i="11"/>
  <c r="N88" i="11"/>
  <c r="N43" i="11"/>
  <c r="N80" i="11"/>
  <c r="N35" i="11"/>
  <c r="N86" i="11"/>
  <c r="N41" i="11"/>
  <c r="L101" i="10"/>
  <c r="Q100" i="10"/>
  <c r="T100" i="10"/>
  <c r="P79" i="10"/>
  <c r="S79" i="10"/>
  <c r="S14" i="11"/>
  <c r="Q14" i="11"/>
  <c r="Q79" i="10"/>
  <c r="N101" i="10"/>
  <c r="Q67" i="10"/>
  <c r="N89" i="10"/>
  <c r="N13" i="12"/>
  <c r="E17" i="8"/>
  <c r="H18" i="8"/>
  <c r="O13" i="12"/>
  <c r="J176" i="12"/>
  <c r="D95" i="9"/>
  <c r="I94" i="9"/>
  <c r="L94" i="9"/>
  <c r="H73" i="9"/>
  <c r="K73" i="9"/>
  <c r="D91" i="9"/>
  <c r="I90" i="9"/>
  <c r="L90" i="9"/>
  <c r="H69" i="9"/>
  <c r="K69" i="9"/>
  <c r="L52" i="11"/>
  <c r="M52" i="11"/>
  <c r="I52" i="11"/>
  <c r="S24" i="11"/>
  <c r="Q24" i="11"/>
  <c r="S20" i="11"/>
  <c r="Q20" i="11"/>
  <c r="S16" i="11"/>
  <c r="Q16" i="11"/>
  <c r="D88" i="9"/>
  <c r="I87" i="9"/>
  <c r="L87" i="9"/>
  <c r="H66" i="9"/>
  <c r="K66" i="9"/>
  <c r="Q81" i="10"/>
  <c r="N103" i="10"/>
  <c r="Q77" i="10"/>
  <c r="N99" i="10"/>
  <c r="Q73" i="10"/>
  <c r="N95" i="10"/>
  <c r="Q69" i="10"/>
  <c r="N91" i="10"/>
  <c r="T37" i="10"/>
  <c r="T16" i="10"/>
  <c r="O38" i="10"/>
  <c r="N14" i="12"/>
  <c r="E18" i="8"/>
  <c r="H19" i="8"/>
  <c r="O14" i="12"/>
  <c r="J177" i="12"/>
  <c r="O49" i="12"/>
  <c r="K188" i="12"/>
  <c r="H30" i="7"/>
  <c r="O41" i="12"/>
  <c r="K180" i="12"/>
  <c r="H22" i="7"/>
  <c r="J30" i="7"/>
  <c r="D54" i="7"/>
  <c r="M49" i="12"/>
  <c r="J28" i="7"/>
  <c r="D52" i="7"/>
  <c r="M47" i="12"/>
  <c r="J26" i="7"/>
  <c r="D50" i="7"/>
  <c r="M45" i="12"/>
  <c r="J24" i="7"/>
  <c r="D48" i="7"/>
  <c r="M43" i="12"/>
  <c r="J22" i="7"/>
  <c r="D46" i="7"/>
  <c r="M41" i="12"/>
  <c r="J20" i="7"/>
  <c r="D44" i="7"/>
  <c r="M39" i="12"/>
  <c r="J18" i="7"/>
  <c r="D42" i="7"/>
  <c r="M37" i="12"/>
  <c r="J16" i="7"/>
  <c r="D40" i="7"/>
  <c r="M35" i="12"/>
  <c r="J29" i="7"/>
  <c r="D53" i="7"/>
  <c r="M48" i="12"/>
  <c r="N20" i="12"/>
  <c r="E24" i="8"/>
  <c r="H25" i="8"/>
  <c r="O20" i="12"/>
  <c r="J183" i="12"/>
  <c r="N24" i="12"/>
  <c r="E28" i="8"/>
  <c r="H29" i="8"/>
  <c r="O24" i="12"/>
  <c r="J187" i="12"/>
  <c r="L21" i="9"/>
  <c r="G43" i="9"/>
  <c r="T26" i="10"/>
  <c r="O48" i="10"/>
  <c r="L17" i="9"/>
  <c r="G39" i="9"/>
  <c r="T22" i="10"/>
  <c r="O44" i="10"/>
  <c r="L13" i="9"/>
  <c r="G35" i="9"/>
  <c r="T18" i="10"/>
  <c r="O40" i="10"/>
  <c r="N46" i="12"/>
  <c r="I27" i="7"/>
  <c r="J27" i="7"/>
  <c r="D51" i="7"/>
  <c r="M46" i="12"/>
  <c r="E27" i="7"/>
  <c r="N38" i="12"/>
  <c r="I19" i="7"/>
  <c r="J19" i="7"/>
  <c r="D43" i="7"/>
  <c r="M38" i="12"/>
  <c r="E19" i="7"/>
  <c r="H49" i="12"/>
  <c r="F188" i="12"/>
  <c r="H28" i="6"/>
  <c r="H69" i="12"/>
  <c r="G184" i="12"/>
  <c r="H24" i="5"/>
  <c r="H65" i="12"/>
  <c r="G180" i="12"/>
  <c r="H20" i="5"/>
  <c r="H61" i="12"/>
  <c r="G176" i="12"/>
  <c r="H16" i="5"/>
  <c r="N91" i="11"/>
  <c r="N46" i="11"/>
  <c r="N83" i="11"/>
  <c r="N38" i="11"/>
  <c r="N72" i="12"/>
  <c r="P72" i="12"/>
  <c r="L164" i="12"/>
  <c r="E26" i="4"/>
  <c r="N68" i="12"/>
  <c r="P68" i="12"/>
  <c r="L160" i="12"/>
  <c r="E22" i="4"/>
  <c r="N64" i="12"/>
  <c r="P64" i="12"/>
  <c r="L156" i="12"/>
  <c r="E18" i="4"/>
  <c r="N60" i="12"/>
  <c r="P60" i="12"/>
  <c r="L152" i="12"/>
  <c r="E14" i="4"/>
  <c r="G21" i="12"/>
  <c r="G45" i="3"/>
  <c r="E24" i="3"/>
  <c r="G17" i="12"/>
  <c r="G41" i="3"/>
  <c r="E20" i="3"/>
  <c r="G13" i="12"/>
  <c r="G37" i="3"/>
  <c r="E16" i="3"/>
  <c r="G24" i="12"/>
  <c r="E27" i="3"/>
  <c r="G48" i="3"/>
  <c r="I187" i="12"/>
  <c r="D187" i="12"/>
  <c r="N16" i="12"/>
  <c r="E20" i="8"/>
  <c r="H21" i="8"/>
  <c r="O16" i="12"/>
  <c r="J179" i="12"/>
  <c r="H48" i="5"/>
  <c r="F69" i="5"/>
  <c r="F70" i="12"/>
  <c r="K21" i="11"/>
  <c r="H46" i="5"/>
  <c r="F67" i="5"/>
  <c r="F68" i="12"/>
  <c r="K19" i="11"/>
  <c r="H44" i="5"/>
  <c r="F65" i="5"/>
  <c r="F66" i="12"/>
  <c r="K17" i="11"/>
  <c r="H42" i="5"/>
  <c r="F63" i="5"/>
  <c r="F64" i="12"/>
  <c r="K15" i="11"/>
  <c r="H40" i="5"/>
  <c r="F61" i="5"/>
  <c r="F62" i="12"/>
  <c r="K13" i="11"/>
  <c r="H38" i="5"/>
  <c r="F59" i="5"/>
  <c r="F60" i="12"/>
  <c r="K11" i="11"/>
  <c r="H36" i="5"/>
  <c r="F57" i="5"/>
  <c r="F58" i="12"/>
  <c r="K9" i="11"/>
  <c r="H47" i="5"/>
  <c r="F68" i="5"/>
  <c r="F69" i="12"/>
  <c r="K20" i="11"/>
  <c r="H45" i="5"/>
  <c r="F66" i="5"/>
  <c r="F67" i="12"/>
  <c r="K18" i="11"/>
  <c r="H43" i="5"/>
  <c r="F64" i="5"/>
  <c r="F65" i="12"/>
  <c r="K16" i="11"/>
  <c r="H41" i="5"/>
  <c r="F62" i="5"/>
  <c r="F63" i="12"/>
  <c r="K14" i="11"/>
  <c r="H39" i="5"/>
  <c r="F60" i="5"/>
  <c r="F61" i="12"/>
  <c r="K12" i="11"/>
  <c r="H37" i="5"/>
  <c r="F58" i="5"/>
  <c r="F59" i="12"/>
  <c r="K10" i="11"/>
  <c r="L104" i="10"/>
  <c r="Q103" i="10"/>
  <c r="T103" i="10"/>
  <c r="P82" i="10"/>
  <c r="S82" i="10"/>
  <c r="L100" i="10"/>
  <c r="Q99" i="10"/>
  <c r="T99" i="10"/>
  <c r="P78" i="10"/>
  <c r="S78" i="10"/>
  <c r="L93" i="10"/>
  <c r="Q92" i="10"/>
  <c r="T92" i="10"/>
  <c r="P71" i="10"/>
  <c r="S71" i="10"/>
  <c r="L92" i="10"/>
  <c r="Q91" i="10"/>
  <c r="T91" i="10"/>
  <c r="P70" i="10"/>
  <c r="S70" i="10"/>
  <c r="D84" i="9"/>
  <c r="I83" i="9"/>
  <c r="L83" i="9"/>
  <c r="H62" i="9"/>
  <c r="K62" i="9"/>
  <c r="L90" i="10"/>
  <c r="Q89" i="10"/>
  <c r="T89" i="10"/>
  <c r="P68" i="10"/>
  <c r="S68" i="10"/>
  <c r="I188" i="12"/>
  <c r="D188" i="12"/>
  <c r="I185" i="12"/>
  <c r="D185" i="12"/>
  <c r="I181" i="12"/>
  <c r="D181" i="12"/>
  <c r="I177" i="12"/>
  <c r="D177" i="12"/>
  <c r="I173" i="12"/>
  <c r="D173" i="12"/>
  <c r="L52" i="10"/>
  <c r="Q51" i="10"/>
  <c r="S51" i="10"/>
  <c r="P30" i="10"/>
  <c r="S30" i="10"/>
  <c r="D38" i="9"/>
  <c r="I37" i="9"/>
  <c r="H16" i="9"/>
  <c r="K16" i="9"/>
  <c r="G73" i="12"/>
  <c r="G51" i="5"/>
  <c r="H51" i="5"/>
  <c r="F72" i="5"/>
  <c r="F73" i="12"/>
  <c r="K24" i="11"/>
  <c r="E28" i="5"/>
  <c r="I184" i="12"/>
  <c r="D184" i="12"/>
  <c r="I176" i="12"/>
  <c r="D176" i="12"/>
  <c r="H70" i="12"/>
  <c r="G185" i="12"/>
  <c r="H25" i="5"/>
  <c r="H25" i="12"/>
  <c r="E188" i="12"/>
  <c r="H28" i="3"/>
  <c r="I18" i="11"/>
  <c r="I14" i="11"/>
  <c r="I10" i="11"/>
  <c r="I19" i="11"/>
  <c r="I11" i="11"/>
  <c r="D22" i="9"/>
  <c r="L29" i="10"/>
  <c r="I180" i="12"/>
  <c r="D180" i="12"/>
  <c r="E55" i="8"/>
  <c r="H55" i="8"/>
  <c r="E50" i="8"/>
  <c r="H50" i="8"/>
  <c r="E54" i="8"/>
  <c r="H54" i="8"/>
  <c r="L89" i="10"/>
  <c r="Q88" i="10"/>
  <c r="T88" i="10"/>
  <c r="P67" i="10"/>
  <c r="S67" i="10"/>
  <c r="L105" i="10"/>
  <c r="Q104" i="10"/>
  <c r="T104" i="10"/>
  <c r="P83" i="10"/>
  <c r="S83" i="10"/>
  <c r="L97" i="10"/>
  <c r="Q96" i="10"/>
  <c r="T96" i="10"/>
  <c r="P75" i="10"/>
  <c r="S75" i="10"/>
  <c r="Q83" i="10"/>
  <c r="N105" i="10"/>
  <c r="Q75" i="10"/>
  <c r="N97" i="10"/>
  <c r="S96" i="10"/>
  <c r="O47" i="12"/>
  <c r="K186" i="12"/>
  <c r="H28" i="7"/>
  <c r="N25" i="12"/>
  <c r="E29" i="8"/>
  <c r="H30" i="8"/>
  <c r="O25" i="12"/>
  <c r="J188" i="12"/>
  <c r="T20" i="10"/>
  <c r="O42" i="10"/>
  <c r="S8" i="11"/>
  <c r="Q8" i="11"/>
  <c r="N90" i="11"/>
  <c r="N45" i="11"/>
  <c r="N82" i="11"/>
  <c r="N37" i="11"/>
  <c r="H76" i="9"/>
  <c r="K76" i="9"/>
  <c r="D98" i="9"/>
  <c r="I97" i="9"/>
  <c r="L97" i="9"/>
  <c r="H72" i="9"/>
  <c r="K72" i="9"/>
  <c r="D94" i="9"/>
  <c r="I93" i="9"/>
  <c r="L93" i="9"/>
  <c r="H68" i="9"/>
  <c r="K68" i="9"/>
  <c r="D90" i="9"/>
  <c r="I89" i="9"/>
  <c r="L89" i="9"/>
  <c r="L95" i="10"/>
  <c r="Q94" i="10"/>
  <c r="T94" i="10"/>
  <c r="P73" i="10"/>
  <c r="S73" i="10"/>
  <c r="I74" i="9"/>
  <c r="F96" i="9"/>
  <c r="I70" i="9"/>
  <c r="F92" i="9"/>
  <c r="K87" i="9"/>
  <c r="I66" i="9"/>
  <c r="F88" i="9"/>
  <c r="K83" i="9"/>
  <c r="I62" i="9"/>
  <c r="F84" i="9"/>
  <c r="L30" i="9"/>
  <c r="L9" i="9"/>
  <c r="G31" i="9"/>
  <c r="N15" i="12"/>
  <c r="E19" i="8"/>
  <c r="H20" i="8"/>
  <c r="O15" i="12"/>
  <c r="J178" i="12"/>
  <c r="N11" i="12"/>
  <c r="E15" i="8"/>
  <c r="H16" i="8"/>
  <c r="O11" i="12"/>
  <c r="J174" i="12"/>
  <c r="O43" i="12"/>
  <c r="K182" i="12"/>
  <c r="H24" i="7"/>
  <c r="O35" i="12"/>
  <c r="K174" i="12"/>
  <c r="H16" i="7"/>
  <c r="Q21" i="11"/>
  <c r="S21" i="11"/>
  <c r="Q17" i="11"/>
  <c r="S17" i="11"/>
  <c r="N19" i="12"/>
  <c r="E23" i="8"/>
  <c r="H24" i="8"/>
  <c r="O19" i="12"/>
  <c r="J182" i="12"/>
  <c r="N23" i="12"/>
  <c r="E27" i="8"/>
  <c r="H28" i="8"/>
  <c r="O23" i="12"/>
  <c r="J186" i="12"/>
  <c r="L20" i="9"/>
  <c r="G42" i="9"/>
  <c r="T25" i="10"/>
  <c r="O47" i="10"/>
  <c r="L37" i="9"/>
  <c r="L16" i="9"/>
  <c r="G38" i="9"/>
  <c r="T21" i="10"/>
  <c r="O43" i="10"/>
  <c r="L12" i="9"/>
  <c r="G34" i="9"/>
  <c r="T17" i="10"/>
  <c r="O39" i="10"/>
  <c r="N40" i="12"/>
  <c r="I21" i="7"/>
  <c r="J21" i="7"/>
  <c r="D45" i="7"/>
  <c r="M40" i="12"/>
  <c r="E21" i="7"/>
  <c r="H50" i="6"/>
  <c r="E71" i="6"/>
  <c r="F48" i="12"/>
  <c r="H23" i="11"/>
  <c r="H48" i="6"/>
  <c r="E69" i="6"/>
  <c r="F46" i="12"/>
  <c r="H21" i="11"/>
  <c r="H46" i="6"/>
  <c r="E67" i="6"/>
  <c r="F44" i="12"/>
  <c r="H19" i="11"/>
  <c r="H44" i="6"/>
  <c r="E65" i="6"/>
  <c r="F42" i="12"/>
  <c r="H17" i="11"/>
  <c r="H42" i="6"/>
  <c r="E63" i="6"/>
  <c r="F40" i="12"/>
  <c r="H15" i="11"/>
  <c r="H40" i="6"/>
  <c r="E61" i="6"/>
  <c r="F38" i="12"/>
  <c r="H13" i="11"/>
  <c r="H38" i="6"/>
  <c r="E59" i="6"/>
  <c r="F36" i="12"/>
  <c r="H11" i="11"/>
  <c r="H36" i="6"/>
  <c r="E57" i="6"/>
  <c r="F34" i="12"/>
  <c r="H9" i="11"/>
  <c r="H51" i="6"/>
  <c r="E72" i="6"/>
  <c r="F49" i="12"/>
  <c r="H24" i="11"/>
  <c r="H49" i="6"/>
  <c r="E70" i="6"/>
  <c r="F47" i="12"/>
  <c r="H22" i="11"/>
  <c r="H47" i="6"/>
  <c r="E68" i="6"/>
  <c r="F45" i="12"/>
  <c r="H20" i="11"/>
  <c r="H45" i="6"/>
  <c r="E66" i="6"/>
  <c r="F43" i="12"/>
  <c r="H18" i="11"/>
  <c r="H43" i="6"/>
  <c r="E64" i="6"/>
  <c r="F41" i="12"/>
  <c r="H16" i="11"/>
  <c r="H41" i="6"/>
  <c r="E62" i="6"/>
  <c r="F39" i="12"/>
  <c r="H14" i="11"/>
  <c r="H39" i="6"/>
  <c r="E60" i="6"/>
  <c r="F37" i="12"/>
  <c r="H12" i="11"/>
  <c r="H37" i="6"/>
  <c r="E58" i="6"/>
  <c r="F35" i="12"/>
  <c r="H10" i="11"/>
  <c r="H66" i="12"/>
  <c r="G181" i="12"/>
  <c r="H21" i="5"/>
  <c r="H62" i="12"/>
  <c r="G177" i="12"/>
  <c r="H17" i="5"/>
  <c r="H58" i="12"/>
  <c r="G173" i="12"/>
  <c r="H13" i="5"/>
  <c r="N69" i="12"/>
  <c r="P69" i="12"/>
  <c r="L161" i="12"/>
  <c r="E23" i="4"/>
  <c r="N65" i="12"/>
  <c r="P65" i="12"/>
  <c r="L157" i="12"/>
  <c r="E19" i="4"/>
  <c r="N61" i="12"/>
  <c r="P61" i="12"/>
  <c r="L153" i="12"/>
  <c r="E15" i="4"/>
  <c r="H49" i="3"/>
  <c r="G71" i="3"/>
  <c r="F25" i="12"/>
  <c r="E24" i="11"/>
  <c r="H45" i="3"/>
  <c r="G67" i="3"/>
  <c r="F21" i="12"/>
  <c r="E20" i="11"/>
  <c r="H41" i="3"/>
  <c r="G63" i="3"/>
  <c r="F17" i="12"/>
  <c r="E16" i="11"/>
  <c r="H37" i="3"/>
  <c r="G59" i="3"/>
  <c r="F13" i="12"/>
  <c r="E12" i="11"/>
  <c r="H46" i="3"/>
  <c r="G68" i="3"/>
  <c r="F22" i="12"/>
  <c r="E21" i="11"/>
  <c r="H48" i="3"/>
  <c r="G70" i="3"/>
  <c r="F24" i="12"/>
  <c r="E23" i="11"/>
  <c r="G18" i="12"/>
  <c r="G42" i="3"/>
  <c r="H42" i="3"/>
  <c r="G64" i="3"/>
  <c r="F18" i="12"/>
  <c r="E17" i="11"/>
  <c r="E21" i="3"/>
  <c r="G14" i="12"/>
  <c r="G38" i="3"/>
  <c r="H38" i="3"/>
  <c r="G60" i="3"/>
  <c r="F14" i="12"/>
  <c r="E13" i="11"/>
  <c r="E17" i="3"/>
  <c r="G10" i="12"/>
  <c r="G34" i="3"/>
  <c r="H34" i="3"/>
  <c r="G56" i="3"/>
  <c r="F10" i="12"/>
  <c r="E9" i="11"/>
  <c r="E13" i="3"/>
  <c r="S22" i="11"/>
  <c r="Q22" i="11"/>
  <c r="S18" i="11"/>
  <c r="Q18" i="11"/>
  <c r="Q15" i="11"/>
  <c r="S15" i="11"/>
  <c r="Q13" i="11"/>
  <c r="S13" i="11"/>
  <c r="I23" i="11"/>
  <c r="N18" i="12"/>
  <c r="E22" i="8"/>
  <c r="H23" i="8"/>
  <c r="O18" i="12"/>
  <c r="J181" i="12"/>
  <c r="H75" i="9"/>
  <c r="K75" i="9"/>
  <c r="D97" i="9"/>
  <c r="I96" i="9"/>
  <c r="L96" i="9"/>
  <c r="H71" i="9"/>
  <c r="K71" i="9"/>
  <c r="D93" i="9"/>
  <c r="I92" i="9"/>
  <c r="L92" i="9"/>
  <c r="H64" i="9"/>
  <c r="K64" i="9"/>
  <c r="D86" i="9"/>
  <c r="I85" i="9"/>
  <c r="L85" i="9"/>
  <c r="H63" i="9"/>
  <c r="K63" i="9"/>
  <c r="D85" i="9"/>
  <c r="I84" i="9"/>
  <c r="L84" i="9"/>
  <c r="L91" i="10"/>
  <c r="Q90" i="10"/>
  <c r="T90" i="10"/>
  <c r="P69" i="10"/>
  <c r="S69" i="10"/>
  <c r="D83" i="9"/>
  <c r="I82" i="9"/>
  <c r="L82" i="9"/>
  <c r="H61" i="9"/>
  <c r="K61" i="9"/>
  <c r="O73" i="12"/>
  <c r="L188" i="12"/>
  <c r="H27" i="4"/>
  <c r="I24" i="11"/>
  <c r="I21" i="11"/>
  <c r="I17" i="11"/>
  <c r="I13" i="11"/>
  <c r="I9" i="11"/>
  <c r="D45" i="9"/>
  <c r="I44" i="9"/>
  <c r="H23" i="9"/>
  <c r="K23" i="9"/>
  <c r="L45" i="10"/>
  <c r="Q44" i="10"/>
  <c r="S44" i="10"/>
  <c r="P23" i="10"/>
  <c r="S23" i="10"/>
  <c r="G72" i="12"/>
  <c r="G50" i="5"/>
  <c r="H50" i="5"/>
  <c r="F71" i="5"/>
  <c r="F72" i="12"/>
  <c r="K23" i="11"/>
  <c r="E27" i="5"/>
  <c r="I20" i="11"/>
  <c r="I12" i="11"/>
  <c r="O82" i="10"/>
  <c r="G75" i="9"/>
  <c r="L48" i="10"/>
  <c r="Q47" i="10"/>
  <c r="S47" i="10"/>
  <c r="P26" i="10"/>
  <c r="S26" i="10"/>
  <c r="L44" i="10"/>
  <c r="Q43" i="10"/>
  <c r="S43" i="10"/>
  <c r="P22" i="10"/>
  <c r="S22" i="10"/>
  <c r="L40" i="10"/>
  <c r="Q39" i="10"/>
  <c r="S39" i="10"/>
  <c r="P18" i="10"/>
  <c r="S18" i="10"/>
  <c r="D42" i="9"/>
  <c r="I41" i="9"/>
  <c r="L41" i="9"/>
  <c r="H20" i="9"/>
  <c r="K20" i="9"/>
  <c r="D34" i="9"/>
  <c r="I33" i="9"/>
  <c r="L33" i="9"/>
  <c r="H12" i="9"/>
  <c r="K12" i="9"/>
  <c r="I16" i="11"/>
  <c r="E49" i="8"/>
  <c r="H49" i="8"/>
  <c r="E53" i="8"/>
  <c r="H53" i="8"/>
  <c r="N84" i="11"/>
  <c r="N39" i="11"/>
  <c r="N76" i="11"/>
  <c r="N31" i="11"/>
  <c r="K97" i="9"/>
  <c r="I76" i="9"/>
  <c r="F98" i="9"/>
  <c r="K93" i="9"/>
  <c r="I72" i="9"/>
  <c r="F94" i="9"/>
  <c r="K89" i="9"/>
  <c r="I68" i="9"/>
  <c r="F90" i="9"/>
  <c r="K85" i="9"/>
  <c r="I64" i="9"/>
  <c r="F86" i="9"/>
  <c r="I60" i="9"/>
  <c r="F82" i="9"/>
  <c r="N17" i="12"/>
  <c r="E21" i="8"/>
  <c r="H22" i="8"/>
  <c r="O17" i="12"/>
  <c r="J180" i="12"/>
  <c r="N12" i="12"/>
  <c r="E16" i="8"/>
  <c r="H17" i="8"/>
  <c r="O12" i="12"/>
  <c r="J175" i="12"/>
  <c r="O45" i="12"/>
  <c r="K184" i="12"/>
  <c r="H26" i="7"/>
  <c r="O37" i="12"/>
  <c r="K176" i="12"/>
  <c r="H18" i="7"/>
  <c r="L102" i="10"/>
  <c r="Q101" i="10"/>
  <c r="T101" i="10"/>
  <c r="P80" i="10"/>
  <c r="S80" i="10"/>
  <c r="L98" i="10"/>
  <c r="Q97" i="10"/>
  <c r="T97" i="10"/>
  <c r="P76" i="10"/>
  <c r="S76" i="10"/>
  <c r="N22" i="12"/>
  <c r="E26" i="8"/>
  <c r="H27" i="8"/>
  <c r="O22" i="12"/>
  <c r="J185" i="12"/>
  <c r="T27" i="10"/>
  <c r="O49" i="10"/>
  <c r="L18" i="9"/>
  <c r="G40" i="9"/>
  <c r="T23" i="10"/>
  <c r="O45" i="10"/>
  <c r="T44" i="10"/>
  <c r="L14" i="9"/>
  <c r="G36" i="9"/>
  <c r="T19" i="10"/>
  <c r="O41" i="10"/>
  <c r="Q40" i="10"/>
  <c r="T40" i="10"/>
  <c r="L10" i="9"/>
  <c r="G32" i="9"/>
  <c r="N42" i="12"/>
  <c r="I23" i="7"/>
  <c r="J23" i="7"/>
  <c r="D47" i="7"/>
  <c r="M42" i="12"/>
  <c r="E23" i="7"/>
  <c r="N34" i="12"/>
  <c r="I15" i="7"/>
  <c r="J15" i="7"/>
  <c r="D39" i="7"/>
  <c r="M34" i="12"/>
  <c r="E15" i="7"/>
  <c r="H67" i="12"/>
  <c r="G182" i="12"/>
  <c r="H22" i="5"/>
  <c r="H63" i="12"/>
  <c r="G178" i="12"/>
  <c r="H18" i="5"/>
  <c r="H59" i="12"/>
  <c r="G174" i="12"/>
  <c r="H14" i="5"/>
  <c r="N87" i="11"/>
  <c r="N42" i="11"/>
  <c r="N79" i="11"/>
  <c r="N34" i="11"/>
  <c r="N70" i="12"/>
  <c r="P70" i="12"/>
  <c r="L162" i="12"/>
  <c r="E24" i="4"/>
  <c r="N66" i="12"/>
  <c r="P66" i="12"/>
  <c r="L158" i="12"/>
  <c r="E20" i="4"/>
  <c r="N62" i="12"/>
  <c r="P62" i="12"/>
  <c r="L154" i="12"/>
  <c r="E16" i="4"/>
  <c r="N58" i="12"/>
  <c r="P58" i="12"/>
  <c r="L150" i="12"/>
  <c r="E12" i="4"/>
  <c r="G19" i="12"/>
  <c r="G43" i="3"/>
  <c r="H43" i="3"/>
  <c r="G65" i="3"/>
  <c r="F19" i="12"/>
  <c r="E18" i="11"/>
  <c r="E22" i="3"/>
  <c r="G15" i="12"/>
  <c r="E18" i="3"/>
  <c r="G39" i="3"/>
  <c r="H39" i="3"/>
  <c r="G61" i="3"/>
  <c r="F15" i="12"/>
  <c r="E14" i="11"/>
  <c r="G11" i="12"/>
  <c r="G35" i="3"/>
  <c r="H35" i="3"/>
  <c r="G57" i="3"/>
  <c r="F11" i="12"/>
  <c r="E10" i="11"/>
  <c r="E14" i="3"/>
  <c r="D96" i="9"/>
  <c r="I95" i="9"/>
  <c r="L95" i="9"/>
  <c r="H74" i="9"/>
  <c r="K74" i="9"/>
  <c r="D92" i="9"/>
  <c r="I91" i="9"/>
  <c r="L91" i="9"/>
  <c r="H70" i="9"/>
  <c r="K70" i="9"/>
  <c r="L96" i="10"/>
  <c r="Q95" i="10"/>
  <c r="T95" i="10"/>
  <c r="P74" i="10"/>
  <c r="S74" i="10"/>
  <c r="L94" i="10"/>
  <c r="Q93" i="10"/>
  <c r="T93" i="10"/>
  <c r="P72" i="10"/>
  <c r="S72" i="10"/>
  <c r="D46" i="9"/>
  <c r="I45" i="9"/>
  <c r="H24" i="9"/>
  <c r="K24" i="9"/>
  <c r="R37" i="10"/>
  <c r="N16" i="10"/>
  <c r="M38" i="10"/>
  <c r="G23" i="12"/>
  <c r="G47" i="3"/>
  <c r="H47" i="3"/>
  <c r="G69" i="3"/>
  <c r="F23" i="12"/>
  <c r="E22" i="11"/>
  <c r="E26" i="3"/>
  <c r="H25" i="9"/>
  <c r="K25" i="9"/>
  <c r="D47" i="9"/>
  <c r="I46" i="9"/>
  <c r="L51" i="10"/>
  <c r="Q50" i="10"/>
  <c r="S50" i="10"/>
  <c r="P29" i="10"/>
  <c r="S29" i="10"/>
  <c r="L47" i="10"/>
  <c r="Q46" i="10"/>
  <c r="S46" i="10"/>
  <c r="P25" i="10"/>
  <c r="S25" i="10"/>
  <c r="L43" i="10"/>
  <c r="Q42" i="10"/>
  <c r="S42" i="10"/>
  <c r="P21" i="10"/>
  <c r="S21" i="10"/>
  <c r="L39" i="10"/>
  <c r="Q38" i="10"/>
  <c r="S38" i="10"/>
  <c r="P17" i="10"/>
  <c r="S17" i="10"/>
  <c r="V83" i="12"/>
  <c r="W81" i="12"/>
  <c r="G115" i="12"/>
  <c r="G83" i="12"/>
  <c r="H81" i="12"/>
  <c r="L115" i="12"/>
  <c r="M113" i="12"/>
  <c r="L83" i="12"/>
  <c r="M81" i="12"/>
  <c r="H113" i="12"/>
  <c r="Q83" i="12"/>
  <c r="R81" i="12"/>
  <c r="L67" i="10"/>
  <c r="D60" i="9"/>
  <c r="G9" i="9"/>
  <c r="I186" i="12"/>
  <c r="D186" i="12"/>
  <c r="I179" i="12"/>
  <c r="D179" i="12"/>
  <c r="H21" i="9"/>
  <c r="K21" i="9"/>
  <c r="D43" i="9"/>
  <c r="I42" i="9"/>
  <c r="L42" i="9"/>
  <c r="H13" i="9"/>
  <c r="K13" i="9"/>
  <c r="D35" i="9"/>
  <c r="I34" i="9"/>
  <c r="L34" i="9"/>
  <c r="R29" i="10"/>
  <c r="J22" i="9"/>
  <c r="D41" i="9"/>
  <c r="I40" i="9"/>
  <c r="H19" i="9"/>
  <c r="K19" i="9"/>
  <c r="D37" i="9"/>
  <c r="I36" i="9"/>
  <c r="H15" i="9"/>
  <c r="K15" i="9"/>
  <c r="D33" i="9"/>
  <c r="I32" i="9"/>
  <c r="H11" i="9"/>
  <c r="K11" i="9"/>
  <c r="L49" i="10"/>
  <c r="Q48" i="10"/>
  <c r="S48" i="10"/>
  <c r="P27" i="10"/>
  <c r="S27" i="10"/>
  <c r="L41" i="10"/>
  <c r="S40" i="10"/>
  <c r="P19" i="10"/>
  <c r="S19" i="10"/>
  <c r="H22" i="12"/>
  <c r="E185" i="12"/>
  <c r="H25" i="3"/>
  <c r="H17" i="9"/>
  <c r="K17" i="9"/>
  <c r="D39" i="9"/>
  <c r="I38" i="9"/>
  <c r="L38" i="9"/>
  <c r="H75" i="11"/>
  <c r="E75" i="11"/>
  <c r="H60" i="9"/>
  <c r="K60" i="9"/>
  <c r="D82" i="9"/>
  <c r="I81" i="9"/>
  <c r="L81" i="9"/>
  <c r="N78" i="11"/>
  <c r="N33" i="11"/>
  <c r="S92" i="10"/>
  <c r="Q71" i="10"/>
  <c r="N93" i="10"/>
  <c r="O39" i="12"/>
  <c r="K178" i="12"/>
  <c r="H20" i="7"/>
  <c r="N21" i="12"/>
  <c r="E25" i="8"/>
  <c r="H26" i="8"/>
  <c r="O21" i="12"/>
  <c r="J184" i="12"/>
  <c r="T28" i="10"/>
  <c r="O50" i="10"/>
  <c r="L40" i="9"/>
  <c r="L19" i="9"/>
  <c r="G41" i="9"/>
  <c r="T24" i="10"/>
  <c r="O46" i="10"/>
  <c r="L36" i="9"/>
  <c r="L15" i="9"/>
  <c r="G37" i="9"/>
  <c r="L32" i="9"/>
  <c r="L11" i="9"/>
  <c r="G33" i="9"/>
  <c r="N44" i="12"/>
  <c r="I25" i="7"/>
  <c r="J25" i="7"/>
  <c r="D49" i="7"/>
  <c r="M44" i="12"/>
  <c r="E25" i="7"/>
  <c r="N36" i="12"/>
  <c r="I17" i="7"/>
  <c r="J17" i="7"/>
  <c r="D41" i="7"/>
  <c r="M36" i="12"/>
  <c r="E17" i="7"/>
  <c r="H48" i="12"/>
  <c r="F187" i="12"/>
  <c r="H27" i="6"/>
  <c r="H68" i="12"/>
  <c r="G183" i="12"/>
  <c r="H23" i="5"/>
  <c r="H64" i="12"/>
  <c r="G179" i="12"/>
  <c r="H19" i="5"/>
  <c r="H60" i="12"/>
  <c r="G175" i="12"/>
  <c r="H15" i="5"/>
  <c r="N89" i="11"/>
  <c r="N44" i="11"/>
  <c r="N81" i="11"/>
  <c r="N36" i="11"/>
  <c r="N71" i="12"/>
  <c r="P71" i="12"/>
  <c r="L163" i="12"/>
  <c r="E25" i="4"/>
  <c r="N67" i="12"/>
  <c r="P67" i="12"/>
  <c r="L159" i="12"/>
  <c r="E21" i="4"/>
  <c r="N63" i="12"/>
  <c r="P63" i="12"/>
  <c r="L155" i="12"/>
  <c r="E17" i="4"/>
  <c r="N59" i="12"/>
  <c r="P59" i="12"/>
  <c r="L151" i="12"/>
  <c r="E13" i="4"/>
  <c r="G20" i="12"/>
  <c r="G44" i="3"/>
  <c r="H44" i="3"/>
  <c r="G66" i="3"/>
  <c r="F20" i="12"/>
  <c r="E19" i="11"/>
  <c r="E23" i="3"/>
  <c r="G16" i="12"/>
  <c r="G40" i="3"/>
  <c r="H40" i="3"/>
  <c r="G62" i="3"/>
  <c r="F16" i="12"/>
  <c r="E15" i="11"/>
  <c r="E19" i="3"/>
  <c r="G12" i="12"/>
  <c r="G36" i="3"/>
  <c r="H36" i="3"/>
  <c r="G58" i="3"/>
  <c r="F12" i="12"/>
  <c r="E11" i="11"/>
  <c r="E15" i="3"/>
  <c r="L103" i="10"/>
  <c r="Q102" i="10"/>
  <c r="T102" i="10"/>
  <c r="P81" i="10"/>
  <c r="S81" i="10"/>
  <c r="L99" i="10"/>
  <c r="Q98" i="10"/>
  <c r="T98" i="10"/>
  <c r="P77" i="10"/>
  <c r="S77" i="10"/>
  <c r="H67" i="9"/>
  <c r="K67" i="9"/>
  <c r="D89" i="9"/>
  <c r="I88" i="9"/>
  <c r="L88" i="9"/>
  <c r="D87" i="9"/>
  <c r="I86" i="9"/>
  <c r="L86" i="9"/>
  <c r="H65" i="9"/>
  <c r="K65" i="9"/>
  <c r="L53" i="10"/>
  <c r="Q52" i="10"/>
  <c r="S52" i="10"/>
  <c r="P31" i="10"/>
  <c r="S31" i="10"/>
  <c r="F9" i="9"/>
  <c r="E31" i="9"/>
  <c r="J30" i="9"/>
  <c r="N10" i="12"/>
  <c r="E14" i="8"/>
  <c r="H15" i="8"/>
  <c r="O10" i="12"/>
  <c r="J173" i="12"/>
  <c r="G71" i="12"/>
  <c r="E26" i="5"/>
  <c r="G49" i="5"/>
  <c r="H49" i="5"/>
  <c r="F70" i="5"/>
  <c r="F71" i="12"/>
  <c r="K22" i="11"/>
  <c r="Q23" i="11"/>
  <c r="S23" i="11"/>
  <c r="Q19" i="11"/>
  <c r="S19" i="11"/>
  <c r="S12" i="11"/>
  <c r="Q12" i="11"/>
  <c r="Q11" i="11"/>
  <c r="S11" i="11"/>
  <c r="S10" i="11"/>
  <c r="Q10" i="11"/>
  <c r="Q9" i="11"/>
  <c r="S9" i="11"/>
  <c r="L54" i="10"/>
  <c r="Q53" i="10"/>
  <c r="S53" i="10"/>
  <c r="P32" i="10"/>
  <c r="S32" i="10"/>
  <c r="D44" i="9"/>
  <c r="I43" i="9"/>
  <c r="H22" i="9"/>
  <c r="K22" i="9"/>
  <c r="D40" i="9"/>
  <c r="I39" i="9"/>
  <c r="L39" i="9"/>
  <c r="H18" i="9"/>
  <c r="K18" i="9"/>
  <c r="D36" i="9"/>
  <c r="I35" i="9"/>
  <c r="L35" i="9"/>
  <c r="H14" i="9"/>
  <c r="K14" i="9"/>
  <c r="D32" i="9"/>
  <c r="I31" i="9"/>
  <c r="L31" i="9"/>
  <c r="H10" i="9"/>
  <c r="K10" i="9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I22" i="11"/>
  <c r="I15" i="11"/>
  <c r="L50" i="10"/>
  <c r="Q49" i="10"/>
  <c r="S49" i="10"/>
  <c r="P28" i="10"/>
  <c r="S28" i="10"/>
  <c r="L42" i="10"/>
  <c r="Q41" i="10"/>
  <c r="S41" i="10"/>
  <c r="P20" i="10"/>
  <c r="S20" i="10"/>
  <c r="O48" i="12"/>
  <c r="K187" i="12"/>
  <c r="H29" i="7"/>
  <c r="D25" i="9"/>
  <c r="L32" i="10"/>
  <c r="I182" i="12"/>
  <c r="D182" i="12"/>
  <c r="I178" i="12"/>
  <c r="D178" i="12"/>
  <c r="I174" i="12"/>
  <c r="D174" i="12"/>
  <c r="I183" i="12"/>
  <c r="D183" i="12"/>
  <c r="I175" i="12"/>
  <c r="D175" i="12"/>
  <c r="L46" i="10"/>
  <c r="Q45" i="10"/>
  <c r="S45" i="10"/>
  <c r="P24" i="10"/>
  <c r="S24" i="10"/>
  <c r="F63" i="11"/>
  <c r="F41" i="11"/>
  <c r="F58" i="11"/>
  <c r="F36" i="11"/>
  <c r="F62" i="11"/>
  <c r="F40" i="11"/>
  <c r="R17" i="11"/>
  <c r="M39" i="11"/>
  <c r="J84" i="11"/>
  <c r="L39" i="11"/>
  <c r="F84" i="11"/>
  <c r="H45" i="11"/>
  <c r="N67" i="11"/>
  <c r="F53" i="11"/>
  <c r="F31" i="11"/>
  <c r="R21" i="11"/>
  <c r="M43" i="11"/>
  <c r="J88" i="11"/>
  <c r="L43" i="11"/>
  <c r="F88" i="11"/>
  <c r="R11" i="11"/>
  <c r="M33" i="11"/>
  <c r="J78" i="11"/>
  <c r="L33" i="11"/>
  <c r="F78" i="11"/>
  <c r="F57" i="11"/>
  <c r="F35" i="11"/>
  <c r="R15" i="11"/>
  <c r="M37" i="11"/>
  <c r="J82" i="11"/>
  <c r="L37" i="11"/>
  <c r="F82" i="11"/>
  <c r="N66" i="11"/>
  <c r="H44" i="11"/>
  <c r="F55" i="11"/>
  <c r="F33" i="11"/>
  <c r="R19" i="11"/>
  <c r="M41" i="11"/>
  <c r="J86" i="11"/>
  <c r="L41" i="11"/>
  <c r="F86" i="11"/>
  <c r="F66" i="11"/>
  <c r="F44" i="11"/>
  <c r="F54" i="11"/>
  <c r="F32" i="11"/>
  <c r="F61" i="11"/>
  <c r="F39" i="11"/>
  <c r="H46" i="11"/>
  <c r="N68" i="11"/>
  <c r="F59" i="11"/>
  <c r="F37" i="11"/>
  <c r="R9" i="11"/>
  <c r="M31" i="11"/>
  <c r="J76" i="11"/>
  <c r="L31" i="11"/>
  <c r="F76" i="11"/>
  <c r="R13" i="11"/>
  <c r="M35" i="11"/>
  <c r="J80" i="11"/>
  <c r="L35" i="11"/>
  <c r="F80" i="11"/>
  <c r="J22" i="11"/>
  <c r="L22" i="11"/>
  <c r="M22" i="11"/>
  <c r="K44" i="11"/>
  <c r="H66" i="11"/>
  <c r="E66" i="11"/>
  <c r="H16" i="12"/>
  <c r="E179" i="12"/>
  <c r="H19" i="3"/>
  <c r="H59" i="11"/>
  <c r="E59" i="11"/>
  <c r="H71" i="12"/>
  <c r="G186" i="12"/>
  <c r="H26" i="5"/>
  <c r="G10" i="9"/>
  <c r="L68" i="10"/>
  <c r="D61" i="9"/>
  <c r="P10" i="12"/>
  <c r="J150" i="12"/>
  <c r="L19" i="10"/>
  <c r="D12" i="9"/>
  <c r="I12" i="12"/>
  <c r="E152" i="12"/>
  <c r="H20" i="12"/>
  <c r="E183" i="12"/>
  <c r="H23" i="3"/>
  <c r="O78" i="10"/>
  <c r="G71" i="9"/>
  <c r="P44" i="12"/>
  <c r="K160" i="12"/>
  <c r="L75" i="11"/>
  <c r="M75" i="11"/>
  <c r="I75" i="11"/>
  <c r="L22" i="10"/>
  <c r="D15" i="9"/>
  <c r="I15" i="12"/>
  <c r="E155" i="12"/>
  <c r="O58" i="12"/>
  <c r="L173" i="12"/>
  <c r="H12" i="4"/>
  <c r="O66" i="12"/>
  <c r="L181" i="12"/>
  <c r="H20" i="4"/>
  <c r="O68" i="10"/>
  <c r="G61" i="9"/>
  <c r="P34" i="12"/>
  <c r="K150" i="12"/>
  <c r="J16" i="11"/>
  <c r="L16" i="11"/>
  <c r="M16" i="11"/>
  <c r="K38" i="11"/>
  <c r="K96" i="9"/>
  <c r="I75" i="9"/>
  <c r="F97" i="9"/>
  <c r="E64" i="11"/>
  <c r="H64" i="11"/>
  <c r="J24" i="9"/>
  <c r="R31" i="10"/>
  <c r="I72" i="12"/>
  <c r="G164" i="12"/>
  <c r="E53" i="11"/>
  <c r="H53" i="11"/>
  <c r="E61" i="11"/>
  <c r="H61" i="11"/>
  <c r="J24" i="11"/>
  <c r="L24" i="11"/>
  <c r="M24" i="11"/>
  <c r="K46" i="11"/>
  <c r="L23" i="11"/>
  <c r="M23" i="11"/>
  <c r="K45" i="11"/>
  <c r="J23" i="11"/>
  <c r="T15" i="11"/>
  <c r="W15" i="11"/>
  <c r="V15" i="11"/>
  <c r="D10" i="9"/>
  <c r="L17" i="10"/>
  <c r="I10" i="12"/>
  <c r="E150" i="12"/>
  <c r="H18" i="12"/>
  <c r="E181" i="12"/>
  <c r="H21" i="3"/>
  <c r="F56" i="11"/>
  <c r="F34" i="11"/>
  <c r="F64" i="11"/>
  <c r="F42" i="11"/>
  <c r="J56" i="11"/>
  <c r="G34" i="11"/>
  <c r="J64" i="11"/>
  <c r="G42" i="11"/>
  <c r="G33" i="11"/>
  <c r="J55" i="11"/>
  <c r="G41" i="11"/>
  <c r="J63" i="11"/>
  <c r="L81" i="10"/>
  <c r="G23" i="9"/>
  <c r="D74" i="9"/>
  <c r="P23" i="12"/>
  <c r="J163" i="12"/>
  <c r="T17" i="11"/>
  <c r="W17" i="11"/>
  <c r="V17" i="11"/>
  <c r="J43" i="9"/>
  <c r="F22" i="9"/>
  <c r="E44" i="9"/>
  <c r="H63" i="11"/>
  <c r="E63" i="11"/>
  <c r="J14" i="11"/>
  <c r="L14" i="11"/>
  <c r="M14" i="11"/>
  <c r="K36" i="11"/>
  <c r="N54" i="11"/>
  <c r="H32" i="11"/>
  <c r="N62" i="11"/>
  <c r="H40" i="11"/>
  <c r="N53" i="11"/>
  <c r="H31" i="11"/>
  <c r="N61" i="11"/>
  <c r="H39" i="11"/>
  <c r="H13" i="12"/>
  <c r="E176" i="12"/>
  <c r="H16" i="3"/>
  <c r="D21" i="9"/>
  <c r="L28" i="10"/>
  <c r="I21" i="12"/>
  <c r="E161" i="12"/>
  <c r="O46" i="12"/>
  <c r="K185" i="12"/>
  <c r="H27" i="7"/>
  <c r="D71" i="9"/>
  <c r="L78" i="10"/>
  <c r="G20" i="9"/>
  <c r="P20" i="12"/>
  <c r="J160" i="12"/>
  <c r="R23" i="11"/>
  <c r="M45" i="11"/>
  <c r="J90" i="11"/>
  <c r="L45" i="11"/>
  <c r="F90" i="11"/>
  <c r="R16" i="11"/>
  <c r="M38" i="11"/>
  <c r="J83" i="11"/>
  <c r="L38" i="11"/>
  <c r="F83" i="11"/>
  <c r="R24" i="11"/>
  <c r="M46" i="11"/>
  <c r="J91" i="11"/>
  <c r="L46" i="11"/>
  <c r="F91" i="11"/>
  <c r="V20" i="11"/>
  <c r="T20" i="11"/>
  <c r="W20" i="11"/>
  <c r="K81" i="9"/>
  <c r="S100" i="10"/>
  <c r="J23" i="9"/>
  <c r="R30" i="10"/>
  <c r="I71" i="12"/>
  <c r="G163" i="12"/>
  <c r="L15" i="11"/>
  <c r="M15" i="11"/>
  <c r="K37" i="11"/>
  <c r="J15" i="11"/>
  <c r="T9" i="11"/>
  <c r="W9" i="11"/>
  <c r="V9" i="11"/>
  <c r="T11" i="11"/>
  <c r="W11" i="11"/>
  <c r="V11" i="11"/>
  <c r="T19" i="11"/>
  <c r="W19" i="11"/>
  <c r="V19" i="11"/>
  <c r="L23" i="10"/>
  <c r="D16" i="9"/>
  <c r="I16" i="12"/>
  <c r="E156" i="12"/>
  <c r="O59" i="12"/>
  <c r="L174" i="12"/>
  <c r="H13" i="4"/>
  <c r="O67" i="12"/>
  <c r="L182" i="12"/>
  <c r="H21" i="4"/>
  <c r="O36" i="12"/>
  <c r="K175" i="12"/>
  <c r="H17" i="7"/>
  <c r="R88" i="10"/>
  <c r="N67" i="10"/>
  <c r="M89" i="10"/>
  <c r="H23" i="12"/>
  <c r="E186" i="12"/>
  <c r="H26" i="3"/>
  <c r="H11" i="12"/>
  <c r="E174" i="12"/>
  <c r="H14" i="3"/>
  <c r="H15" i="12"/>
  <c r="E178" i="12"/>
  <c r="H18" i="3"/>
  <c r="L26" i="10"/>
  <c r="D19" i="9"/>
  <c r="I19" i="12"/>
  <c r="E159" i="12"/>
  <c r="O76" i="10"/>
  <c r="G69" i="9"/>
  <c r="P42" i="12"/>
  <c r="K158" i="12"/>
  <c r="L70" i="10"/>
  <c r="D63" i="9"/>
  <c r="G12" i="9"/>
  <c r="P12" i="12"/>
  <c r="J152" i="12"/>
  <c r="E60" i="11"/>
  <c r="H60" i="11"/>
  <c r="J12" i="11"/>
  <c r="L12" i="11"/>
  <c r="M12" i="11"/>
  <c r="K34" i="11"/>
  <c r="L9" i="11"/>
  <c r="M9" i="11"/>
  <c r="K31" i="11"/>
  <c r="J9" i="11"/>
  <c r="L17" i="11"/>
  <c r="M17" i="11"/>
  <c r="K39" i="11"/>
  <c r="J17" i="11"/>
  <c r="E68" i="11"/>
  <c r="H68" i="11"/>
  <c r="L76" i="10"/>
  <c r="G18" i="9"/>
  <c r="D69" i="9"/>
  <c r="P18" i="12"/>
  <c r="J158" i="12"/>
  <c r="V18" i="11"/>
  <c r="T18" i="11"/>
  <c r="W18" i="11"/>
  <c r="D14" i="9"/>
  <c r="L21" i="10"/>
  <c r="I14" i="12"/>
  <c r="E154" i="12"/>
  <c r="O61" i="12"/>
  <c r="L176" i="12"/>
  <c r="H15" i="4"/>
  <c r="O69" i="12"/>
  <c r="L184" i="12"/>
  <c r="H23" i="4"/>
  <c r="G32" i="11"/>
  <c r="J54" i="11"/>
  <c r="G40" i="11"/>
  <c r="J62" i="11"/>
  <c r="G31" i="11"/>
  <c r="J53" i="11"/>
  <c r="J61" i="11"/>
  <c r="G39" i="11"/>
  <c r="O40" i="12"/>
  <c r="K179" i="12"/>
  <c r="H21" i="7"/>
  <c r="L77" i="10"/>
  <c r="G19" i="9"/>
  <c r="D70" i="9"/>
  <c r="P19" i="12"/>
  <c r="J159" i="12"/>
  <c r="R50" i="10"/>
  <c r="N29" i="10"/>
  <c r="M51" i="10"/>
  <c r="L19" i="11"/>
  <c r="M19" i="11"/>
  <c r="K41" i="11"/>
  <c r="J19" i="11"/>
  <c r="H58" i="11"/>
  <c r="E58" i="11"/>
  <c r="H73" i="12"/>
  <c r="G188" i="12"/>
  <c r="H28" i="5"/>
  <c r="H38" i="11"/>
  <c r="N60" i="11"/>
  <c r="H37" i="11"/>
  <c r="N59" i="11"/>
  <c r="L31" i="10"/>
  <c r="D24" i="9"/>
  <c r="I24" i="12"/>
  <c r="E164" i="12"/>
  <c r="H17" i="12"/>
  <c r="E180" i="12"/>
  <c r="H20" i="3"/>
  <c r="O64" i="12"/>
  <c r="L179" i="12"/>
  <c r="H18" i="4"/>
  <c r="O72" i="12"/>
  <c r="L187" i="12"/>
  <c r="H26" i="4"/>
  <c r="O72" i="10"/>
  <c r="G65" i="9"/>
  <c r="P38" i="12"/>
  <c r="K154" i="12"/>
  <c r="R14" i="11"/>
  <c r="M36" i="11"/>
  <c r="J81" i="11"/>
  <c r="L36" i="11"/>
  <c r="F81" i="11"/>
  <c r="R22" i="11"/>
  <c r="M44" i="11"/>
  <c r="J89" i="11"/>
  <c r="L44" i="11"/>
  <c r="F89" i="11"/>
  <c r="G14" i="9"/>
  <c r="L72" i="10"/>
  <c r="D65" i="9"/>
  <c r="P14" i="12"/>
  <c r="J154" i="12"/>
  <c r="V14" i="11"/>
  <c r="T14" i="11"/>
  <c r="W14" i="11"/>
  <c r="T38" i="10"/>
  <c r="T42" i="10"/>
  <c r="T46" i="10"/>
  <c r="K95" i="9"/>
  <c r="T41" i="10"/>
  <c r="S104" i="10"/>
  <c r="T39" i="10"/>
  <c r="T43" i="10"/>
  <c r="T47" i="10"/>
  <c r="S90" i="10"/>
  <c r="S98" i="10"/>
  <c r="S88" i="10"/>
  <c r="V10" i="11"/>
  <c r="T10" i="11"/>
  <c r="W10" i="11"/>
  <c r="V12" i="11"/>
  <c r="T12" i="11"/>
  <c r="W12" i="11"/>
  <c r="H12" i="12"/>
  <c r="E175" i="12"/>
  <c r="H15" i="3"/>
  <c r="L27" i="10"/>
  <c r="D20" i="9"/>
  <c r="I20" i="12"/>
  <c r="E160" i="12"/>
  <c r="O44" i="12"/>
  <c r="K183" i="12"/>
  <c r="H25" i="7"/>
  <c r="T50" i="10"/>
  <c r="T29" i="10"/>
  <c r="O51" i="10"/>
  <c r="J81" i="9"/>
  <c r="F60" i="9"/>
  <c r="E82" i="9"/>
  <c r="O62" i="12"/>
  <c r="L177" i="12"/>
  <c r="H16" i="4"/>
  <c r="O70" i="12"/>
  <c r="L185" i="12"/>
  <c r="H24" i="4"/>
  <c r="O34" i="12"/>
  <c r="K173" i="12"/>
  <c r="H15" i="7"/>
  <c r="L80" i="10"/>
  <c r="G22" i="9"/>
  <c r="D73" i="9"/>
  <c r="P22" i="12"/>
  <c r="J162" i="12"/>
  <c r="L75" i="10"/>
  <c r="D68" i="9"/>
  <c r="G17" i="9"/>
  <c r="P17" i="12"/>
  <c r="J157" i="12"/>
  <c r="E56" i="11"/>
  <c r="H56" i="11"/>
  <c r="H72" i="12"/>
  <c r="G187" i="12"/>
  <c r="H27" i="5"/>
  <c r="E57" i="11"/>
  <c r="H57" i="11"/>
  <c r="E65" i="11"/>
  <c r="H65" i="11"/>
  <c r="T13" i="11"/>
  <c r="W13" i="11"/>
  <c r="V13" i="11"/>
  <c r="H10" i="12"/>
  <c r="E173" i="12"/>
  <c r="H13" i="3"/>
  <c r="D18" i="9"/>
  <c r="L25" i="10"/>
  <c r="I18" i="12"/>
  <c r="E158" i="12"/>
  <c r="F67" i="11"/>
  <c r="F45" i="11"/>
  <c r="F65" i="11"/>
  <c r="F43" i="11"/>
  <c r="F60" i="11"/>
  <c r="F38" i="11"/>
  <c r="F68" i="11"/>
  <c r="F46" i="11"/>
  <c r="J60" i="11"/>
  <c r="G38" i="11"/>
  <c r="J68" i="11"/>
  <c r="G46" i="11"/>
  <c r="G37" i="11"/>
  <c r="J59" i="11"/>
  <c r="G45" i="11"/>
  <c r="J67" i="11"/>
  <c r="T21" i="11"/>
  <c r="W21" i="11"/>
  <c r="V21" i="11"/>
  <c r="L69" i="10"/>
  <c r="G11" i="9"/>
  <c r="D62" i="9"/>
  <c r="P11" i="12"/>
  <c r="J151" i="12"/>
  <c r="L83" i="10"/>
  <c r="D76" i="9"/>
  <c r="G25" i="9"/>
  <c r="P25" i="12"/>
  <c r="J165" i="12"/>
  <c r="H55" i="11"/>
  <c r="E55" i="11"/>
  <c r="J10" i="11"/>
  <c r="L10" i="11"/>
  <c r="M10" i="11"/>
  <c r="K32" i="11"/>
  <c r="J18" i="11"/>
  <c r="L18" i="11"/>
  <c r="M18" i="11"/>
  <c r="K40" i="11"/>
  <c r="N58" i="11"/>
  <c r="H36" i="11"/>
  <c r="N57" i="11"/>
  <c r="H35" i="11"/>
  <c r="N65" i="11"/>
  <c r="H43" i="11"/>
  <c r="L74" i="10"/>
  <c r="D67" i="9"/>
  <c r="G16" i="9"/>
  <c r="P16" i="12"/>
  <c r="J156" i="12"/>
  <c r="H24" i="12"/>
  <c r="E187" i="12"/>
  <c r="H27" i="3"/>
  <c r="D13" i="9"/>
  <c r="L20" i="10"/>
  <c r="I13" i="12"/>
  <c r="H21" i="12"/>
  <c r="E184" i="12"/>
  <c r="H24" i="3"/>
  <c r="O80" i="10"/>
  <c r="G73" i="9"/>
  <c r="P46" i="12"/>
  <c r="K162" i="12"/>
  <c r="R12" i="11"/>
  <c r="M34" i="11"/>
  <c r="J79" i="11"/>
  <c r="L34" i="11"/>
  <c r="F79" i="11"/>
  <c r="R20" i="11"/>
  <c r="M42" i="11"/>
  <c r="J87" i="11"/>
  <c r="L42" i="11"/>
  <c r="F87" i="11"/>
  <c r="V16" i="11"/>
  <c r="T16" i="11"/>
  <c r="W16" i="11"/>
  <c r="V24" i="11"/>
  <c r="T24" i="11"/>
  <c r="W24" i="11"/>
  <c r="T45" i="10"/>
  <c r="T49" i="10"/>
  <c r="T48" i="10"/>
  <c r="J46" i="9"/>
  <c r="F25" i="9"/>
  <c r="E47" i="9"/>
  <c r="N32" i="10"/>
  <c r="M54" i="10"/>
  <c r="R53" i="10"/>
  <c r="T23" i="11"/>
  <c r="W23" i="11"/>
  <c r="V23" i="11"/>
  <c r="O63" i="12"/>
  <c r="L178" i="12"/>
  <c r="H17" i="4"/>
  <c r="O71" i="12"/>
  <c r="L186" i="12"/>
  <c r="H25" i="4"/>
  <c r="O70" i="10"/>
  <c r="G63" i="9"/>
  <c r="P36" i="12"/>
  <c r="K152" i="12"/>
  <c r="L79" i="10"/>
  <c r="D72" i="9"/>
  <c r="G21" i="9"/>
  <c r="P21" i="12"/>
  <c r="J161" i="12"/>
  <c r="L43" i="9"/>
  <c r="L22" i="9"/>
  <c r="G44" i="9"/>
  <c r="I9" i="9"/>
  <c r="F31" i="9"/>
  <c r="K30" i="9"/>
  <c r="L30" i="10"/>
  <c r="D23" i="9"/>
  <c r="I23" i="12"/>
  <c r="E163" i="12"/>
  <c r="L18" i="10"/>
  <c r="D11" i="9"/>
  <c r="I11" i="12"/>
  <c r="E151" i="12"/>
  <c r="H19" i="12"/>
  <c r="E182" i="12"/>
  <c r="H22" i="3"/>
  <c r="O42" i="12"/>
  <c r="K181" i="12"/>
  <c r="H23" i="7"/>
  <c r="Q82" i="10"/>
  <c r="N104" i="10"/>
  <c r="S103" i="10"/>
  <c r="J20" i="11"/>
  <c r="L20" i="11"/>
  <c r="M20" i="11"/>
  <c r="K42" i="11"/>
  <c r="L13" i="11"/>
  <c r="M13" i="11"/>
  <c r="K35" i="11"/>
  <c r="J13" i="11"/>
  <c r="L21" i="11"/>
  <c r="M21" i="11"/>
  <c r="K43" i="11"/>
  <c r="J21" i="11"/>
  <c r="E67" i="11"/>
  <c r="H67" i="11"/>
  <c r="V22" i="11"/>
  <c r="T22" i="11"/>
  <c r="W22" i="11"/>
  <c r="H14" i="12"/>
  <c r="E177" i="12"/>
  <c r="H17" i="3"/>
  <c r="O65" i="12"/>
  <c r="L180" i="12"/>
  <c r="H19" i="4"/>
  <c r="G36" i="11"/>
  <c r="J58" i="11"/>
  <c r="G44" i="11"/>
  <c r="J66" i="11"/>
  <c r="G35" i="11"/>
  <c r="J57" i="11"/>
  <c r="G43" i="11"/>
  <c r="J65" i="11"/>
  <c r="O74" i="10"/>
  <c r="G67" i="9"/>
  <c r="P40" i="12"/>
  <c r="K156" i="12"/>
  <c r="L73" i="10"/>
  <c r="G15" i="9"/>
  <c r="D66" i="9"/>
  <c r="P15" i="12"/>
  <c r="J155" i="12"/>
  <c r="V8" i="11"/>
  <c r="T8" i="11"/>
  <c r="W8" i="11"/>
  <c r="L11" i="11"/>
  <c r="M11" i="11"/>
  <c r="K33" i="11"/>
  <c r="J11" i="11"/>
  <c r="H54" i="11"/>
  <c r="E54" i="11"/>
  <c r="H62" i="11"/>
  <c r="E62" i="11"/>
  <c r="R32" i="10"/>
  <c r="J25" i="9"/>
  <c r="I73" i="12"/>
  <c r="G165" i="12"/>
  <c r="H34" i="11"/>
  <c r="N56" i="11"/>
  <c r="H42" i="11"/>
  <c r="N64" i="11"/>
  <c r="H33" i="11"/>
  <c r="N55" i="11"/>
  <c r="N63" i="11"/>
  <c r="H41" i="11"/>
  <c r="D17" i="9"/>
  <c r="L24" i="10"/>
  <c r="I17" i="12"/>
  <c r="E157" i="12"/>
  <c r="O60" i="12"/>
  <c r="L175" i="12"/>
  <c r="H14" i="4"/>
  <c r="O68" i="12"/>
  <c r="L183" i="12"/>
  <c r="H22" i="4"/>
  <c r="O38" i="12"/>
  <c r="K177" i="12"/>
  <c r="H19" i="7"/>
  <c r="D75" i="9"/>
  <c r="L82" i="10"/>
  <c r="G24" i="9"/>
  <c r="P24" i="12"/>
  <c r="J164" i="12"/>
  <c r="R10" i="11"/>
  <c r="M32" i="11"/>
  <c r="J77" i="11"/>
  <c r="L32" i="11"/>
  <c r="F77" i="11"/>
  <c r="R18" i="11"/>
  <c r="M40" i="11"/>
  <c r="J85" i="11"/>
  <c r="L40" i="11"/>
  <c r="F85" i="11"/>
  <c r="L71" i="10"/>
  <c r="D64" i="9"/>
  <c r="G13" i="9"/>
  <c r="P13" i="12"/>
  <c r="J153" i="12"/>
  <c r="K91" i="9"/>
  <c r="S94" i="10"/>
  <c r="S102" i="10"/>
  <c r="J38" i="9"/>
  <c r="F17" i="9"/>
  <c r="E39" i="9"/>
  <c r="Q74" i="10"/>
  <c r="N96" i="10"/>
  <c r="S95" i="10"/>
  <c r="R39" i="10"/>
  <c r="N18" i="10"/>
  <c r="M40" i="10"/>
  <c r="F67" i="9"/>
  <c r="E89" i="9"/>
  <c r="J88" i="9"/>
  <c r="I25" i="9"/>
  <c r="F47" i="9"/>
  <c r="K46" i="9"/>
  <c r="F62" i="9"/>
  <c r="E84" i="9"/>
  <c r="J83" i="9"/>
  <c r="I65" i="11"/>
  <c r="L65" i="11"/>
  <c r="M65" i="11"/>
  <c r="E80" i="11"/>
  <c r="E79" i="11"/>
  <c r="I17" i="9"/>
  <c r="F39" i="9"/>
  <c r="K38" i="9"/>
  <c r="F73" i="9"/>
  <c r="E95" i="9"/>
  <c r="J94" i="9"/>
  <c r="F20" i="9"/>
  <c r="E42" i="9"/>
  <c r="J41" i="9"/>
  <c r="R93" i="10"/>
  <c r="N72" i="10"/>
  <c r="M94" i="10"/>
  <c r="Q72" i="10"/>
  <c r="N94" i="10"/>
  <c r="S93" i="10"/>
  <c r="F24" i="9"/>
  <c r="E46" i="9"/>
  <c r="J45" i="9"/>
  <c r="F70" i="9"/>
  <c r="E92" i="9"/>
  <c r="J91" i="9"/>
  <c r="I18" i="9"/>
  <c r="F40" i="9"/>
  <c r="K39" i="9"/>
  <c r="F63" i="9"/>
  <c r="E85" i="9"/>
  <c r="J84" i="9"/>
  <c r="Q76" i="10"/>
  <c r="N98" i="10"/>
  <c r="S97" i="10"/>
  <c r="R44" i="10"/>
  <c r="N23" i="10"/>
  <c r="M45" i="10"/>
  <c r="N78" i="10"/>
  <c r="M100" i="10"/>
  <c r="R99" i="10"/>
  <c r="L63" i="11"/>
  <c r="M63" i="11"/>
  <c r="I63" i="11"/>
  <c r="K44" i="9"/>
  <c r="I23" i="9"/>
  <c r="F45" i="9"/>
  <c r="I53" i="11"/>
  <c r="L53" i="11"/>
  <c r="M53" i="11"/>
  <c r="T31" i="10"/>
  <c r="O53" i="10"/>
  <c r="T52" i="10"/>
  <c r="R40" i="10"/>
  <c r="N19" i="10"/>
  <c r="M41" i="10"/>
  <c r="I10" i="9"/>
  <c r="F32" i="9"/>
  <c r="K31" i="9"/>
  <c r="L59" i="11"/>
  <c r="M59" i="11"/>
  <c r="I59" i="11"/>
  <c r="E77" i="11"/>
  <c r="K36" i="9"/>
  <c r="I15" i="9"/>
  <c r="F37" i="9"/>
  <c r="R92" i="10"/>
  <c r="N71" i="10"/>
  <c r="M93" i="10"/>
  <c r="F75" i="9"/>
  <c r="E97" i="9"/>
  <c r="J96" i="9"/>
  <c r="N24" i="10"/>
  <c r="M46" i="10"/>
  <c r="R45" i="10"/>
  <c r="T53" i="10"/>
  <c r="T32" i="10"/>
  <c r="O54" i="10"/>
  <c r="F66" i="9"/>
  <c r="E88" i="9"/>
  <c r="J87" i="9"/>
  <c r="K88" i="9"/>
  <c r="I67" i="9"/>
  <c r="F89" i="9"/>
  <c r="L67" i="11"/>
  <c r="M67" i="11"/>
  <c r="I67" i="11"/>
  <c r="F11" i="9"/>
  <c r="E33" i="9"/>
  <c r="J32" i="9"/>
  <c r="R51" i="10"/>
  <c r="N30" i="10"/>
  <c r="M52" i="10"/>
  <c r="R100" i="10"/>
  <c r="N79" i="10"/>
  <c r="M101" i="10"/>
  <c r="J34" i="9"/>
  <c r="F13" i="9"/>
  <c r="E35" i="9"/>
  <c r="I16" i="9"/>
  <c r="F38" i="9"/>
  <c r="K37" i="9"/>
  <c r="J39" i="9"/>
  <c r="F18" i="9"/>
  <c r="E40" i="9"/>
  <c r="I57" i="11"/>
  <c r="L57" i="11"/>
  <c r="M57" i="11"/>
  <c r="F65" i="9"/>
  <c r="E87" i="9"/>
  <c r="J86" i="9"/>
  <c r="K86" i="9"/>
  <c r="I65" i="9"/>
  <c r="F87" i="9"/>
  <c r="J35" i="9"/>
  <c r="F14" i="9"/>
  <c r="E36" i="9"/>
  <c r="F69" i="9"/>
  <c r="E91" i="9"/>
  <c r="J90" i="9"/>
  <c r="E91" i="11"/>
  <c r="L60" i="11"/>
  <c r="M60" i="11"/>
  <c r="I60" i="11"/>
  <c r="I12" i="9"/>
  <c r="F34" i="9"/>
  <c r="K33" i="9"/>
  <c r="K90" i="9"/>
  <c r="I69" i="9"/>
  <c r="F91" i="9"/>
  <c r="R47" i="10"/>
  <c r="N26" i="10"/>
  <c r="M48" i="10"/>
  <c r="F16" i="9"/>
  <c r="E38" i="9"/>
  <c r="J37" i="9"/>
  <c r="L44" i="9"/>
  <c r="L23" i="9"/>
  <c r="G45" i="9"/>
  <c r="I20" i="9"/>
  <c r="F42" i="9"/>
  <c r="K41" i="9"/>
  <c r="F74" i="9"/>
  <c r="E96" i="9"/>
  <c r="J95" i="9"/>
  <c r="E84" i="11"/>
  <c r="E87" i="11"/>
  <c r="Q68" i="10"/>
  <c r="N90" i="10"/>
  <c r="S89" i="10"/>
  <c r="Q78" i="10"/>
  <c r="N100" i="10"/>
  <c r="S99" i="10"/>
  <c r="F12" i="9"/>
  <c r="E34" i="9"/>
  <c r="J33" i="9"/>
  <c r="R89" i="10"/>
  <c r="N68" i="10"/>
  <c r="M90" i="10"/>
  <c r="L46" i="9"/>
  <c r="L25" i="9"/>
  <c r="G47" i="9"/>
  <c r="J93" i="9"/>
  <c r="F72" i="9"/>
  <c r="E94" i="9"/>
  <c r="Q70" i="10"/>
  <c r="N92" i="10"/>
  <c r="S91" i="10"/>
  <c r="Q80" i="10"/>
  <c r="N102" i="10"/>
  <c r="S101" i="10"/>
  <c r="N20" i="10"/>
  <c r="M42" i="10"/>
  <c r="R41" i="10"/>
  <c r="E78" i="11"/>
  <c r="R104" i="10"/>
  <c r="N83" i="10"/>
  <c r="M105" i="10"/>
  <c r="R90" i="10"/>
  <c r="N69" i="10"/>
  <c r="M91" i="10"/>
  <c r="R46" i="10"/>
  <c r="N25" i="10"/>
  <c r="M47" i="10"/>
  <c r="E88" i="11"/>
  <c r="R96" i="10"/>
  <c r="N75" i="10"/>
  <c r="M97" i="10"/>
  <c r="R101" i="10"/>
  <c r="N80" i="10"/>
  <c r="M102" i="10"/>
  <c r="E81" i="11"/>
  <c r="R98" i="10"/>
  <c r="N77" i="10"/>
  <c r="M99" i="10"/>
  <c r="R42" i="10"/>
  <c r="N21" i="10"/>
  <c r="M43" i="10"/>
  <c r="L68" i="11"/>
  <c r="M68" i="11"/>
  <c r="I68" i="11"/>
  <c r="F19" i="9"/>
  <c r="E41" i="9"/>
  <c r="J40" i="9"/>
  <c r="T30" i="10"/>
  <c r="O52" i="10"/>
  <c r="T51" i="10"/>
  <c r="J42" i="9"/>
  <c r="F21" i="9"/>
  <c r="E43" i="9"/>
  <c r="J31" i="9"/>
  <c r="F10" i="9"/>
  <c r="E32" i="9"/>
  <c r="I64" i="11"/>
  <c r="L64" i="11"/>
  <c r="M64" i="11"/>
  <c r="K82" i="9"/>
  <c r="I61" i="9"/>
  <c r="F83" i="9"/>
  <c r="R43" i="10"/>
  <c r="N22" i="10"/>
  <c r="M44" i="10"/>
  <c r="K92" i="9"/>
  <c r="I71" i="9"/>
  <c r="F93" i="9"/>
  <c r="F61" i="9"/>
  <c r="E83" i="9"/>
  <c r="J82" i="9"/>
  <c r="E89" i="11"/>
  <c r="J85" i="9"/>
  <c r="F64" i="9"/>
  <c r="E86" i="9"/>
  <c r="N82" i="10"/>
  <c r="M104" i="10"/>
  <c r="R103" i="10"/>
  <c r="E85" i="11"/>
  <c r="F23" i="9"/>
  <c r="E45" i="9"/>
  <c r="J44" i="9"/>
  <c r="I13" i="9"/>
  <c r="F35" i="9"/>
  <c r="K34" i="9"/>
  <c r="I24" i="9"/>
  <c r="F46" i="9"/>
  <c r="K45" i="9"/>
  <c r="L62" i="11"/>
  <c r="M62" i="11"/>
  <c r="I62" i="11"/>
  <c r="I54" i="11"/>
  <c r="L54" i="11"/>
  <c r="M54" i="11"/>
  <c r="R94" i="10"/>
  <c r="N73" i="10"/>
  <c r="M95" i="10"/>
  <c r="E90" i="11"/>
  <c r="I21" i="9"/>
  <c r="F43" i="9"/>
  <c r="K42" i="9"/>
  <c r="K84" i="9"/>
  <c r="I63" i="9"/>
  <c r="F85" i="9"/>
  <c r="K94" i="9"/>
  <c r="I73" i="9"/>
  <c r="F95" i="9"/>
  <c r="E153" i="12"/>
  <c r="G87" i="12"/>
  <c r="H85" i="12"/>
  <c r="R95" i="10"/>
  <c r="N74" i="10"/>
  <c r="M96" i="10"/>
  <c r="L55" i="11"/>
  <c r="M55" i="11"/>
  <c r="I55" i="11"/>
  <c r="J97" i="9"/>
  <c r="F76" i="9"/>
  <c r="E98" i="9"/>
  <c r="K32" i="9"/>
  <c r="I11" i="9"/>
  <c r="F33" i="9"/>
  <c r="L56" i="11"/>
  <c r="M56" i="11"/>
  <c r="I56" i="11"/>
  <c r="J89" i="9"/>
  <c r="F68" i="9"/>
  <c r="E90" i="9"/>
  <c r="I22" i="9"/>
  <c r="F44" i="9"/>
  <c r="K43" i="9"/>
  <c r="R48" i="10"/>
  <c r="N27" i="10"/>
  <c r="M49" i="10"/>
  <c r="I14" i="9"/>
  <c r="F36" i="9"/>
  <c r="K35" i="9"/>
  <c r="R52" i="10"/>
  <c r="N31" i="10"/>
  <c r="M53" i="10"/>
  <c r="I58" i="11"/>
  <c r="L58" i="11"/>
  <c r="M58" i="11"/>
  <c r="K40" i="9"/>
  <c r="I19" i="9"/>
  <c r="F41" i="9"/>
  <c r="R97" i="10"/>
  <c r="N76" i="10"/>
  <c r="M98" i="10"/>
  <c r="E83" i="11"/>
  <c r="R91" i="10"/>
  <c r="N70" i="10"/>
  <c r="M92" i="10"/>
  <c r="F71" i="9"/>
  <c r="E93" i="9"/>
  <c r="J92" i="9"/>
  <c r="N28" i="10"/>
  <c r="M50" i="10"/>
  <c r="R49" i="10"/>
  <c r="E86" i="11"/>
  <c r="R102" i="10"/>
  <c r="N81" i="10"/>
  <c r="M103" i="10"/>
  <c r="R38" i="10"/>
  <c r="N17" i="10"/>
  <c r="M39" i="10"/>
  <c r="I61" i="11"/>
  <c r="L61" i="11"/>
  <c r="M61" i="11"/>
  <c r="E76" i="11"/>
  <c r="L45" i="9"/>
  <c r="L24" i="9"/>
  <c r="G46" i="9"/>
  <c r="F15" i="9"/>
  <c r="E37" i="9"/>
  <c r="J36" i="9"/>
  <c r="E82" i="11"/>
  <c r="I66" i="11"/>
  <c r="L66" i="11"/>
  <c r="M66" i="11"/>
  <c r="I76" i="11"/>
  <c r="I90" i="11"/>
  <c r="I89" i="11"/>
  <c r="I79" i="11"/>
  <c r="I82" i="11"/>
  <c r="I86" i="11"/>
  <c r="I88" i="11"/>
  <c r="I78" i="11"/>
  <c r="I87" i="11"/>
  <c r="I91" i="11"/>
  <c r="I77" i="11"/>
  <c r="I83" i="11"/>
  <c r="I85" i="11"/>
  <c r="I81" i="11"/>
  <c r="I80" i="11"/>
  <c r="I84" i="11"/>
</calcChain>
</file>

<file path=xl/sharedStrings.xml><?xml version="1.0" encoding="utf-8"?>
<sst xmlns="http://schemas.openxmlformats.org/spreadsheetml/2006/main" count="547" uniqueCount="149">
  <si>
    <t>Selected ratio</t>
  </si>
  <si>
    <t>Μeasurement unit</t>
  </si>
  <si>
    <t>Μultiplying factor</t>
  </si>
  <si>
    <t>Volume</t>
  </si>
  <si>
    <t>FA</t>
  </si>
  <si>
    <t>mL</t>
  </si>
  <si>
    <t>H3PO4</t>
  </si>
  <si>
    <t>μL</t>
  </si>
  <si>
    <t>DNPH</t>
  </si>
  <si>
    <t>Expected [FAo]</t>
  </si>
  <si>
    <t>mg/L</t>
  </si>
  <si>
    <t xml:space="preserve"> </t>
  </si>
  <si>
    <t>NTX1 Pure</t>
  </si>
  <si>
    <t>mg</t>
  </si>
  <si>
    <t>g</t>
  </si>
  <si>
    <t>DNPH solution preparation</t>
  </si>
  <si>
    <t>m L</t>
  </si>
  <si>
    <t>gr</t>
  </si>
  <si>
    <t>FA solution preparation</t>
  </si>
  <si>
    <t>Final [FA]</t>
  </si>
  <si>
    <t>Initial [FA]</t>
  </si>
  <si>
    <t xml:space="preserve">Final volume of solution </t>
  </si>
  <si>
    <t>gemisma ews mesh kai meta topothethsh okseos kai epeita gemisma ws xaragh</t>
  </si>
  <si>
    <t xml:space="preserve">Initial demanded solution </t>
  </si>
  <si>
    <t>H3PO4 solution preparation</t>
  </si>
  <si>
    <t>μL with micropipette</t>
  </si>
  <si>
    <t>[FA]=10 mg/L</t>
  </si>
  <si>
    <r>
      <rPr>
        <sz val="11"/>
        <color rgb="FF000000"/>
        <rFont val="Calibri"/>
        <family val="2"/>
        <charset val="1"/>
      </rPr>
      <t>Batch Experiment Static @25</t>
    </r>
    <r>
      <rPr>
        <sz val="11"/>
        <color rgb="FF0D0D0D"/>
        <rFont val="Arial"/>
        <family val="2"/>
        <charset val="1"/>
      </rPr>
      <t>⁰C</t>
    </r>
  </si>
  <si>
    <t>mL /vial</t>
  </si>
  <si>
    <t>gr sand/vial</t>
  </si>
  <si>
    <t>gr NTX1/vial</t>
  </si>
  <si>
    <t>Duration(h)</t>
  </si>
  <si>
    <t>FA-NTX1</t>
  </si>
  <si>
    <t>FA-SAND</t>
  </si>
  <si>
    <t>FA-SANT-NTX1</t>
  </si>
  <si>
    <t>Demanded volume/exp</t>
  </si>
  <si>
    <t>Total demanded volume</t>
  </si>
  <si>
    <t>Sand demanded</t>
  </si>
  <si>
    <t>Total demanded sand(gr)</t>
  </si>
  <si>
    <t>Total demanded NTX1 powder(gr)</t>
  </si>
  <si>
    <t>ph FA=4</t>
  </si>
  <si>
    <t>Injection Time</t>
  </si>
  <si>
    <t xml:space="preserve">  </t>
  </si>
  <si>
    <t>1η ώρα(3 δείγματα)</t>
  </si>
  <si>
    <t>2η ώρα (3 δείγματα)</t>
  </si>
  <si>
    <t>3η ώρα(3 δείγματα)</t>
  </si>
  <si>
    <t>6η ώρα (3 δείγματα)</t>
  </si>
  <si>
    <t>12η ώρα(3 δείγματα)</t>
  </si>
  <si>
    <t>1η ημέρα(3 δείγματα)</t>
  </si>
  <si>
    <t>2η ημέρα(3 δείγματα)</t>
  </si>
  <si>
    <t>3η ημέρα(3 δείγματα)</t>
  </si>
  <si>
    <t>5η ημέρα(3 δείγματα)</t>
  </si>
  <si>
    <t>7η ημέρα(3 δείγματα)</t>
  </si>
  <si>
    <t>10η ημέρα(3 δείγματα)</t>
  </si>
  <si>
    <t>12η ημέρα(3 δείγματα)</t>
  </si>
  <si>
    <t>14η ημέρα(3 δείγματα)</t>
  </si>
  <si>
    <t xml:space="preserve">[FA]o=9mg/L  </t>
  </si>
  <si>
    <t>Εξίσωση καμπύλης βαθμονόμησης:</t>
  </si>
  <si>
    <t>y=(2.231x10^(-6))X-0.05248</t>
  </si>
  <si>
    <t>y:concentration</t>
  </si>
  <si>
    <t>x:absorbance</t>
  </si>
  <si>
    <t>Static Experiment  @25 ⁰C</t>
  </si>
  <si>
    <t>Time</t>
  </si>
  <si>
    <t>Area</t>
  </si>
  <si>
    <t>C (mg/L)</t>
  </si>
  <si>
    <t>C/Co</t>
  </si>
  <si>
    <t>Co</t>
  </si>
  <si>
    <t>Time(h)</t>
  </si>
  <si>
    <t>Ποσότητα άμμου</t>
  </si>
  <si>
    <t>Ποσότητα MWCNTs</t>
  </si>
  <si>
    <t>Πυκνότητα άμμου</t>
  </si>
  <si>
    <t>g/cm3</t>
  </si>
  <si>
    <t>Ceq</t>
  </si>
  <si>
    <t>c*=(Co-C)*V/m</t>
  </si>
  <si>
    <t>Πυκνότητα MWCNTs</t>
  </si>
  <si>
    <t>C*(mg/g)</t>
  </si>
  <si>
    <t>C*=(Co-C)*V/m</t>
  </si>
  <si>
    <t>Προέκυψε:</t>
  </si>
  <si>
    <t xml:space="preserve">[FA]o= 9mg/L  </t>
  </si>
  <si>
    <t>g/cm^3</t>
  </si>
  <si>
    <t>Ct</t>
  </si>
  <si>
    <t>C*=[(Co-C)*V]/m</t>
  </si>
  <si>
    <t xml:space="preserve">Simulation </t>
  </si>
  <si>
    <t>Pseudo-Second Order</t>
  </si>
  <si>
    <t>Value</t>
  </si>
  <si>
    <t>Lower Limit</t>
  </si>
  <si>
    <t>Upper Limit</t>
  </si>
  <si>
    <t>kpa</t>
  </si>
  <si>
    <t>C*eq</t>
  </si>
  <si>
    <t>Time (days)</t>
  </si>
  <si>
    <t>C*experimental</t>
  </si>
  <si>
    <t>C*fitted</t>
  </si>
  <si>
    <t>Density of Sand</t>
  </si>
  <si>
    <t>g/(cm)3</t>
  </si>
  <si>
    <t>Y=2.231*10^(-6)*x-0.05248</t>
  </si>
  <si>
    <t>Density of MWCNTs</t>
  </si>
  <si>
    <t>g/(cm)^3</t>
  </si>
  <si>
    <t>Dynamic Experiment FA_sand_NTX1 @25 ⁰C</t>
  </si>
  <si>
    <t xml:space="preserve">[FA]o= 7,19mg/L  </t>
  </si>
  <si>
    <t>Y=2.231E-6x-0.05248</t>
  </si>
  <si>
    <t>Dynamic Experiment  @25 ⁰C</t>
  </si>
  <si>
    <t>co</t>
  </si>
  <si>
    <t>Static_fa_ntx1</t>
  </si>
  <si>
    <t>Static_FA_ntx1_SAND</t>
  </si>
  <si>
    <t>Static_FA_SAND</t>
  </si>
  <si>
    <t>ln Ct</t>
  </si>
  <si>
    <t>k</t>
  </si>
  <si>
    <t>Static_fa_ntx1_sand</t>
  </si>
  <si>
    <t>Static_fa_sand</t>
  </si>
  <si>
    <t>Ct=Co*exp(-kt)</t>
  </si>
  <si>
    <t>Dynamin_fa_ntx1</t>
  </si>
  <si>
    <t>Dynamic_FA_ntx1_SAND</t>
  </si>
  <si>
    <t>Dynamic_FA_SAND</t>
  </si>
  <si>
    <t>1/Ct</t>
  </si>
  <si>
    <t>Ct=Co/(1+kt)</t>
  </si>
  <si>
    <t>Dynamic_fa_ntx1</t>
  </si>
  <si>
    <t>C* (mg/g)</t>
  </si>
  <si>
    <t>t^(1/2)</t>
  </si>
  <si>
    <t>Static</t>
  </si>
  <si>
    <t>Dynamic</t>
  </si>
  <si>
    <t>FA_NTX1</t>
  </si>
  <si>
    <t>FA_NTX1_SAND</t>
  </si>
  <si>
    <t>FA_SAND</t>
  </si>
  <si>
    <t>Static_FA_NTX1</t>
  </si>
  <si>
    <t>Static FA_SAND_NTX1</t>
  </si>
  <si>
    <t>Static FA_SAND</t>
  </si>
  <si>
    <t>Montelo</t>
  </si>
  <si>
    <t>Exp.1</t>
  </si>
  <si>
    <t xml:space="preserve">Montelo </t>
  </si>
  <si>
    <t>Exp2.</t>
  </si>
  <si>
    <t>Exp3.</t>
  </si>
  <si>
    <t>C* (mg/L)</t>
  </si>
  <si>
    <t>Dynamic FA_NTX1</t>
  </si>
  <si>
    <t>Dynamic FA_SAND_NTX1</t>
  </si>
  <si>
    <t>Dynamic FA_SAND</t>
  </si>
  <si>
    <t>T^(1/2)</t>
  </si>
  <si>
    <t>Συγκεντρωτικά αποτελέσματ πειράματος 9ppm</t>
  </si>
  <si>
    <t>Static FA_NTX1</t>
  </si>
  <si>
    <t>Removal %</t>
  </si>
  <si>
    <t>Static FA_NTX1_SAND</t>
  </si>
  <si>
    <t>Dynamic FA_NTX1_SAND</t>
  </si>
  <si>
    <t xml:space="preserve">Removal % </t>
  </si>
  <si>
    <t>STATIC</t>
  </si>
  <si>
    <t xml:space="preserve">t </t>
  </si>
  <si>
    <t>t/qt</t>
  </si>
  <si>
    <t>A</t>
  </si>
  <si>
    <t>B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</si>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</sst>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"/>
    <numFmt numFmtId="165" formatCode="0.000"/>
    <numFmt numFmtId="166" formatCode="0.0000"/>
    <numFmt numFmtId="167" formatCode="0.000E+00"/>
    <numFmt numFmtId="168" formatCode="0.00000E+00"/>
    <numFmt numFmtId="169" formatCode="0.00000000E+00"/>
    <numFmt numFmtId="170" formatCode="0.0000000"/>
    <numFmt numFmtId="171" formatCode="0.00000"/>
    <numFmt numFmtId="172" formatCode="0.0000000000000"/>
  </numFmts>
  <fonts count="20" x14ac:knownFonts="1">
    <font>
      <sz val="11"/>
      <color rgb="FF000000"/>
      <name val="Calibri"/>
      <family val="2"/>
      <charset val="1"/>
    </font>
    <font>
      <b/>
      <sz val="11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sz val="12"/>
      <color rgb="FF0D0D0D"/>
      <name val="Calibri"/>
      <family val="2"/>
      <charset val="1"/>
    </font>
    <font>
      <sz val="11"/>
      <color rgb="FF0D0D0D"/>
      <name val="Arial"/>
      <family val="2"/>
      <charset val="1"/>
    </font>
    <font>
      <sz val="11"/>
      <color rgb="FF0D0D0D"/>
      <name val="Calibri"/>
      <family val="2"/>
      <charset val="1"/>
    </font>
    <font>
      <sz val="10"/>
      <name val="Arial"/>
      <family val="2"/>
      <charset val="1"/>
    </font>
    <font>
      <sz val="11"/>
      <color rgb="FFF2F2F2"/>
      <name val="Calibri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6"/>
      <color rgb="FF0D0D0D"/>
      <name val="Calibri"/>
      <family val="2"/>
      <charset val="1"/>
    </font>
    <font>
      <sz val="11"/>
      <color rgb="FF595959"/>
      <name val="arial"/>
      <family val="2"/>
      <charset val="1"/>
    </font>
    <font>
      <b/>
      <sz val="11"/>
      <color rgb="FF595959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color rgb="FF0D0D0D"/>
      <name val="Calibri"/>
      <family val="2"/>
      <charset val="1"/>
    </font>
    <font>
      <sz val="11"/>
      <color rgb="FF000000"/>
      <name val="Calibri"/>
      <family val="2"/>
      <charset val="16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4"/>
      <color rgb="FF000000"/>
      <name val="Courier New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D320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F2F2F2"/>
      </patternFill>
    </fill>
    <fill>
      <patternFill patternType="solid">
        <fgColor rgb="FF7F7F7F"/>
        <bgColor rgb="FF878787"/>
      </patternFill>
    </fill>
    <fill>
      <patternFill patternType="solid">
        <fgColor rgb="FFDBDBDB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A9D18E"/>
        <bgColor rgb="FFB3B3B3"/>
      </patternFill>
    </fill>
    <fill>
      <patternFill patternType="solid">
        <fgColor rgb="FFE0167B"/>
        <bgColor rgb="FF993366"/>
      </patternFill>
    </fill>
    <fill>
      <patternFill patternType="solid">
        <fgColor rgb="FFFFC000"/>
        <bgColor rgb="FFFFD320"/>
      </patternFill>
    </fill>
    <fill>
      <patternFill patternType="solid">
        <fgColor rgb="FFDAE3F3"/>
        <bgColor rgb="FFDBDBDB"/>
      </patternFill>
    </fill>
    <fill>
      <patternFill patternType="solid">
        <fgColor rgb="FF767171"/>
        <bgColor rgb="FF7F7F7F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2" borderId="0" xfId="0" applyFill="1"/>
    <xf numFmtId="0" fontId="1" fillId="0" borderId="2" xfId="0" applyFont="1" applyBorder="1"/>
    <xf numFmtId="20" fontId="0" fillId="0" borderId="0" xfId="0" applyNumberFormat="1"/>
    <xf numFmtId="164" fontId="0" fillId="0" borderId="1" xfId="0" applyNumberFormat="1" applyBorder="1"/>
    <xf numFmtId="0" fontId="0" fillId="3" borderId="1" xfId="0" applyFont="1" applyFill="1" applyBorder="1"/>
    <xf numFmtId="0" fontId="1" fillId="0" borderId="1" xfId="0" applyFont="1" applyBorder="1"/>
    <xf numFmtId="15" fontId="2" fillId="4" borderId="0" xfId="0" applyNumberFormat="1" applyFont="1" applyFill="1" applyAlignment="1">
      <alignment horizontal="left"/>
    </xf>
    <xf numFmtId="0" fontId="3" fillId="0" borderId="0" xfId="0" applyFont="1"/>
    <xf numFmtId="0" fontId="0" fillId="4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2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ont="1" applyFill="1" applyBorder="1"/>
    <xf numFmtId="0" fontId="0" fillId="0" borderId="2" xfId="0" applyBorder="1"/>
    <xf numFmtId="0" fontId="0" fillId="9" borderId="1" xfId="0" applyFill="1" applyBorder="1"/>
    <xf numFmtId="0" fontId="0" fillId="0" borderId="0" xfId="0" applyBorder="1"/>
    <xf numFmtId="15" fontId="0" fillId="10" borderId="0" xfId="0" applyNumberFormat="1" applyFill="1"/>
    <xf numFmtId="0" fontId="6" fillId="3" borderId="0" xfId="0" applyFont="1" applyFill="1" applyBorder="1"/>
    <xf numFmtId="0" fontId="0" fillId="3" borderId="0" xfId="0" applyFill="1" applyBorder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Border="1"/>
    <xf numFmtId="0" fontId="8" fillId="0" borderId="0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166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5" borderId="1" xfId="0" applyFont="1" applyFill="1" applyBorder="1"/>
    <xf numFmtId="0" fontId="0" fillId="0" borderId="9" xfId="0" applyFont="1" applyBorder="1"/>
    <xf numFmtId="0" fontId="0" fillId="0" borderId="10" xfId="0" applyBorder="1"/>
    <xf numFmtId="0" fontId="0" fillId="0" borderId="11" xfId="0" applyFont="1" applyBorder="1"/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6" fillId="0" borderId="18" xfId="0" applyFont="1" applyBorder="1"/>
    <xf numFmtId="165" fontId="1" fillId="0" borderId="1" xfId="0" applyNumberFormat="1" applyFont="1" applyBorder="1" applyAlignment="1">
      <alignment horizontal="right"/>
    </xf>
    <xf numFmtId="0" fontId="0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/>
    <xf numFmtId="165" fontId="10" fillId="0" borderId="1" xfId="0" applyNumberFormat="1" applyFont="1" applyBorder="1" applyAlignment="1">
      <alignment horizontal="center"/>
    </xf>
    <xf numFmtId="0" fontId="0" fillId="5" borderId="1" xfId="0" applyFont="1" applyFill="1" applyBorder="1"/>
    <xf numFmtId="165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1" fillId="0" borderId="19" xfId="0" applyFont="1" applyBorder="1" applyAlignment="1">
      <alignment horizontal="center"/>
    </xf>
    <xf numFmtId="0" fontId="0" fillId="0" borderId="19" xfId="0" applyBorder="1"/>
    <xf numFmtId="168" fontId="0" fillId="0" borderId="15" xfId="0" applyNumberFormat="1" applyBorder="1" applyAlignment="1">
      <alignment horizontal="center"/>
    </xf>
    <xf numFmtId="11" fontId="0" fillId="0" borderId="0" xfId="0" applyNumberFormat="1"/>
    <xf numFmtId="0" fontId="0" fillId="0" borderId="17" xfId="0" applyBorder="1" applyAlignment="1">
      <alignment horizontal="center"/>
    </xf>
    <xf numFmtId="169" fontId="0" fillId="0" borderId="0" xfId="0" applyNumberFormat="1"/>
    <xf numFmtId="0" fontId="11" fillId="0" borderId="0" xfId="0" applyFont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2" fillId="0" borderId="0" xfId="0" applyFont="1"/>
    <xf numFmtId="0" fontId="11" fillId="0" borderId="7" xfId="0" applyFont="1" applyBorder="1"/>
    <xf numFmtId="0" fontId="11" fillId="0" borderId="0" xfId="0" applyFont="1" applyBorder="1"/>
    <xf numFmtId="0" fontId="11" fillId="0" borderId="8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2" fillId="0" borderId="0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165" fontId="12" fillId="0" borderId="0" xfId="0" applyNumberFormat="1" applyFont="1" applyBorder="1" applyAlignment="1">
      <alignment horizontal="center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4" fillId="0" borderId="0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2" fillId="0" borderId="5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1" fillId="0" borderId="1" xfId="0" applyNumberFormat="1" applyFont="1" applyBorder="1"/>
    <xf numFmtId="165" fontId="11" fillId="0" borderId="0" xfId="0" applyNumberFormat="1" applyFont="1"/>
    <xf numFmtId="0" fontId="11" fillId="0" borderId="1" xfId="0" applyFont="1" applyBorder="1" applyAlignment="1">
      <alignment horizontal="center"/>
    </xf>
    <xf numFmtId="165" fontId="12" fillId="0" borderId="1" xfId="0" applyNumberFormat="1" applyFont="1" applyBorder="1"/>
    <xf numFmtId="168" fontId="11" fillId="0" borderId="1" xfId="0" applyNumberFormat="1" applyFont="1" applyBorder="1"/>
    <xf numFmtId="2" fontId="11" fillId="0" borderId="0" xfId="0" applyNumberFormat="1" applyFont="1"/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/>
    <xf numFmtId="0" fontId="13" fillId="4" borderId="0" xfId="0" applyFont="1" applyFill="1" applyBorder="1"/>
    <xf numFmtId="0" fontId="11" fillId="4" borderId="0" xfId="0" applyFont="1" applyFill="1" applyBorder="1"/>
    <xf numFmtId="166" fontId="12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0" fontId="0" fillId="0" borderId="14" xfId="0" applyBorder="1"/>
    <xf numFmtId="0" fontId="0" fillId="0" borderId="24" xfId="0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0" fontId="0" fillId="0" borderId="16" xfId="0" applyBorder="1"/>
    <xf numFmtId="0" fontId="0" fillId="0" borderId="24" xfId="0" applyBorder="1"/>
    <xf numFmtId="0" fontId="4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/>
    <xf numFmtId="11" fontId="4" fillId="0" borderId="21" xfId="0" applyNumberFormat="1" applyFont="1" applyBorder="1"/>
    <xf numFmtId="165" fontId="4" fillId="0" borderId="21" xfId="0" applyNumberFormat="1" applyFont="1" applyBorder="1"/>
    <xf numFmtId="170" fontId="4" fillId="0" borderId="21" xfId="0" applyNumberFormat="1" applyFont="1" applyBorder="1" applyAlignment="1">
      <alignment horizontal="center"/>
    </xf>
    <xf numFmtId="168" fontId="4" fillId="0" borderId="21" xfId="0" applyNumberFormat="1" applyFont="1" applyBorder="1"/>
    <xf numFmtId="171" fontId="4" fillId="0" borderId="21" xfId="0" applyNumberFormat="1" applyFont="1" applyBorder="1" applyAlignment="1">
      <alignment horizontal="center"/>
    </xf>
    <xf numFmtId="0" fontId="0" fillId="0" borderId="21" xfId="0" applyBorder="1"/>
    <xf numFmtId="170" fontId="4" fillId="0" borderId="21" xfId="0" applyNumberFormat="1" applyFont="1" applyBorder="1"/>
    <xf numFmtId="172" fontId="4" fillId="0" borderId="21" xfId="0" applyNumberFormat="1" applyFont="1" applyBorder="1"/>
    <xf numFmtId="0" fontId="15" fillId="0" borderId="0" xfId="0" applyFont="1"/>
    <xf numFmtId="0" fontId="0" fillId="0" borderId="15" xfId="0" applyFont="1" applyBorder="1"/>
    <xf numFmtId="0" fontId="0" fillId="0" borderId="26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21" xfId="0" applyFont="1" applyBorder="1"/>
    <xf numFmtId="166" fontId="0" fillId="0" borderId="21" xfId="0" applyNumberFormat="1" applyFont="1" applyBorder="1" applyAlignment="1">
      <alignment horizontal="center"/>
    </xf>
    <xf numFmtId="11" fontId="0" fillId="0" borderId="21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30" xfId="0" applyBorder="1"/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25" xfId="0" applyFont="1" applyBorder="1"/>
    <xf numFmtId="11" fontId="0" fillId="0" borderId="34" xfId="0" applyNumberFormat="1" applyBorder="1" applyAlignment="1">
      <alignment horizontal="center"/>
    </xf>
    <xf numFmtId="11" fontId="0" fillId="0" borderId="35" xfId="0" applyNumberFormat="1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71" fontId="0" fillId="0" borderId="3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37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38" xfId="0" applyFont="1" applyBorder="1"/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0" fillId="0" borderId="39" xfId="0" applyFont="1" applyBorder="1"/>
    <xf numFmtId="171" fontId="0" fillId="0" borderId="40" xfId="0" applyNumberFormat="1" applyBorder="1" applyAlignment="1">
      <alignment horizontal="center"/>
    </xf>
    <xf numFmtId="171" fontId="0" fillId="0" borderId="41" xfId="0" applyNumberFormat="1" applyBorder="1" applyAlignment="1">
      <alignment horizontal="center"/>
    </xf>
    <xf numFmtId="171" fontId="0" fillId="0" borderId="42" xfId="0" applyNumberFormat="1" applyBorder="1" applyAlignment="1">
      <alignment horizontal="center"/>
    </xf>
    <xf numFmtId="11" fontId="0" fillId="0" borderId="40" xfId="0" applyNumberFormat="1" applyBorder="1" applyAlignment="1">
      <alignment horizontal="center"/>
    </xf>
    <xf numFmtId="11" fontId="0" fillId="0" borderId="41" xfId="0" applyNumberFormat="1" applyBorder="1" applyAlignment="1">
      <alignment horizontal="center"/>
    </xf>
    <xf numFmtId="11" fontId="0" fillId="0" borderId="42" xfId="0" applyNumberFormat="1" applyBorder="1" applyAlignment="1">
      <alignment horizontal="center"/>
    </xf>
    <xf numFmtId="0" fontId="0" fillId="0" borderId="37" xfId="0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Font="1" applyBorder="1"/>
    <xf numFmtId="11" fontId="0" fillId="0" borderId="30" xfId="0" applyNumberFormat="1" applyBorder="1"/>
    <xf numFmtId="11" fontId="0" fillId="0" borderId="0" xfId="0" applyNumberFormat="1" applyBorder="1"/>
    <xf numFmtId="0" fontId="0" fillId="0" borderId="42" xfId="0" applyBorder="1"/>
    <xf numFmtId="11" fontId="0" fillId="0" borderId="40" xfId="0" applyNumberFormat="1" applyBorder="1"/>
    <xf numFmtId="11" fontId="0" fillId="0" borderId="41" xfId="0" applyNumberFormat="1" applyBorder="1"/>
    <xf numFmtId="11" fontId="16" fillId="0" borderId="22" xfId="0" applyNumberFormat="1" applyFont="1" applyBorder="1" applyAlignment="1">
      <alignment vertical="top" wrapText="1"/>
    </xf>
    <xf numFmtId="11" fontId="16" fillId="0" borderId="33" xfId="0" applyNumberFormat="1" applyFont="1" applyBorder="1" applyAlignment="1">
      <alignment vertical="top" wrapText="1"/>
    </xf>
    <xf numFmtId="11" fontId="16" fillId="0" borderId="39" xfId="0" applyNumberFormat="1" applyFont="1" applyBorder="1" applyAlignment="1">
      <alignment vertical="top" wrapText="1"/>
    </xf>
    <xf numFmtId="11" fontId="16" fillId="0" borderId="42" xfId="0" applyNumberFormat="1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33" xfId="0" applyFont="1" applyBorder="1" applyAlignment="1">
      <alignment vertical="top" wrapText="1"/>
    </xf>
    <xf numFmtId="166" fontId="0" fillId="0" borderId="0" xfId="0" applyNumberFormat="1"/>
    <xf numFmtId="0" fontId="0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9" fillId="0" borderId="0" xfId="0" applyFont="1"/>
    <xf numFmtId="0" fontId="13" fillId="0" borderId="43" xfId="0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70" fontId="4" fillId="0" borderId="44" xfId="0" applyNumberFormat="1" applyFont="1" applyBorder="1" applyAlignment="1">
      <alignment horizontal="center"/>
    </xf>
    <xf numFmtId="168" fontId="4" fillId="0" borderId="44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7F7F7F"/>
      <rgbColor rgb="FF5B9BD5"/>
      <rgbColor rgb="FFE0167B"/>
      <rgbColor rgb="FFF2F2F2"/>
      <rgbColor rgb="FFDAE3F3"/>
      <rgbColor rgb="FF660066"/>
      <rgbColor rgb="FFFF8080"/>
      <rgbColor rgb="FF0066CC"/>
      <rgbColor rgb="FFD0CECE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BE5D6"/>
      <rgbColor rgb="FF99CCFF"/>
      <rgbColor rgb="FFFF99CC"/>
      <rgbColor rgb="FFCC99FF"/>
      <rgbColor rgb="FFF8CBAD"/>
      <rgbColor rgb="FF3366FF"/>
      <rgbColor rgb="FF33CCCC"/>
      <rgbColor rgb="FFA9D18E"/>
      <rgbColor rgb="FFFFC000"/>
      <rgbColor rgb="FFFF9900"/>
      <rgbColor rgb="FFFF420E"/>
      <rgbColor rgb="FF767171"/>
      <rgbColor rgb="FF878787"/>
      <rgbColor rgb="FF004586"/>
      <rgbColor rgb="FF579D1C"/>
      <rgbColor rgb="FF0D0D0D"/>
      <rgbColor rgb="FF333300"/>
      <rgbColor rgb="FF993300"/>
      <rgbColor rgb="FF993366"/>
      <rgbColor rgb="FF59595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FA_NTX1'!$G$13:$G$30</c:f>
              <c:numCache>
                <c:formatCode>General</c:formatCode>
                <c:ptCount val="18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'Static FA_NTX1'!$H$13:$H$30</c:f>
              <c:numCache>
                <c:formatCode>0.0000</c:formatCode>
                <c:ptCount val="18"/>
                <c:pt idx="0">
                  <c:v>0.949055278514103</c:v>
                </c:pt>
                <c:pt idx="1">
                  <c:v>0.947628228397852</c:v>
                </c:pt>
                <c:pt idx="2">
                  <c:v>0.935564001719143</c:v>
                </c:pt>
                <c:pt idx="3">
                  <c:v>0.925583054305432</c:v>
                </c:pt>
                <c:pt idx="4">
                  <c:v>0.921658921134229</c:v>
                </c:pt>
                <c:pt idx="5">
                  <c:v>0.90711518214611</c:v>
                </c:pt>
                <c:pt idx="6">
                  <c:v>0.873026662550842</c:v>
                </c:pt>
                <c:pt idx="7">
                  <c:v>0.855580440117859</c:v>
                </c:pt>
                <c:pt idx="8">
                  <c:v>0.783761418278748</c:v>
                </c:pt>
                <c:pt idx="9">
                  <c:v>0.739410310044114</c:v>
                </c:pt>
                <c:pt idx="10">
                  <c:v>0.728111047417728</c:v>
                </c:pt>
                <c:pt idx="11">
                  <c:v>0.650133351941658</c:v>
                </c:pt>
                <c:pt idx="12">
                  <c:v>0.633765565847418</c:v>
                </c:pt>
                <c:pt idx="13">
                  <c:v>0.617946037943808</c:v>
                </c:pt>
                <c:pt idx="14">
                  <c:v>0.60946751659824</c:v>
                </c:pt>
                <c:pt idx="15">
                  <c:v>0.60377230320603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17096"/>
        <c:axId val="2090232424"/>
      </c:scatterChart>
      <c:valAx>
        <c:axId val="209021709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t(h)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90232424"/>
        <c:crosses val="autoZero"/>
        <c:crossBetween val="midCat"/>
      </c:valAx>
      <c:valAx>
        <c:axId val="2090232424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C/Co</a:t>
                </a:r>
              </a:p>
            </c:rich>
          </c:tx>
          <c:overlay val="0"/>
        </c:title>
        <c:numFmt formatCode="0.0000" sourceLinked="0"/>
        <c:majorTickMark val="cross"/>
        <c:minorTickMark val="cross"/>
        <c:tickLblPos val="none"/>
        <c:crossAx val="209021709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τάξης'!$D$31:$D$47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τάξης'!$E$31:$E$47</c:f>
              <c:numCache>
                <c:formatCode>0.000</c:formatCode>
                <c:ptCount val="17"/>
                <c:pt idx="0">
                  <c:v>2.170321086039761</c:v>
                </c:pt>
                <c:pt idx="1">
                  <c:v>2.118032853195687</c:v>
                </c:pt>
                <c:pt idx="2">
                  <c:v>2.116528068258894</c:v>
                </c:pt>
                <c:pt idx="3">
                  <c:v>2.103715364882855</c:v>
                </c:pt>
                <c:pt idx="4">
                  <c:v>2.092989674975024</c:v>
                </c:pt>
                <c:pt idx="5">
                  <c:v>2.088741028477973</c:v>
                </c:pt>
                <c:pt idx="6">
                  <c:v>2.072835241553243</c:v>
                </c:pt>
                <c:pt idx="7">
                  <c:v>2.034531903726203</c:v>
                </c:pt>
                <c:pt idx="8">
                  <c:v>2.014345922992237</c:v>
                </c:pt>
                <c:pt idx="9">
                  <c:v>1.926670467675343</c:v>
                </c:pt>
                <c:pt idx="10">
                  <c:v>1.868418797260769</c:v>
                </c:pt>
                <c:pt idx="11">
                  <c:v>1.853019381283337</c:v>
                </c:pt>
                <c:pt idx="12">
                  <c:v>1.739743305738842</c:v>
                </c:pt>
                <c:pt idx="13">
                  <c:v>1.714244923156329</c:v>
                </c:pt>
                <c:pt idx="14">
                  <c:v>1.688966943459913</c:v>
                </c:pt>
                <c:pt idx="15">
                  <c:v>1.675151459395858</c:v>
                </c:pt>
                <c:pt idx="16">
                  <c:v>1.6657629524701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τάξης'!$D$31:$D$47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τάξης'!$F$31:$F$47</c:f>
              <c:numCache>
                <c:formatCode>General</c:formatCode>
                <c:ptCount val="17"/>
                <c:pt idx="0">
                  <c:v>2.170321086039761</c:v>
                </c:pt>
                <c:pt idx="1">
                  <c:v>2.045262951761915</c:v>
                </c:pt>
                <c:pt idx="2">
                  <c:v>2.076870069527463</c:v>
                </c:pt>
                <c:pt idx="3">
                  <c:v>2.050477092389328</c:v>
                </c:pt>
                <c:pt idx="4">
                  <c:v>2.053390056799948</c:v>
                </c:pt>
                <c:pt idx="5">
                  <c:v>2.03454152927369</c:v>
                </c:pt>
                <c:pt idx="6">
                  <c:v>2.041157110238006</c:v>
                </c:pt>
                <c:pt idx="7">
                  <c:v>1.992130647794044</c:v>
                </c:pt>
                <c:pt idx="8">
                  <c:v>1.929292913242796</c:v>
                </c:pt>
                <c:pt idx="9">
                  <c:v>1.82055541406301</c:v>
                </c:pt>
                <c:pt idx="10">
                  <c:v>1.782282015037759</c:v>
                </c:pt>
                <c:pt idx="11">
                  <c:v>1.709220642005225</c:v>
                </c:pt>
                <c:pt idx="12">
                  <c:v>1.600977273756355</c:v>
                </c:pt>
                <c:pt idx="13">
                  <c:v>1.579486817281753</c:v>
                </c:pt>
                <c:pt idx="14">
                  <c:v>1.560373986945458</c:v>
                </c:pt>
                <c:pt idx="15">
                  <c:v>1.483134214013923</c:v>
                </c:pt>
                <c:pt idx="16">
                  <c:v>1.46453044436831</c:v>
                </c:pt>
              </c:numCache>
            </c:numRef>
          </c:yVal>
          <c:smooth val="1"/>
        </c:ser>
        <c:ser>
          <c:idx val="2"/>
          <c:order val="2"/>
          <c:spPr>
            <a:ln w="28440">
              <a:noFill/>
            </a:ln>
          </c:spPr>
          <c:marker>
            <c:symbol val="triangle"/>
            <c:size val="5"/>
            <c:spPr>
              <a:solidFill>
                <a:srgbClr val="DBDBDB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τάξης'!$D$31:$D$47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τάξης'!$G$31:$G$47</c:f>
              <c:numCache>
                <c:formatCode>General</c:formatCode>
                <c:ptCount val="17"/>
                <c:pt idx="0">
                  <c:v>2.170321086039761</c:v>
                </c:pt>
                <c:pt idx="1">
                  <c:v>2.164305035400068</c:v>
                </c:pt>
                <c:pt idx="2">
                  <c:v>2.160541263248073</c:v>
                </c:pt>
                <c:pt idx="3">
                  <c:v>2.16079169707867</c:v>
                </c:pt>
                <c:pt idx="4">
                  <c:v>2.15762813071507</c:v>
                </c:pt>
                <c:pt idx="5">
                  <c:v>2.154439518492246</c:v>
                </c:pt>
                <c:pt idx="6">
                  <c:v>2.148956360795089</c:v>
                </c:pt>
                <c:pt idx="7">
                  <c:v>2.049721811616354</c:v>
                </c:pt>
                <c:pt idx="8">
                  <c:v>2.048469316025868</c:v>
                </c:pt>
                <c:pt idx="9">
                  <c:v>2.046737905750981</c:v>
                </c:pt>
                <c:pt idx="10">
                  <c:v>2.020506648849769</c:v>
                </c:pt>
                <c:pt idx="11">
                  <c:v>2.022566578458083</c:v>
                </c:pt>
                <c:pt idx="12">
                  <c:v>1.970420316153344</c:v>
                </c:pt>
                <c:pt idx="13">
                  <c:v>1.954794711330201</c:v>
                </c:pt>
                <c:pt idx="14">
                  <c:v>1.938921066072321</c:v>
                </c:pt>
                <c:pt idx="15">
                  <c:v>1.922889224144739</c:v>
                </c:pt>
                <c:pt idx="16">
                  <c:v>1.90935436763218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65736"/>
        <c:axId val="2056360072"/>
      </c:scatterChart>
      <c:valAx>
        <c:axId val="205636573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56360072"/>
        <c:crosses val="autoZero"/>
        <c:crossBetween val="midCat"/>
      </c:valAx>
      <c:valAx>
        <c:axId val="2056360072"/>
        <c:scaling>
          <c:orientation val="minMax"/>
          <c:min val="1.0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lnCt</a:t>
                </a:r>
              </a:p>
            </c:rich>
          </c:tx>
          <c:overlay val="0"/>
        </c:title>
        <c:numFmt formatCode="0.000" sourceLinked="0"/>
        <c:majorTickMark val="cross"/>
        <c:minorTickMark val="cross"/>
        <c:tickLblPos val="none"/>
        <c:crossAx val="2056365736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2908262849707"/>
          <c:y val="0.152926065665891"/>
          <c:w val="0.833441769681197"/>
          <c:h val="0.700409408364775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τάξης'!$I$30:$I$46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τάξης'!$J$30:$J$46</c:f>
              <c:numCache>
                <c:formatCode>General</c:formatCode>
                <c:ptCount val="17"/>
                <c:pt idx="0">
                  <c:v>8.761096655</c:v>
                </c:pt>
                <c:pt idx="1">
                  <c:v>8.306073713201481</c:v>
                </c:pt>
                <c:pt idx="2">
                  <c:v>8.284915085098172</c:v>
                </c:pt>
                <c:pt idx="3">
                  <c:v>8.17089021910589</c:v>
                </c:pt>
                <c:pt idx="4">
                  <c:v>8.058397174150805</c:v>
                </c:pt>
                <c:pt idx="5">
                  <c:v>7.974038111974072</c:v>
                </c:pt>
                <c:pt idx="6">
                  <c:v>7.750328592922728</c:v>
                </c:pt>
                <c:pt idx="7">
                  <c:v>7.274185905167656</c:v>
                </c:pt>
                <c:pt idx="8">
                  <c:v>6.952114952472993</c:v>
                </c:pt>
                <c:pt idx="9">
                  <c:v>6.056732526826657</c:v>
                </c:pt>
                <c:pt idx="10">
                  <c:v>5.434235222609354</c:v>
                </c:pt>
                <c:pt idx="11">
                  <c:v>4.963044591157399</c:v>
                </c:pt>
                <c:pt idx="12">
                  <c:v>4.214552029518225</c:v>
                </c:pt>
                <c:pt idx="13">
                  <c:v>3.907293454394938</c:v>
                </c:pt>
                <c:pt idx="14">
                  <c:v>3.623233805338512</c:v>
                </c:pt>
                <c:pt idx="15">
                  <c:v>3.398558799966705</c:v>
                </c:pt>
                <c:pt idx="16">
                  <c:v>3.201959456198325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τάξης'!$I$30:$I$46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τάξης'!$K$30:$K$46</c:f>
              <c:numCache>
                <c:formatCode>General</c:formatCode>
                <c:ptCount val="17"/>
                <c:pt idx="0">
                  <c:v>8.761096655</c:v>
                </c:pt>
                <c:pt idx="1">
                  <c:v>7.720664625846427</c:v>
                </c:pt>
                <c:pt idx="2">
                  <c:v>7.957740235405558</c:v>
                </c:pt>
                <c:pt idx="3">
                  <c:v>7.739906383622893</c:v>
                </c:pt>
                <c:pt idx="4">
                  <c:v>7.730820924758727</c:v>
                </c:pt>
                <c:pt idx="5">
                  <c:v>7.524704413562157</c:v>
                </c:pt>
                <c:pt idx="6">
                  <c:v>7.451811150073022</c:v>
                </c:pt>
                <c:pt idx="7">
                  <c:v>6.867022785811653</c:v>
                </c:pt>
                <c:pt idx="8">
                  <c:v>6.24132758177931</c:v>
                </c:pt>
                <c:pt idx="9">
                  <c:v>5.243847129987437</c:v>
                </c:pt>
                <c:pt idx="10">
                  <c:v>4.727431420958555</c:v>
                </c:pt>
                <c:pt idx="11">
                  <c:v>3.98373826889263</c:v>
                </c:pt>
                <c:pt idx="12">
                  <c:v>3.348716954295106</c:v>
                </c:pt>
                <c:pt idx="13">
                  <c:v>3.070028415077227</c:v>
                </c:pt>
                <c:pt idx="14">
                  <c:v>2.821232897058381</c:v>
                </c:pt>
                <c:pt idx="15">
                  <c:v>2.446196120189948</c:v>
                </c:pt>
                <c:pt idx="16">
                  <c:v>2.249100693112721</c:v>
                </c:pt>
              </c:numCache>
            </c:numRef>
          </c:yVal>
          <c:smooth val="1"/>
        </c:ser>
        <c:ser>
          <c:idx val="2"/>
          <c:order val="2"/>
          <c:spPr>
            <a:ln w="28440">
              <a:noFill/>
            </a:ln>
          </c:spPr>
          <c:marker>
            <c:symbol val="triangle"/>
            <c:size val="5"/>
            <c:spPr>
              <a:solidFill>
                <a:srgbClr val="DBDBDB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τάξης'!$I$30:$I$46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τάξης'!$L$30:$L$46</c:f>
              <c:numCache>
                <c:formatCode>General</c:formatCode>
                <c:ptCount val="17"/>
                <c:pt idx="0">
                  <c:v>8.761096655</c:v>
                </c:pt>
                <c:pt idx="1">
                  <c:v>8.703868094373032</c:v>
                </c:pt>
                <c:pt idx="2">
                  <c:v>8.66651078848923</c:v>
                </c:pt>
                <c:pt idx="3">
                  <c:v>8.664023283491433</c:v>
                </c:pt>
                <c:pt idx="4">
                  <c:v>8.622741992877087</c:v>
                </c:pt>
                <c:pt idx="5">
                  <c:v>8.567616036655023</c:v>
                </c:pt>
                <c:pt idx="6">
                  <c:v>8.465984919496786</c:v>
                </c:pt>
                <c:pt idx="7">
                  <c:v>7.567946871818252</c:v>
                </c:pt>
                <c:pt idx="8">
                  <c:v>7.461595878178616</c:v>
                </c:pt>
                <c:pt idx="9">
                  <c:v>7.258969711510237</c:v>
                </c:pt>
                <c:pt idx="10">
                  <c:v>6.890934098062272</c:v>
                </c:pt>
                <c:pt idx="11">
                  <c:v>6.643019329663303</c:v>
                </c:pt>
                <c:pt idx="12">
                  <c:v>6.144886767959958</c:v>
                </c:pt>
                <c:pt idx="13">
                  <c:v>5.895531619394062</c:v>
                </c:pt>
                <c:pt idx="14">
                  <c:v>5.65489231005686</c:v>
                </c:pt>
                <c:pt idx="15">
                  <c:v>5.423217229588652</c:v>
                </c:pt>
                <c:pt idx="16">
                  <c:v>5.214036769887867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09112"/>
        <c:axId val="2056303448"/>
      </c:scatterChart>
      <c:valAx>
        <c:axId val="2056309112"/>
        <c:scaling>
          <c:orientation val="minMax"/>
          <c:max val="20.0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437312947299935"/>
              <c:y val="0.919483021594284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56303448"/>
        <c:crosses val="autoZero"/>
        <c:crossBetween val="midCat"/>
      </c:valAx>
      <c:valAx>
        <c:axId val="2056303448"/>
        <c:scaling>
          <c:orientation val="minMax"/>
          <c:min val="1.0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Ct=Co*exp(-kt) (mg/L)
</a:t>
                </a:r>
              </a:p>
            </c:rich>
          </c:tx>
          <c:layout>
            <c:manualLayout>
              <c:xMode val="edge"/>
              <c:yMode val="edge"/>
              <c:x val="0.00533506831489915"/>
              <c:y val="0.356426105803966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56309112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51473922902494"/>
          <c:y val="0.464968152866242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484059856864"/>
          <c:y val="0.168974085906993"/>
          <c:w val="0.764183474300586"/>
          <c:h val="0.668619098331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'Κινητική πρώτης τάξης'!$E$81:$E$81</c:f>
              <c:strCache>
                <c:ptCount val="1"/>
                <c:pt idx="0">
                  <c:v>ln Ct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τάξης'!$D$82:$D$98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τάξης'!$E$82:$E$98</c:f>
              <c:numCache>
                <c:formatCode>0.000</c:formatCode>
                <c:ptCount val="17"/>
                <c:pt idx="0">
                  <c:v>2.170321086039761</c:v>
                </c:pt>
                <c:pt idx="1">
                  <c:v>2.045262951761915</c:v>
                </c:pt>
                <c:pt idx="2">
                  <c:v>2.076870069527463</c:v>
                </c:pt>
                <c:pt idx="3">
                  <c:v>2.050477092389328</c:v>
                </c:pt>
                <c:pt idx="4">
                  <c:v>2.053390056799948</c:v>
                </c:pt>
                <c:pt idx="5">
                  <c:v>2.03454152927369</c:v>
                </c:pt>
                <c:pt idx="6">
                  <c:v>2.041157110238006</c:v>
                </c:pt>
                <c:pt idx="7">
                  <c:v>1.992130647794044</c:v>
                </c:pt>
                <c:pt idx="8">
                  <c:v>1.929292913242796</c:v>
                </c:pt>
                <c:pt idx="9">
                  <c:v>1.82055541406301</c:v>
                </c:pt>
                <c:pt idx="10">
                  <c:v>1.782282015037759</c:v>
                </c:pt>
                <c:pt idx="11">
                  <c:v>1.709220642005225</c:v>
                </c:pt>
                <c:pt idx="12">
                  <c:v>1.600977273756355</c:v>
                </c:pt>
                <c:pt idx="13">
                  <c:v>1.579486817281753</c:v>
                </c:pt>
                <c:pt idx="14">
                  <c:v>1.560373986945458</c:v>
                </c:pt>
                <c:pt idx="15">
                  <c:v>1.483134214013923</c:v>
                </c:pt>
                <c:pt idx="16">
                  <c:v>1.46453044436831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'Κινητική πρώτης τάξης'!$F$81:$F$81</c:f>
              <c:strCache>
                <c:ptCount val="1"/>
                <c:pt idx="0">
                  <c:v>ln Ct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τάξης'!$D$82:$D$98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τάξης'!$F$82:$F$98</c:f>
              <c:numCache>
                <c:formatCode>General</c:formatCode>
                <c:ptCount val="17"/>
                <c:pt idx="0">
                  <c:v>2.170321086039761</c:v>
                </c:pt>
                <c:pt idx="1">
                  <c:v>2.147430472637096</c:v>
                </c:pt>
                <c:pt idx="2">
                  <c:v>2.157369938156509</c:v>
                </c:pt>
                <c:pt idx="3">
                  <c:v>2.130307877208423</c:v>
                </c:pt>
                <c:pt idx="4">
                  <c:v>2.09950803991882</c:v>
                </c:pt>
                <c:pt idx="5">
                  <c:v>2.034367088311412</c:v>
                </c:pt>
                <c:pt idx="6">
                  <c:v>1.973518024371874</c:v>
                </c:pt>
                <c:pt idx="7">
                  <c:v>1.919235372600484</c:v>
                </c:pt>
                <c:pt idx="8">
                  <c:v>1.840356653508224</c:v>
                </c:pt>
                <c:pt idx="9">
                  <c:v>1.673130087646978</c:v>
                </c:pt>
                <c:pt idx="10">
                  <c:v>1.436754809112144</c:v>
                </c:pt>
                <c:pt idx="11">
                  <c:v>1.256538136430358</c:v>
                </c:pt>
                <c:pt idx="12">
                  <c:v>1.037601019634105</c:v>
                </c:pt>
                <c:pt idx="13">
                  <c:v>0.776861215579324</c:v>
                </c:pt>
                <c:pt idx="14">
                  <c:v>0.669190390073577</c:v>
                </c:pt>
                <c:pt idx="15">
                  <c:v>0.65421775545818</c:v>
                </c:pt>
                <c:pt idx="16">
                  <c:v>0.651325720073273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60520"/>
        <c:axId val="2092062536"/>
      </c:scatterChart>
      <c:valAx>
        <c:axId val="205626052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421340273259597"/>
              <c:y val="0.910986865459709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062536"/>
        <c:crosses val="autoZero"/>
        <c:crossBetween val="midCat"/>
      </c:valAx>
      <c:valAx>
        <c:axId val="2092062536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ln Ct</a:t>
                </a:r>
              </a:p>
            </c:rich>
          </c:tx>
          <c:layout>
            <c:manualLayout>
              <c:xMode val="edge"/>
              <c:yMode val="edge"/>
              <c:x val="0.0173389720234223"/>
              <c:y val="0.464501242456514"/>
            </c:manualLayout>
          </c:layout>
          <c:overlay val="0"/>
        </c:title>
        <c:numFmt formatCode="0.000" sourceLinked="0"/>
        <c:majorTickMark val="cross"/>
        <c:minorTickMark val="cross"/>
        <c:tickLblPos val="none"/>
        <c:crossAx val="2056260520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718820861678"/>
          <c:y val="0.401408450704225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3107431651906"/>
          <c:y val="0.178381256656017"/>
          <c:w val="0.837697343088179"/>
          <c:h val="0.692137025204118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τάξης'!$I$81:$I$97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τάξης'!$J$81:$J$97</c:f>
              <c:numCache>
                <c:formatCode>General</c:formatCode>
                <c:ptCount val="17"/>
                <c:pt idx="0">
                  <c:v>8.761096655</c:v>
                </c:pt>
                <c:pt idx="1">
                  <c:v>7.720664625846427</c:v>
                </c:pt>
                <c:pt idx="2">
                  <c:v>7.957740235405558</c:v>
                </c:pt>
                <c:pt idx="3">
                  <c:v>7.739906383622893</c:v>
                </c:pt>
                <c:pt idx="4">
                  <c:v>7.730820924758727</c:v>
                </c:pt>
                <c:pt idx="5">
                  <c:v>7.524704413562157</c:v>
                </c:pt>
                <c:pt idx="6">
                  <c:v>7.451811150073022</c:v>
                </c:pt>
                <c:pt idx="7">
                  <c:v>6.867022785811653</c:v>
                </c:pt>
                <c:pt idx="8">
                  <c:v>6.24132758177931</c:v>
                </c:pt>
                <c:pt idx="9">
                  <c:v>5.243847129987437</c:v>
                </c:pt>
                <c:pt idx="10">
                  <c:v>4.727431420958555</c:v>
                </c:pt>
                <c:pt idx="11">
                  <c:v>3.98373826889263</c:v>
                </c:pt>
                <c:pt idx="12">
                  <c:v>3.348716954295106</c:v>
                </c:pt>
                <c:pt idx="13">
                  <c:v>3.070028415077227</c:v>
                </c:pt>
                <c:pt idx="14">
                  <c:v>2.821232897058381</c:v>
                </c:pt>
                <c:pt idx="15">
                  <c:v>2.446196120189948</c:v>
                </c:pt>
                <c:pt idx="16">
                  <c:v>2.249100693112721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πρώτης τάξης'!$I$81:$I$97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πρώτης τάξης'!$K$81:$K$97</c:f>
              <c:numCache>
                <c:formatCode>General</c:formatCode>
                <c:ptCount val="17"/>
                <c:pt idx="0">
                  <c:v>8.761096655</c:v>
                </c:pt>
                <c:pt idx="1">
                  <c:v>8.533123499707947</c:v>
                </c:pt>
                <c:pt idx="2">
                  <c:v>8.588464263854604</c:v>
                </c:pt>
                <c:pt idx="3">
                  <c:v>8.330161778748118</c:v>
                </c:pt>
                <c:pt idx="4">
                  <c:v>7.99373444077074</c:v>
                </c:pt>
                <c:pt idx="5">
                  <c:v>7.335070979058711</c:v>
                </c:pt>
                <c:pt idx="6">
                  <c:v>6.62014997397876</c:v>
                </c:pt>
                <c:pt idx="7">
                  <c:v>5.768634356939987</c:v>
                </c:pt>
                <c:pt idx="8">
                  <c:v>4.904517177972627</c:v>
                </c:pt>
                <c:pt idx="9">
                  <c:v>3.511804779927874</c:v>
                </c:pt>
                <c:pt idx="10">
                  <c:v>2.34657028543816</c:v>
                </c:pt>
                <c:pt idx="11">
                  <c:v>1.525829408180865</c:v>
                </c:pt>
                <c:pt idx="12">
                  <c:v>1.037486560842608</c:v>
                </c:pt>
                <c:pt idx="13">
                  <c:v>0.676556860151521</c:v>
                </c:pt>
                <c:pt idx="14">
                  <c:v>0.514165742167182</c:v>
                </c:pt>
                <c:pt idx="15">
                  <c:v>0.428706713853131</c:v>
                </c:pt>
                <c:pt idx="16">
                  <c:v>0.361796174381113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4376"/>
        <c:axId val="2092109976"/>
      </c:scatterChart>
      <c:valAx>
        <c:axId val="2092104376"/>
        <c:scaling>
          <c:orientation val="minMax"/>
          <c:max val="20.0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4394172763445"/>
              <c:y val="0.936812211572595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109976"/>
        <c:crosses val="autoZero"/>
        <c:crossBetween val="midCat"/>
      </c:valAx>
      <c:valAx>
        <c:axId val="2092109976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Ct=Co*exp(-kt) (mg/L)</a:t>
                </a:r>
              </a:p>
            </c:rich>
          </c:tx>
          <c:layout>
            <c:manualLayout>
              <c:xMode val="edge"/>
              <c:yMode val="edge"/>
              <c:x val="0.0173597740983186"/>
              <c:y val="0.36119985800497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104376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50797266514807"/>
          <c:y val="0.528169014084507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16197979967"/>
          <c:y val="0.176029962546816"/>
          <c:w val="0.687984577343783"/>
          <c:h val="0.675762439807384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Τάξης'!$L$38:$L$54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Τάξης'!$M$38:$M$54</c:f>
              <c:numCache>
                <c:formatCode>0.000</c:formatCode>
                <c:ptCount val="17"/>
                <c:pt idx="0">
                  <c:v>0.114140961957005</c:v>
                </c:pt>
                <c:pt idx="1">
                  <c:v>0.120267980739448</c:v>
                </c:pt>
                <c:pt idx="2">
                  <c:v>0.120449094419636</c:v>
                </c:pt>
                <c:pt idx="3">
                  <c:v>0.122002302084374</c:v>
                </c:pt>
                <c:pt idx="4">
                  <c:v>0.123317903699801</c:v>
                </c:pt>
                <c:pt idx="5">
                  <c:v>0.123842952462869</c:v>
                </c:pt>
                <c:pt idx="6">
                  <c:v>0.125828521232511</c:v>
                </c:pt>
                <c:pt idx="7">
                  <c:v>0.130741667870147</c:v>
                </c:pt>
                <c:pt idx="8">
                  <c:v>0.133407633701025</c:v>
                </c:pt>
                <c:pt idx="9">
                  <c:v>0.145632279536896</c:v>
                </c:pt>
                <c:pt idx="10">
                  <c:v>0.154367555343116</c:v>
                </c:pt>
                <c:pt idx="11">
                  <c:v>0.156763123374944</c:v>
                </c:pt>
                <c:pt idx="12">
                  <c:v>0.175565461479736</c:v>
                </c:pt>
                <c:pt idx="13">
                  <c:v>0.18009965846659</c:v>
                </c:pt>
                <c:pt idx="14">
                  <c:v>0.184710241588092</c:v>
                </c:pt>
                <c:pt idx="15">
                  <c:v>0.187279812046565</c:v>
                </c:pt>
                <c:pt idx="16">
                  <c:v>0.189046369551761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Τάξης'!$L$38:$L$54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Τάξης'!$N$38:$N$54</c:f>
              <c:numCache>
                <c:formatCode>General</c:formatCode>
                <c:ptCount val="17"/>
                <c:pt idx="0">
                  <c:v>0.114140961957005</c:v>
                </c:pt>
                <c:pt idx="1">
                  <c:v>0.132221014790934</c:v>
                </c:pt>
                <c:pt idx="2">
                  <c:v>0.122888053062929</c:v>
                </c:pt>
                <c:pt idx="3">
                  <c:v>0.124793556811223</c:v>
                </c:pt>
                <c:pt idx="4">
                  <c:v>0.122756830614671</c:v>
                </c:pt>
                <c:pt idx="5">
                  <c:v>0.127375307633499</c:v>
                </c:pt>
                <c:pt idx="6">
                  <c:v>0.132446564520959</c:v>
                </c:pt>
                <c:pt idx="7">
                  <c:v>0.139122556719833</c:v>
                </c:pt>
                <c:pt idx="8">
                  <c:v>0.152550078801208</c:v>
                </c:pt>
                <c:pt idx="9">
                  <c:v>0.177017482717283</c:v>
                </c:pt>
                <c:pt idx="10">
                  <c:v>0.218370838550331</c:v>
                </c:pt>
                <c:pt idx="11">
                  <c:v>0.285307877603768</c:v>
                </c:pt>
                <c:pt idx="12">
                  <c:v>0.374073244804952</c:v>
                </c:pt>
                <c:pt idx="13">
                  <c:v>0.469515486972329</c:v>
                </c:pt>
                <c:pt idx="14">
                  <c:v>0.469874292153056</c:v>
                </c:pt>
                <c:pt idx="15">
                  <c:v>0.49572494171778</c:v>
                </c:pt>
                <c:pt idx="16">
                  <c:v>0.482652815403501</c:v>
                </c:pt>
              </c:numCache>
            </c:numRef>
          </c:yVal>
          <c:smooth val="1"/>
        </c:ser>
        <c:ser>
          <c:idx val="2"/>
          <c:order val="2"/>
          <c:spPr>
            <a:ln w="28440">
              <a:noFill/>
            </a:ln>
          </c:spPr>
          <c:marker>
            <c:symbol val="triangle"/>
            <c:size val="5"/>
            <c:spPr>
              <a:solidFill>
                <a:srgbClr val="DBDBDB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Τάξης'!$L$38:$L$54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Τάξης'!$O$38:$O$54</c:f>
              <c:numCache>
                <c:formatCode>General</c:formatCode>
                <c:ptCount val="17"/>
                <c:pt idx="0">
                  <c:v>0.114140961957005</c:v>
                </c:pt>
                <c:pt idx="1">
                  <c:v>0.114829709456809</c:v>
                </c:pt>
                <c:pt idx="2">
                  <c:v>0.115262716678582</c:v>
                </c:pt>
                <c:pt idx="3">
                  <c:v>0.115233854609089</c:v>
                </c:pt>
                <c:pt idx="4">
                  <c:v>0.115598981803012</c:v>
                </c:pt>
                <c:pt idx="5">
                  <c:v>0.115968170416195</c:v>
                </c:pt>
                <c:pt idx="6">
                  <c:v>0.116605788665644</c:v>
                </c:pt>
                <c:pt idx="7">
                  <c:v>0.128770721124332</c:v>
                </c:pt>
                <c:pt idx="8">
                  <c:v>0.128932106931132</c:v>
                </c:pt>
                <c:pt idx="9">
                  <c:v>0.129155534672564</c:v>
                </c:pt>
                <c:pt idx="10">
                  <c:v>0.132588272364317</c:v>
                </c:pt>
                <c:pt idx="11">
                  <c:v>0.132315430969871</c:v>
                </c:pt>
                <c:pt idx="12">
                  <c:v>0.139398252562583</c:v>
                </c:pt>
                <c:pt idx="13">
                  <c:v>0.141593541260456</c:v>
                </c:pt>
                <c:pt idx="14">
                  <c:v>0.14385908051752</c:v>
                </c:pt>
                <c:pt idx="15">
                  <c:v>0.14618399307601</c:v>
                </c:pt>
                <c:pt idx="16">
                  <c:v>0.148176022955731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9512"/>
        <c:axId val="2092185176"/>
      </c:scatterChart>
      <c:valAx>
        <c:axId val="2092179512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8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8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391433720296718"/>
              <c:y val="0.914927768860353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185176"/>
        <c:crosses val="autoZero"/>
        <c:crossBetween val="midCat"/>
      </c:valAx>
      <c:valAx>
        <c:axId val="2092185176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8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1/Ct (L/mg)</a:t>
                </a:r>
              </a:p>
            </c:rich>
          </c:tx>
          <c:layout>
            <c:manualLayout>
              <c:xMode val="edge"/>
              <c:yMode val="edge"/>
              <c:x val="0.0223796152717824"/>
              <c:y val="0.438648118423399"/>
            </c:manualLayout>
          </c:layout>
          <c:overlay val="0"/>
        </c:title>
        <c:numFmt formatCode="0.000" sourceLinked="0"/>
        <c:majorTickMark val="cross"/>
        <c:minorTickMark val="cross"/>
        <c:tickLblPos val="none"/>
        <c:crossAx val="2092179512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08254016070074"/>
          <c:y val="0.410663476796808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9505091730396"/>
          <c:y val="0.152632561613144"/>
          <c:w val="0.749574038118635"/>
          <c:h val="0.699309185959671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Τάξης'!$Q$37:$Q$53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Τάξης'!$R$37:$R$53</c:f>
              <c:numCache>
                <c:formatCode>General</c:formatCode>
                <c:ptCount val="17"/>
                <c:pt idx="0">
                  <c:v>8.761096655</c:v>
                </c:pt>
                <c:pt idx="1">
                  <c:v>8.31344872995109</c:v>
                </c:pt>
                <c:pt idx="2">
                  <c:v>8.299634284476581</c:v>
                </c:pt>
                <c:pt idx="3">
                  <c:v>8.192675125315477</c:v>
                </c:pt>
                <c:pt idx="4">
                  <c:v>8.101426246066237</c:v>
                </c:pt>
                <c:pt idx="5">
                  <c:v>8.059429974049306</c:v>
                </c:pt>
                <c:pt idx="6">
                  <c:v>7.917238282526399</c:v>
                </c:pt>
                <c:pt idx="7">
                  <c:v>7.59097952858277</c:v>
                </c:pt>
                <c:pt idx="8">
                  <c:v>7.411333727506425</c:v>
                </c:pt>
                <c:pt idx="9">
                  <c:v>6.738576584887144</c:v>
                </c:pt>
                <c:pt idx="10">
                  <c:v>6.310194032729398</c:v>
                </c:pt>
                <c:pt idx="11">
                  <c:v>6.145521447013487</c:v>
                </c:pt>
                <c:pt idx="12">
                  <c:v>5.447476219395561</c:v>
                </c:pt>
                <c:pt idx="13">
                  <c:v>5.272010424420813</c:v>
                </c:pt>
                <c:pt idx="14">
                  <c:v>5.103586883484162</c:v>
                </c:pt>
                <c:pt idx="15">
                  <c:v>4.997757226694122</c:v>
                </c:pt>
                <c:pt idx="16">
                  <c:v>4.916085042750929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Τάξης'!$Q$37:$Q$53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Τάξης'!$S$37:$S$53</c:f>
              <c:numCache>
                <c:formatCode>General</c:formatCode>
                <c:ptCount val="17"/>
                <c:pt idx="0">
                  <c:v>8.761096655</c:v>
                </c:pt>
                <c:pt idx="1">
                  <c:v>7.556545269100114</c:v>
                </c:pt>
                <c:pt idx="2">
                  <c:v>8.12340696293092</c:v>
                </c:pt>
                <c:pt idx="3">
                  <c:v>7.992453841013366</c:v>
                </c:pt>
                <c:pt idx="4">
                  <c:v>8.104045169120573</c:v>
                </c:pt>
                <c:pt idx="5">
                  <c:v>7.770007115993665</c:v>
                </c:pt>
                <c:pt idx="6">
                  <c:v>7.396370211598747</c:v>
                </c:pt>
                <c:pt idx="7">
                  <c:v>6.900832378072196</c:v>
                </c:pt>
                <c:pt idx="8">
                  <c:v>6.170203697289156</c:v>
                </c:pt>
                <c:pt idx="9">
                  <c:v>5.116992330615941</c:v>
                </c:pt>
                <c:pt idx="10">
                  <c:v>3.997351632332402</c:v>
                </c:pt>
                <c:pt idx="11">
                  <c:v>2.901478138245033</c:v>
                </c:pt>
                <c:pt idx="12">
                  <c:v>2.139303179417413</c:v>
                </c:pt>
                <c:pt idx="13">
                  <c:v>1.649516106722429</c:v>
                </c:pt>
                <c:pt idx="14">
                  <c:v>1.596810322629052</c:v>
                </c:pt>
                <c:pt idx="15">
                  <c:v>1.467729702415599</c:v>
                </c:pt>
                <c:pt idx="16">
                  <c:v>1.463193970338983</c:v>
                </c:pt>
              </c:numCache>
            </c:numRef>
          </c:yVal>
          <c:smooth val="1"/>
        </c:ser>
        <c:ser>
          <c:idx val="2"/>
          <c:order val="2"/>
          <c:spPr>
            <a:ln w="28440">
              <a:noFill/>
            </a:ln>
          </c:spPr>
          <c:marker>
            <c:symbol val="triangle"/>
            <c:size val="5"/>
            <c:spPr>
              <a:solidFill>
                <a:srgbClr val="DBDBDB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Τάξης'!$Q$37:$Q$53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Τάξης'!$T$37:$T$53</c:f>
              <c:numCache>
                <c:formatCode>General</c:formatCode>
                <c:ptCount val="17"/>
                <c:pt idx="0">
                  <c:v>8.761096655</c:v>
                </c:pt>
                <c:pt idx="1">
                  <c:v>8.707930869230097</c:v>
                </c:pt>
                <c:pt idx="2">
                  <c:v>8.674603394852397</c:v>
                </c:pt>
                <c:pt idx="3">
                  <c:v>8.676161606658585</c:v>
                </c:pt>
                <c:pt idx="4">
                  <c:v>8.646920283879352</c:v>
                </c:pt>
                <c:pt idx="5">
                  <c:v>8.6157323884698</c:v>
                </c:pt>
                <c:pt idx="6">
                  <c:v>8.561349282220225</c:v>
                </c:pt>
                <c:pt idx="7">
                  <c:v>7.739426417181581</c:v>
                </c:pt>
                <c:pt idx="8">
                  <c:v>7.716665008456868</c:v>
                </c:pt>
                <c:pt idx="9">
                  <c:v>7.677345330689142</c:v>
                </c:pt>
                <c:pt idx="10">
                  <c:v>7.453449140231247</c:v>
                </c:pt>
                <c:pt idx="11">
                  <c:v>7.431364293018682</c:v>
                </c:pt>
                <c:pt idx="12">
                  <c:v>7.03027349372795</c:v>
                </c:pt>
                <c:pt idx="13">
                  <c:v>6.89828973432311</c:v>
                </c:pt>
                <c:pt idx="14">
                  <c:v>6.767179699182243</c:v>
                </c:pt>
                <c:pt idx="15">
                  <c:v>6.637584168445565</c:v>
                </c:pt>
                <c:pt idx="16">
                  <c:v>6.526818368471953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36248"/>
        <c:axId val="2092241912"/>
      </c:scatterChart>
      <c:valAx>
        <c:axId val="209223624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825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825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398819194040496"/>
              <c:y val="0.914861837191934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241912"/>
        <c:crosses val="autoZero"/>
        <c:crossBetween val="midCat"/>
      </c:valAx>
      <c:valAx>
        <c:axId val="2092241912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25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825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Ct=Co/(1+kt) (mg/L)</a:t>
                </a:r>
              </a:p>
            </c:rich>
          </c:tx>
          <c:layout>
            <c:manualLayout>
              <c:xMode val="edge"/>
              <c:yMode val="edge"/>
              <c:x val="0.0208820382771328"/>
              <c:y val="0.372012696041822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236248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36313617606603"/>
          <c:y val="0.367901234567901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297845373892"/>
          <c:y val="0.161823910379835"/>
          <c:w val="0.746134347275032"/>
          <c:h val="0.684841589357605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Τάξης'!$L$89:$L$105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Τάξης'!$M$89:$M$105</c:f>
              <c:numCache>
                <c:formatCode>0.000</c:formatCode>
                <c:ptCount val="17"/>
                <c:pt idx="0">
                  <c:v>0.114140961957005</c:v>
                </c:pt>
                <c:pt idx="1">
                  <c:v>0.129346173700976</c:v>
                </c:pt>
                <c:pt idx="2">
                  <c:v>0.125321847652834</c:v>
                </c:pt>
                <c:pt idx="3">
                  <c:v>0.128673499793868</c:v>
                </c:pt>
                <c:pt idx="4">
                  <c:v>0.128299223859272</c:v>
                </c:pt>
                <c:pt idx="5">
                  <c:v>0.130740409416071</c:v>
                </c:pt>
                <c:pt idx="6">
                  <c:v>0.129878340340256</c:v>
                </c:pt>
                <c:pt idx="7">
                  <c:v>0.136404485693976</c:v>
                </c:pt>
                <c:pt idx="8">
                  <c:v>0.145250867146152</c:v>
                </c:pt>
                <c:pt idx="9">
                  <c:v>0.161935784539855</c:v>
                </c:pt>
                <c:pt idx="10">
                  <c:v>0.168253751246155</c:v>
                </c:pt>
                <c:pt idx="11">
                  <c:v>0.181006806761692</c:v>
                </c:pt>
                <c:pt idx="12">
                  <c:v>0.201699306206768</c:v>
                </c:pt>
                <c:pt idx="13">
                  <c:v>0.206080828192752</c:v>
                </c:pt>
                <c:pt idx="14">
                  <c:v>0.210057497747005</c:v>
                </c:pt>
                <c:pt idx="15">
                  <c:v>0.226925340059967</c:v>
                </c:pt>
                <c:pt idx="16">
                  <c:v>0.231186520927901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'Κινητική Δέυτερης Τάξης'!$L$89:$L$105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Τάξης'!$N$89:$N$105</c:f>
              <c:numCache>
                <c:formatCode>General</c:formatCode>
                <c:ptCount val="17"/>
                <c:pt idx="0">
                  <c:v>0.114140961957005</c:v>
                </c:pt>
                <c:pt idx="1">
                  <c:v>0.116783851875445</c:v>
                </c:pt>
                <c:pt idx="2">
                  <c:v>0.115628832453333</c:v>
                </c:pt>
                <c:pt idx="3">
                  <c:v>0.118800712189741</c:v>
                </c:pt>
                <c:pt idx="4">
                  <c:v>0.122516686748538</c:v>
                </c:pt>
                <c:pt idx="5">
                  <c:v>0.130763217888206</c:v>
                </c:pt>
                <c:pt idx="6">
                  <c:v>0.138967105578515</c:v>
                </c:pt>
                <c:pt idx="7">
                  <c:v>0.146719104698731</c:v>
                </c:pt>
                <c:pt idx="8">
                  <c:v>0.158760793414457</c:v>
                </c:pt>
                <c:pt idx="9">
                  <c:v>0.187658757033088</c:v>
                </c:pt>
                <c:pt idx="10">
                  <c:v>0.237697883410688</c:v>
                </c:pt>
                <c:pt idx="11">
                  <c:v>0.284637699729349</c:v>
                </c:pt>
                <c:pt idx="12">
                  <c:v>0.354303630699564</c:v>
                </c:pt>
                <c:pt idx="13">
                  <c:v>0.459847109416866</c:v>
                </c:pt>
                <c:pt idx="14">
                  <c:v>0.51212302988018</c:v>
                </c:pt>
                <c:pt idx="15">
                  <c:v>0.519848552271739</c:v>
                </c:pt>
                <c:pt idx="16">
                  <c:v>0.521354148749463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82760"/>
        <c:axId val="2092288360"/>
      </c:scatterChart>
      <c:valAx>
        <c:axId val="209228276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>
            <c:manualLayout>
              <c:xMode val="edge"/>
              <c:yMode val="edge"/>
              <c:x val="0.412769328263625"/>
              <c:y val="0.915893576054612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2288360"/>
        <c:crosses val="autoZero"/>
        <c:crossBetween val="midCat"/>
      </c:valAx>
      <c:valAx>
        <c:axId val="2092288360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1/Co (L/mg)</a:t>
                </a:r>
              </a:p>
            </c:rich>
          </c:tx>
          <c:layout>
            <c:manualLayout>
              <c:xMode val="edge"/>
              <c:yMode val="edge"/>
              <c:x val="0.0173637515842839"/>
              <c:y val="0.418781725888325"/>
            </c:manualLayout>
          </c:layout>
          <c:overlay val="0"/>
        </c:title>
        <c:numFmt formatCode="0.000" sourceLinked="0"/>
        <c:majorTickMark val="cross"/>
        <c:minorTickMark val="cross"/>
        <c:tickLblPos val="none"/>
        <c:crossAx val="2092282760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5650723025584"/>
          <c:y val="0.40977888275899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'Κινητική Δέυτερης Τάξης'!$Q$88:$Q$104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Τάξης'!$R$88:$R$104</c:f>
              <c:numCache>
                <c:formatCode>General</c:formatCode>
                <c:ptCount val="17"/>
                <c:pt idx="0">
                  <c:v>8.761096655</c:v>
                </c:pt>
                <c:pt idx="1">
                  <c:v>7.729419875611838</c:v>
                </c:pt>
                <c:pt idx="2">
                  <c:v>7.975799075423765</c:v>
                </c:pt>
                <c:pt idx="3">
                  <c:v>7.766268687277496</c:v>
                </c:pt>
                <c:pt idx="4">
                  <c:v>7.783577000624141</c:v>
                </c:pt>
                <c:pt idx="5">
                  <c:v>7.627768233358264</c:v>
                </c:pt>
                <c:pt idx="6">
                  <c:v>7.65739754549975</c:v>
                </c:pt>
                <c:pt idx="7">
                  <c:v>7.251372111770524</c:v>
                </c:pt>
                <c:pt idx="8">
                  <c:v>6.772887832759469</c:v>
                </c:pt>
                <c:pt idx="9">
                  <c:v>6.010012008759123</c:v>
                </c:pt>
                <c:pt idx="10">
                  <c:v>5.723065856523832</c:v>
                </c:pt>
                <c:pt idx="11">
                  <c:v>5.236638972511848</c:v>
                </c:pt>
                <c:pt idx="12">
                  <c:v>4.650914877110694</c:v>
                </c:pt>
                <c:pt idx="13">
                  <c:v>4.505538506035283</c:v>
                </c:pt>
                <c:pt idx="14">
                  <c:v>4.37555267922794</c:v>
                </c:pt>
                <c:pt idx="15">
                  <c:v>4.009768618744312</c:v>
                </c:pt>
                <c:pt idx="16">
                  <c:v>3.896857382882883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D9D9D9"/>
              </a:solidFill>
            </c:spPr>
          </c:marker>
          <c:trendline>
            <c:spPr>
              <a:ln w="25560">
                <a:solidFill>
                  <a:srgbClr val="0D0D0D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'Κινητική Δέυτερης Τάξης'!$Q$88:$Q$104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'Κινητική Δέυτερης Τάξης'!$S$88:$S$104</c:f>
              <c:numCache>
                <c:formatCode>General</c:formatCode>
                <c:ptCount val="17"/>
                <c:pt idx="0">
                  <c:v>8.761096655</c:v>
                </c:pt>
                <c:pt idx="1">
                  <c:v>8.55491438919</c:v>
                </c:pt>
                <c:pt idx="2">
                  <c:v>8.632392068672956</c:v>
                </c:pt>
                <c:pt idx="3">
                  <c:v>8.39416415048241</c:v>
                </c:pt>
                <c:pt idx="4">
                  <c:v>8.117103546317935</c:v>
                </c:pt>
                <c:pt idx="5">
                  <c:v>7.563456095341705</c:v>
                </c:pt>
                <c:pt idx="6">
                  <c:v>7.03966692330268</c:v>
                </c:pt>
                <c:pt idx="7">
                  <c:v>6.525990971849866</c:v>
                </c:pt>
                <c:pt idx="8">
                  <c:v>5.905479414963434</c:v>
                </c:pt>
                <c:pt idx="9">
                  <c:v>4.796418900090009</c:v>
                </c:pt>
                <c:pt idx="10">
                  <c:v>3.641181455772892</c:v>
                </c:pt>
                <c:pt idx="11">
                  <c:v>2.87499022913257</c:v>
                </c:pt>
                <c:pt idx="12">
                  <c:v>2.228709659665192</c:v>
                </c:pt>
                <c:pt idx="13">
                  <c:v>1.659014211931645</c:v>
                </c:pt>
                <c:pt idx="14">
                  <c:v>1.44086171118654</c:v>
                </c:pt>
                <c:pt idx="15">
                  <c:v>1.374419244069734</c:v>
                </c:pt>
                <c:pt idx="16">
                  <c:v>1.328311623268698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0440"/>
        <c:axId val="2092336040"/>
      </c:scatterChart>
      <c:valAx>
        <c:axId val="209233044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defRPr>
                </a:pPr>
                <a:r>
                  <a:rPr lang="en-US"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Calibri"/>
                  </a:rPr>
                  <a:t>Χρόνος (days)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one"/>
        <c:crossAx val="2092336040"/>
        <c:crosses val="autoZero"/>
        <c:crossBetween val="midCat"/>
      </c:valAx>
      <c:valAx>
        <c:axId val="2092336040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D0D0D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Ct=Co/(1+kt) (mg/L)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one"/>
        <c:crossAx val="2092330440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860943580857024"/>
          <c:y val="0.379729746172775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xVal>
            <c:numRef>
              <c:f>'Ψευδοδεύτερης τάξης'!$C$5:$C$21</c:f>
              <c:numCache>
                <c:formatCode>0.00E+00</c:formatCode>
                <c:ptCount val="17"/>
                <c:pt idx="0">
                  <c:v>0.0</c:v>
                </c:pt>
                <c:pt idx="1">
                  <c:v>0.041666667</c:v>
                </c:pt>
                <c:pt idx="2">
                  <c:v>0.083333333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'Ψευδοδεύτερης τάξης'!$D$5:$D$21</c:f>
              <c:numCache>
                <c:formatCode>General</c:formatCode>
                <c:ptCount val="17"/>
                <c:pt idx="0">
                  <c:v>0.0</c:v>
                </c:pt>
                <c:pt idx="1">
                  <c:v>0.0892219850107066</c:v>
                </c:pt>
                <c:pt idx="2">
                  <c:v>1.66666666</c:v>
                </c:pt>
                <c:pt idx="3">
                  <c:v>0.209731543624161</c:v>
                </c:pt>
                <c:pt idx="4">
                  <c:v>0.363372093023256</c:v>
                </c:pt>
                <c:pt idx="5">
                  <c:v>0.689655172413793</c:v>
                </c:pt>
                <c:pt idx="6">
                  <c:v>1.164144353899884</c:v>
                </c:pt>
                <c:pt idx="7">
                  <c:v>1.709401709401709</c:v>
                </c:pt>
                <c:pt idx="8">
                  <c:v>2.238805970149254</c:v>
                </c:pt>
                <c:pt idx="9">
                  <c:v>2.5</c:v>
                </c:pt>
                <c:pt idx="10">
                  <c:v>2.904564315352697</c:v>
                </c:pt>
                <c:pt idx="11">
                  <c:v>3.968253968253968</c:v>
                </c:pt>
                <c:pt idx="12">
                  <c:v>3.703703703703703</c:v>
                </c:pt>
                <c:pt idx="13">
                  <c:v>4.129793510324483</c:v>
                </c:pt>
                <c:pt idx="14">
                  <c:v>4.53257790368272</c:v>
                </c:pt>
                <c:pt idx="15">
                  <c:v>5.0561797752809</c:v>
                </c:pt>
                <c:pt idx="16">
                  <c:v>5.449591280653951</c:v>
                </c:pt>
              </c:numCache>
            </c:numRef>
          </c:yVal>
          <c:smooth val="1"/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xVal>
            <c:numRef>
              <c:f>'Ψευδοδεύτερης τάξης'!$C$5:$C$21</c:f>
              <c:numCache>
                <c:formatCode>0.00E+00</c:formatCode>
                <c:ptCount val="17"/>
                <c:pt idx="0">
                  <c:v>0.0</c:v>
                </c:pt>
                <c:pt idx="1">
                  <c:v>0.041666667</c:v>
                </c:pt>
                <c:pt idx="2">
                  <c:v>0.083333333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'Ψευδοδεύτερης τάξης'!$E$5:$E$21</c:f>
              <c:numCache>
                <c:formatCode>General</c:formatCode>
                <c:ptCount val="17"/>
                <c:pt idx="0">
                  <c:v>0.0</c:v>
                </c:pt>
                <c:pt idx="1">
                  <c:v>21.32061618285925</c:v>
                </c:pt>
                <c:pt idx="2">
                  <c:v>81.92028991918398</c:v>
                </c:pt>
                <c:pt idx="3">
                  <c:v>102.4581765723232</c:v>
                </c:pt>
                <c:pt idx="4">
                  <c:v>249.2278919906131</c:v>
                </c:pt>
                <c:pt idx="5">
                  <c:v>336.721651067475</c:v>
                </c:pt>
                <c:pt idx="6">
                  <c:v>506.2424759712009</c:v>
                </c:pt>
                <c:pt idx="7">
                  <c:v>779.2932433717213</c:v>
                </c:pt>
                <c:pt idx="8">
                  <c:v>833.667726721496</c:v>
                </c:pt>
                <c:pt idx="9">
                  <c:v>984.8836123639923</c:v>
                </c:pt>
                <c:pt idx="10">
                  <c:v>1026.153877051227</c:v>
                </c:pt>
                <c:pt idx="11">
                  <c:v>1166.250801068519</c:v>
                </c:pt>
                <c:pt idx="12">
                  <c:v>1208.295553119945</c:v>
                </c:pt>
                <c:pt idx="13">
                  <c:v>1294.15734180082</c:v>
                </c:pt>
                <c:pt idx="14">
                  <c:v>1478.667905051037</c:v>
                </c:pt>
                <c:pt idx="15">
                  <c:v>1636.125654450262</c:v>
                </c:pt>
                <c:pt idx="16">
                  <c:v>1832.774031791298</c:v>
                </c:pt>
              </c:numCache>
            </c:numRef>
          </c:yVal>
          <c:smooth val="1"/>
        </c:ser>
        <c:ser>
          <c:idx val="2"/>
          <c:order val="2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xVal>
            <c:numRef>
              <c:f>'Ψευδοδεύτερης τάξης'!$C$5:$C$21</c:f>
              <c:numCache>
                <c:formatCode>0.00E+00</c:formatCode>
                <c:ptCount val="17"/>
                <c:pt idx="0">
                  <c:v>0.0</c:v>
                </c:pt>
                <c:pt idx="1">
                  <c:v>0.041666667</c:v>
                </c:pt>
                <c:pt idx="2">
                  <c:v>0.083333333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'Ψευδοδεύτερης τάξης'!$F$5:$F$21</c:f>
              <c:numCache>
                <c:formatCode>General</c:formatCode>
                <c:ptCount val="17"/>
                <c:pt idx="0">
                  <c:v>0.0</c:v>
                </c:pt>
                <c:pt idx="1">
                  <c:v>487.9000819672131</c:v>
                </c:pt>
                <c:pt idx="2">
                  <c:v>599.5203812949641</c:v>
                </c:pt>
                <c:pt idx="3">
                  <c:v>925.9259259259259</c:v>
                </c:pt>
                <c:pt idx="4">
                  <c:v>1388.888888888889</c:v>
                </c:pt>
                <c:pt idx="5">
                  <c:v>2232.142857142857</c:v>
                </c:pt>
                <c:pt idx="6">
                  <c:v>3322.259136212624</c:v>
                </c:pt>
                <c:pt idx="7">
                  <c:v>1234.567901234568</c:v>
                </c:pt>
                <c:pt idx="8">
                  <c:v>1840.490797546012</c:v>
                </c:pt>
                <c:pt idx="9">
                  <c:v>3030.30303030303</c:v>
                </c:pt>
                <c:pt idx="10">
                  <c:v>3535.353535353535</c:v>
                </c:pt>
                <c:pt idx="11">
                  <c:v>5102.040816326531</c:v>
                </c:pt>
                <c:pt idx="12">
                  <c:v>4651.162790697674</c:v>
                </c:pt>
                <c:pt idx="13">
                  <c:v>5072.463768115942</c:v>
                </c:pt>
                <c:pt idx="14">
                  <c:v>5442.1768707483</c:v>
                </c:pt>
                <c:pt idx="15">
                  <c:v>5769.23076923077</c:v>
                </c:pt>
                <c:pt idx="16">
                  <c:v>6116.207951070337</c:v>
                </c:pt>
              </c:numCache>
            </c:numRef>
          </c:yVal>
          <c:smooth val="1"/>
        </c:ser>
        <c:ser>
          <c:idx val="3"/>
          <c:order val="3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xVal>
            <c:numRef>
              <c:f>'Ψευδοδεύτερης τάξης'!$C$5:$C$21</c:f>
              <c:numCache>
                <c:formatCode>0.00E+00</c:formatCode>
                <c:ptCount val="17"/>
                <c:pt idx="0">
                  <c:v>0.0</c:v>
                </c:pt>
                <c:pt idx="1">
                  <c:v>0.041666667</c:v>
                </c:pt>
                <c:pt idx="2">
                  <c:v>0.083333333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'Ψευδοδεύτερης τάξης'!$G$5:$G$21</c:f>
              <c:numCache>
                <c:formatCode>General</c:formatCode>
                <c:ptCount val="17"/>
                <c:pt idx="0">
                  <c:v>0.0</c:v>
                </c:pt>
                <c:pt idx="1">
                  <c:v>0.0383117105105878</c:v>
                </c:pt>
                <c:pt idx="2">
                  <c:v>0.100960538160055</c:v>
                </c:pt>
                <c:pt idx="3">
                  <c:v>0.11962981749275</c:v>
                </c:pt>
                <c:pt idx="4">
                  <c:v>0.244869974043783</c:v>
                </c:pt>
                <c:pt idx="5">
                  <c:v>0.425665954385636</c:v>
                </c:pt>
                <c:pt idx="6">
                  <c:v>0.892044744964407</c:v>
                </c:pt>
                <c:pt idx="7">
                  <c:v>1.324485768400418</c:v>
                </c:pt>
                <c:pt idx="8">
                  <c:v>1.51398926076951</c:v>
                </c:pt>
                <c:pt idx="9">
                  <c:v>1.83111280387317</c:v>
                </c:pt>
                <c:pt idx="10">
                  <c:v>2.352585323228419</c:v>
                </c:pt>
                <c:pt idx="11">
                  <c:v>2.925995716342271</c:v>
                </c:pt>
                <c:pt idx="12">
                  <c:v>2.987928767778176</c:v>
                </c:pt>
                <c:pt idx="13">
                  <c:v>3.391908360327271</c:v>
                </c:pt>
                <c:pt idx="14">
                  <c:v>3.787448396015605</c:v>
                </c:pt>
                <c:pt idx="15">
                  <c:v>3.914617835433815</c:v>
                </c:pt>
                <c:pt idx="16">
                  <c:v>4.269927752822422</c:v>
                </c:pt>
              </c:numCache>
            </c:numRef>
          </c:yVal>
          <c:smooth val="1"/>
        </c:ser>
        <c:ser>
          <c:idx val="4"/>
          <c:order val="4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xVal>
            <c:numRef>
              <c:f>'Ψευδοδεύτερης τάξης'!$C$5:$C$21</c:f>
              <c:numCache>
                <c:formatCode>0.00E+00</c:formatCode>
                <c:ptCount val="17"/>
                <c:pt idx="0">
                  <c:v>0.0</c:v>
                </c:pt>
                <c:pt idx="1">
                  <c:v>0.041666667</c:v>
                </c:pt>
                <c:pt idx="2">
                  <c:v>0.083333333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'Ψευδοδεύτερης τάξης'!$H$5:$H$21</c:f>
              <c:numCache>
                <c:formatCode>General</c:formatCode>
                <c:ptCount val="17"/>
                <c:pt idx="0">
                  <c:v>0.0</c:v>
                </c:pt>
                <c:pt idx="1">
                  <c:v>128.9989690402477</c:v>
                </c:pt>
                <c:pt idx="2">
                  <c:v>452.8985489130434</c:v>
                </c:pt>
                <c:pt idx="3">
                  <c:v>222.8163992869875</c:v>
                </c:pt>
                <c:pt idx="4">
                  <c:v>255.885363357216</c:v>
                </c:pt>
                <c:pt idx="5">
                  <c:v>274.7252747252747</c:v>
                </c:pt>
                <c:pt idx="6">
                  <c:v>392.156862745098</c:v>
                </c:pt>
                <c:pt idx="7">
                  <c:v>630.9148264984227</c:v>
                </c:pt>
                <c:pt idx="8">
                  <c:v>746.268656716418</c:v>
                </c:pt>
                <c:pt idx="9">
                  <c:v>892.8571428571429</c:v>
                </c:pt>
                <c:pt idx="10">
                  <c:v>942.1265141318977</c:v>
                </c:pt>
                <c:pt idx="11">
                  <c:v>1168.224299065421</c:v>
                </c:pt>
                <c:pt idx="12">
                  <c:v>1238.390092879257</c:v>
                </c:pt>
                <c:pt idx="13">
                  <c:v>1308.411214953271</c:v>
                </c:pt>
                <c:pt idx="14">
                  <c:v>1441.441441441441</c:v>
                </c:pt>
                <c:pt idx="15">
                  <c:v>1607.142857142857</c:v>
                </c:pt>
                <c:pt idx="16">
                  <c:v>1785.714285714286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54936"/>
        <c:axId val="2092459960"/>
      </c:scatterChart>
      <c:valAx>
        <c:axId val="2092454936"/>
        <c:scaling>
          <c:orientation val="minMax"/>
        </c:scaling>
        <c:delete val="1"/>
        <c:axPos val="b"/>
        <c:numFmt formatCode="0.00E+00" sourceLinked="0"/>
        <c:majorTickMark val="cross"/>
        <c:minorTickMark val="cross"/>
        <c:tickLblPos val="none"/>
        <c:crossAx val="2092459960"/>
        <c:crosses val="autoZero"/>
        <c:crossBetween val="midCat"/>
      </c:valAx>
      <c:valAx>
        <c:axId val="2092459960"/>
        <c:scaling>
          <c:orientation val="minMax"/>
        </c:scaling>
        <c:delete val="1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one"/>
        <c:crossAx val="2092454936"/>
        <c:crosses val="autoZero"/>
        <c:crossBetween val="midCat"/>
      </c:valAx>
      <c:spPr>
        <a:noFill/>
        <a:ln w="1260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712484178716712"/>
          <c:y val="0.305745880708498"/>
        </c:manualLayout>
      </c:layout>
      <c:overlay val="0"/>
      <c:spPr>
        <a:noFill/>
        <a:ln>
          <a:noFill/>
        </a:ln>
      </c:spPr>
    </c:legend>
    <c:plotVisOnly val="1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FA_NTX1'!$G$13:$G$28</c:f>
              <c:numCache>
                <c:formatCode>General</c:formatCode>
                <c:ptCount val="16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'Static FA_NTX1'!$H$34:$H$49</c:f>
              <c:numCache>
                <c:formatCode>0.000E+00</c:formatCode>
                <c:ptCount val="16"/>
                <c:pt idx="0">
                  <c:v>0.466680773643447</c:v>
                </c:pt>
                <c:pt idx="1">
                  <c:v>0.0499804374129096</c:v>
                </c:pt>
                <c:pt idx="2">
                  <c:v>0.596136928665569</c:v>
                </c:pt>
                <c:pt idx="3">
                  <c:v>0.688476792951497</c:v>
                </c:pt>
                <c:pt idx="4">
                  <c:v>0.724781354978445</c:v>
                </c:pt>
                <c:pt idx="5">
                  <c:v>0.859334401769163</c:v>
                </c:pt>
                <c:pt idx="6">
                  <c:v>1.174708197728744</c:v>
                </c:pt>
                <c:pt idx="7">
                  <c:v>1.336113898509283</c:v>
                </c:pt>
                <c:pt idx="8">
                  <c:v>2.000555704971559</c:v>
                </c:pt>
                <c:pt idx="9">
                  <c:v>2.410875000882337</c:v>
                </c:pt>
                <c:pt idx="10">
                  <c:v>2.515411407518265</c:v>
                </c:pt>
                <c:pt idx="11">
                  <c:v>3.236830879952097</c:v>
                </c:pt>
                <c:pt idx="12">
                  <c:v>3.38825930492575</c:v>
                </c:pt>
                <c:pt idx="13">
                  <c:v>3.53461545721647</c:v>
                </c:pt>
                <c:pt idx="14">
                  <c:v>3.559963326559159</c:v>
                </c:pt>
                <c:pt idx="15">
                  <c:v>3.665745367821259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57240"/>
        <c:axId val="2057164856"/>
      </c:scatterChart>
      <c:valAx>
        <c:axId val="205715724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t(h)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57164856"/>
        <c:crosses val="autoZero"/>
        <c:crossBetween val="midCat"/>
      </c:valAx>
      <c:valAx>
        <c:axId val="2057164856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minorGridlines>
          <c:spPr>
            <a:ln w="324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C*(mg/g)</a:t>
                </a:r>
              </a:p>
            </c:rich>
          </c:tx>
          <c:overlay val="0"/>
        </c:title>
        <c:numFmt formatCode="0.000E+00" sourceLinked="0"/>
        <c:majorTickMark val="cross"/>
        <c:minorTickMark val="cross"/>
        <c:tickLblPos val="none"/>
        <c:crossAx val="205715724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xVal>
            <c:numRef>
              <c:f>'Dynamic FA_SAND'!$C$32:$C$48</c:f>
              <c:numCache>
                <c:formatCode>General</c:formatCode>
                <c:ptCount val="17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12.0</c:v>
                </c:pt>
                <c:pt idx="13">
                  <c:v>14.0</c:v>
                </c:pt>
                <c:pt idx="14">
                  <c:v>16.0</c:v>
                </c:pt>
                <c:pt idx="15">
                  <c:v>18.0</c:v>
                </c:pt>
                <c:pt idx="16">
                  <c:v>20.0</c:v>
                </c:pt>
              </c:numCache>
            </c:numRef>
          </c:xVal>
          <c:yVal>
            <c:numRef>
              <c:f>'Dynamic FA_SAND'!$D$32:$D$48</c:f>
              <c:numCache>
                <c:formatCode>General</c:formatCode>
                <c:ptCount val="17"/>
                <c:pt idx="0">
                  <c:v>0.0</c:v>
                </c:pt>
                <c:pt idx="1">
                  <c:v>0.000145011374625001</c:v>
                </c:pt>
                <c:pt idx="2">
                  <c:v>0.000214981112125001</c:v>
                </c:pt>
                <c:pt idx="3">
                  <c:v>0.000258659630125</c:v>
                </c:pt>
                <c:pt idx="4">
                  <c:v>0.000507537998499999</c:v>
                </c:pt>
                <c:pt idx="5">
                  <c:v>0.000505478785499999</c:v>
                </c:pt>
                <c:pt idx="6">
                  <c:v>0.000882006607625</c:v>
                </c:pt>
                <c:pt idx="7">
                  <c:v>0.000941350371000001</c:v>
                </c:pt>
                <c:pt idx="8">
                  <c:v>0.00211200571075</c:v>
                </c:pt>
                <c:pt idx="9">
                  <c:v>0.0026816028785</c:v>
                </c:pt>
                <c:pt idx="10">
                  <c:v>0.003878661824375</c:v>
                </c:pt>
                <c:pt idx="11">
                  <c:v>0.004131422969375</c:v>
                </c:pt>
                <c:pt idx="12">
                  <c:v>0.004915627835625</c:v>
                </c:pt>
                <c:pt idx="13">
                  <c:v>0.00495187796025</c:v>
                </c:pt>
                <c:pt idx="14">
                  <c:v>0.004893868334875</c:v>
                </c:pt>
                <c:pt idx="15">
                  <c:v>0.0049409945845</c:v>
                </c:pt>
                <c:pt idx="16">
                  <c:v>0.005053377584125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07720"/>
        <c:axId val="2057212936"/>
      </c:scatterChart>
      <c:valAx>
        <c:axId val="205720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57212936"/>
        <c:crosses val="autoZero"/>
        <c:crossBetween val="midCat"/>
      </c:valAx>
      <c:valAx>
        <c:axId val="205721293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57207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FA_NTX1'!$G$13:$G$28</c:f>
              <c:numCache>
                <c:formatCode>General</c:formatCode>
                <c:ptCount val="16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'Static FA_NTX1'!$H$34:$H$49</c:f>
              <c:numCache>
                <c:formatCode>0.000E+00</c:formatCode>
                <c:ptCount val="16"/>
                <c:pt idx="0">
                  <c:v>0.466680773643447</c:v>
                </c:pt>
                <c:pt idx="1">
                  <c:v>0.0499804374129096</c:v>
                </c:pt>
                <c:pt idx="2">
                  <c:v>0.596136928665569</c:v>
                </c:pt>
                <c:pt idx="3">
                  <c:v>0.688476792951497</c:v>
                </c:pt>
                <c:pt idx="4">
                  <c:v>0.724781354978445</c:v>
                </c:pt>
                <c:pt idx="5">
                  <c:v>0.859334401769163</c:v>
                </c:pt>
                <c:pt idx="6">
                  <c:v>1.174708197728744</c:v>
                </c:pt>
                <c:pt idx="7">
                  <c:v>1.336113898509283</c:v>
                </c:pt>
                <c:pt idx="8">
                  <c:v>2.000555704971559</c:v>
                </c:pt>
                <c:pt idx="9">
                  <c:v>2.410875000882337</c:v>
                </c:pt>
                <c:pt idx="10">
                  <c:v>2.515411407518265</c:v>
                </c:pt>
                <c:pt idx="11">
                  <c:v>3.236830879952097</c:v>
                </c:pt>
                <c:pt idx="12">
                  <c:v>3.38825930492575</c:v>
                </c:pt>
                <c:pt idx="13">
                  <c:v>3.53461545721647</c:v>
                </c:pt>
                <c:pt idx="14">
                  <c:v>3.559963326559159</c:v>
                </c:pt>
                <c:pt idx="15">
                  <c:v>3.665745367821259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39448"/>
        <c:axId val="2057246968"/>
      </c:scatterChart>
      <c:valAx>
        <c:axId val="205723944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t(h)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one"/>
        <c:crossAx val="2057246968"/>
        <c:crosses val="autoZero"/>
        <c:crossBetween val="midCat"/>
      </c:valAx>
      <c:valAx>
        <c:axId val="2057246968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minorGridlines>
          <c:spPr>
            <a:ln w="324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C*(mg/g)</a:t>
                </a:r>
              </a:p>
            </c:rich>
          </c:tx>
          <c:layout/>
          <c:overlay val="0"/>
        </c:title>
        <c:numFmt formatCode="0.000E+00" sourceLinked="0"/>
        <c:majorTickMark val="cross"/>
        <c:minorTickMark val="cross"/>
        <c:tickLblPos val="none"/>
        <c:crossAx val="2057239448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47164716472"/>
          <c:y val="0.202633980962316"/>
          <c:w val="0.793991899189919"/>
          <c:h val="0.592645716521059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FA_SAND'!$G$13:$G$28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  <c:pt idx="6">
                  <c:v>48.0</c:v>
                </c:pt>
                <c:pt idx="7">
                  <c:v>72.0</c:v>
                </c:pt>
                <c:pt idx="8">
                  <c:v>120.0</c:v>
                </c:pt>
                <c:pt idx="9">
                  <c:v>168.0</c:v>
                </c:pt>
                <c:pt idx="10">
                  <c:v>240.0</c:v>
                </c:pt>
                <c:pt idx="11">
                  <c:v>288.0</c:v>
                </c:pt>
                <c:pt idx="12">
                  <c:v>336.0</c:v>
                </c:pt>
                <c:pt idx="13">
                  <c:v>384.0</c:v>
                </c:pt>
                <c:pt idx="14">
                  <c:v>432.0</c:v>
                </c:pt>
                <c:pt idx="15">
                  <c:v>480.0</c:v>
                </c:pt>
              </c:numCache>
            </c:numRef>
          </c:xVal>
          <c:yVal>
            <c:numRef>
              <c:f>'Static FA_SAND'!$H$13:$H$28</c:f>
              <c:numCache>
                <c:formatCode>0.0000</c:formatCode>
                <c:ptCount val="16"/>
                <c:pt idx="0">
                  <c:v>0.994002009557786</c:v>
                </c:pt>
                <c:pt idx="1">
                  <c:v>0.990267844157234</c:v>
                </c:pt>
                <c:pt idx="2">
                  <c:v>0.99051587178272</c:v>
                </c:pt>
                <c:pt idx="3">
                  <c:v>0.987387260482175</c:v>
                </c:pt>
                <c:pt idx="4">
                  <c:v>0.984243879569435</c:v>
                </c:pt>
                <c:pt idx="5">
                  <c:v>0.97886188381516</c:v>
                </c:pt>
                <c:pt idx="6">
                  <c:v>0.886389087211822</c:v>
                </c:pt>
                <c:pt idx="7">
                  <c:v>0.885279583757771</c:v>
                </c:pt>
                <c:pt idx="8">
                  <c:v>0.883748127762209</c:v>
                </c:pt>
                <c:pt idx="9">
                  <c:v>0.860867706635294</c:v>
                </c:pt>
                <c:pt idx="10">
                  <c:v>0.862642861232079</c:v>
                </c:pt>
                <c:pt idx="11">
                  <c:v>0.8188119998546</c:v>
                </c:pt>
                <c:pt idx="12">
                  <c:v>0.806117008875757</c:v>
                </c:pt>
                <c:pt idx="13">
                  <c:v>0.793422017896913</c:v>
                </c:pt>
                <c:pt idx="14">
                  <c:v>0.780803421463908</c:v>
                </c:pt>
                <c:pt idx="15">
                  <c:v>0.770306556217305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31496"/>
        <c:axId val="2091839064"/>
      </c:scatterChart>
      <c:valAx>
        <c:axId val="209183149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t(days)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91839064"/>
        <c:crosses val="autoZero"/>
        <c:crossBetween val="midCat"/>
      </c:valAx>
      <c:valAx>
        <c:axId val="2091839064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C/Co</a:t>
                </a:r>
              </a:p>
            </c:rich>
          </c:tx>
          <c:overlay val="0"/>
        </c:title>
        <c:numFmt formatCode="0.0000" sourceLinked="0"/>
        <c:majorTickMark val="cross"/>
        <c:minorTickMark val="cross"/>
        <c:tickLblPos val="none"/>
        <c:crossAx val="209183149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1627701808558"/>
          <c:y val="0.147851819377466"/>
          <c:w val="0.868636965152184"/>
          <c:h val="0.645988601490574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FA_SAND'!$G$13:$G$28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  <c:pt idx="6">
                  <c:v>48.0</c:v>
                </c:pt>
                <c:pt idx="7">
                  <c:v>72.0</c:v>
                </c:pt>
                <c:pt idx="8">
                  <c:v>120.0</c:v>
                </c:pt>
                <c:pt idx="9">
                  <c:v>168.0</c:v>
                </c:pt>
                <c:pt idx="10">
                  <c:v>240.0</c:v>
                </c:pt>
                <c:pt idx="11">
                  <c:v>288.0</c:v>
                </c:pt>
                <c:pt idx="12">
                  <c:v>336.0</c:v>
                </c:pt>
                <c:pt idx="13">
                  <c:v>384.0</c:v>
                </c:pt>
                <c:pt idx="14">
                  <c:v>432.0</c:v>
                </c:pt>
                <c:pt idx="15">
                  <c:v>480.0</c:v>
                </c:pt>
              </c:numCache>
            </c:numRef>
          </c:xVal>
          <c:yVal>
            <c:numRef>
              <c:f>'Static FA_SAND'!$H$36:$H$51</c:f>
              <c:numCache>
                <c:formatCode>0.000E+00</c:formatCode>
                <c:ptCount val="16"/>
                <c:pt idx="0">
                  <c:v>8.5390956724687E-5</c:v>
                </c:pt>
                <c:pt idx="1">
                  <c:v>0.000138553972723221</c:v>
                </c:pt>
                <c:pt idx="2">
                  <c:v>0.000135018718693362</c:v>
                </c:pt>
                <c:pt idx="3">
                  <c:v>0.000179560088177383</c:v>
                </c:pt>
                <c:pt idx="4">
                  <c:v>0.000224309551050387</c:v>
                </c:pt>
                <c:pt idx="5">
                  <c:v>0.000300928171518022</c:v>
                </c:pt>
                <c:pt idx="6">
                  <c:v>0.0016173969312535</c:v>
                </c:pt>
                <c:pt idx="7">
                  <c:v>0.00163319213470498</c:v>
                </c:pt>
                <c:pt idx="8">
                  <c:v>0.00165498709922666</c:v>
                </c:pt>
                <c:pt idx="9">
                  <c:v>0.00198077872540634</c:v>
                </c:pt>
                <c:pt idx="10">
                  <c:v>0.00195548067261815</c:v>
                </c:pt>
                <c:pt idx="11">
                  <c:v>0.00257944336704267</c:v>
                </c:pt>
                <c:pt idx="12">
                  <c:v>0.00276019709541801</c:v>
                </c:pt>
                <c:pt idx="13">
                  <c:v>0.002940915222541</c:v>
                </c:pt>
                <c:pt idx="14">
                  <c:v>0.00312057161844165</c:v>
                </c:pt>
                <c:pt idx="15">
                  <c:v>0.00327000926016908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72840"/>
        <c:axId val="2091880360"/>
      </c:scatterChart>
      <c:valAx>
        <c:axId val="2091872840"/>
        <c:scaling>
          <c:orientation val="minMax"/>
          <c:max val="480.0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t(days)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91880360"/>
        <c:crosses val="autoZero"/>
        <c:crossBetween val="midCat"/>
      </c:valAx>
      <c:valAx>
        <c:axId val="2091880360"/>
        <c:scaling>
          <c:orientation val="minMax"/>
          <c:max val="0.005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minorGridlines>
          <c:spPr>
            <a:ln w="324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C*(mg/g)</a:t>
                </a:r>
              </a:p>
            </c:rich>
          </c:tx>
          <c:overlay val="0"/>
        </c:title>
        <c:numFmt formatCode="0.000E+00" sourceLinked="0"/>
        <c:majorTickMark val="cross"/>
        <c:minorTickMark val="cross"/>
        <c:tickLblPos val="none"/>
        <c:crossAx val="209187284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13462429352"/>
          <c:y val="0.175124378109453"/>
          <c:w val="0.774483461502826"/>
          <c:h val="0.61480099502487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FA_NTX1_SAND'!$G$13:$G$28</c:f>
              <c:numCache>
                <c:formatCode>General</c:formatCode>
                <c:ptCount val="16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'Static FA_NTX1_SAND'!$H$13:$H$28</c:f>
              <c:numCache>
                <c:formatCode>0.0000</c:formatCode>
                <c:ptCount val="16"/>
                <c:pt idx="0">
                  <c:v>0.863258855920018</c:v>
                </c:pt>
                <c:pt idx="1">
                  <c:v>0.928820655158038</c:v>
                </c:pt>
                <c:pt idx="2">
                  <c:v>0.914638262371733</c:v>
                </c:pt>
                <c:pt idx="3">
                  <c:v>0.929813529605444</c:v>
                </c:pt>
                <c:pt idx="4">
                  <c:v>0.896099597933268</c:v>
                </c:pt>
                <c:pt idx="5">
                  <c:v>0.861788770209612</c:v>
                </c:pt>
                <c:pt idx="6">
                  <c:v>0.820434620008196</c:v>
                </c:pt>
                <c:pt idx="7">
                  <c:v>0.748219619773159</c:v>
                </c:pt>
                <c:pt idx="8">
                  <c:v>0.644800503345206</c:v>
                </c:pt>
                <c:pt idx="9">
                  <c:v>0.522693243817432</c:v>
                </c:pt>
                <c:pt idx="10">
                  <c:v>0.400062427002182</c:v>
                </c:pt>
                <c:pt idx="11">
                  <c:v>0.305129980671352</c:v>
                </c:pt>
                <c:pt idx="12">
                  <c:v>0.243103721014707</c:v>
                </c:pt>
                <c:pt idx="13">
                  <c:v>0.242918082268321</c:v>
                </c:pt>
                <c:pt idx="14">
                  <c:v>0.230250593325979</c:v>
                </c:pt>
                <c:pt idx="15">
                  <c:v>0.23648668010272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74456"/>
        <c:axId val="2090967096"/>
      </c:scatterChart>
      <c:valAx>
        <c:axId val="209097445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t(h)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one"/>
        <c:crossAx val="2090967096"/>
        <c:crosses val="autoZero"/>
        <c:crossBetween val="midCat"/>
      </c:valAx>
      <c:valAx>
        <c:axId val="2090967096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C/Co</a:t>
                </a:r>
              </a:p>
            </c:rich>
          </c:tx>
          <c:overlay val="0"/>
        </c:title>
        <c:numFmt formatCode="0.0000" sourceLinked="0"/>
        <c:majorTickMark val="cross"/>
        <c:minorTickMark val="cross"/>
        <c:tickLblPos val="none"/>
        <c:crossAx val="209097445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'Static FA_NTX1_SAND'!$G$13:$G$28</c:f>
              <c:numCache>
                <c:formatCode>General</c:formatCode>
                <c:ptCount val="16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'Static FA_NTX1_SAND'!$H$36:$H$51</c:f>
              <c:numCache>
                <c:formatCode>0.00000E+00</c:formatCode>
                <c:ptCount val="16"/>
                <c:pt idx="0">
                  <c:v>0.00195429035688034</c:v>
                </c:pt>
                <c:pt idx="1">
                  <c:v>0.00101724911552497</c:v>
                </c:pt>
                <c:pt idx="2">
                  <c:v>0.00122000977346818</c:v>
                </c:pt>
                <c:pt idx="3">
                  <c:v>0.00100309781081924</c:v>
                </c:pt>
                <c:pt idx="4">
                  <c:v>0.00148490556732058</c:v>
                </c:pt>
                <c:pt idx="5">
                  <c:v>0.00197533829536615</c:v>
                </c:pt>
                <c:pt idx="6">
                  <c:v>0.00256642769315589</c:v>
                </c:pt>
                <c:pt idx="7">
                  <c:v>0.00359855636112583</c:v>
                </c:pt>
                <c:pt idx="8">
                  <c:v>0.00507674239162627</c:v>
                </c:pt>
                <c:pt idx="9">
                  <c:v>0.00682158902001657</c:v>
                </c:pt>
                <c:pt idx="10">
                  <c:v>0.00857448481118059</c:v>
                </c:pt>
                <c:pt idx="11">
                  <c:v>0.00993134542399302</c:v>
                </c:pt>
                <c:pt idx="12">
                  <c:v>0.0108178482128219</c:v>
                </c:pt>
                <c:pt idx="13">
                  <c:v>0.0108205490375864</c:v>
                </c:pt>
                <c:pt idx="14">
                  <c:v>0.0110015983825428</c:v>
                </c:pt>
                <c:pt idx="15">
                  <c:v>0.010912421467033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38344"/>
        <c:axId val="2090930888"/>
      </c:scatterChart>
      <c:valAx>
        <c:axId val="2090938344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t(h)</a:t>
                </a:r>
              </a:p>
            </c:rich>
          </c:tx>
          <c:layout>
            <c:manualLayout>
              <c:xMode val="edge"/>
              <c:yMode val="edge"/>
              <c:x val="0.514378478664193"/>
              <c:y val="0.902095375722543"/>
            </c:manualLayout>
          </c:layout>
          <c:overlay val="0"/>
        </c:title>
        <c:numFmt formatCode="General" sourceLinked="0"/>
        <c:majorTickMark val="cross"/>
        <c:minorTickMark val="cross"/>
        <c:tickLblPos val="none"/>
        <c:crossAx val="2090930888"/>
        <c:crosses val="autoZero"/>
        <c:crossBetween val="midCat"/>
      </c:valAx>
      <c:valAx>
        <c:axId val="2090930888"/>
        <c:scaling>
          <c:orientation val="minMax"/>
        </c:scaling>
        <c:delete val="1"/>
        <c:axPos val="l"/>
        <c:majorGridlines>
          <c:spPr>
            <a:ln w="3240">
              <a:solidFill>
                <a:srgbClr val="D9D9D9"/>
              </a:solidFill>
              <a:round/>
            </a:ln>
          </c:spPr>
        </c:majorGridlines>
        <c:minorGridlines>
          <c:spPr>
            <a:ln w="324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  <a:ea typeface="Calibri"/>
                  </a:rPr>
                  <a:t>C*(mg/g)</a:t>
                </a:r>
              </a:p>
            </c:rich>
          </c:tx>
          <c:overlay val="0"/>
        </c:title>
        <c:numFmt formatCode="0.00000E+00" sourceLinked="0"/>
        <c:majorTickMark val="cross"/>
        <c:minorTickMark val="cross"/>
        <c:tickLblPos val="none"/>
        <c:crossAx val="2090938344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  <c:showDLblsOverMax val="0"/>
  </c:chart>
  <c:spPr>
    <a:solidFill>
      <a:srgbClr val="FFFFFF"/>
    </a:solidFill>
    <a:ln w="324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9861304603573"/>
          <c:y val="0.0610578629747959"/>
          <c:w val="0.853781616668216"/>
          <c:h val="0.832800851970181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CCFF"/>
              </a:solidFill>
            </c:spPr>
          </c:marker>
          <c:xVal>
            <c:numRef>
              <c:f>Dynamic_FA_SAND_NTX1!$G$15:$G$30</c:f>
              <c:numCache>
                <c:formatCode>General</c:formatCode>
                <c:ptCount val="16"/>
                <c:pt idx="0">
                  <c:v>0.0416666666666667</c:v>
                </c:pt>
                <c:pt idx="1">
                  <c:v>0.0833333333333333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</c:numCache>
            </c:numRef>
          </c:xVal>
          <c:yVal>
            <c:numRef>
              <c:f>Dynamic_FA_SAND_NTX1!$H$15:$H$30</c:f>
              <c:numCache>
                <c:formatCode>General</c:formatCode>
                <c:ptCount val="16"/>
                <c:pt idx="0">
                  <c:v>0.977369389037975</c:v>
                </c:pt>
                <c:pt idx="1">
                  <c:v>0.987132357347563</c:v>
                </c:pt>
                <c:pt idx="2">
                  <c:v>0.960776748330486</c:v>
                </c:pt>
                <c:pt idx="3">
                  <c:v>0.931636048820648</c:v>
                </c:pt>
                <c:pt idx="4">
                  <c:v>0.872882786156181</c:v>
                </c:pt>
                <c:pt idx="5">
                  <c:v>0.821352373152194</c:v>
                </c:pt>
                <c:pt idx="6">
                  <c:v>0.77795568744356</c:v>
                </c:pt>
                <c:pt idx="7">
                  <c:v>0.718949304183883</c:v>
                </c:pt>
                <c:pt idx="8">
                  <c:v>0.608236800464793</c:v>
                </c:pt>
                <c:pt idx="9">
                  <c:v>0.480193430076934</c:v>
                </c:pt>
                <c:pt idx="10">
                  <c:v>0.401004371752362</c:v>
                </c:pt>
                <c:pt idx="11">
                  <c:v>0.322155778453742</c:v>
                </c:pt>
                <c:pt idx="12">
                  <c:v>0.248215025428229</c:v>
                </c:pt>
                <c:pt idx="13">
                  <c:v>0.222878010355657</c:v>
                </c:pt>
                <c:pt idx="14">
                  <c:v>0.219565797496615</c:v>
                </c:pt>
                <c:pt idx="15">
                  <c:v>0.218931722766161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96440"/>
        <c:axId val="2090891848"/>
      </c:scatterChart>
      <c:valAx>
        <c:axId val="2090896440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one"/>
        <c:crossAx val="2090891848"/>
        <c:crosses val="autoZero"/>
        <c:crossBetween val="midCat"/>
      </c:valAx>
      <c:valAx>
        <c:axId val="2090891848"/>
        <c:scaling>
          <c:orientation val="minMax"/>
        </c:scaling>
        <c:delete val="1"/>
        <c:axPos val="l"/>
        <c:majorGridlines>
          <c:spPr>
            <a:ln w="3240">
              <a:solidFill>
                <a:srgbClr val="0D0D0D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one"/>
        <c:crossAx val="2090896440"/>
        <c:crosses val="autoZero"/>
        <c:crossBetween val="midCat"/>
      </c:valAx>
      <c:spPr>
        <a:solidFill>
          <a:srgbClr val="0066CC"/>
        </a:solidFill>
        <a:ln w="3240">
          <a:solidFill>
            <a:srgbClr val="D0CECE"/>
          </a:solidFill>
          <a:round/>
        </a:ln>
      </c:spPr>
    </c:plotArea>
    <c:legend>
      <c:legendPos val="r"/>
      <c:layout>
        <c:manualLayout>
          <c:xMode val="edge"/>
          <c:yMode val="edge"/>
          <c:x val="0.922772501262907"/>
          <c:y val="0.445948137365443"/>
        </c:manualLayout>
      </c:layout>
      <c:overlay val="0"/>
      <c:spPr>
        <a:solidFill>
          <a:srgbClr val="FFFFFF"/>
        </a:solidFill>
        <a:ln w="3240">
          <a:solidFill>
            <a:srgbClr val="0D0D0D"/>
          </a:solidFill>
          <a:round/>
        </a:ln>
      </c:spPr>
    </c:legend>
    <c:plotVisOnly val="1"/>
    <c:dispBlanksAs val="gap"/>
    <c:showDLblsOverMax val="0"/>
  </c:chart>
  <c:spPr>
    <a:solidFill>
      <a:srgbClr val="FFFFFF"/>
    </a:solidFill>
    <a:ln w="3240">
      <a:solidFill>
        <a:srgbClr val="0D0D0D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419040</xdr:colOff>
      <xdr:row>12</xdr:row>
      <xdr:rowOff>123840</xdr:rowOff>
    </xdr:from>
    <xdr:to>
      <xdr:col>16</xdr:col>
      <xdr:colOff>417240</xdr:colOff>
      <xdr:row>27</xdr:row>
      <xdr:rowOff>26640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428760</xdr:colOff>
      <xdr:row>30</xdr:row>
      <xdr:rowOff>171360</xdr:rowOff>
    </xdr:from>
    <xdr:to>
      <xdr:col>16</xdr:col>
      <xdr:colOff>541440</xdr:colOff>
      <xdr:row>45</xdr:row>
      <xdr:rowOff>169560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37800</xdr:colOff>
      <xdr:row>21</xdr:row>
      <xdr:rowOff>63000</xdr:rowOff>
    </xdr:from>
    <xdr:to>
      <xdr:col>16</xdr:col>
      <xdr:colOff>104400</xdr:colOff>
      <xdr:row>40</xdr:row>
      <xdr:rowOff>22320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3240</xdr:colOff>
      <xdr:row>42</xdr:row>
      <xdr:rowOff>153000</xdr:rowOff>
    </xdr:from>
    <xdr:to>
      <xdr:col>14</xdr:col>
      <xdr:colOff>522360</xdr:colOff>
      <xdr:row>64</xdr:row>
      <xdr:rowOff>65520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447840</xdr:colOff>
      <xdr:row>10</xdr:row>
      <xdr:rowOff>114480</xdr:rowOff>
    </xdr:from>
    <xdr:to>
      <xdr:col>15</xdr:col>
      <xdr:colOff>84240</xdr:colOff>
      <xdr:row>25</xdr:row>
      <xdr:rowOff>17280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181080</xdr:colOff>
      <xdr:row>33</xdr:row>
      <xdr:rowOff>85680</xdr:rowOff>
    </xdr:from>
    <xdr:to>
      <xdr:col>17</xdr:col>
      <xdr:colOff>55440</xdr:colOff>
      <xdr:row>50</xdr:row>
      <xdr:rowOff>131400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561960</xdr:colOff>
      <xdr:row>11</xdr:row>
      <xdr:rowOff>38160</xdr:rowOff>
    </xdr:from>
    <xdr:to>
      <xdr:col>13</xdr:col>
      <xdr:colOff>512640</xdr:colOff>
      <xdr:row>26</xdr:row>
      <xdr:rowOff>74520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36</xdr:row>
      <xdr:rowOff>181080</xdr:rowOff>
    </xdr:from>
    <xdr:to>
      <xdr:col>16</xdr:col>
      <xdr:colOff>322200</xdr:colOff>
      <xdr:row>52</xdr:row>
      <xdr:rowOff>122040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324000</xdr:colOff>
      <xdr:row>34</xdr:row>
      <xdr:rowOff>181080</xdr:rowOff>
    </xdr:from>
    <xdr:to>
      <xdr:col>21</xdr:col>
      <xdr:colOff>303120</xdr:colOff>
      <xdr:row>56</xdr:row>
      <xdr:rowOff>46080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314280</xdr:colOff>
      <xdr:row>5</xdr:row>
      <xdr:rowOff>47520</xdr:rowOff>
    </xdr:from>
    <xdr:to>
      <xdr:col>28</xdr:col>
      <xdr:colOff>102960</xdr:colOff>
      <xdr:row>26</xdr:row>
      <xdr:rowOff>93240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104760</xdr:colOff>
      <xdr:row>30</xdr:row>
      <xdr:rowOff>85680</xdr:rowOff>
    </xdr:from>
    <xdr:to>
      <xdr:col>28</xdr:col>
      <xdr:colOff>502920</xdr:colOff>
      <xdr:row>53</xdr:row>
      <xdr:rowOff>188640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162000</xdr:colOff>
      <xdr:row>71</xdr:row>
      <xdr:rowOff>114480</xdr:rowOff>
    </xdr:from>
    <xdr:to>
      <xdr:col>26</xdr:col>
      <xdr:colOff>560160</xdr:colOff>
      <xdr:row>92</xdr:row>
      <xdr:rowOff>169920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571680</xdr:colOff>
      <xdr:row>99</xdr:row>
      <xdr:rowOff>9360</xdr:rowOff>
    </xdr:from>
    <xdr:to>
      <xdr:col>27</xdr:col>
      <xdr:colOff>360360</xdr:colOff>
      <xdr:row>120</xdr:row>
      <xdr:rowOff>64800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142920</xdr:colOff>
      <xdr:row>0</xdr:row>
      <xdr:rowOff>0</xdr:rowOff>
    </xdr:from>
    <xdr:to>
      <xdr:col>11</xdr:col>
      <xdr:colOff>102960</xdr:colOff>
      <xdr:row>21</xdr:row>
      <xdr:rowOff>36360</xdr:rowOff>
    </xdr:to>
    <xdr:graphicFrame macro="">
      <xdr:nvGraphicFramePr>
        <xdr:cNvPr id="1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34</xdr:row>
      <xdr:rowOff>0</xdr:rowOff>
    </xdr:from>
    <xdr:to>
      <xdr:col>11</xdr:col>
      <xdr:colOff>455400</xdr:colOff>
      <xdr:row>54</xdr:row>
      <xdr:rowOff>45720</xdr:rowOff>
    </xdr:to>
    <xdr:graphicFrame macro="">
      <xdr:nvGraphicFramePr>
        <xdr:cNvPr id="1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56</xdr:row>
      <xdr:rowOff>0</xdr:rowOff>
    </xdr:from>
    <xdr:to>
      <xdr:col>13</xdr:col>
      <xdr:colOff>483840</xdr:colOff>
      <xdr:row>77</xdr:row>
      <xdr:rowOff>112680</xdr:rowOff>
    </xdr:to>
    <xdr:graphicFrame macro="">
      <xdr:nvGraphicFramePr>
        <xdr:cNvPr id="1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409680</xdr:colOff>
      <xdr:row>83</xdr:row>
      <xdr:rowOff>0</xdr:rowOff>
    </xdr:from>
    <xdr:to>
      <xdr:col>15</xdr:col>
      <xdr:colOff>93600</xdr:colOff>
      <xdr:row>104</xdr:row>
      <xdr:rowOff>7560</xdr:rowOff>
    </xdr:to>
    <xdr:graphicFrame macro="">
      <xdr:nvGraphicFramePr>
        <xdr:cNvPr id="1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85680</xdr:colOff>
      <xdr:row>7</xdr:row>
      <xdr:rowOff>38160</xdr:rowOff>
    </xdr:from>
    <xdr:to>
      <xdr:col>23</xdr:col>
      <xdr:colOff>150480</xdr:colOff>
      <xdr:row>25</xdr:row>
      <xdr:rowOff>122040</xdr:rowOff>
    </xdr:to>
    <xdr:graphicFrame macro="">
      <xdr:nvGraphicFramePr>
        <xdr:cNvPr id="19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5747" displayName="Table5747" ref="G13:H25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57475" displayName="Table57475" ref="G13:H25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576" displayName="Table576" ref="G13:H25" headerRowCount="0" totalsRowShown="0"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="85" zoomScaleNormal="85" zoomScalePageLayoutView="85" workbookViewId="0">
      <selection activeCell="A36" sqref="A36"/>
    </sheetView>
  </sheetViews>
  <sheetFormatPr baseColWidth="10" defaultColWidth="8.83203125" defaultRowHeight="14" x14ac:dyDescent="0"/>
  <sheetData>
    <row r="2" spans="1:8">
      <c r="B2" s="1" t="s">
        <v>0</v>
      </c>
      <c r="C2" s="1" t="s">
        <v>1</v>
      </c>
      <c r="D2" s="1" t="s">
        <v>2</v>
      </c>
      <c r="E2" s="1" t="s">
        <v>3</v>
      </c>
      <c r="F2" s="1" t="s">
        <v>1</v>
      </c>
    </row>
    <row r="3" spans="1:8">
      <c r="A3" s="1" t="s">
        <v>4</v>
      </c>
      <c r="B3" s="1">
        <v>1</v>
      </c>
      <c r="C3" s="1" t="s">
        <v>5</v>
      </c>
      <c r="D3" s="1">
        <v>50</v>
      </c>
      <c r="E3" s="1">
        <f>B3*D3</f>
        <v>50</v>
      </c>
      <c r="F3" s="1" t="s">
        <v>5</v>
      </c>
    </row>
    <row r="4" spans="1:8">
      <c r="A4" s="1" t="s">
        <v>6</v>
      </c>
      <c r="B4" s="1">
        <v>20</v>
      </c>
      <c r="C4" s="1" t="s">
        <v>7</v>
      </c>
      <c r="D4" s="1">
        <v>25</v>
      </c>
      <c r="E4" s="1">
        <f>B4*D4</f>
        <v>500</v>
      </c>
      <c r="F4" s="1" t="s">
        <v>7</v>
      </c>
    </row>
    <row r="5" spans="1:8">
      <c r="A5" s="1" t="s">
        <v>8</v>
      </c>
      <c r="B5" s="1">
        <v>20</v>
      </c>
      <c r="C5" s="1" t="s">
        <v>5</v>
      </c>
      <c r="D5" s="1">
        <v>50</v>
      </c>
      <c r="E5" s="1">
        <f>B5*D5</f>
        <v>1000</v>
      </c>
      <c r="F5" s="1" t="s">
        <v>5</v>
      </c>
    </row>
    <row r="6" spans="1:8">
      <c r="E6" s="2">
        <f>SUM(E3:E5)</f>
        <v>1550</v>
      </c>
      <c r="F6" s="1" t="s">
        <v>5</v>
      </c>
    </row>
    <row r="7" spans="1:8">
      <c r="A7" s="3" t="s">
        <v>9</v>
      </c>
      <c r="B7" s="4">
        <v>10</v>
      </c>
      <c r="C7" t="s">
        <v>10</v>
      </c>
      <c r="H7" t="s">
        <v>11</v>
      </c>
    </row>
    <row r="8" spans="1:8">
      <c r="A8" s="3" t="s">
        <v>12</v>
      </c>
      <c r="B8">
        <v>20</v>
      </c>
      <c r="C8" t="s">
        <v>13</v>
      </c>
    </row>
    <row r="9" spans="1:8">
      <c r="B9">
        <f>20*10^(-3)</f>
        <v>0.02</v>
      </c>
      <c r="C9" t="s">
        <v>14</v>
      </c>
    </row>
    <row r="11" spans="1:8">
      <c r="A11" s="5" t="s">
        <v>15</v>
      </c>
      <c r="G11" s="6"/>
    </row>
    <row r="12" spans="1:8">
      <c r="A12" s="1">
        <v>50</v>
      </c>
      <c r="B12" s="1" t="s">
        <v>16</v>
      </c>
      <c r="C12" s="1">
        <v>5.1500000000000001E-3</v>
      </c>
      <c r="D12" s="1" t="s">
        <v>17</v>
      </c>
    </row>
    <row r="13" spans="1:8">
      <c r="A13" s="1">
        <v>1000</v>
      </c>
      <c r="B13" s="1" t="s">
        <v>16</v>
      </c>
      <c r="C13" s="7">
        <f>(A13*C12)/A12</f>
        <v>0.10300000000000001</v>
      </c>
      <c r="D13" s="1" t="s">
        <v>17</v>
      </c>
    </row>
    <row r="14" spans="1:8">
      <c r="A14" t="s">
        <v>11</v>
      </c>
    </row>
    <row r="15" spans="1:8">
      <c r="A15" s="5" t="s">
        <v>18</v>
      </c>
    </row>
    <row r="16" spans="1:8">
      <c r="A16" s="1" t="s">
        <v>19</v>
      </c>
      <c r="B16" s="1">
        <v>10</v>
      </c>
      <c r="C16" s="1" t="s">
        <v>10</v>
      </c>
    </row>
    <row r="17" spans="1:4">
      <c r="A17" s="1" t="s">
        <v>20</v>
      </c>
      <c r="B17" s="1">
        <v>1000</v>
      </c>
      <c r="C17" s="1" t="s">
        <v>10</v>
      </c>
    </row>
    <row r="18" spans="1:4">
      <c r="A18" s="1" t="s">
        <v>21</v>
      </c>
      <c r="B18" s="1">
        <v>50</v>
      </c>
      <c r="C18" s="1" t="s">
        <v>5</v>
      </c>
      <c r="D18" t="s">
        <v>22</v>
      </c>
    </row>
    <row r="19" spans="1:4">
      <c r="A19" s="8" t="s">
        <v>23</v>
      </c>
      <c r="B19" s="1">
        <f>(B16*B18)/B17</f>
        <v>0.5</v>
      </c>
      <c r="C19" s="1" t="s">
        <v>5</v>
      </c>
    </row>
    <row r="21" spans="1:4">
      <c r="A21" s="9" t="s">
        <v>24</v>
      </c>
      <c r="B21" s="1"/>
      <c r="C21" s="1"/>
      <c r="D21" s="1"/>
    </row>
    <row r="22" spans="1:4">
      <c r="A22" s="1">
        <v>1000</v>
      </c>
      <c r="B22" s="1" t="s">
        <v>25</v>
      </c>
      <c r="C22" s="1">
        <f>A22/1000</f>
        <v>1</v>
      </c>
      <c r="D22" s="1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05"/>
  <sheetViews>
    <sheetView topLeftCell="A94" zoomScale="85" zoomScaleNormal="85" zoomScalePageLayoutView="85" workbookViewId="0">
      <selection activeCell="L16" sqref="L16"/>
    </sheetView>
  </sheetViews>
  <sheetFormatPr baseColWidth="10" defaultColWidth="8.83203125" defaultRowHeight="14" x14ac:dyDescent="0"/>
  <sheetData>
    <row r="3" spans="1:20">
      <c r="A3" s="22"/>
      <c r="B3" s="22"/>
      <c r="C3" s="22"/>
      <c r="D3" s="22"/>
      <c r="E3" s="22"/>
      <c r="F3" s="22"/>
    </row>
    <row r="4" spans="1:20">
      <c r="A4" s="122"/>
      <c r="B4" s="122"/>
      <c r="C4" s="122"/>
      <c r="D4" s="122"/>
      <c r="E4" s="122"/>
      <c r="F4" s="122"/>
    </row>
    <row r="5" spans="1:20">
      <c r="A5" s="123"/>
      <c r="B5" s="67"/>
      <c r="C5" s="123"/>
      <c r="D5" s="123"/>
      <c r="E5" s="67"/>
      <c r="F5" s="123"/>
    </row>
    <row r="14" spans="1:20">
      <c r="L14" s="211" t="s">
        <v>102</v>
      </c>
      <c r="M14" s="211"/>
      <c r="N14" s="211"/>
      <c r="O14" s="211" t="s">
        <v>103</v>
      </c>
      <c r="P14" s="211"/>
      <c r="Q14" s="211"/>
      <c r="R14" s="211" t="s">
        <v>104</v>
      </c>
      <c r="S14" s="211"/>
      <c r="T14" s="211"/>
    </row>
    <row r="15" spans="1:20">
      <c r="L15" s="124" t="s">
        <v>64</v>
      </c>
      <c r="M15" s="125" t="s">
        <v>89</v>
      </c>
      <c r="N15" s="126" t="s">
        <v>113</v>
      </c>
      <c r="O15" s="124" t="s">
        <v>64</v>
      </c>
      <c r="P15" s="125" t="s">
        <v>89</v>
      </c>
      <c r="Q15" s="126" t="s">
        <v>113</v>
      </c>
      <c r="R15" s="124" t="s">
        <v>64</v>
      </c>
      <c r="S15" s="125" t="s">
        <v>89</v>
      </c>
      <c r="T15" s="126" t="s">
        <v>113</v>
      </c>
    </row>
    <row r="16" spans="1:20">
      <c r="L16" s="127">
        <f>'Αποτελέσματα Colloid Fit '!G9</f>
        <v>8.7610966550000011</v>
      </c>
      <c r="M16" s="16">
        <f>'Αποτελέσματα Colloid Fit '!E9</f>
        <v>0</v>
      </c>
      <c r="N16" s="128">
        <f t="shared" ref="N16:N32" si="0">1/L16</f>
        <v>0.11414096195700513</v>
      </c>
      <c r="O16" s="129">
        <f>'Αποτελέσματα Colloid Fit '!G33</f>
        <v>8.7610966550000011</v>
      </c>
      <c r="P16" s="36">
        <f t="shared" ref="P16:P32" si="1">M16</f>
        <v>0</v>
      </c>
      <c r="Q16" s="128">
        <f t="shared" ref="Q16:Q32" si="2">1/O16</f>
        <v>0.11414096195700513</v>
      </c>
      <c r="R16" s="129">
        <f>'Αποτελέσματα Colloid Fit '!G57</f>
        <v>8.7610966550000011</v>
      </c>
      <c r="S16" s="36">
        <f t="shared" ref="S16:S32" si="3">P16</f>
        <v>0</v>
      </c>
      <c r="T16" s="128">
        <f t="shared" ref="T16:T32" si="4">1/R16</f>
        <v>0.11414096195700513</v>
      </c>
    </row>
    <row r="17" spans="7:20">
      <c r="L17" s="127">
        <f>'Αποτελέσματα Colloid Fit '!G10</f>
        <v>8.3147650259999999</v>
      </c>
      <c r="M17" s="16">
        <f>'Αποτελέσματα Colloid Fit '!E10</f>
        <v>4.1666666666666664E-2</v>
      </c>
      <c r="N17" s="128">
        <f t="shared" si="0"/>
        <v>0.12026798073944754</v>
      </c>
      <c r="O17" s="129">
        <f>'Αποτελέσματα Colloid Fit '!G34</f>
        <v>7.5630942749999992</v>
      </c>
      <c r="P17" s="36">
        <f t="shared" si="1"/>
        <v>4.1666666666666664E-2</v>
      </c>
      <c r="Q17" s="128">
        <f t="shared" si="2"/>
        <v>0.13222101479093359</v>
      </c>
      <c r="R17" s="129">
        <f>'Αποτελέσματα Colloid Fit '!G58</f>
        <v>8.7085476810000007</v>
      </c>
      <c r="S17" s="36">
        <f t="shared" si="3"/>
        <v>4.1666666666666664E-2</v>
      </c>
      <c r="T17" s="128">
        <f t="shared" si="4"/>
        <v>0.11482970945680925</v>
      </c>
    </row>
    <row r="18" spans="7:20">
      <c r="L18" s="127">
        <f>'Αποτελέσματα Colloid Fit '!G11</f>
        <v>8.3022625019999996</v>
      </c>
      <c r="M18" s="16">
        <f>'Αποτελέσματα Colloid Fit '!E11</f>
        <v>8.3333333333333329E-2</v>
      </c>
      <c r="N18" s="128">
        <f t="shared" si="0"/>
        <v>0.12044909441963583</v>
      </c>
      <c r="O18" s="129">
        <f>'Αποτελέσματα Colloid Fit '!G35</f>
        <v>8.137487535</v>
      </c>
      <c r="P18" s="36">
        <f t="shared" si="1"/>
        <v>8.3333333333333329E-2</v>
      </c>
      <c r="Q18" s="128">
        <f t="shared" si="2"/>
        <v>0.12288805306292859</v>
      </c>
      <c r="R18" s="129">
        <f>'Αποτελέσματα Colloid Fit '!G59</f>
        <v>8.6758322970000012</v>
      </c>
      <c r="S18" s="36">
        <f t="shared" si="3"/>
        <v>8.3333333333333329E-2</v>
      </c>
      <c r="T18" s="128">
        <f t="shared" si="4"/>
        <v>0.11526271667858172</v>
      </c>
    </row>
    <row r="19" spans="7:20">
      <c r="L19" s="127">
        <f>'Αποτελέσματα Colloid Fit '!G12</f>
        <v>8.1965666460000008</v>
      </c>
      <c r="M19" s="16">
        <f>'Αποτελέσματα Colloid Fit '!E12</f>
        <v>0.125</v>
      </c>
      <c r="N19" s="128">
        <f t="shared" si="0"/>
        <v>0.12200230208437444</v>
      </c>
      <c r="O19" s="129">
        <f>'Αποτελέσματα Colloid Fit '!G36</f>
        <v>8.0132342210000012</v>
      </c>
      <c r="P19" s="36">
        <f t="shared" si="1"/>
        <v>0.125</v>
      </c>
      <c r="Q19" s="128">
        <f t="shared" si="2"/>
        <v>0.12479355681122301</v>
      </c>
      <c r="R19" s="129">
        <f>'Αποτελέσματα Colloid Fit '!G60</f>
        <v>8.6780052909999998</v>
      </c>
      <c r="S19" s="36">
        <f t="shared" si="3"/>
        <v>0.125</v>
      </c>
      <c r="T19" s="128">
        <f t="shared" si="4"/>
        <v>0.11523385460908911</v>
      </c>
    </row>
    <row r="20" spans="7:20">
      <c r="L20" s="127">
        <f>'Αποτελέσματα Colloid Fit '!G13</f>
        <v>8.109122601000001</v>
      </c>
      <c r="M20" s="16">
        <f>'Αποτελέσματα Colloid Fit '!E13</f>
        <v>0.25</v>
      </c>
      <c r="N20" s="128">
        <f t="shared" si="0"/>
        <v>0.12331790369980125</v>
      </c>
      <c r="O20" s="129">
        <f>'Αποτελέσματα Colloid Fit '!G37</f>
        <v>8.146186204000001</v>
      </c>
      <c r="P20" s="36">
        <f t="shared" si="1"/>
        <v>0.25</v>
      </c>
      <c r="Q20" s="128">
        <f t="shared" si="2"/>
        <v>0.12275683061467126</v>
      </c>
      <c r="R20" s="129">
        <f>'Αποτελέσματα Colloid Fit '!G61</f>
        <v>8.650595225</v>
      </c>
      <c r="S20" s="36">
        <f t="shared" si="3"/>
        <v>0.25</v>
      </c>
      <c r="T20" s="128">
        <f t="shared" si="4"/>
        <v>0.11559898180301229</v>
      </c>
    </row>
    <row r="21" spans="7:20">
      <c r="L21" s="127">
        <f>'Αποτελέσματα Colloid Fit '!G14</f>
        <v>8.0747428909999996</v>
      </c>
      <c r="M21" s="16">
        <f>'Αποτελέσματα Colloid Fit '!E14</f>
        <v>0.5</v>
      </c>
      <c r="N21" s="128">
        <f t="shared" si="0"/>
        <v>0.12384295246286871</v>
      </c>
      <c r="O21" s="129">
        <f>'Αποτελέσματα Colloid Fit '!G38</f>
        <v>7.8508151899999996</v>
      </c>
      <c r="P21" s="36">
        <f t="shared" si="1"/>
        <v>0.5</v>
      </c>
      <c r="Q21" s="128">
        <f t="shared" si="2"/>
        <v>0.12737530763349941</v>
      </c>
      <c r="R21" s="129">
        <f>'Αποτελέσματα Colloid Fit '!G62</f>
        <v>8.6230557609999998</v>
      </c>
      <c r="S21" s="36">
        <f t="shared" si="3"/>
        <v>0.5</v>
      </c>
      <c r="T21" s="128">
        <f t="shared" si="4"/>
        <v>0.11596817041619499</v>
      </c>
    </row>
    <row r="22" spans="7:20">
      <c r="L22" s="127">
        <f>'Αποτελέσματα Colloid Fit '!G15</f>
        <v>7.9473237879999994</v>
      </c>
      <c r="M22" s="16">
        <f>'Αποτελέσματα Colloid Fit '!E15</f>
        <v>1</v>
      </c>
      <c r="N22" s="128">
        <f t="shared" si="0"/>
        <v>0.12582852123251129</v>
      </c>
      <c r="O22" s="129">
        <f>'Αποτελέσματα Colloid Fit '!G39</f>
        <v>7.5502147119999998</v>
      </c>
      <c r="P22" s="36">
        <f t="shared" si="1"/>
        <v>1</v>
      </c>
      <c r="Q22" s="128">
        <f t="shared" si="2"/>
        <v>0.13244656452095876</v>
      </c>
      <c r="R22" s="129">
        <f>'Αποτελέσματα Colloid Fit '!G63</f>
        <v>8.575903576</v>
      </c>
      <c r="S22" s="36">
        <f t="shared" si="3"/>
        <v>1</v>
      </c>
      <c r="T22" s="128">
        <f t="shared" si="4"/>
        <v>0.11660578866564439</v>
      </c>
    </row>
    <row r="23" spans="7:20">
      <c r="L23" s="127">
        <f>'Αποτελέσματα Colloid Fit '!G16</f>
        <v>7.6486709729999998</v>
      </c>
      <c r="M23" s="16">
        <f>'Αποτελέσματα Colloid Fit '!E16</f>
        <v>2</v>
      </c>
      <c r="N23" s="128">
        <f t="shared" si="0"/>
        <v>0.13074166787014699</v>
      </c>
      <c r="O23" s="129">
        <f>'Αποτελέσματα Colloid Fit '!G40</f>
        <v>7.1879070049999996</v>
      </c>
      <c r="P23" s="36">
        <f t="shared" si="1"/>
        <v>2</v>
      </c>
      <c r="Q23" s="128">
        <f t="shared" si="2"/>
        <v>0.13912255671983337</v>
      </c>
      <c r="R23" s="129">
        <f>'Αποτελέσματα Colloid Fit '!G64</f>
        <v>7.7657404669999996</v>
      </c>
      <c r="S23" s="36">
        <f t="shared" si="3"/>
        <v>2</v>
      </c>
      <c r="T23" s="128">
        <f t="shared" si="4"/>
        <v>0.12877072112433244</v>
      </c>
    </row>
    <row r="24" spans="7:20">
      <c r="L24" s="127">
        <f>'Αποτελέσματα Colloid Fit '!G17</f>
        <v>7.4958229319999994</v>
      </c>
      <c r="M24" s="16">
        <f>'Αποτελέσματα Colloid Fit '!E17</f>
        <v>3</v>
      </c>
      <c r="N24" s="128">
        <f t="shared" si="0"/>
        <v>0.13340763370102512</v>
      </c>
      <c r="O24" s="129">
        <f>'Αποτελέσματα Colloid Fit '!G41</f>
        <v>6.5552244079999999</v>
      </c>
      <c r="P24" s="36">
        <f t="shared" si="1"/>
        <v>3</v>
      </c>
      <c r="Q24" s="128">
        <f t="shared" si="2"/>
        <v>0.15255007880120769</v>
      </c>
      <c r="R24" s="129">
        <f>'Αποτελέσματα Colloid Fit '!G65</f>
        <v>7.7560199999999995</v>
      </c>
      <c r="S24" s="36">
        <f t="shared" si="3"/>
        <v>3</v>
      </c>
      <c r="T24" s="128">
        <f t="shared" si="4"/>
        <v>0.12893210693113222</v>
      </c>
    </row>
    <row r="25" spans="7:20">
      <c r="G25" s="122"/>
      <c r="L25" s="127">
        <f>'Αποτελέσματα Colloid Fit '!G18</f>
        <v>6.8666095399999998</v>
      </c>
      <c r="M25" s="16">
        <f>'Αποτελέσματα Colloid Fit '!E18</f>
        <v>5</v>
      </c>
      <c r="N25" s="128">
        <f t="shared" si="0"/>
        <v>0.14563227953689648</v>
      </c>
      <c r="O25" s="129">
        <f>'Αποτελέσματα Colloid Fit '!G42</f>
        <v>5.6491595329999997</v>
      </c>
      <c r="P25" s="36">
        <f t="shared" si="1"/>
        <v>5</v>
      </c>
      <c r="Q25" s="128">
        <f t="shared" si="2"/>
        <v>0.17701748271728265</v>
      </c>
      <c r="R25" s="129">
        <f>'Αποτελέσματα Colloid Fit '!G66</f>
        <v>7.7426027659999992</v>
      </c>
      <c r="S25" s="36">
        <f t="shared" si="3"/>
        <v>5</v>
      </c>
      <c r="T25" s="128">
        <f t="shared" si="4"/>
        <v>0.12915553467256363</v>
      </c>
    </row>
    <row r="26" spans="7:20">
      <c r="L26" s="127">
        <f>'Αποτελέσματα Colloid Fit '!G19</f>
        <v>6.4780451939999999</v>
      </c>
      <c r="M26" s="16">
        <f>'Αποτελέσματα Colloid Fit '!E19</f>
        <v>7</v>
      </c>
      <c r="N26" s="128">
        <f t="shared" si="0"/>
        <v>0.15436755534311575</v>
      </c>
      <c r="O26" s="129">
        <f>'Αποτελέσματα Colloid Fit '!G43</f>
        <v>4.5793660300000001</v>
      </c>
      <c r="P26" s="36">
        <f t="shared" si="1"/>
        <v>7</v>
      </c>
      <c r="Q26" s="128">
        <f t="shared" si="2"/>
        <v>0.21837083855033096</v>
      </c>
      <c r="R26" s="129">
        <f>'Αποτελέσματα Colloid Fit '!G67</f>
        <v>7.5421451849999999</v>
      </c>
      <c r="S26" s="36">
        <f t="shared" si="3"/>
        <v>7</v>
      </c>
      <c r="T26" s="128">
        <f t="shared" si="4"/>
        <v>0.13258827236431672</v>
      </c>
    </row>
    <row r="27" spans="7:20">
      <c r="L27" s="127">
        <f>'Αποτελέσματα Colloid Fit '!G20</f>
        <v>6.3790512619999999</v>
      </c>
      <c r="M27" s="16">
        <f>'Αποτελέσματα Colloid Fit '!E20</f>
        <v>10</v>
      </c>
      <c r="N27" s="128">
        <f t="shared" si="0"/>
        <v>0.15676312337494427</v>
      </c>
      <c r="O27" s="129">
        <f>'Αποτελέσματα Colloid Fit '!G44</f>
        <v>3.5049855909999996</v>
      </c>
      <c r="P27" s="36">
        <f t="shared" si="1"/>
        <v>10</v>
      </c>
      <c r="Q27" s="128">
        <f t="shared" si="2"/>
        <v>0.28530787760376847</v>
      </c>
      <c r="R27" s="129">
        <f>'Αποτελέσματα Colloid Fit '!G68</f>
        <v>7.5576974859999995</v>
      </c>
      <c r="S27" s="36">
        <f t="shared" si="3"/>
        <v>10</v>
      </c>
      <c r="T27" s="128">
        <f t="shared" si="4"/>
        <v>0.13231543096987092</v>
      </c>
    </row>
    <row r="28" spans="7:20">
      <c r="L28" s="127">
        <f>'Αποτελέσματα Colloid Fit '!G21</f>
        <v>5.6958811349999996</v>
      </c>
      <c r="M28" s="16">
        <f>'Αποτελέσματα Colloid Fit '!E21</f>
        <v>12</v>
      </c>
      <c r="N28" s="128">
        <f t="shared" si="0"/>
        <v>0.17556546147973645</v>
      </c>
      <c r="O28" s="129">
        <f>'Αποτελέσματα Colloid Fit '!G45</f>
        <v>2.6732732529999996</v>
      </c>
      <c r="P28" s="36">
        <f t="shared" si="1"/>
        <v>12</v>
      </c>
      <c r="Q28" s="128">
        <f t="shared" si="2"/>
        <v>0.3740732448049523</v>
      </c>
      <c r="R28" s="129">
        <f>'Αποτελέσματα Colloid Fit '!G69</f>
        <v>7.1736910729999996</v>
      </c>
      <c r="S28" s="36">
        <f t="shared" si="3"/>
        <v>12</v>
      </c>
      <c r="T28" s="128">
        <f t="shared" si="4"/>
        <v>0.13939825256258287</v>
      </c>
    </row>
    <row r="29" spans="7:20">
      <c r="L29" s="127">
        <f>'Αποτελέσματα Colloid Fit '!G22</f>
        <v>5.5524813789999996</v>
      </c>
      <c r="M29" s="16">
        <f>'Αποτελέσματα Colloid Fit '!E22</f>
        <v>14</v>
      </c>
      <c r="N29" s="128">
        <f t="shared" si="0"/>
        <v>0.1800996584665899</v>
      </c>
      <c r="O29" s="129">
        <f>'Αποτελέσματα Colloid Fit '!G46</f>
        <v>2.1298551969999999</v>
      </c>
      <c r="P29" s="36">
        <f t="shared" si="1"/>
        <v>14</v>
      </c>
      <c r="Q29" s="128">
        <f t="shared" si="2"/>
        <v>0.4695154869723287</v>
      </c>
      <c r="R29" s="129">
        <f>'Αποτελέσματα Colloid Fit '!G70</f>
        <v>7.0624690299999999</v>
      </c>
      <c r="S29" s="36">
        <f t="shared" si="3"/>
        <v>14</v>
      </c>
      <c r="T29" s="128">
        <f t="shared" si="4"/>
        <v>0.14159354126045634</v>
      </c>
    </row>
    <row r="30" spans="7:20">
      <c r="L30" s="127">
        <f>'Αποτελέσματα Colloid Fit '!G23</f>
        <v>5.4138849659999995</v>
      </c>
      <c r="M30" s="16">
        <f>'Αποτελέσματα Colloid Fit '!E23</f>
        <v>16</v>
      </c>
      <c r="N30" s="128">
        <f t="shared" si="0"/>
        <v>0.18471024158809216</v>
      </c>
      <c r="O30" s="129">
        <f>'Αποτελέσματα Colloid Fit '!G47</f>
        <v>2.1282287979999999</v>
      </c>
      <c r="P30" s="36">
        <f t="shared" si="1"/>
        <v>16</v>
      </c>
      <c r="Q30" s="128">
        <f t="shared" si="2"/>
        <v>0.46987429215305643</v>
      </c>
      <c r="R30" s="129">
        <f>'Αποτελέσματα Colloid Fit '!G71</f>
        <v>6.9512469869999993</v>
      </c>
      <c r="S30" s="36">
        <f t="shared" si="3"/>
        <v>16</v>
      </c>
      <c r="T30" s="128">
        <f t="shared" si="4"/>
        <v>0.14385908051751983</v>
      </c>
    </row>
    <row r="31" spans="7:20">
      <c r="L31" s="127">
        <f>'Αποτελέσματα Colloid Fit '!G24</f>
        <v>5.3396038209999999</v>
      </c>
      <c r="M31" s="16">
        <f>'Αποτελέσματα Colloid Fit '!E24</f>
        <v>18</v>
      </c>
      <c r="N31" s="128">
        <f t="shared" si="0"/>
        <v>0.18727981204656494</v>
      </c>
      <c r="O31" s="129">
        <f>'Αποτελέσματα Colloid Fit '!G48</f>
        <v>2.0172477029999998</v>
      </c>
      <c r="P31" s="36">
        <f t="shared" si="1"/>
        <v>18</v>
      </c>
      <c r="Q31" s="128">
        <f t="shared" si="2"/>
        <v>0.49572494171777975</v>
      </c>
      <c r="R31" s="129">
        <f>'Αποτελέσματα Colloid Fit '!G72</f>
        <v>6.8406942439999998</v>
      </c>
      <c r="S31" s="36">
        <f t="shared" si="3"/>
        <v>18</v>
      </c>
      <c r="T31" s="128">
        <f t="shared" si="4"/>
        <v>0.14618399307601038</v>
      </c>
    </row>
    <row r="32" spans="7:20">
      <c r="L32" s="127">
        <f>'Αποτελέσματα Colloid Fit '!G25</f>
        <v>5.2897075060000001</v>
      </c>
      <c r="M32" s="130">
        <f>'Αποτελέσματα Colloid Fit '!E25</f>
        <v>20</v>
      </c>
      <c r="N32" s="131">
        <f t="shared" si="0"/>
        <v>0.18904636955176099</v>
      </c>
      <c r="O32" s="132">
        <f>'Αποτελέσματα Colloid Fit '!G49</f>
        <v>2.0718826619999997</v>
      </c>
      <c r="P32" s="133">
        <f t="shared" si="1"/>
        <v>20</v>
      </c>
      <c r="Q32" s="131">
        <f t="shared" si="2"/>
        <v>0.48265281540350097</v>
      </c>
      <c r="R32" s="132">
        <f>'Αποτελέσματα Colloid Fit '!G73</f>
        <v>6.7487301929999992</v>
      </c>
      <c r="S32" s="133">
        <f t="shared" si="3"/>
        <v>20</v>
      </c>
      <c r="T32" s="131">
        <f t="shared" si="4"/>
        <v>0.1481760229557306</v>
      </c>
    </row>
    <row r="35" spans="12:20">
      <c r="R35" t="s">
        <v>102</v>
      </c>
      <c r="S35" t="s">
        <v>107</v>
      </c>
      <c r="T35" t="s">
        <v>108</v>
      </c>
    </row>
    <row r="36" spans="12:20">
      <c r="Q36" t="str">
        <f t="shared" ref="Q36:Q53" si="5">M15</f>
        <v>Time (days)</v>
      </c>
      <c r="R36" t="s">
        <v>114</v>
      </c>
      <c r="S36" t="s">
        <v>114</v>
      </c>
      <c r="T36" t="s">
        <v>114</v>
      </c>
    </row>
    <row r="37" spans="12:20">
      <c r="L37" s="16" t="s">
        <v>89</v>
      </c>
      <c r="M37" s="36" t="str">
        <f t="shared" ref="M37:M54" si="6">N15</f>
        <v>1/Ct</v>
      </c>
      <c r="N37" s="36" t="str">
        <f t="shared" ref="N37:N54" si="7">Q15</f>
        <v>1/Ct</v>
      </c>
      <c r="O37" s="36" t="str">
        <f t="shared" ref="O37:O54" si="8">T15</f>
        <v>1/Ct</v>
      </c>
      <c r="Q37">
        <f t="shared" si="5"/>
        <v>0</v>
      </c>
      <c r="R37">
        <f t="shared" ref="R37:R53" si="9">L16/(1+0.0038*Q37)</f>
        <v>8.7610966550000011</v>
      </c>
      <c r="S37">
        <f t="shared" ref="S37:S53" si="10">O16/(1+0.0208*Q37)</f>
        <v>8.7610966550000011</v>
      </c>
      <c r="T37">
        <f t="shared" ref="T37:T53" si="11">R16/(1+0.0017*Q37)</f>
        <v>8.7610966550000011</v>
      </c>
    </row>
    <row r="38" spans="12:20">
      <c r="L38" s="16">
        <f t="shared" ref="L38:L54" si="12">M16</f>
        <v>0</v>
      </c>
      <c r="M38" s="72">
        <f t="shared" si="6"/>
        <v>0.11414096195700513</v>
      </c>
      <c r="N38" s="36">
        <f t="shared" si="7"/>
        <v>0.11414096195700513</v>
      </c>
      <c r="O38" s="36">
        <f t="shared" si="8"/>
        <v>0.11414096195700513</v>
      </c>
      <c r="Q38">
        <f t="shared" si="5"/>
        <v>4.1666666666666664E-2</v>
      </c>
      <c r="R38">
        <f t="shared" si="9"/>
        <v>8.3134487299510909</v>
      </c>
      <c r="S38">
        <f t="shared" si="10"/>
        <v>7.5565452691001136</v>
      </c>
      <c r="T38">
        <f t="shared" si="11"/>
        <v>8.707930869230097</v>
      </c>
    </row>
    <row r="39" spans="12:20">
      <c r="L39" s="16">
        <f t="shared" si="12"/>
        <v>4.1666666666666664E-2</v>
      </c>
      <c r="M39" s="72">
        <f t="shared" si="6"/>
        <v>0.12026798073944754</v>
      </c>
      <c r="N39" s="36">
        <f t="shared" si="7"/>
        <v>0.13222101479093359</v>
      </c>
      <c r="O39" s="36">
        <f t="shared" si="8"/>
        <v>0.11482970945680925</v>
      </c>
      <c r="Q39">
        <f t="shared" si="5"/>
        <v>8.3333333333333329E-2</v>
      </c>
      <c r="R39">
        <f t="shared" si="9"/>
        <v>8.299634284476582</v>
      </c>
      <c r="S39">
        <f t="shared" si="10"/>
        <v>8.12340696293092</v>
      </c>
      <c r="T39">
        <f t="shared" si="11"/>
        <v>8.6746033948523973</v>
      </c>
    </row>
    <row r="40" spans="12:20">
      <c r="L40" s="16">
        <f t="shared" si="12"/>
        <v>8.3333333333333329E-2</v>
      </c>
      <c r="M40" s="72">
        <f t="shared" si="6"/>
        <v>0.12044909441963583</v>
      </c>
      <c r="N40" s="36">
        <f t="shared" si="7"/>
        <v>0.12288805306292859</v>
      </c>
      <c r="O40" s="36">
        <f t="shared" si="8"/>
        <v>0.11526271667858172</v>
      </c>
      <c r="Q40">
        <f t="shared" si="5"/>
        <v>0.125</v>
      </c>
      <c r="R40">
        <f t="shared" si="9"/>
        <v>8.1926751253154766</v>
      </c>
      <c r="S40">
        <f t="shared" si="10"/>
        <v>7.9924538410133668</v>
      </c>
      <c r="T40">
        <f t="shared" si="11"/>
        <v>8.6761616066585852</v>
      </c>
    </row>
    <row r="41" spans="12:20">
      <c r="L41" s="16">
        <f t="shared" si="12"/>
        <v>0.125</v>
      </c>
      <c r="M41" s="72">
        <f t="shared" si="6"/>
        <v>0.12200230208437444</v>
      </c>
      <c r="N41" s="36">
        <f t="shared" si="7"/>
        <v>0.12479355681122301</v>
      </c>
      <c r="O41" s="36">
        <f t="shared" si="8"/>
        <v>0.11523385460908911</v>
      </c>
      <c r="Q41">
        <f t="shared" si="5"/>
        <v>0.25</v>
      </c>
      <c r="R41">
        <f t="shared" si="9"/>
        <v>8.1014262460662376</v>
      </c>
      <c r="S41">
        <f t="shared" si="10"/>
        <v>8.1040451691205728</v>
      </c>
      <c r="T41">
        <f t="shared" si="11"/>
        <v>8.6469202838793517</v>
      </c>
    </row>
    <row r="42" spans="12:20">
      <c r="L42" s="16">
        <f t="shared" si="12"/>
        <v>0.25</v>
      </c>
      <c r="M42" s="72">
        <f t="shared" si="6"/>
        <v>0.12331790369980125</v>
      </c>
      <c r="N42" s="36">
        <f t="shared" si="7"/>
        <v>0.12275683061467126</v>
      </c>
      <c r="O42" s="36">
        <f t="shared" si="8"/>
        <v>0.11559898180301229</v>
      </c>
      <c r="Q42">
        <f t="shared" si="5"/>
        <v>0.5</v>
      </c>
      <c r="R42">
        <f t="shared" si="9"/>
        <v>8.0594299740493067</v>
      </c>
      <c r="S42">
        <f t="shared" si="10"/>
        <v>7.7700071159936659</v>
      </c>
      <c r="T42">
        <f t="shared" si="11"/>
        <v>8.6157323884697998</v>
      </c>
    </row>
    <row r="43" spans="12:20">
      <c r="L43" s="16">
        <f t="shared" si="12"/>
        <v>0.5</v>
      </c>
      <c r="M43" s="72">
        <f t="shared" si="6"/>
        <v>0.12384295246286871</v>
      </c>
      <c r="N43" s="36">
        <f t="shared" si="7"/>
        <v>0.12737530763349941</v>
      </c>
      <c r="O43" s="36">
        <f t="shared" si="8"/>
        <v>0.11596817041619499</v>
      </c>
      <c r="Q43">
        <f t="shared" si="5"/>
        <v>1</v>
      </c>
      <c r="R43">
        <f t="shared" si="9"/>
        <v>7.9172382825263989</v>
      </c>
      <c r="S43">
        <f t="shared" si="10"/>
        <v>7.3963702115987466</v>
      </c>
      <c r="T43">
        <f t="shared" si="11"/>
        <v>8.5613492822202257</v>
      </c>
    </row>
    <row r="44" spans="12:20">
      <c r="L44" s="16">
        <f t="shared" si="12"/>
        <v>1</v>
      </c>
      <c r="M44" s="72">
        <f t="shared" si="6"/>
        <v>0.12582852123251129</v>
      </c>
      <c r="N44" s="36">
        <f t="shared" si="7"/>
        <v>0.13244656452095876</v>
      </c>
      <c r="O44" s="36">
        <f t="shared" si="8"/>
        <v>0.11660578866564439</v>
      </c>
      <c r="Q44">
        <f t="shared" si="5"/>
        <v>2</v>
      </c>
      <c r="R44">
        <f t="shared" si="9"/>
        <v>7.5909795285827704</v>
      </c>
      <c r="S44">
        <f t="shared" si="10"/>
        <v>6.9008323780721961</v>
      </c>
      <c r="T44">
        <f t="shared" si="11"/>
        <v>7.7394264171815816</v>
      </c>
    </row>
    <row r="45" spans="12:20">
      <c r="L45" s="16">
        <f t="shared" si="12"/>
        <v>2</v>
      </c>
      <c r="M45" s="72">
        <f t="shared" si="6"/>
        <v>0.13074166787014699</v>
      </c>
      <c r="N45" s="36">
        <f t="shared" si="7"/>
        <v>0.13912255671983337</v>
      </c>
      <c r="O45" s="36">
        <f t="shared" si="8"/>
        <v>0.12877072112433244</v>
      </c>
      <c r="Q45">
        <f t="shared" si="5"/>
        <v>3</v>
      </c>
      <c r="R45">
        <f t="shared" si="9"/>
        <v>7.4113337275064257</v>
      </c>
      <c r="S45">
        <f t="shared" si="10"/>
        <v>6.1702036972891561</v>
      </c>
      <c r="T45">
        <f t="shared" si="11"/>
        <v>7.7166650084568689</v>
      </c>
    </row>
    <row r="46" spans="12:20">
      <c r="L46" s="16">
        <f t="shared" si="12"/>
        <v>3</v>
      </c>
      <c r="M46" s="72">
        <f t="shared" si="6"/>
        <v>0.13340763370102512</v>
      </c>
      <c r="N46" s="36">
        <f t="shared" si="7"/>
        <v>0.15255007880120769</v>
      </c>
      <c r="O46" s="36">
        <f t="shared" si="8"/>
        <v>0.12893210693113222</v>
      </c>
      <c r="Q46">
        <f t="shared" si="5"/>
        <v>5</v>
      </c>
      <c r="R46">
        <f t="shared" si="9"/>
        <v>6.7385765848871451</v>
      </c>
      <c r="S46">
        <f t="shared" si="10"/>
        <v>5.1169923306159415</v>
      </c>
      <c r="T46">
        <f t="shared" si="11"/>
        <v>7.6773453306891417</v>
      </c>
    </row>
    <row r="47" spans="12:20">
      <c r="L47" s="16">
        <f t="shared" si="12"/>
        <v>5</v>
      </c>
      <c r="M47" s="72">
        <f t="shared" si="6"/>
        <v>0.14563227953689648</v>
      </c>
      <c r="N47" s="36">
        <f t="shared" si="7"/>
        <v>0.17701748271728265</v>
      </c>
      <c r="O47" s="36">
        <f t="shared" si="8"/>
        <v>0.12915553467256363</v>
      </c>
      <c r="Q47">
        <f t="shared" si="5"/>
        <v>7</v>
      </c>
      <c r="R47">
        <f t="shared" si="9"/>
        <v>6.3101940327293979</v>
      </c>
      <c r="S47">
        <f t="shared" si="10"/>
        <v>3.9973516323324025</v>
      </c>
      <c r="T47">
        <f t="shared" si="11"/>
        <v>7.4534491402312479</v>
      </c>
    </row>
    <row r="48" spans="12:20">
      <c r="L48" s="16">
        <f t="shared" si="12"/>
        <v>7</v>
      </c>
      <c r="M48" s="72">
        <f t="shared" si="6"/>
        <v>0.15436755534311575</v>
      </c>
      <c r="N48" s="36">
        <f t="shared" si="7"/>
        <v>0.21837083855033096</v>
      </c>
      <c r="O48" s="36">
        <f t="shared" si="8"/>
        <v>0.13258827236431672</v>
      </c>
      <c r="Q48">
        <f t="shared" si="5"/>
        <v>10</v>
      </c>
      <c r="R48">
        <f t="shared" si="9"/>
        <v>6.1455214470134871</v>
      </c>
      <c r="S48">
        <f t="shared" si="10"/>
        <v>2.9014781382450328</v>
      </c>
      <c r="T48">
        <f t="shared" si="11"/>
        <v>7.4313642930186825</v>
      </c>
    </row>
    <row r="49" spans="1:20">
      <c r="L49" s="16">
        <f t="shared" si="12"/>
        <v>10</v>
      </c>
      <c r="M49" s="72">
        <f t="shared" si="6"/>
        <v>0.15676312337494427</v>
      </c>
      <c r="N49" s="36">
        <f t="shared" si="7"/>
        <v>0.28530787760376847</v>
      </c>
      <c r="O49" s="36">
        <f t="shared" si="8"/>
        <v>0.13231543096987092</v>
      </c>
      <c r="Q49">
        <f t="shared" si="5"/>
        <v>12</v>
      </c>
      <c r="R49">
        <f t="shared" si="9"/>
        <v>5.4474762193955613</v>
      </c>
      <c r="S49">
        <f t="shared" si="10"/>
        <v>2.1393031794174133</v>
      </c>
      <c r="T49">
        <f t="shared" si="11"/>
        <v>7.0302734937279494</v>
      </c>
    </row>
    <row r="50" spans="1:20">
      <c r="L50" s="16">
        <f t="shared" si="12"/>
        <v>12</v>
      </c>
      <c r="M50" s="72">
        <f t="shared" si="6"/>
        <v>0.17556546147973645</v>
      </c>
      <c r="N50" s="36">
        <f t="shared" si="7"/>
        <v>0.3740732448049523</v>
      </c>
      <c r="O50" s="36">
        <f t="shared" si="8"/>
        <v>0.13939825256258287</v>
      </c>
      <c r="Q50">
        <f t="shared" si="5"/>
        <v>14</v>
      </c>
      <c r="R50">
        <f t="shared" si="9"/>
        <v>5.272010424420813</v>
      </c>
      <c r="S50">
        <f t="shared" si="10"/>
        <v>1.6495161067224289</v>
      </c>
      <c r="T50">
        <f t="shared" si="11"/>
        <v>6.89828973432311</v>
      </c>
    </row>
    <row r="51" spans="1:20">
      <c r="L51" s="16">
        <f t="shared" si="12"/>
        <v>14</v>
      </c>
      <c r="M51" s="72">
        <f t="shared" si="6"/>
        <v>0.1800996584665899</v>
      </c>
      <c r="N51" s="36">
        <f t="shared" si="7"/>
        <v>0.4695154869723287</v>
      </c>
      <c r="O51" s="36">
        <f t="shared" si="8"/>
        <v>0.14159354126045634</v>
      </c>
      <c r="Q51">
        <f t="shared" si="5"/>
        <v>16</v>
      </c>
      <c r="R51">
        <f t="shared" si="9"/>
        <v>5.1035868834841622</v>
      </c>
      <c r="S51">
        <f t="shared" si="10"/>
        <v>1.5968103226290515</v>
      </c>
      <c r="T51">
        <f t="shared" si="11"/>
        <v>6.7671796991822433</v>
      </c>
    </row>
    <row r="52" spans="1:20">
      <c r="L52" s="16">
        <f t="shared" si="12"/>
        <v>16</v>
      </c>
      <c r="M52" s="72">
        <f t="shared" si="6"/>
        <v>0.18471024158809216</v>
      </c>
      <c r="N52" s="36">
        <f t="shared" si="7"/>
        <v>0.46987429215305643</v>
      </c>
      <c r="O52" s="36">
        <f t="shared" si="8"/>
        <v>0.14385908051751983</v>
      </c>
      <c r="Q52">
        <f t="shared" si="5"/>
        <v>18</v>
      </c>
      <c r="R52">
        <f t="shared" si="9"/>
        <v>4.9977572266941221</v>
      </c>
      <c r="S52">
        <f t="shared" si="10"/>
        <v>1.4677297024155993</v>
      </c>
      <c r="T52">
        <f t="shared" si="11"/>
        <v>6.6375841684455654</v>
      </c>
    </row>
    <row r="53" spans="1:20">
      <c r="L53" s="16">
        <f t="shared" si="12"/>
        <v>18</v>
      </c>
      <c r="M53" s="72">
        <f t="shared" si="6"/>
        <v>0.18727981204656494</v>
      </c>
      <c r="N53" s="36">
        <f t="shared" si="7"/>
        <v>0.49572494171777975</v>
      </c>
      <c r="O53" s="36">
        <f t="shared" si="8"/>
        <v>0.14618399307601038</v>
      </c>
      <c r="Q53">
        <f t="shared" si="5"/>
        <v>20</v>
      </c>
      <c r="R53">
        <f t="shared" si="9"/>
        <v>4.9160850427509288</v>
      </c>
      <c r="S53">
        <f t="shared" si="10"/>
        <v>1.4631939703389829</v>
      </c>
      <c r="T53">
        <f t="shared" si="11"/>
        <v>6.526818368471953</v>
      </c>
    </row>
    <row r="54" spans="1:20">
      <c r="L54" s="16">
        <f t="shared" si="12"/>
        <v>20</v>
      </c>
      <c r="M54" s="72">
        <f t="shared" si="6"/>
        <v>0.18904636955176099</v>
      </c>
      <c r="N54" s="36">
        <f t="shared" si="7"/>
        <v>0.48265281540350097</v>
      </c>
      <c r="O54" s="36">
        <f t="shared" si="8"/>
        <v>0.1481760229557306</v>
      </c>
    </row>
    <row r="55" spans="1:20">
      <c r="A55" s="212"/>
      <c r="B55" s="212"/>
      <c r="C55" s="212"/>
      <c r="D55" s="212"/>
      <c r="E55" s="212"/>
      <c r="F55" s="212"/>
    </row>
    <row r="56" spans="1:20">
      <c r="A56" s="120"/>
      <c r="B56" s="16"/>
      <c r="C56" s="120"/>
      <c r="D56" s="120"/>
      <c r="E56" s="16"/>
      <c r="F56" s="120"/>
    </row>
    <row r="65" spans="12:20">
      <c r="L65" s="211" t="s">
        <v>110</v>
      </c>
      <c r="M65" s="211"/>
      <c r="N65" s="211"/>
      <c r="O65" s="212" t="s">
        <v>111</v>
      </c>
      <c r="P65" s="212"/>
      <c r="Q65" s="212"/>
      <c r="R65" s="212" t="s">
        <v>112</v>
      </c>
      <c r="S65" s="212"/>
      <c r="T65" s="212"/>
    </row>
    <row r="66" spans="12:20">
      <c r="L66" s="120" t="s">
        <v>64</v>
      </c>
      <c r="M66" s="16" t="s">
        <v>89</v>
      </c>
      <c r="N66" s="126" t="s">
        <v>113</v>
      </c>
      <c r="O66" s="120" t="s">
        <v>64</v>
      </c>
      <c r="P66" s="16" t="s">
        <v>89</v>
      </c>
      <c r="Q66" s="126" t="s">
        <v>113</v>
      </c>
      <c r="R66" s="120" t="s">
        <v>64</v>
      </c>
      <c r="S66" s="16" t="s">
        <v>89</v>
      </c>
      <c r="T66" s="126" t="s">
        <v>113</v>
      </c>
    </row>
    <row r="67" spans="12:20">
      <c r="L67" s="121">
        <f>'Αποτελέσματα Colloid Fit '!N9</f>
        <v>8.7610966550000011</v>
      </c>
      <c r="M67" s="16">
        <f>'Αποτελέσματα Colloid Fit '!L9</f>
        <v>0</v>
      </c>
      <c r="N67" s="121">
        <f t="shared" ref="N67:N83" si="13">1/L67</f>
        <v>0.11414096195700513</v>
      </c>
      <c r="O67" s="69">
        <f>'Αποτελέσματα Colloid Fit '!N33</f>
        <v>8.7610966550000011</v>
      </c>
      <c r="P67">
        <f t="shared" ref="P67:P83" si="14">M67</f>
        <v>0</v>
      </c>
      <c r="Q67">
        <f t="shared" ref="Q67:Q83" si="15">1/(O67)</f>
        <v>0.11414096195700513</v>
      </c>
      <c r="R67">
        <f>0</f>
        <v>0</v>
      </c>
      <c r="S67">
        <f t="shared" ref="S67:S83" si="16">P67</f>
        <v>0</v>
      </c>
      <c r="T67" t="e">
        <f t="shared" ref="T67:T83" si="17">LN(R67)</f>
        <v>#NUM!</v>
      </c>
    </row>
    <row r="68" spans="12:20">
      <c r="L68" s="121">
        <f>'Αποτελέσματα Colloid Fit '!N10</f>
        <v>7.7311912009999997</v>
      </c>
      <c r="M68" s="16">
        <f>'Αποτελέσματα Colloid Fit '!L10</f>
        <v>4.1666666666666664E-2</v>
      </c>
      <c r="N68" s="121">
        <f t="shared" si="13"/>
        <v>0.12934617370097559</v>
      </c>
      <c r="O68" s="69">
        <f>'Αποτελέσματα Colloid Fit '!N34</f>
        <v>8.5628276850000002</v>
      </c>
      <c r="P68">
        <f t="shared" si="14"/>
        <v>4.1666666666666664E-2</v>
      </c>
      <c r="Q68">
        <f t="shared" si="15"/>
        <v>0.11678385187544504</v>
      </c>
      <c r="R68">
        <f>0</f>
        <v>0</v>
      </c>
      <c r="S68">
        <f t="shared" si="16"/>
        <v>4.1666666666666664E-2</v>
      </c>
      <c r="T68" t="e">
        <f t="shared" si="17"/>
        <v>#NUM!</v>
      </c>
    </row>
    <row r="69" spans="12:20">
      <c r="L69" s="121">
        <f>'Αποτελέσματα Colloid Fit '!N11</f>
        <v>7.9794546500000001</v>
      </c>
      <c r="M69" s="16">
        <f>'Αποτελέσματα Colloid Fit '!L11</f>
        <v>8.3333333333333329E-2</v>
      </c>
      <c r="N69" s="121">
        <f t="shared" si="13"/>
        <v>0.12532184765283427</v>
      </c>
      <c r="O69" s="69">
        <f>'Αποτελέσματα Colloid Fit '!N35</f>
        <v>8.6483619940000001</v>
      </c>
      <c r="P69">
        <f t="shared" si="14"/>
        <v>8.3333333333333329E-2</v>
      </c>
      <c r="Q69">
        <f t="shared" si="15"/>
        <v>0.11562883245333312</v>
      </c>
      <c r="R69">
        <f>0</f>
        <v>0</v>
      </c>
      <c r="S69">
        <f t="shared" si="16"/>
        <v>8.3333333333333329E-2</v>
      </c>
      <c r="T69" t="e">
        <f t="shared" si="17"/>
        <v>#NUM!</v>
      </c>
    </row>
    <row r="70" spans="12:20">
      <c r="L70" s="121">
        <f>'Αποτελέσματα Colloid Fit '!N12</f>
        <v>7.7716079969999994</v>
      </c>
      <c r="M70" s="16">
        <f>'Αποτελέσματα Colloid Fit '!L12</f>
        <v>0.125</v>
      </c>
      <c r="N70" s="121">
        <f t="shared" si="13"/>
        <v>0.12867349979386769</v>
      </c>
      <c r="O70" s="69">
        <f>'Αποτελέσματα Colloid Fit '!N36</f>
        <v>8.4174579559999998</v>
      </c>
      <c r="P70">
        <f t="shared" si="14"/>
        <v>0.125</v>
      </c>
      <c r="Q70">
        <f t="shared" si="15"/>
        <v>0.11880071218974082</v>
      </c>
      <c r="R70">
        <f>0</f>
        <v>0</v>
      </c>
      <c r="S70">
        <f t="shared" si="16"/>
        <v>0.125</v>
      </c>
      <c r="T70" t="e">
        <f t="shared" si="17"/>
        <v>#NUM!</v>
      </c>
    </row>
    <row r="71" spans="12:20">
      <c r="L71" s="121">
        <f>'Αποτελέσματα Colloid Fit '!N13</f>
        <v>7.7942794189999995</v>
      </c>
      <c r="M71" s="16">
        <f>'Αποτελέσματα Colloid Fit '!L13</f>
        <v>0.25</v>
      </c>
      <c r="N71" s="121">
        <f t="shared" si="13"/>
        <v>0.12829922385927234</v>
      </c>
      <c r="O71" s="69">
        <f>'Αποτελέσματα Colloid Fit '!N37</f>
        <v>8.1621534709999999</v>
      </c>
      <c r="P71">
        <f t="shared" si="14"/>
        <v>0.25</v>
      </c>
      <c r="Q71">
        <f t="shared" si="15"/>
        <v>0.12251668674853811</v>
      </c>
      <c r="R71">
        <f>0</f>
        <v>0</v>
      </c>
      <c r="S71">
        <f t="shared" si="16"/>
        <v>0.25</v>
      </c>
      <c r="T71" t="e">
        <f t="shared" si="17"/>
        <v>#NUM!</v>
      </c>
    </row>
    <row r="72" spans="12:20">
      <c r="L72" s="121">
        <f>'Αποτελέσματα Colloid Fit '!N14</f>
        <v>7.6487445959999993</v>
      </c>
      <c r="M72" s="16">
        <f>'Αποτελέσματα Colloid Fit '!L14</f>
        <v>0.5</v>
      </c>
      <c r="N72" s="121">
        <f t="shared" si="13"/>
        <v>0.13074040941607093</v>
      </c>
      <c r="O72" s="69">
        <f>'Αποτελέσματα Colloid Fit '!N38</f>
        <v>7.6474104579999995</v>
      </c>
      <c r="P72">
        <f t="shared" si="14"/>
        <v>0.5</v>
      </c>
      <c r="Q72">
        <f t="shared" si="15"/>
        <v>0.13076321788820611</v>
      </c>
      <c r="R72">
        <f>0</f>
        <v>0</v>
      </c>
      <c r="S72">
        <f t="shared" si="16"/>
        <v>0.5</v>
      </c>
      <c r="T72" t="e">
        <f t="shared" si="17"/>
        <v>#NUM!</v>
      </c>
    </row>
    <row r="73" spans="12:20">
      <c r="L73" s="121">
        <f>'Αποτελέσματα Colloid Fit '!N15</f>
        <v>7.6995132319999993</v>
      </c>
      <c r="M73" s="16">
        <f>'Αποτελέσματα Colloid Fit '!L15</f>
        <v>1</v>
      </c>
      <c r="N73" s="121">
        <f t="shared" si="13"/>
        <v>0.12987834034025594</v>
      </c>
      <c r="O73" s="69">
        <f>'Αποτελέσματα Colloid Fit '!N39</f>
        <v>7.1959475289999997</v>
      </c>
      <c r="P73">
        <f t="shared" si="14"/>
        <v>1</v>
      </c>
      <c r="Q73">
        <f t="shared" si="15"/>
        <v>0.13896710557851541</v>
      </c>
      <c r="R73">
        <f>0</f>
        <v>0</v>
      </c>
      <c r="S73">
        <f t="shared" si="16"/>
        <v>1</v>
      </c>
      <c r="T73" t="e">
        <f t="shared" si="17"/>
        <v>#NUM!</v>
      </c>
    </row>
    <row r="74" spans="12:20">
      <c r="L74" s="121">
        <f>'Αποτελέσματα Colloid Fit '!N16</f>
        <v>7.3311372049999992</v>
      </c>
      <c r="M74" s="16">
        <f>'Αποτελέσματα Colloid Fit '!L16</f>
        <v>2</v>
      </c>
      <c r="N74" s="121">
        <f t="shared" si="13"/>
        <v>0.13640448569397634</v>
      </c>
      <c r="O74" s="69">
        <f>'Αποτελέσματα Colloid Fit '!N40</f>
        <v>6.815744971</v>
      </c>
      <c r="P74">
        <f t="shared" si="14"/>
        <v>2</v>
      </c>
      <c r="Q74">
        <f t="shared" si="15"/>
        <v>0.14671910469873126</v>
      </c>
      <c r="R74">
        <f>0</f>
        <v>0</v>
      </c>
      <c r="S74">
        <f t="shared" si="16"/>
        <v>2</v>
      </c>
      <c r="T74" t="e">
        <f t="shared" si="17"/>
        <v>#NUM!</v>
      </c>
    </row>
    <row r="75" spans="12:20">
      <c r="L75" s="121">
        <f>'Αποτελέσματα Colloid Fit '!N17</f>
        <v>6.884640482</v>
      </c>
      <c r="M75" s="16">
        <f>'Αποτελέσματα Colloid Fit '!L17</f>
        <v>3</v>
      </c>
      <c r="N75" s="121">
        <f t="shared" si="13"/>
        <v>0.14525086714615174</v>
      </c>
      <c r="O75" s="69">
        <f>'Αποτελέσματα Colloid Fit '!N41</f>
        <v>6.2987843439999995</v>
      </c>
      <c r="P75">
        <f t="shared" si="14"/>
        <v>3</v>
      </c>
      <c r="Q75">
        <f t="shared" si="15"/>
        <v>0.15876079341445701</v>
      </c>
      <c r="R75">
        <f>0</f>
        <v>0</v>
      </c>
      <c r="S75">
        <f t="shared" si="16"/>
        <v>3</v>
      </c>
      <c r="T75" t="e">
        <f t="shared" si="17"/>
        <v>#NUM!</v>
      </c>
    </row>
    <row r="76" spans="12:20">
      <c r="L76" s="121">
        <f>'Αποτελέσματα Colloid Fit '!N18</f>
        <v>6.1752873389999996</v>
      </c>
      <c r="M76" s="16">
        <f>'Αποτελέσματα Colloid Fit '!L18</f>
        <v>5</v>
      </c>
      <c r="N76" s="121">
        <f t="shared" si="13"/>
        <v>0.16193578453985524</v>
      </c>
      <c r="O76" s="69">
        <f>'Αποτελέσματα Colloid Fit '!N42</f>
        <v>5.3288213979999997</v>
      </c>
      <c r="P76">
        <f t="shared" si="14"/>
        <v>5</v>
      </c>
      <c r="Q76">
        <f t="shared" si="15"/>
        <v>0.18765875703308757</v>
      </c>
      <c r="R76">
        <f>0</f>
        <v>0</v>
      </c>
      <c r="S76">
        <f t="shared" si="16"/>
        <v>5</v>
      </c>
      <c r="T76" t="e">
        <f t="shared" si="17"/>
        <v>#NUM!</v>
      </c>
    </row>
    <row r="77" spans="12:20">
      <c r="L77" s="121">
        <f>'Αποτελέσματα Colloid Fit '!N19</f>
        <v>5.9434038920000001</v>
      </c>
      <c r="M77" s="16">
        <f>'Αποτελέσματα Colloid Fit '!L19</f>
        <v>7</v>
      </c>
      <c r="N77" s="121">
        <f t="shared" si="13"/>
        <v>0.16825375124615541</v>
      </c>
      <c r="O77" s="69">
        <f>'Αποτελέσματα Colloid Fit '!N43</f>
        <v>4.2070210540000001</v>
      </c>
      <c r="P77">
        <f t="shared" si="14"/>
        <v>7</v>
      </c>
      <c r="Q77">
        <f t="shared" si="15"/>
        <v>0.23769788341068757</v>
      </c>
      <c r="R77">
        <f>0</f>
        <v>0</v>
      </c>
      <c r="S77">
        <f t="shared" si="16"/>
        <v>7</v>
      </c>
      <c r="T77" t="e">
        <f t="shared" si="17"/>
        <v>#NUM!</v>
      </c>
    </row>
    <row r="78" spans="12:20">
      <c r="L78" s="121">
        <f>'Αποτελέσματα Colloid Fit '!N20</f>
        <v>5.5246541159999998</v>
      </c>
      <c r="M78" s="16">
        <f>'Αποτελέσματα Colloid Fit '!L20</f>
        <v>10</v>
      </c>
      <c r="N78" s="121">
        <f t="shared" si="13"/>
        <v>0.18100680676169231</v>
      </c>
      <c r="O78" s="69">
        <f>'Αποτελέσματα Colloid Fit '!N44</f>
        <v>3.5132380599999999</v>
      </c>
      <c r="P78">
        <f t="shared" si="14"/>
        <v>10</v>
      </c>
      <c r="Q78">
        <f t="shared" si="15"/>
        <v>0.28463769972934883</v>
      </c>
      <c r="R78">
        <f>0</f>
        <v>0</v>
      </c>
      <c r="S78">
        <f t="shared" si="16"/>
        <v>10</v>
      </c>
      <c r="T78" t="e">
        <f t="shared" si="17"/>
        <v>#NUM!</v>
      </c>
    </row>
    <row r="79" spans="12:20">
      <c r="L79" s="121">
        <f>'Αποτελέσματα Colloid Fit '!N21</f>
        <v>4.9578752589999997</v>
      </c>
      <c r="M79" s="16">
        <f>'Αποτελέσματα Colloid Fit '!L21</f>
        <v>12</v>
      </c>
      <c r="N79" s="121">
        <f t="shared" si="13"/>
        <v>0.20169930620676796</v>
      </c>
      <c r="O79" s="69">
        <f>'Αποτελέσματα Colloid Fit '!N45</f>
        <v>2.8224379129999999</v>
      </c>
      <c r="P79">
        <f t="shared" si="14"/>
        <v>12</v>
      </c>
      <c r="Q79">
        <f t="shared" si="15"/>
        <v>0.35430363069956394</v>
      </c>
      <c r="R79">
        <f>0</f>
        <v>0</v>
      </c>
      <c r="S79">
        <f t="shared" si="16"/>
        <v>12</v>
      </c>
      <c r="T79" t="e">
        <f t="shared" si="17"/>
        <v>#NUM!</v>
      </c>
    </row>
    <row r="80" spans="12:20">
      <c r="L80" s="121">
        <f>'Αποτελέσματα Colloid Fit '!N22</f>
        <v>4.8524649709999998</v>
      </c>
      <c r="M80" s="16">
        <f>'Αποτελέσματα Colloid Fit '!L22</f>
        <v>14</v>
      </c>
      <c r="N80" s="121">
        <f t="shared" si="13"/>
        <v>0.20608082819275236</v>
      </c>
      <c r="O80" s="69">
        <f>'Αποτελέσματα Colloid Fit '!N46</f>
        <v>2.1746358289999996</v>
      </c>
      <c r="P80">
        <f t="shared" si="14"/>
        <v>14</v>
      </c>
      <c r="Q80">
        <f t="shared" si="15"/>
        <v>0.45984710941686602</v>
      </c>
      <c r="R80">
        <f>0</f>
        <v>0</v>
      </c>
      <c r="S80">
        <f t="shared" si="16"/>
        <v>14</v>
      </c>
      <c r="T80" t="e">
        <f t="shared" si="17"/>
        <v>#NUM!</v>
      </c>
    </row>
    <row r="81" spans="12:20">
      <c r="L81" s="121">
        <f>'Αποτελέσματα Colloid Fit '!N23</f>
        <v>4.7606013149999997</v>
      </c>
      <c r="M81" s="16">
        <f>'Αποτελέσματα Colloid Fit '!L23</f>
        <v>16</v>
      </c>
      <c r="N81" s="121">
        <f t="shared" si="13"/>
        <v>0.21005749774700469</v>
      </c>
      <c r="O81" s="69">
        <f>'Αποτελέσματα Colloid Fit '!N47</f>
        <v>1.9526557909999998</v>
      </c>
      <c r="P81">
        <f t="shared" si="14"/>
        <v>16</v>
      </c>
      <c r="Q81">
        <f t="shared" si="15"/>
        <v>0.51212302988018032</v>
      </c>
      <c r="R81">
        <f>0</f>
        <v>0</v>
      </c>
      <c r="S81">
        <f t="shared" si="16"/>
        <v>16</v>
      </c>
      <c r="T81" t="e">
        <f t="shared" si="17"/>
        <v>#NUM!</v>
      </c>
    </row>
    <row r="82" spans="12:20">
      <c r="L82" s="121">
        <f>'Αποτελέσματα Colloid Fit '!N24</f>
        <v>4.4067357119999997</v>
      </c>
      <c r="M82" s="16">
        <f>'Αποτελέσματα Colloid Fit '!L24</f>
        <v>18</v>
      </c>
      <c r="N82" s="121">
        <f t="shared" si="13"/>
        <v>0.22692534005996684</v>
      </c>
      <c r="O82" s="69">
        <f>'Αποτελέσματα Colloid Fit '!N48</f>
        <v>1.9236371739999998</v>
      </c>
      <c r="P82">
        <f t="shared" si="14"/>
        <v>18</v>
      </c>
      <c r="Q82">
        <f t="shared" si="15"/>
        <v>0.51984855227173943</v>
      </c>
      <c r="R82">
        <f>0</f>
        <v>0</v>
      </c>
      <c r="S82">
        <f t="shared" si="16"/>
        <v>18</v>
      </c>
      <c r="T82" t="e">
        <f t="shared" si="17"/>
        <v>#NUM!</v>
      </c>
    </row>
    <row r="83" spans="12:20">
      <c r="L83" s="121">
        <f>'Αποτελέσματα Colloid Fit '!N25</f>
        <v>4.3255116949999994</v>
      </c>
      <c r="M83" s="16">
        <f>'Αποτελέσματα Colloid Fit '!L25</f>
        <v>20</v>
      </c>
      <c r="N83" s="121">
        <f t="shared" si="13"/>
        <v>0.23118652092790148</v>
      </c>
      <c r="O83" s="69">
        <f>'Αποτελέσματα Colloid Fit '!N49</f>
        <v>1.9180819839999999</v>
      </c>
      <c r="P83">
        <f t="shared" si="14"/>
        <v>20</v>
      </c>
      <c r="Q83">
        <f t="shared" si="15"/>
        <v>0.52135414874946251</v>
      </c>
      <c r="R83">
        <f>0</f>
        <v>0</v>
      </c>
      <c r="S83">
        <f t="shared" si="16"/>
        <v>20</v>
      </c>
      <c r="T83" t="e">
        <f t="shared" si="17"/>
        <v>#NUM!</v>
      </c>
    </row>
    <row r="86" spans="12:20">
      <c r="R86" t="s">
        <v>102</v>
      </c>
      <c r="S86" t="s">
        <v>107</v>
      </c>
      <c r="T86" t="s">
        <v>108</v>
      </c>
    </row>
    <row r="87" spans="12:20">
      <c r="Q87" t="str">
        <f t="shared" ref="Q87:Q104" si="18">M66</f>
        <v>Time (days)</v>
      </c>
      <c r="R87" t="s">
        <v>114</v>
      </c>
      <c r="S87" t="s">
        <v>114</v>
      </c>
      <c r="T87" t="s">
        <v>114</v>
      </c>
    </row>
    <row r="88" spans="12:20">
      <c r="L88" s="16" t="s">
        <v>89</v>
      </c>
      <c r="M88" s="36" t="str">
        <f t="shared" ref="M88:M105" si="19">N66</f>
        <v>1/Ct</v>
      </c>
      <c r="N88" s="36" t="str">
        <f t="shared" ref="N88:N105" si="20">Q66</f>
        <v>1/Ct</v>
      </c>
      <c r="O88" s="36" t="str">
        <f t="shared" ref="O88:O105" si="21">T66</f>
        <v>1/Ct</v>
      </c>
      <c r="Q88">
        <f t="shared" si="18"/>
        <v>0</v>
      </c>
      <c r="R88">
        <f t="shared" ref="R88:R104" si="22">L67/(1+0.0055*Q88)</f>
        <v>8.7610966550000011</v>
      </c>
      <c r="S88">
        <f t="shared" ref="S88:S104" si="23">O67/(1+0.0222*Q88)</f>
        <v>8.7610966550000011</v>
      </c>
      <c r="T88">
        <f t="shared" ref="T88:T104" si="24">R67*EXP(-0.0129*Q88)</f>
        <v>0</v>
      </c>
    </row>
    <row r="89" spans="12:20">
      <c r="L89" s="16">
        <f t="shared" ref="L89:L105" si="25">M67</f>
        <v>0</v>
      </c>
      <c r="M89" s="72">
        <f t="shared" si="19"/>
        <v>0.11414096195700513</v>
      </c>
      <c r="N89" s="36">
        <f t="shared" si="20"/>
        <v>0.11414096195700513</v>
      </c>
      <c r="O89" s="36" t="e">
        <f t="shared" si="21"/>
        <v>#NUM!</v>
      </c>
      <c r="Q89">
        <f t="shared" si="18"/>
        <v>4.1666666666666664E-2</v>
      </c>
      <c r="R89">
        <f t="shared" si="22"/>
        <v>7.7294198756118382</v>
      </c>
      <c r="S89">
        <f t="shared" si="23"/>
        <v>8.5549143891899995</v>
      </c>
      <c r="T89">
        <f t="shared" si="24"/>
        <v>0</v>
      </c>
    </row>
    <row r="90" spans="12:20">
      <c r="L90" s="16">
        <f t="shared" si="25"/>
        <v>4.1666666666666664E-2</v>
      </c>
      <c r="M90" s="72">
        <f t="shared" si="19"/>
        <v>0.12934617370097559</v>
      </c>
      <c r="N90" s="36">
        <f t="shared" si="20"/>
        <v>0.11678385187544504</v>
      </c>
      <c r="O90" s="36" t="e">
        <f t="shared" si="21"/>
        <v>#NUM!</v>
      </c>
      <c r="Q90">
        <f t="shared" si="18"/>
        <v>8.3333333333333329E-2</v>
      </c>
      <c r="R90">
        <f t="shared" si="22"/>
        <v>7.9757990754237653</v>
      </c>
      <c r="S90">
        <f t="shared" si="23"/>
        <v>8.6323920686729565</v>
      </c>
      <c r="T90">
        <f t="shared" si="24"/>
        <v>0</v>
      </c>
    </row>
    <row r="91" spans="12:20">
      <c r="L91" s="16">
        <f t="shared" si="25"/>
        <v>8.3333333333333329E-2</v>
      </c>
      <c r="M91" s="72">
        <f t="shared" si="19"/>
        <v>0.12532184765283427</v>
      </c>
      <c r="N91" s="36">
        <f t="shared" si="20"/>
        <v>0.11562883245333312</v>
      </c>
      <c r="O91" s="36" t="e">
        <f t="shared" si="21"/>
        <v>#NUM!</v>
      </c>
      <c r="Q91">
        <f t="shared" si="18"/>
        <v>0.125</v>
      </c>
      <c r="R91">
        <f t="shared" si="22"/>
        <v>7.7662686872774964</v>
      </c>
      <c r="S91">
        <f t="shared" si="23"/>
        <v>8.3941641504824105</v>
      </c>
      <c r="T91">
        <f t="shared" si="24"/>
        <v>0</v>
      </c>
    </row>
    <row r="92" spans="12:20">
      <c r="L92" s="16">
        <f t="shared" si="25"/>
        <v>0.125</v>
      </c>
      <c r="M92" s="72">
        <f t="shared" si="19"/>
        <v>0.12867349979386769</v>
      </c>
      <c r="N92" s="36">
        <f t="shared" si="20"/>
        <v>0.11880071218974082</v>
      </c>
      <c r="O92" s="36" t="e">
        <f t="shared" si="21"/>
        <v>#NUM!</v>
      </c>
      <c r="Q92">
        <f t="shared" si="18"/>
        <v>0.25</v>
      </c>
      <c r="R92">
        <f t="shared" si="22"/>
        <v>7.7835770006241418</v>
      </c>
      <c r="S92">
        <f t="shared" si="23"/>
        <v>8.1171035463179351</v>
      </c>
      <c r="T92">
        <f t="shared" si="24"/>
        <v>0</v>
      </c>
    </row>
    <row r="93" spans="12:20">
      <c r="L93" s="16">
        <f t="shared" si="25"/>
        <v>0.25</v>
      </c>
      <c r="M93" s="72">
        <f t="shared" si="19"/>
        <v>0.12829922385927234</v>
      </c>
      <c r="N93" s="36">
        <f t="shared" si="20"/>
        <v>0.12251668674853811</v>
      </c>
      <c r="O93" s="36" t="e">
        <f t="shared" si="21"/>
        <v>#NUM!</v>
      </c>
      <c r="Q93">
        <f t="shared" si="18"/>
        <v>0.5</v>
      </c>
      <c r="R93">
        <f t="shared" si="22"/>
        <v>7.6277682333582639</v>
      </c>
      <c r="S93">
        <f t="shared" si="23"/>
        <v>7.5634560953417056</v>
      </c>
      <c r="T93">
        <f t="shared" si="24"/>
        <v>0</v>
      </c>
    </row>
    <row r="94" spans="12:20">
      <c r="L94" s="16">
        <f t="shared" si="25"/>
        <v>0.5</v>
      </c>
      <c r="M94" s="72">
        <f t="shared" si="19"/>
        <v>0.13074040941607093</v>
      </c>
      <c r="N94" s="36">
        <f t="shared" si="20"/>
        <v>0.13076321788820611</v>
      </c>
      <c r="O94" s="36" t="e">
        <f t="shared" si="21"/>
        <v>#NUM!</v>
      </c>
      <c r="Q94">
        <f t="shared" si="18"/>
        <v>1</v>
      </c>
      <c r="R94">
        <f t="shared" si="22"/>
        <v>7.6573975454997498</v>
      </c>
      <c r="S94">
        <f t="shared" si="23"/>
        <v>7.0396669233026801</v>
      </c>
      <c r="T94">
        <f t="shared" si="24"/>
        <v>0</v>
      </c>
    </row>
    <row r="95" spans="12:20">
      <c r="L95" s="16">
        <f t="shared" si="25"/>
        <v>1</v>
      </c>
      <c r="M95" s="72">
        <f t="shared" si="19"/>
        <v>0.12987834034025594</v>
      </c>
      <c r="N95" s="36">
        <f t="shared" si="20"/>
        <v>0.13896710557851541</v>
      </c>
      <c r="O95" s="36" t="e">
        <f t="shared" si="21"/>
        <v>#NUM!</v>
      </c>
      <c r="Q95">
        <f t="shared" si="18"/>
        <v>2</v>
      </c>
      <c r="R95">
        <f t="shared" si="22"/>
        <v>7.2513721117705243</v>
      </c>
      <c r="S95">
        <f t="shared" si="23"/>
        <v>6.5259909718498657</v>
      </c>
      <c r="T95">
        <f t="shared" si="24"/>
        <v>0</v>
      </c>
    </row>
    <row r="96" spans="12:20">
      <c r="L96" s="16">
        <f t="shared" si="25"/>
        <v>2</v>
      </c>
      <c r="M96" s="72">
        <f t="shared" si="19"/>
        <v>0.13640448569397634</v>
      </c>
      <c r="N96" s="36">
        <f t="shared" si="20"/>
        <v>0.14671910469873126</v>
      </c>
      <c r="O96" s="36" t="e">
        <f t="shared" si="21"/>
        <v>#NUM!</v>
      </c>
      <c r="Q96">
        <f t="shared" si="18"/>
        <v>3</v>
      </c>
      <c r="R96">
        <f t="shared" si="22"/>
        <v>6.7728878327594693</v>
      </c>
      <c r="S96">
        <f t="shared" si="23"/>
        <v>5.9054794149634349</v>
      </c>
      <c r="T96">
        <f t="shared" si="24"/>
        <v>0</v>
      </c>
    </row>
    <row r="97" spans="12:20">
      <c r="L97" s="16">
        <f t="shared" si="25"/>
        <v>3</v>
      </c>
      <c r="M97" s="72">
        <f t="shared" si="19"/>
        <v>0.14525086714615174</v>
      </c>
      <c r="N97" s="36">
        <f t="shared" si="20"/>
        <v>0.15876079341445701</v>
      </c>
      <c r="O97" s="36" t="e">
        <f t="shared" si="21"/>
        <v>#NUM!</v>
      </c>
      <c r="Q97">
        <f t="shared" si="18"/>
        <v>5</v>
      </c>
      <c r="R97">
        <f t="shared" si="22"/>
        <v>6.0100120087591229</v>
      </c>
      <c r="S97">
        <f t="shared" si="23"/>
        <v>4.7964189000900088</v>
      </c>
      <c r="T97">
        <f t="shared" si="24"/>
        <v>0</v>
      </c>
    </row>
    <row r="98" spans="12:20">
      <c r="L98" s="16">
        <f t="shared" si="25"/>
        <v>5</v>
      </c>
      <c r="M98" s="72">
        <f t="shared" si="19"/>
        <v>0.16193578453985524</v>
      </c>
      <c r="N98" s="36">
        <f t="shared" si="20"/>
        <v>0.18765875703308757</v>
      </c>
      <c r="O98" s="36" t="e">
        <f t="shared" si="21"/>
        <v>#NUM!</v>
      </c>
      <c r="Q98">
        <f t="shared" si="18"/>
        <v>7</v>
      </c>
      <c r="R98">
        <f t="shared" si="22"/>
        <v>5.7230658565238324</v>
      </c>
      <c r="S98">
        <f t="shared" si="23"/>
        <v>3.6411814557728928</v>
      </c>
      <c r="T98">
        <f t="shared" si="24"/>
        <v>0</v>
      </c>
    </row>
    <row r="99" spans="12:20">
      <c r="L99" s="16">
        <f t="shared" si="25"/>
        <v>7</v>
      </c>
      <c r="M99" s="72">
        <f t="shared" si="19"/>
        <v>0.16825375124615541</v>
      </c>
      <c r="N99" s="36">
        <f t="shared" si="20"/>
        <v>0.23769788341068757</v>
      </c>
      <c r="O99" s="36" t="e">
        <f t="shared" si="21"/>
        <v>#NUM!</v>
      </c>
      <c r="Q99">
        <f t="shared" si="18"/>
        <v>10</v>
      </c>
      <c r="R99">
        <f t="shared" si="22"/>
        <v>5.2366389725118481</v>
      </c>
      <c r="S99">
        <f t="shared" si="23"/>
        <v>2.8749902291325697</v>
      </c>
      <c r="T99">
        <f t="shared" si="24"/>
        <v>0</v>
      </c>
    </row>
    <row r="100" spans="12:20">
      <c r="L100" s="16">
        <f t="shared" si="25"/>
        <v>10</v>
      </c>
      <c r="M100" s="72">
        <f t="shared" si="19"/>
        <v>0.18100680676169231</v>
      </c>
      <c r="N100" s="36">
        <f t="shared" si="20"/>
        <v>0.28463769972934883</v>
      </c>
      <c r="O100" s="36" t="e">
        <f t="shared" si="21"/>
        <v>#NUM!</v>
      </c>
      <c r="Q100">
        <f t="shared" si="18"/>
        <v>12</v>
      </c>
      <c r="R100">
        <f t="shared" si="22"/>
        <v>4.6509148771106936</v>
      </c>
      <c r="S100">
        <f t="shared" si="23"/>
        <v>2.2287096596651925</v>
      </c>
      <c r="T100">
        <f t="shared" si="24"/>
        <v>0</v>
      </c>
    </row>
    <row r="101" spans="12:20">
      <c r="L101" s="16">
        <f t="shared" si="25"/>
        <v>12</v>
      </c>
      <c r="M101" s="72">
        <f t="shared" si="19"/>
        <v>0.20169930620676796</v>
      </c>
      <c r="N101" s="36">
        <f t="shared" si="20"/>
        <v>0.35430363069956394</v>
      </c>
      <c r="O101" s="36" t="e">
        <f t="shared" si="21"/>
        <v>#NUM!</v>
      </c>
      <c r="Q101">
        <f t="shared" si="18"/>
        <v>14</v>
      </c>
      <c r="R101">
        <f t="shared" si="22"/>
        <v>4.5055385060352835</v>
      </c>
      <c r="S101">
        <f t="shared" si="23"/>
        <v>1.6590142119316447</v>
      </c>
      <c r="T101">
        <f t="shared" si="24"/>
        <v>0</v>
      </c>
    </row>
    <row r="102" spans="12:20">
      <c r="L102" s="16">
        <f t="shared" si="25"/>
        <v>14</v>
      </c>
      <c r="M102" s="72">
        <f t="shared" si="19"/>
        <v>0.20608082819275236</v>
      </c>
      <c r="N102" s="36">
        <f t="shared" si="20"/>
        <v>0.45984710941686602</v>
      </c>
      <c r="O102" s="36" t="e">
        <f t="shared" si="21"/>
        <v>#NUM!</v>
      </c>
      <c r="Q102">
        <f t="shared" si="18"/>
        <v>16</v>
      </c>
      <c r="R102">
        <f t="shared" si="22"/>
        <v>4.3755526792279404</v>
      </c>
      <c r="S102">
        <f t="shared" si="23"/>
        <v>1.4408617111865405</v>
      </c>
      <c r="T102">
        <f t="shared" si="24"/>
        <v>0</v>
      </c>
    </row>
    <row r="103" spans="12:20">
      <c r="L103" s="16">
        <f t="shared" si="25"/>
        <v>16</v>
      </c>
      <c r="M103" s="72">
        <f t="shared" si="19"/>
        <v>0.21005749774700469</v>
      </c>
      <c r="N103" s="36">
        <f t="shared" si="20"/>
        <v>0.51212302988018032</v>
      </c>
      <c r="O103" s="36" t="e">
        <f t="shared" si="21"/>
        <v>#NUM!</v>
      </c>
      <c r="Q103">
        <f t="shared" si="18"/>
        <v>18</v>
      </c>
      <c r="R103">
        <f t="shared" si="22"/>
        <v>4.0097686187443129</v>
      </c>
      <c r="S103">
        <f t="shared" si="23"/>
        <v>1.374419244069734</v>
      </c>
      <c r="T103">
        <f t="shared" si="24"/>
        <v>0</v>
      </c>
    </row>
    <row r="104" spans="12:20">
      <c r="L104" s="16">
        <f t="shared" si="25"/>
        <v>18</v>
      </c>
      <c r="M104" s="72">
        <f t="shared" si="19"/>
        <v>0.22692534005996684</v>
      </c>
      <c r="N104" s="36">
        <f t="shared" si="20"/>
        <v>0.51984855227173943</v>
      </c>
      <c r="O104" s="36" t="e">
        <f t="shared" si="21"/>
        <v>#NUM!</v>
      </c>
      <c r="Q104">
        <f t="shared" si="18"/>
        <v>20</v>
      </c>
      <c r="R104">
        <f t="shared" si="22"/>
        <v>3.896857382882883</v>
      </c>
      <c r="S104">
        <f t="shared" si="23"/>
        <v>1.328311623268698</v>
      </c>
      <c r="T104">
        <f t="shared" si="24"/>
        <v>0</v>
      </c>
    </row>
    <row r="105" spans="12:20">
      <c r="L105" s="16">
        <f t="shared" si="25"/>
        <v>20</v>
      </c>
      <c r="M105" s="72">
        <f t="shared" si="19"/>
        <v>0.23118652092790148</v>
      </c>
      <c r="N105" s="36">
        <f t="shared" si="20"/>
        <v>0.52135414874946251</v>
      </c>
      <c r="O105" s="36" t="e">
        <f t="shared" si="21"/>
        <v>#NUM!</v>
      </c>
    </row>
  </sheetData>
  <mergeCells count="8">
    <mergeCell ref="A55:C55"/>
    <mergeCell ref="D55:F55"/>
    <mergeCell ref="L65:N65"/>
    <mergeCell ref="O65:Q65"/>
    <mergeCell ref="R65:T65"/>
    <mergeCell ref="L14:N14"/>
    <mergeCell ref="O14:Q14"/>
    <mergeCell ref="R14:T1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1"/>
  <sheetViews>
    <sheetView topLeftCell="C15" zoomScale="85" zoomScaleNormal="85" zoomScalePageLayoutView="85" workbookViewId="0">
      <selection activeCell="K29" sqref="K29:N46"/>
    </sheetView>
  </sheetViews>
  <sheetFormatPr baseColWidth="10" defaultColWidth="8.83203125" defaultRowHeight="14" x14ac:dyDescent="0"/>
  <cols>
    <col min="1" max="3" width="8.83203125" style="114"/>
    <col min="4" max="4" width="7" style="114" bestFit="1" customWidth="1"/>
    <col min="5" max="6" width="14.33203125" style="114" bestFit="1" customWidth="1"/>
    <col min="7" max="7" width="15.6640625" style="114" bestFit="1" customWidth="1"/>
    <col min="8" max="8" width="14.33203125" style="114" bestFit="1" customWidth="1"/>
    <col min="9" max="9" width="16.1640625" style="114" bestFit="1" customWidth="1"/>
    <col min="10" max="10" width="10.1640625" style="114" bestFit="1" customWidth="1"/>
    <col min="11" max="11" width="9.33203125" style="114" bestFit="1" customWidth="1"/>
    <col min="12" max="12" width="14.33203125" style="114" bestFit="1" customWidth="1"/>
    <col min="13" max="13" width="15.6640625" style="114" bestFit="1" customWidth="1"/>
    <col min="14" max="14" width="14.33203125" style="114" bestFit="1" customWidth="1"/>
    <col min="15" max="15" width="9.1640625" style="114" bestFit="1" customWidth="1"/>
    <col min="16" max="16" width="14.33203125" style="114" bestFit="1" customWidth="1"/>
    <col min="17" max="17" width="6.6640625" style="114" bestFit="1" customWidth="1"/>
    <col min="18" max="19" width="14.33203125" style="114" bestFit="1" customWidth="1"/>
    <col min="20" max="20" width="6.6640625" style="114" bestFit="1" customWidth="1"/>
    <col min="21" max="21" width="9.33203125" style="114" bestFit="1" customWidth="1"/>
    <col min="22" max="22" width="11.1640625" style="114" bestFit="1" customWidth="1"/>
    <col min="23" max="23" width="6.6640625" style="114" bestFit="1" customWidth="1"/>
    <col min="24" max="1025" width="8.83203125" style="114"/>
  </cols>
  <sheetData>
    <row r="1" spans="4:23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4:23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4:23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4:23"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4:23">
      <c r="D5"/>
      <c r="E5" s="114">
        <v>1</v>
      </c>
      <c r="F5"/>
      <c r="G5"/>
      <c r="H5" s="114">
        <v>2</v>
      </c>
      <c r="I5"/>
      <c r="J5"/>
      <c r="K5" s="114">
        <v>3</v>
      </c>
      <c r="L5"/>
      <c r="M5"/>
      <c r="N5"/>
      <c r="O5" s="114">
        <v>4</v>
      </c>
      <c r="P5"/>
      <c r="Q5"/>
      <c r="R5" s="114">
        <v>5</v>
      </c>
      <c r="S5"/>
      <c r="T5"/>
      <c r="U5" s="114">
        <v>6</v>
      </c>
      <c r="V5"/>
      <c r="W5"/>
    </row>
    <row r="6" spans="4:23">
      <c r="D6"/>
      <c r="E6" s="214" t="s">
        <v>102</v>
      </c>
      <c r="F6" s="214"/>
      <c r="G6" s="214"/>
      <c r="H6" s="214" t="s">
        <v>103</v>
      </c>
      <c r="I6" s="214"/>
      <c r="J6" s="214"/>
      <c r="K6" s="214" t="s">
        <v>104</v>
      </c>
      <c r="L6" s="214"/>
      <c r="M6" s="214"/>
      <c r="N6"/>
      <c r="O6" s="214" t="s">
        <v>115</v>
      </c>
      <c r="P6" s="214"/>
      <c r="Q6" s="214"/>
      <c r="R6" s="214" t="s">
        <v>111</v>
      </c>
      <c r="S6" s="214"/>
      <c r="T6" s="214"/>
      <c r="U6" s="214" t="s">
        <v>112</v>
      </c>
      <c r="V6" s="214"/>
      <c r="W6" s="214"/>
    </row>
    <row r="7" spans="4:23">
      <c r="D7"/>
      <c r="E7" s="135" t="s">
        <v>116</v>
      </c>
      <c r="F7" s="134" t="s">
        <v>89</v>
      </c>
      <c r="G7" s="135" t="s">
        <v>117</v>
      </c>
      <c r="H7" s="135" t="s">
        <v>116</v>
      </c>
      <c r="I7" s="134" t="s">
        <v>89</v>
      </c>
      <c r="J7" s="135" t="s">
        <v>117</v>
      </c>
      <c r="K7" s="135" t="s">
        <v>116</v>
      </c>
      <c r="L7" s="134" t="s">
        <v>89</v>
      </c>
      <c r="M7" s="135" t="s">
        <v>117</v>
      </c>
      <c r="N7"/>
      <c r="O7" s="135" t="s">
        <v>116</v>
      </c>
      <c r="P7" s="134" t="s">
        <v>89</v>
      </c>
      <c r="Q7" s="135" t="s">
        <v>117</v>
      </c>
      <c r="R7" s="135" t="s">
        <v>116</v>
      </c>
      <c r="S7" s="134" t="s">
        <v>89</v>
      </c>
      <c r="T7" s="135" t="s">
        <v>117</v>
      </c>
      <c r="U7" s="135" t="s">
        <v>116</v>
      </c>
      <c r="V7" s="134" t="s">
        <v>89</v>
      </c>
      <c r="W7" s="135" t="s">
        <v>117</v>
      </c>
    </row>
    <row r="8" spans="4:23">
      <c r="D8"/>
      <c r="E8" s="136">
        <f>'Αποτελέσματα Colloid Fit '!F9</f>
        <v>0</v>
      </c>
      <c r="F8" s="134">
        <f>'Αποτελέσματα Colloid Fit '!E9</f>
        <v>0</v>
      </c>
      <c r="G8" s="136">
        <f t="shared" ref="G8:G24" si="0">F8^(1/2)</f>
        <v>0</v>
      </c>
      <c r="H8" s="138">
        <f>'Αποτελέσματα Colloid Fit '!F33</f>
        <v>0</v>
      </c>
      <c r="I8" s="137">
        <f t="shared" ref="I8:I24" si="1">F8</f>
        <v>0</v>
      </c>
      <c r="J8" s="136">
        <f t="shared" ref="J8:J24" si="2">I8^(1/2)</f>
        <v>0</v>
      </c>
      <c r="K8" s="138">
        <f>'Αποτελέσματα Colloid Fit '!F57</f>
        <v>0</v>
      </c>
      <c r="L8" s="137">
        <f t="shared" ref="L8:L24" si="3">I8</f>
        <v>0</v>
      </c>
      <c r="M8" s="136">
        <f t="shared" ref="M8:M24" si="4">L8^(1/2)</f>
        <v>0</v>
      </c>
      <c r="N8"/>
      <c r="O8" s="136">
        <f>'Αποτελέσματα Colloid Fit '!M9</f>
        <v>0</v>
      </c>
      <c r="P8" s="134">
        <f>'Αποτελέσματα Colloid Fit '!L9</f>
        <v>0</v>
      </c>
      <c r="Q8" s="136">
        <f t="shared" ref="Q8:Q24" si="5">P8^(1/2)</f>
        <v>0</v>
      </c>
      <c r="R8" s="137">
        <f>'Αποτελέσματα Colloid Fit '!M33</f>
        <v>0</v>
      </c>
      <c r="S8" s="137">
        <f t="shared" ref="S8:S24" si="6">P8</f>
        <v>0</v>
      </c>
      <c r="T8" s="136">
        <f t="shared" ref="T8:T24" si="7">S8^(1/2)</f>
        <v>0</v>
      </c>
      <c r="U8" s="138">
        <f>'Αποτελέσματα Colloid Fit '!M57</f>
        <v>0</v>
      </c>
      <c r="V8" s="139">
        <f t="shared" ref="V8:V24" si="8">S8</f>
        <v>0</v>
      </c>
      <c r="W8" s="136">
        <f t="shared" ref="W8:W24" si="9">T8</f>
        <v>0</v>
      </c>
    </row>
    <row r="9" spans="4:23">
      <c r="D9"/>
      <c r="E9" s="136">
        <f>'Αποτελέσματα Colloid Fit '!F10</f>
        <v>0.46668077364344712</v>
      </c>
      <c r="F9" s="134">
        <f>'Αποτελέσματα Colloid Fit '!E10</f>
        <v>4.1666666666666664E-2</v>
      </c>
      <c r="G9" s="136">
        <f t="shared" si="0"/>
        <v>0.20412414523193151</v>
      </c>
      <c r="H9" s="137">
        <f>'Αποτελέσματα Colloid Fit '!F34</f>
        <v>1.9542903568803413E-3</v>
      </c>
      <c r="I9" s="137">
        <f t="shared" si="1"/>
        <v>4.1666666666666664E-2</v>
      </c>
      <c r="J9" s="136">
        <f t="shared" si="2"/>
        <v>0.20412414523193151</v>
      </c>
      <c r="K9" s="138">
        <f>'Αποτελέσματα Colloid Fit '!F58</f>
        <v>8.5390956724687003E-5</v>
      </c>
      <c r="L9" s="137">
        <f t="shared" si="3"/>
        <v>4.1666666666666664E-2</v>
      </c>
      <c r="M9" s="136">
        <f t="shared" si="4"/>
        <v>0.20412414523193151</v>
      </c>
      <c r="N9"/>
      <c r="O9" s="136">
        <f>'Αποτελέσματα Colloid Fit '!M10</f>
        <v>1.0875678252269478</v>
      </c>
      <c r="P9" s="134">
        <f>'Αποτελέσματα Colloid Fit '!L10</f>
        <v>4.1666666666666664E-2</v>
      </c>
      <c r="Q9" s="136">
        <f t="shared" si="5"/>
        <v>0.20412414523193151</v>
      </c>
      <c r="R9" s="137">
        <f>'Αποτελέσματα Colloid Fit '!M34</f>
        <v>3.2342110230573231E-4</v>
      </c>
      <c r="S9" s="137">
        <f t="shared" si="6"/>
        <v>4.1666666666666664E-2</v>
      </c>
      <c r="T9" s="136">
        <f t="shared" si="7"/>
        <v>0.20412414523193151</v>
      </c>
      <c r="U9" s="138">
        <f>'Αποτελέσματα Colloid Fit '!M58</f>
        <v>1.4501137462500057E-4</v>
      </c>
      <c r="V9" s="139">
        <f t="shared" si="8"/>
        <v>4.1666666666666664E-2</v>
      </c>
      <c r="W9" s="136">
        <f t="shared" si="9"/>
        <v>0.20412414523193151</v>
      </c>
    </row>
    <row r="10" spans="4:23">
      <c r="D10"/>
      <c r="E10" s="136">
        <f>'Αποτελέσματα Colloid Fit '!F11</f>
        <v>4.9980437412909653E-2</v>
      </c>
      <c r="F10" s="134">
        <f>'Αποτελέσματα Colloid Fit '!E11</f>
        <v>8.3333333333333329E-2</v>
      </c>
      <c r="G10" s="136">
        <f t="shared" si="0"/>
        <v>0.28867513459481287</v>
      </c>
      <c r="H10" s="137">
        <f>'Αποτελέσματα Colloid Fit '!F35</f>
        <v>1.0172491155249692E-3</v>
      </c>
      <c r="I10" s="137">
        <f t="shared" si="1"/>
        <v>8.3333333333333329E-2</v>
      </c>
      <c r="J10" s="136">
        <f t="shared" si="2"/>
        <v>0.28867513459481287</v>
      </c>
      <c r="K10" s="138">
        <f>'Αποτελέσματα Colloid Fit '!F59</f>
        <v>1.3855397272322141E-4</v>
      </c>
      <c r="L10" s="137">
        <f t="shared" si="3"/>
        <v>8.3333333333333329E-2</v>
      </c>
      <c r="M10" s="136">
        <f t="shared" si="4"/>
        <v>0.28867513459481287</v>
      </c>
      <c r="N10"/>
      <c r="O10" s="136">
        <f>'Αποτελέσματα Colloid Fit '!M11</f>
        <v>0.82540459629790541</v>
      </c>
      <c r="P10" s="134">
        <f>'Αποτελέσματα Colloid Fit '!L11</f>
        <v>8.3333333333333329E-2</v>
      </c>
      <c r="Q10" s="136">
        <f t="shared" si="5"/>
        <v>0.28867513459481287</v>
      </c>
      <c r="R10" s="137">
        <f>'Αποτελέσματα Colloid Fit '!M35</f>
        <v>1.8389548464736179E-4</v>
      </c>
      <c r="S10" s="137">
        <f t="shared" si="6"/>
        <v>8.3333333333333329E-2</v>
      </c>
      <c r="T10" s="136">
        <f t="shared" si="7"/>
        <v>0.28867513459481287</v>
      </c>
      <c r="U10" s="138">
        <f>'Αποτελέσματα Colloid Fit '!M59</f>
        <v>2.149811121250009E-4</v>
      </c>
      <c r="V10" s="139">
        <f t="shared" si="8"/>
        <v>8.3333333333333329E-2</v>
      </c>
      <c r="W10" s="136">
        <f t="shared" si="9"/>
        <v>0.28867513459481287</v>
      </c>
    </row>
    <row r="11" spans="4:23">
      <c r="D11"/>
      <c r="E11" s="136">
        <f>'Αποτελέσματα Colloid Fit '!F12</f>
        <v>0.59613692866556922</v>
      </c>
      <c r="F11" s="134">
        <f>'Αποτελέσματα Colloid Fit '!E12</f>
        <v>0.125</v>
      </c>
      <c r="G11" s="136">
        <f t="shared" si="0"/>
        <v>0.35355339059327379</v>
      </c>
      <c r="H11" s="137">
        <f>'Αποτελέσματα Colloid Fit '!F36</f>
        <v>1.2200097734681769E-3</v>
      </c>
      <c r="I11" s="137">
        <f t="shared" si="1"/>
        <v>0.125</v>
      </c>
      <c r="J11" s="136">
        <f t="shared" si="2"/>
        <v>0.35355339059327379</v>
      </c>
      <c r="K11" s="138">
        <f>'Αποτελέσματα Colloid Fit '!F60</f>
        <v>1.3501871869336246E-4</v>
      </c>
      <c r="L11" s="137">
        <f t="shared" si="3"/>
        <v>0.125</v>
      </c>
      <c r="M11" s="136">
        <f t="shared" si="4"/>
        <v>0.35355339059327379</v>
      </c>
      <c r="N11"/>
      <c r="O11" s="136">
        <f>'Αποτελέσματα Colloid Fit '!M12</f>
        <v>1.044888172684433</v>
      </c>
      <c r="P11" s="134">
        <f>'Αποτελέσματα Colloid Fit '!L12</f>
        <v>0.125</v>
      </c>
      <c r="Q11" s="136">
        <f t="shared" si="5"/>
        <v>0.35355339059327379</v>
      </c>
      <c r="R11" s="137">
        <f>'Αποτελέσματα Colloid Fit '!M36</f>
        <v>5.6055169311409493E-4</v>
      </c>
      <c r="S11" s="137">
        <f t="shared" si="6"/>
        <v>0.125</v>
      </c>
      <c r="T11" s="136">
        <f t="shared" si="7"/>
        <v>0.35355339059327379</v>
      </c>
      <c r="U11" s="138">
        <f>'Αποτελέσματα Colloid Fit '!M60</f>
        <v>2.5865963012499993E-4</v>
      </c>
      <c r="V11" s="139">
        <f t="shared" si="8"/>
        <v>0.125</v>
      </c>
      <c r="W11" s="136">
        <f t="shared" si="9"/>
        <v>0.35355339059327379</v>
      </c>
    </row>
    <row r="12" spans="4:23">
      <c r="D12"/>
      <c r="E12" s="136">
        <f>'Αποτελέσματα Colloid Fit '!F13</f>
        <v>0.68847679295149722</v>
      </c>
      <c r="F12" s="134">
        <f>'Αποτελέσματα Colloid Fit '!E13</f>
        <v>0.25</v>
      </c>
      <c r="G12" s="136">
        <f t="shared" si="0"/>
        <v>0.5</v>
      </c>
      <c r="H12" s="137">
        <f>'Αποτελέσματα Colloid Fit '!F37</f>
        <v>1.0030978108192404E-3</v>
      </c>
      <c r="I12" s="137">
        <f t="shared" si="1"/>
        <v>0.25</v>
      </c>
      <c r="J12" s="136">
        <f t="shared" si="2"/>
        <v>0.5</v>
      </c>
      <c r="K12" s="138">
        <f>'Αποτελέσματα Colloid Fit '!F61</f>
        <v>1.7956008817738352E-4</v>
      </c>
      <c r="L12" s="137">
        <f t="shared" si="3"/>
        <v>0.25</v>
      </c>
      <c r="M12" s="136">
        <f t="shared" si="4"/>
        <v>0.5</v>
      </c>
      <c r="N12"/>
      <c r="O12" s="136">
        <f>'Αποτελέσματα Colloid Fit '!M13</f>
        <v>1.0209474225664688</v>
      </c>
      <c r="P12" s="134">
        <f>'Αποτελέσματα Colloid Fit '!L13</f>
        <v>0.25</v>
      </c>
      <c r="Q12" s="136">
        <f t="shared" si="5"/>
        <v>0.5</v>
      </c>
      <c r="R12" s="137">
        <f>'Αποτελέσματα Colloid Fit '!M37</f>
        <v>9.770104963362882E-4</v>
      </c>
      <c r="S12" s="137">
        <f t="shared" si="6"/>
        <v>0.25</v>
      </c>
      <c r="T12" s="136">
        <f t="shared" si="7"/>
        <v>0.5</v>
      </c>
      <c r="U12" s="138">
        <f>'Αποτελέσματα Colloid Fit '!M61</f>
        <v>5.0753799849999922E-4</v>
      </c>
      <c r="V12" s="139">
        <f t="shared" si="8"/>
        <v>0.25</v>
      </c>
      <c r="W12" s="136">
        <f t="shared" si="9"/>
        <v>0.5</v>
      </c>
    </row>
    <row r="13" spans="4:23">
      <c r="D13"/>
      <c r="E13" s="136">
        <f>'Αποτελέσματα Colloid Fit '!F14</f>
        <v>0.72478135497844476</v>
      </c>
      <c r="F13" s="134">
        <f>'Αποτελέσματα Colloid Fit '!E14</f>
        <v>0.5</v>
      </c>
      <c r="G13" s="136">
        <f t="shared" si="0"/>
        <v>0.70710678118654757</v>
      </c>
      <c r="H13" s="137">
        <f>'Αποτελέσματα Colloid Fit '!F38</f>
        <v>1.4849055673205797E-3</v>
      </c>
      <c r="I13" s="137">
        <f t="shared" si="1"/>
        <v>0.5</v>
      </c>
      <c r="J13" s="136">
        <f t="shared" si="2"/>
        <v>0.70710678118654757</v>
      </c>
      <c r="K13" s="138">
        <f>'Αποτελέσματα Colloid Fit '!F62</f>
        <v>2.2430955105038711E-4</v>
      </c>
      <c r="L13" s="137">
        <f t="shared" si="3"/>
        <v>0.5</v>
      </c>
      <c r="M13" s="136">
        <f t="shared" si="4"/>
        <v>0.70710678118654757</v>
      </c>
      <c r="N13"/>
      <c r="O13" s="136">
        <f>'Αποτελέσματα Colloid Fit '!M14</f>
        <v>1.1746304527224569</v>
      </c>
      <c r="P13" s="134">
        <f>'Αποτελέσματα Colloid Fit '!L14</f>
        <v>0.5</v>
      </c>
      <c r="Q13" s="136">
        <f t="shared" si="5"/>
        <v>0.70710678118654757</v>
      </c>
      <c r="R13" s="137">
        <f>'Αποτελέσματα Colloid Fit '!M38</f>
        <v>1.8166716529390249E-3</v>
      </c>
      <c r="S13" s="137">
        <f t="shared" si="6"/>
        <v>0.5</v>
      </c>
      <c r="T13" s="136">
        <f t="shared" si="7"/>
        <v>0.70710678118654757</v>
      </c>
      <c r="U13" s="138">
        <f>'Αποτελέσματα Colloid Fit '!M62</f>
        <v>5.0547878549999953E-4</v>
      </c>
      <c r="V13" s="139">
        <f t="shared" si="8"/>
        <v>0.5</v>
      </c>
      <c r="W13" s="136">
        <f t="shared" si="9"/>
        <v>0.70710678118654757</v>
      </c>
    </row>
    <row r="14" spans="4:23">
      <c r="D14"/>
      <c r="E14" s="136">
        <f>'Αποτελέσματα Colloid Fit '!F15</f>
        <v>0.85933440176916354</v>
      </c>
      <c r="F14" s="134">
        <f>'Αποτελέσματα Colloid Fit '!E15</f>
        <v>1</v>
      </c>
      <c r="G14" s="136">
        <f t="shared" si="0"/>
        <v>1</v>
      </c>
      <c r="H14" s="137">
        <f>'Αποτελέσματα Colloid Fit '!F39</f>
        <v>1.9753382953661457E-3</v>
      </c>
      <c r="I14" s="137">
        <f t="shared" si="1"/>
        <v>1</v>
      </c>
      <c r="J14" s="136">
        <f t="shared" si="2"/>
        <v>1</v>
      </c>
      <c r="K14" s="138">
        <f>'Αποτελέσματα Colloid Fit '!F63</f>
        <v>3.0092817151802228E-4</v>
      </c>
      <c r="L14" s="137">
        <f t="shared" si="3"/>
        <v>1</v>
      </c>
      <c r="M14" s="136">
        <f t="shared" si="4"/>
        <v>1</v>
      </c>
      <c r="N14"/>
      <c r="O14" s="136">
        <f>'Αποτελέσματα Colloid Fit '!M15</f>
        <v>1.1210193811140741</v>
      </c>
      <c r="P14" s="134">
        <f>'Αποτελέσματα Colloid Fit '!L15</f>
        <v>1</v>
      </c>
      <c r="Q14" s="136">
        <f t="shared" si="5"/>
        <v>1</v>
      </c>
      <c r="R14" s="137">
        <f>'Αποτελέσματα Colloid Fit '!M39</f>
        <v>2.5531088178032692E-3</v>
      </c>
      <c r="S14" s="137">
        <f t="shared" si="6"/>
        <v>1</v>
      </c>
      <c r="T14" s="136">
        <f t="shared" si="7"/>
        <v>1</v>
      </c>
      <c r="U14" s="138">
        <f>'Αποτελέσματα Colloid Fit '!M63</f>
        <v>8.8200660762500008E-4</v>
      </c>
      <c r="V14" s="139">
        <f t="shared" si="8"/>
        <v>1</v>
      </c>
      <c r="W14" s="136">
        <f t="shared" si="9"/>
        <v>1</v>
      </c>
    </row>
    <row r="15" spans="4:23">
      <c r="D15"/>
      <c r="E15" s="136">
        <f>'Αποτελέσματα Colloid Fit '!F16</f>
        <v>1.1747081977287441</v>
      </c>
      <c r="F15" s="134">
        <f>'Αποτελέσματα Colloid Fit '!E16</f>
        <v>2</v>
      </c>
      <c r="G15" s="136">
        <f t="shared" si="0"/>
        <v>1.4142135623730951</v>
      </c>
      <c r="H15" s="137">
        <f>'Αποτελέσματα Colloid Fit '!F40</f>
        <v>2.5664276931558943E-3</v>
      </c>
      <c r="I15" s="137">
        <f t="shared" si="1"/>
        <v>2</v>
      </c>
      <c r="J15" s="136">
        <f t="shared" si="2"/>
        <v>1.4142135623730951</v>
      </c>
      <c r="K15" s="138">
        <f>'Αποτελέσματα Colloid Fit '!F64</f>
        <v>1.6173969312535022E-3</v>
      </c>
      <c r="L15" s="137">
        <f t="shared" si="3"/>
        <v>2</v>
      </c>
      <c r="M15" s="136">
        <f t="shared" si="4"/>
        <v>1.4142135623730951</v>
      </c>
      <c r="N15"/>
      <c r="O15" s="136">
        <f>'Αποτελέσματα Colloid Fit '!M16</f>
        <v>1.510020053937128</v>
      </c>
      <c r="P15" s="134">
        <f>'Αποτελέσματα Colloid Fit '!L16</f>
        <v>2</v>
      </c>
      <c r="Q15" s="136">
        <f t="shared" si="5"/>
        <v>1.4142135623730951</v>
      </c>
      <c r="R15" s="137">
        <f>'Αποτελέσματα Colloid Fit '!M40</f>
        <v>3.1733043552482788E-3</v>
      </c>
      <c r="S15" s="137">
        <f t="shared" si="6"/>
        <v>2</v>
      </c>
      <c r="T15" s="136">
        <f t="shared" si="7"/>
        <v>1.4142135623730951</v>
      </c>
      <c r="U15" s="138">
        <f>'Αποτελέσματα Colloid Fit '!M64</f>
        <v>9.4135037100000088E-4</v>
      </c>
      <c r="V15" s="139">
        <f t="shared" si="8"/>
        <v>2</v>
      </c>
      <c r="W15" s="136">
        <f t="shared" si="9"/>
        <v>1.4142135623730951</v>
      </c>
    </row>
    <row r="16" spans="4:23">
      <c r="D16"/>
      <c r="E16" s="136">
        <f>'Αποτελέσματα Colloid Fit '!F17</f>
        <v>1.3361138985092833</v>
      </c>
      <c r="F16" s="134">
        <f>'Αποτελέσματα Colloid Fit '!E17</f>
        <v>3</v>
      </c>
      <c r="G16" s="136">
        <f t="shared" si="0"/>
        <v>1.7320508075688772</v>
      </c>
      <c r="H16" s="137">
        <f>'Αποτελέσματα Colloid Fit '!F41</f>
        <v>3.598556361125829E-3</v>
      </c>
      <c r="I16" s="137">
        <f t="shared" si="1"/>
        <v>3</v>
      </c>
      <c r="J16" s="136">
        <f t="shared" si="2"/>
        <v>1.7320508075688772</v>
      </c>
      <c r="K16" s="138">
        <f>'Αποτελέσματα Colloid Fit '!F65</f>
        <v>1.6331921347049838E-3</v>
      </c>
      <c r="L16" s="137">
        <f t="shared" si="3"/>
        <v>3</v>
      </c>
      <c r="M16" s="136">
        <f t="shared" si="4"/>
        <v>1.7320508075688772</v>
      </c>
      <c r="N16"/>
      <c r="O16" s="136">
        <f>'Αποτελέσματα Colloid Fit '!M17</f>
        <v>1.9815152461589836</v>
      </c>
      <c r="P16" s="134">
        <f>'Αποτελέσματα Colloid Fit '!L17</f>
        <v>3</v>
      </c>
      <c r="Q16" s="136">
        <f t="shared" si="5"/>
        <v>1.7320508075688772</v>
      </c>
      <c r="R16" s="137">
        <f>'Αποτελέσματα Colloid Fit '!M41</f>
        <v>4.0165829370303998E-3</v>
      </c>
      <c r="S16" s="137">
        <f t="shared" si="6"/>
        <v>3</v>
      </c>
      <c r="T16" s="136">
        <f t="shared" si="7"/>
        <v>1.7320508075688772</v>
      </c>
      <c r="U16" s="138">
        <f>'Αποτελέσματα Colloid Fit '!M65</f>
        <v>2.112005710750002E-3</v>
      </c>
      <c r="V16" s="139">
        <f t="shared" si="8"/>
        <v>3</v>
      </c>
      <c r="W16" s="136">
        <f t="shared" si="9"/>
        <v>1.7320508075688772</v>
      </c>
    </row>
    <row r="17" spans="4:23">
      <c r="D17"/>
      <c r="E17" s="136">
        <f>'Αποτελέσματα Colloid Fit '!F18</f>
        <v>2.0005557049715588</v>
      </c>
      <c r="F17" s="134">
        <f>'Αποτελέσματα Colloid Fit '!E18</f>
        <v>5</v>
      </c>
      <c r="G17" s="136">
        <f t="shared" si="0"/>
        <v>2.2360679774997898</v>
      </c>
      <c r="H17" s="137">
        <f>'Αποτελέσματα Colloid Fit '!F42</f>
        <v>5.0767423916262744E-3</v>
      </c>
      <c r="I17" s="137">
        <f t="shared" si="1"/>
        <v>5</v>
      </c>
      <c r="J17" s="136">
        <f t="shared" si="2"/>
        <v>2.2360679774997898</v>
      </c>
      <c r="K17" s="138">
        <f>'Αποτελέσματα Colloid Fit '!F66</f>
        <v>1.6549870992266646E-3</v>
      </c>
      <c r="L17" s="137">
        <f t="shared" si="3"/>
        <v>5</v>
      </c>
      <c r="M17" s="136">
        <f t="shared" si="4"/>
        <v>2.2360679774997898</v>
      </c>
      <c r="N17"/>
      <c r="O17" s="136">
        <f>'Αποτελέσματα Colloid Fit '!M18</f>
        <v>2.7305836699197621</v>
      </c>
      <c r="P17" s="134">
        <f>'Αποτελέσματα Colloid Fit '!L18</f>
        <v>5</v>
      </c>
      <c r="Q17" s="136">
        <f t="shared" si="5"/>
        <v>2.2360679774997898</v>
      </c>
      <c r="R17" s="137">
        <f>'Αποτελέσματα Colloid Fit '!M42</f>
        <v>5.598809773590019E-3</v>
      </c>
      <c r="S17" s="137">
        <f t="shared" si="6"/>
        <v>5</v>
      </c>
      <c r="T17" s="136">
        <f t="shared" si="7"/>
        <v>2.2360679774997898</v>
      </c>
      <c r="U17" s="138">
        <f>'Αποτελέσματα Colloid Fit '!M66</f>
        <v>2.6816028785000014E-3</v>
      </c>
      <c r="V17" s="139">
        <f t="shared" si="8"/>
        <v>5</v>
      </c>
      <c r="W17" s="136">
        <f t="shared" si="9"/>
        <v>2.2360679774997898</v>
      </c>
    </row>
    <row r="18" spans="4:23">
      <c r="D18"/>
      <c r="E18" s="136">
        <f>'Αποτελέσματα Colloid Fit '!F19</f>
        <v>2.4108750008823367</v>
      </c>
      <c r="F18" s="134">
        <f>'Αποτελέσματα Colloid Fit '!E19</f>
        <v>7</v>
      </c>
      <c r="G18" s="136">
        <f t="shared" si="0"/>
        <v>2.6457513110645907</v>
      </c>
      <c r="H18" s="137">
        <f>'Αποτελέσματα Colloid Fit '!F43</f>
        <v>6.8215890200165694E-3</v>
      </c>
      <c r="I18" s="137">
        <f t="shared" si="1"/>
        <v>7</v>
      </c>
      <c r="J18" s="136">
        <f t="shared" si="2"/>
        <v>2.6457513110645907</v>
      </c>
      <c r="K18" s="138">
        <f>'Αποτελέσματα Colloid Fit '!F67</f>
        <v>1.9807787254063356E-3</v>
      </c>
      <c r="L18" s="137">
        <f t="shared" si="3"/>
        <v>7</v>
      </c>
      <c r="M18" s="136">
        <f t="shared" si="4"/>
        <v>2.6457513110645907</v>
      </c>
      <c r="N18"/>
      <c r="O18" s="136">
        <f>'Αποτελέσματα Colloid Fit '!M19</f>
        <v>2.9754498129044924</v>
      </c>
      <c r="P18" s="134">
        <f>'Αποτελέσματα Colloid Fit '!L19</f>
        <v>7</v>
      </c>
      <c r="Q18" s="136">
        <f t="shared" si="5"/>
        <v>2.6457513110645907</v>
      </c>
      <c r="R18" s="137">
        <f>'Αποτελέσματα Colloid Fit '!M43</f>
        <v>7.4287174178544147E-3</v>
      </c>
      <c r="S18" s="137">
        <f t="shared" si="6"/>
        <v>7</v>
      </c>
      <c r="T18" s="136">
        <f t="shared" si="7"/>
        <v>2.6457513110645907</v>
      </c>
      <c r="U18" s="138">
        <f>'Αποτελέσματα Colloid Fit '!M67</f>
        <v>3.8786618243750008E-3</v>
      </c>
      <c r="V18" s="139">
        <f t="shared" si="8"/>
        <v>7</v>
      </c>
      <c r="W18" s="136">
        <f t="shared" si="9"/>
        <v>2.6457513110645907</v>
      </c>
    </row>
    <row r="19" spans="4:23">
      <c r="D19"/>
      <c r="E19" s="136">
        <f>'Αποτελέσματα Colloid Fit '!F20</f>
        <v>2.5154114075182648</v>
      </c>
      <c r="F19" s="134">
        <f>'Αποτελέσματα Colloid Fit '!E20</f>
        <v>10</v>
      </c>
      <c r="G19" s="136">
        <f t="shared" si="0"/>
        <v>3.1622776601683795</v>
      </c>
      <c r="H19" s="137">
        <f>'Αποτελέσματα Colloid Fit '!F44</f>
        <v>8.5744848111805952E-3</v>
      </c>
      <c r="I19" s="137">
        <f t="shared" si="1"/>
        <v>10</v>
      </c>
      <c r="J19" s="136">
        <f t="shared" si="2"/>
        <v>3.1622776601683795</v>
      </c>
      <c r="K19" s="138">
        <f>'Αποτελέσματα Colloid Fit '!F68</f>
        <v>1.955480672618146E-3</v>
      </c>
      <c r="L19" s="137">
        <f t="shared" si="3"/>
        <v>10</v>
      </c>
      <c r="M19" s="136">
        <f t="shared" si="4"/>
        <v>3.1622776601683795</v>
      </c>
      <c r="N19"/>
      <c r="O19" s="136">
        <f>'Αποτελέσματα Colloid Fit '!M20</f>
        <v>3.4176445613931157</v>
      </c>
      <c r="P19" s="134">
        <f>'Αποτελέσματα Colloid Fit '!L20</f>
        <v>10</v>
      </c>
      <c r="Q19" s="136">
        <f t="shared" si="5"/>
        <v>3.1622776601683795</v>
      </c>
      <c r="R19" s="137">
        <f>'Αποτελέσματα Colloid Fit '!M44</f>
        <v>8.56043288841166E-3</v>
      </c>
      <c r="S19" s="137">
        <f t="shared" si="6"/>
        <v>10</v>
      </c>
      <c r="T19" s="136">
        <f t="shared" si="7"/>
        <v>3.1622776601683795</v>
      </c>
      <c r="U19" s="138">
        <f>'Αποτελέσματα Colloid Fit '!M68</f>
        <v>4.1314229693750005E-3</v>
      </c>
      <c r="V19" s="139">
        <f t="shared" si="8"/>
        <v>10</v>
      </c>
      <c r="W19" s="136">
        <f t="shared" si="9"/>
        <v>3.1622776601683795</v>
      </c>
    </row>
    <row r="20" spans="4:23">
      <c r="D20"/>
      <c r="E20" s="136">
        <f>'Αποτελέσματα Colloid Fit '!F21</f>
        <v>3.2368308799520973</v>
      </c>
      <c r="F20" s="134">
        <f>'Αποτελέσματα Colloid Fit '!E21</f>
        <v>12</v>
      </c>
      <c r="G20" s="136">
        <f t="shared" si="0"/>
        <v>3.4641016151377544</v>
      </c>
      <c r="H20" s="137">
        <f>'Αποτελέσματα Colloid Fit '!F45</f>
        <v>9.9313454239930224E-3</v>
      </c>
      <c r="I20" s="137">
        <f t="shared" si="1"/>
        <v>12</v>
      </c>
      <c r="J20" s="136">
        <f t="shared" si="2"/>
        <v>3.4641016151377544</v>
      </c>
      <c r="K20" s="138">
        <f>'Αποτελέσματα Colloid Fit '!F69</f>
        <v>2.5794433670426713E-3</v>
      </c>
      <c r="L20" s="137">
        <f t="shared" si="3"/>
        <v>12</v>
      </c>
      <c r="M20" s="136">
        <f t="shared" si="4"/>
        <v>3.4641016151377544</v>
      </c>
      <c r="N20"/>
      <c r="O20" s="136">
        <f>'Αποτελέσματα Colloid Fit '!M21</f>
        <v>4.016156246614373</v>
      </c>
      <c r="P20" s="134">
        <f>'Αποτελέσματα Colloid Fit '!L21</f>
        <v>12</v>
      </c>
      <c r="Q20" s="136">
        <f t="shared" si="5"/>
        <v>3.4641016151377544</v>
      </c>
      <c r="R20" s="137">
        <f>'Αποτελέσματα Colloid Fit '!M45</f>
        <v>9.6872826673543803E-3</v>
      </c>
      <c r="S20" s="137">
        <f t="shared" si="6"/>
        <v>12</v>
      </c>
      <c r="T20" s="136">
        <f t="shared" si="7"/>
        <v>3.4641016151377544</v>
      </c>
      <c r="U20" s="138">
        <f>'Αποτελέσματα Colloid Fit '!M69</f>
        <v>4.9156278356250012E-3</v>
      </c>
      <c r="V20" s="139">
        <f t="shared" si="8"/>
        <v>12</v>
      </c>
      <c r="W20" s="136">
        <f t="shared" si="9"/>
        <v>3.4641016151377544</v>
      </c>
    </row>
    <row r="21" spans="4:23">
      <c r="D21"/>
      <c r="E21" s="136">
        <f>'Αποτελέσματα Colloid Fit '!F22</f>
        <v>3.3882593049257501</v>
      </c>
      <c r="F21" s="134">
        <f>'Αποτελέσματα Colloid Fit '!E22</f>
        <v>14</v>
      </c>
      <c r="G21" s="136">
        <f t="shared" si="0"/>
        <v>3.7416573867739413</v>
      </c>
      <c r="H21" s="137">
        <f>'Αποτελέσματα Colloid Fit '!F46</f>
        <v>1.0817848212821914E-2</v>
      </c>
      <c r="I21" s="137">
        <f t="shared" si="1"/>
        <v>14</v>
      </c>
      <c r="J21" s="136">
        <f t="shared" si="2"/>
        <v>3.7416573867739413</v>
      </c>
      <c r="K21" s="138">
        <f>'Αποτελέσματα Colloid Fit '!F70</f>
        <v>2.760197095418011E-3</v>
      </c>
      <c r="L21" s="137">
        <f t="shared" si="3"/>
        <v>14</v>
      </c>
      <c r="M21" s="136">
        <f t="shared" si="4"/>
        <v>3.7416573867739413</v>
      </c>
      <c r="N21"/>
      <c r="O21" s="136">
        <f>'Αποτελέσματα Colloid Fit '!M22</f>
        <v>4.127468248343714</v>
      </c>
      <c r="P21" s="134">
        <f>'Αποτελέσματα Colloid Fit '!L22</f>
        <v>14</v>
      </c>
      <c r="Q21" s="136">
        <f t="shared" si="5"/>
        <v>3.7416573867739413</v>
      </c>
      <c r="R21" s="137">
        <f>'Αποτελέσματα Colloid Fit '!M46</f>
        <v>1.0743992973980928E-2</v>
      </c>
      <c r="S21" s="137">
        <f t="shared" si="6"/>
        <v>14</v>
      </c>
      <c r="T21" s="136">
        <f t="shared" si="7"/>
        <v>3.7416573867739413</v>
      </c>
      <c r="U21" s="138">
        <f>'Αποτελέσματα Colloid Fit '!M70</f>
        <v>4.9518779602500023E-3</v>
      </c>
      <c r="V21" s="139">
        <f t="shared" si="8"/>
        <v>14</v>
      </c>
      <c r="W21" s="136">
        <f t="shared" si="9"/>
        <v>3.7416573867739413</v>
      </c>
    </row>
    <row r="22" spans="4:23">
      <c r="D22"/>
      <c r="E22" s="136">
        <f>'Αποτελέσματα Colloid Fit '!F23</f>
        <v>3.5346154572164696</v>
      </c>
      <c r="F22" s="134">
        <f>'Αποτελέσματα Colloid Fit '!E23</f>
        <v>16</v>
      </c>
      <c r="G22" s="136">
        <f t="shared" si="0"/>
        <v>4</v>
      </c>
      <c r="H22" s="137">
        <f>'Αποτελέσματα Colloid Fit '!F47</f>
        <v>1.0820549037586395E-2</v>
      </c>
      <c r="I22" s="137">
        <f t="shared" si="1"/>
        <v>16</v>
      </c>
      <c r="J22" s="136">
        <f t="shared" si="2"/>
        <v>4</v>
      </c>
      <c r="K22" s="138">
        <f>'Αποτελέσματα Colloid Fit '!F71</f>
        <v>2.9409152225410014E-3</v>
      </c>
      <c r="L22" s="137">
        <f t="shared" si="3"/>
        <v>16</v>
      </c>
      <c r="M22" s="136">
        <f t="shared" si="4"/>
        <v>4</v>
      </c>
      <c r="N22"/>
      <c r="O22" s="136">
        <f>'Αποτελέσματα Colloid Fit '!M23</f>
        <v>4.2244751689161699</v>
      </c>
      <c r="P22" s="134">
        <f>'Αποτελέσματα Colloid Fit '!L23</f>
        <v>16</v>
      </c>
      <c r="Q22" s="136">
        <f t="shared" si="5"/>
        <v>4</v>
      </c>
      <c r="R22" s="137">
        <f>'Αποτελέσματα Colloid Fit '!M47</f>
        <v>1.110609213947227E-2</v>
      </c>
      <c r="S22" s="137">
        <f t="shared" si="6"/>
        <v>16</v>
      </c>
      <c r="T22" s="136">
        <f t="shared" si="7"/>
        <v>4</v>
      </c>
      <c r="U22" s="138">
        <f>'Αποτελέσματα Colloid Fit '!M71</f>
        <v>4.8938683348750001E-3</v>
      </c>
      <c r="V22" s="139">
        <f t="shared" si="8"/>
        <v>16</v>
      </c>
      <c r="W22" s="136">
        <f t="shared" si="9"/>
        <v>4</v>
      </c>
    </row>
    <row r="23" spans="4:23">
      <c r="D23"/>
      <c r="E23" s="136">
        <f>'Αποτελέσματα Colloid Fit '!F24</f>
        <v>3.5599633265591595</v>
      </c>
      <c r="F23" s="134">
        <f>'Αποτελέσματα Colloid Fit '!E24</f>
        <v>18</v>
      </c>
      <c r="G23" s="136">
        <f t="shared" si="0"/>
        <v>4.2426406871192848</v>
      </c>
      <c r="H23" s="137">
        <f>'Αποτελέσματα Colloid Fit '!F48</f>
        <v>1.1001598382542844E-2</v>
      </c>
      <c r="I23" s="137">
        <f t="shared" si="1"/>
        <v>18</v>
      </c>
      <c r="J23" s="136">
        <f t="shared" si="2"/>
        <v>4.2426406871192848</v>
      </c>
      <c r="K23" s="138">
        <f>'Αποτελέσματα Colloid Fit '!F72</f>
        <v>3.1205716184416494E-3</v>
      </c>
      <c r="L23" s="137">
        <f t="shared" si="3"/>
        <v>18</v>
      </c>
      <c r="M23" s="136">
        <f t="shared" si="4"/>
        <v>4.2426406871192848</v>
      </c>
      <c r="N23"/>
      <c r="O23" s="136">
        <f>'Αποτελέσματα Colloid Fit '!M24</f>
        <v>4.5981530077727566</v>
      </c>
      <c r="P23" s="134">
        <f>'Αποτελέσματα Colloid Fit '!L24</f>
        <v>18</v>
      </c>
      <c r="Q23" s="136">
        <f t="shared" si="5"/>
        <v>4.2426406871192848</v>
      </c>
      <c r="R23" s="137">
        <f>'Αποτελέσματα Colloid Fit '!M48</f>
        <v>1.1153428003967495E-2</v>
      </c>
      <c r="S23" s="137">
        <f t="shared" si="6"/>
        <v>18</v>
      </c>
      <c r="T23" s="136">
        <f t="shared" si="7"/>
        <v>4.2426406871192848</v>
      </c>
      <c r="U23" s="138">
        <f>'Αποτελέσματα Colloid Fit '!M72</f>
        <v>4.9409945845000011E-3</v>
      </c>
      <c r="V23" s="139">
        <f t="shared" si="8"/>
        <v>18</v>
      </c>
      <c r="W23" s="136">
        <f t="shared" si="9"/>
        <v>4.2426406871192848</v>
      </c>
    </row>
    <row r="24" spans="4:23">
      <c r="D24"/>
      <c r="E24" s="136">
        <f>'Αποτελέσματα Colloid Fit '!F25</f>
        <v>3.665745367821259</v>
      </c>
      <c r="F24" s="134">
        <f>'Αποτελέσματα Colloid Fit '!E25</f>
        <v>20</v>
      </c>
      <c r="G24" s="136">
        <f t="shared" si="0"/>
        <v>4.4721359549995796</v>
      </c>
      <c r="H24" s="137">
        <f>'Αποτελέσματα Colloid Fit '!F49</f>
        <v>1.0912421467032996E-2</v>
      </c>
      <c r="I24" s="137">
        <f t="shared" si="1"/>
        <v>20</v>
      </c>
      <c r="J24" s="136">
        <f t="shared" si="2"/>
        <v>4.4721359549995796</v>
      </c>
      <c r="K24" s="138">
        <f>'Αποτελέσματα Colloid Fit '!F73</f>
        <v>3.270009260169085E-3</v>
      </c>
      <c r="L24" s="137">
        <f t="shared" si="3"/>
        <v>20</v>
      </c>
      <c r="M24" s="136">
        <f t="shared" si="4"/>
        <v>4.4721359549995796</v>
      </c>
      <c r="N24"/>
      <c r="O24" s="136">
        <f>'Αποτελέσματα Colloid Fit '!M25</f>
        <v>4.6839245969820382</v>
      </c>
      <c r="P24" s="134">
        <f>'Αποτελέσματα Colloid Fit '!L25</f>
        <v>20</v>
      </c>
      <c r="Q24" s="136">
        <f t="shared" si="5"/>
        <v>4.4721359549995796</v>
      </c>
      <c r="R24" s="137">
        <f>'Αποτελέσματα Colloid Fit '!M49</f>
        <v>1.1162489763219676E-2</v>
      </c>
      <c r="S24" s="137">
        <f t="shared" si="6"/>
        <v>20</v>
      </c>
      <c r="T24" s="136">
        <f t="shared" si="7"/>
        <v>4.4721359549995796</v>
      </c>
      <c r="U24" s="138">
        <f>'Αποτελέσματα Colloid Fit '!M73</f>
        <v>5.0533775841250014E-3</v>
      </c>
      <c r="V24" s="139">
        <f t="shared" si="8"/>
        <v>20</v>
      </c>
      <c r="W24" s="136">
        <f t="shared" si="9"/>
        <v>4.4721359549995796</v>
      </c>
    </row>
    <row r="25" spans="4:23">
      <c r="D25"/>
      <c r="E25"/>
      <c r="F25"/>
      <c r="G25"/>
      <c r="H25"/>
      <c r="I25"/>
      <c r="J25"/>
      <c r="K25"/>
      <c r="L25"/>
      <c r="M25"/>
      <c r="N25"/>
    </row>
    <row r="26" spans="4:23">
      <c r="D26"/>
      <c r="E26"/>
      <c r="F26"/>
      <c r="G26"/>
      <c r="H26"/>
      <c r="I26"/>
      <c r="J26"/>
      <c r="K26"/>
      <c r="L26"/>
      <c r="M26"/>
      <c r="N26"/>
    </row>
    <row r="27" spans="4:23">
      <c r="D27"/>
      <c r="E27"/>
      <c r="F27" s="213" t="s">
        <v>118</v>
      </c>
      <c r="G27" s="213"/>
      <c r="H27" s="213"/>
      <c r="I27"/>
      <c r="J27"/>
      <c r="K27"/>
      <c r="L27" s="213" t="s">
        <v>119</v>
      </c>
      <c r="M27" s="213"/>
      <c r="N27" s="213"/>
    </row>
    <row r="28" spans="4:23">
      <c r="D28"/>
      <c r="E28"/>
      <c r="F28" s="137" t="s">
        <v>120</v>
      </c>
      <c r="G28" s="137" t="s">
        <v>121</v>
      </c>
      <c r="H28" s="137" t="s">
        <v>122</v>
      </c>
      <c r="I28"/>
      <c r="J28"/>
      <c r="K28"/>
      <c r="L28" s="137" t="s">
        <v>120</v>
      </c>
      <c r="M28" s="137" t="s">
        <v>121</v>
      </c>
      <c r="N28" s="137" t="s">
        <v>122</v>
      </c>
    </row>
    <row r="29" spans="4:23">
      <c r="D29"/>
      <c r="E29" s="135" t="s">
        <v>117</v>
      </c>
      <c r="F29" s="135" t="s">
        <v>116</v>
      </c>
      <c r="G29" s="135" t="s">
        <v>116</v>
      </c>
      <c r="H29" s="135" t="s">
        <v>116</v>
      </c>
      <c r="I29"/>
      <c r="J29"/>
      <c r="K29" s="135" t="s">
        <v>117</v>
      </c>
      <c r="L29" s="135" t="s">
        <v>116</v>
      </c>
      <c r="M29" s="135" t="s">
        <v>116</v>
      </c>
      <c r="N29" s="135" t="s">
        <v>116</v>
      </c>
    </row>
    <row r="30" spans="4:23">
      <c r="D30"/>
      <c r="E30" s="136">
        <f t="shared" ref="E30:E46" si="10">G8</f>
        <v>0</v>
      </c>
      <c r="F30" s="140">
        <f t="shared" ref="F30:F46" si="11">E8</f>
        <v>0</v>
      </c>
      <c r="G30" s="140">
        <f t="shared" ref="G30:G46" si="12">H8</f>
        <v>0</v>
      </c>
      <c r="H30" s="140">
        <f t="shared" ref="H30:H46" si="13">K8</f>
        <v>0</v>
      </c>
      <c r="I30"/>
      <c r="J30"/>
      <c r="K30" s="136">
        <f t="shared" ref="K30:K46" si="14">M8</f>
        <v>0</v>
      </c>
      <c r="L30" s="140">
        <f t="shared" ref="L30:L46" si="15">O8</f>
        <v>0</v>
      </c>
      <c r="M30" s="140">
        <f t="shared" ref="M30:M46" si="16">R8</f>
        <v>0</v>
      </c>
      <c r="N30" s="141">
        <f t="shared" ref="N30:N46" si="17">U8</f>
        <v>0</v>
      </c>
    </row>
    <row r="31" spans="4:23">
      <c r="D31"/>
      <c r="E31" s="136">
        <f t="shared" si="10"/>
        <v>0.20412414523193151</v>
      </c>
      <c r="F31" s="140">
        <f t="shared" si="11"/>
        <v>0.46668077364344712</v>
      </c>
      <c r="G31" s="140">
        <f t="shared" si="12"/>
        <v>1.9542903568803413E-3</v>
      </c>
      <c r="H31" s="140">
        <f t="shared" si="13"/>
        <v>8.5390956724687003E-5</v>
      </c>
      <c r="I31"/>
      <c r="J31"/>
      <c r="K31" s="136">
        <f t="shared" si="14"/>
        <v>0.20412414523193151</v>
      </c>
      <c r="L31" s="140">
        <f t="shared" si="15"/>
        <v>1.0875678252269478</v>
      </c>
      <c r="M31" s="140">
        <f t="shared" si="16"/>
        <v>3.2342110230573231E-4</v>
      </c>
      <c r="N31" s="141">
        <f t="shared" si="17"/>
        <v>1.4501137462500057E-4</v>
      </c>
    </row>
    <row r="32" spans="4:23">
      <c r="D32"/>
      <c r="E32" s="136">
        <f t="shared" si="10"/>
        <v>0.28867513459481287</v>
      </c>
      <c r="F32" s="140">
        <f t="shared" si="11"/>
        <v>4.9980437412909653E-2</v>
      </c>
      <c r="G32" s="140">
        <f t="shared" si="12"/>
        <v>1.0172491155249692E-3</v>
      </c>
      <c r="H32" s="140">
        <f t="shared" si="13"/>
        <v>1.3855397272322141E-4</v>
      </c>
      <c r="I32"/>
      <c r="J32"/>
      <c r="K32" s="136">
        <f t="shared" si="14"/>
        <v>0.28867513459481287</v>
      </c>
      <c r="L32" s="140">
        <f t="shared" si="15"/>
        <v>0.82540459629790541</v>
      </c>
      <c r="M32" s="140">
        <f t="shared" si="16"/>
        <v>1.8389548464736179E-4</v>
      </c>
      <c r="N32" s="141">
        <f t="shared" si="17"/>
        <v>2.149811121250009E-4</v>
      </c>
    </row>
    <row r="33" spans="4:14">
      <c r="D33"/>
      <c r="E33" s="136">
        <f t="shared" si="10"/>
        <v>0.35355339059327379</v>
      </c>
      <c r="F33" s="140">
        <f t="shared" si="11"/>
        <v>0.59613692866556922</v>
      </c>
      <c r="G33" s="140">
        <f t="shared" si="12"/>
        <v>1.2200097734681769E-3</v>
      </c>
      <c r="H33" s="140">
        <f t="shared" si="13"/>
        <v>1.3501871869336246E-4</v>
      </c>
      <c r="I33"/>
      <c r="J33"/>
      <c r="K33" s="136">
        <f t="shared" si="14"/>
        <v>0.35355339059327379</v>
      </c>
      <c r="L33" s="140">
        <f t="shared" si="15"/>
        <v>1.044888172684433</v>
      </c>
      <c r="M33" s="140">
        <f t="shared" si="16"/>
        <v>5.6055169311409493E-4</v>
      </c>
      <c r="N33" s="141">
        <f t="shared" si="17"/>
        <v>2.5865963012499993E-4</v>
      </c>
    </row>
    <row r="34" spans="4:14">
      <c r="D34"/>
      <c r="E34" s="136">
        <f t="shared" si="10"/>
        <v>0.5</v>
      </c>
      <c r="F34" s="140">
        <f t="shared" si="11"/>
        <v>0.68847679295149722</v>
      </c>
      <c r="G34" s="140">
        <f t="shared" si="12"/>
        <v>1.0030978108192404E-3</v>
      </c>
      <c r="H34" s="140">
        <f t="shared" si="13"/>
        <v>1.7956008817738352E-4</v>
      </c>
      <c r="I34"/>
      <c r="J34"/>
      <c r="K34" s="136">
        <f t="shared" si="14"/>
        <v>0.5</v>
      </c>
      <c r="L34" s="140">
        <f t="shared" si="15"/>
        <v>1.0209474225664688</v>
      </c>
      <c r="M34" s="140">
        <f t="shared" si="16"/>
        <v>9.770104963362882E-4</v>
      </c>
      <c r="N34" s="141">
        <f t="shared" si="17"/>
        <v>5.0753799849999922E-4</v>
      </c>
    </row>
    <row r="35" spans="4:14">
      <c r="D35"/>
      <c r="E35" s="136">
        <f t="shared" si="10"/>
        <v>0.70710678118654757</v>
      </c>
      <c r="F35" s="140">
        <f t="shared" si="11"/>
        <v>0.72478135497844476</v>
      </c>
      <c r="G35" s="140">
        <f t="shared" si="12"/>
        <v>1.4849055673205797E-3</v>
      </c>
      <c r="H35" s="140">
        <f t="shared" si="13"/>
        <v>2.2430955105038711E-4</v>
      </c>
      <c r="I35"/>
      <c r="J35"/>
      <c r="K35" s="136">
        <f t="shared" si="14"/>
        <v>0.70710678118654757</v>
      </c>
      <c r="L35" s="140">
        <f t="shared" si="15"/>
        <v>1.1746304527224569</v>
      </c>
      <c r="M35" s="140">
        <f t="shared" si="16"/>
        <v>1.8166716529390249E-3</v>
      </c>
      <c r="N35" s="141">
        <f t="shared" si="17"/>
        <v>5.0547878549999953E-4</v>
      </c>
    </row>
    <row r="36" spans="4:14">
      <c r="D36"/>
      <c r="E36" s="136">
        <f t="shared" si="10"/>
        <v>1</v>
      </c>
      <c r="F36" s="140">
        <f t="shared" si="11"/>
        <v>0.85933440176916354</v>
      </c>
      <c r="G36" s="140">
        <f t="shared" si="12"/>
        <v>1.9753382953661457E-3</v>
      </c>
      <c r="H36" s="140">
        <f t="shared" si="13"/>
        <v>3.0092817151802228E-4</v>
      </c>
      <c r="I36"/>
      <c r="J36"/>
      <c r="K36" s="136">
        <f t="shared" si="14"/>
        <v>1</v>
      </c>
      <c r="L36" s="140">
        <f t="shared" si="15"/>
        <v>1.1210193811140741</v>
      </c>
      <c r="M36" s="140">
        <f t="shared" si="16"/>
        <v>2.5531088178032692E-3</v>
      </c>
      <c r="N36" s="141">
        <f t="shared" si="17"/>
        <v>8.8200660762500008E-4</v>
      </c>
    </row>
    <row r="37" spans="4:14">
      <c r="D37"/>
      <c r="E37" s="136">
        <f t="shared" si="10"/>
        <v>1.4142135623730951</v>
      </c>
      <c r="F37" s="140">
        <f t="shared" si="11"/>
        <v>1.1747081977287441</v>
      </c>
      <c r="G37" s="140">
        <f t="shared" si="12"/>
        <v>2.5664276931558943E-3</v>
      </c>
      <c r="H37" s="140">
        <f t="shared" si="13"/>
        <v>1.6173969312535022E-3</v>
      </c>
      <c r="I37"/>
      <c r="J37"/>
      <c r="K37" s="136">
        <f t="shared" si="14"/>
        <v>1.4142135623730951</v>
      </c>
      <c r="L37" s="140">
        <f t="shared" si="15"/>
        <v>1.510020053937128</v>
      </c>
      <c r="M37" s="140">
        <f t="shared" si="16"/>
        <v>3.1733043552482788E-3</v>
      </c>
      <c r="N37" s="141">
        <f t="shared" si="17"/>
        <v>9.4135037100000088E-4</v>
      </c>
    </row>
    <row r="38" spans="4:14">
      <c r="D38"/>
      <c r="E38" s="136">
        <f t="shared" si="10"/>
        <v>1.7320508075688772</v>
      </c>
      <c r="F38" s="140">
        <f t="shared" si="11"/>
        <v>1.3361138985092833</v>
      </c>
      <c r="G38" s="140">
        <f t="shared" si="12"/>
        <v>3.598556361125829E-3</v>
      </c>
      <c r="H38" s="140">
        <f t="shared" si="13"/>
        <v>1.6331921347049838E-3</v>
      </c>
      <c r="I38"/>
      <c r="J38"/>
      <c r="K38" s="136">
        <f t="shared" si="14"/>
        <v>1.7320508075688772</v>
      </c>
      <c r="L38" s="140">
        <f t="shared" si="15"/>
        <v>1.9815152461589836</v>
      </c>
      <c r="M38" s="140">
        <f t="shared" si="16"/>
        <v>4.0165829370303998E-3</v>
      </c>
      <c r="N38" s="141">
        <f t="shared" si="17"/>
        <v>2.112005710750002E-3</v>
      </c>
    </row>
    <row r="39" spans="4:14">
      <c r="D39"/>
      <c r="E39" s="136">
        <f t="shared" si="10"/>
        <v>2.2360679774997898</v>
      </c>
      <c r="F39" s="140">
        <f t="shared" si="11"/>
        <v>2.0005557049715588</v>
      </c>
      <c r="G39" s="140">
        <f t="shared" si="12"/>
        <v>5.0767423916262744E-3</v>
      </c>
      <c r="H39" s="140">
        <f t="shared" si="13"/>
        <v>1.6549870992266646E-3</v>
      </c>
      <c r="I39"/>
      <c r="J39"/>
      <c r="K39" s="136">
        <f t="shared" si="14"/>
        <v>2.2360679774997898</v>
      </c>
      <c r="L39" s="140">
        <f t="shared" si="15"/>
        <v>2.7305836699197621</v>
      </c>
      <c r="M39" s="140">
        <f t="shared" si="16"/>
        <v>5.598809773590019E-3</v>
      </c>
      <c r="N39" s="141">
        <f t="shared" si="17"/>
        <v>2.6816028785000014E-3</v>
      </c>
    </row>
    <row r="40" spans="4:14">
      <c r="D40"/>
      <c r="E40" s="136">
        <f t="shared" si="10"/>
        <v>2.6457513110645907</v>
      </c>
      <c r="F40" s="140">
        <f t="shared" si="11"/>
        <v>2.4108750008823367</v>
      </c>
      <c r="G40" s="140">
        <f t="shared" si="12"/>
        <v>6.8215890200165694E-3</v>
      </c>
      <c r="H40" s="140">
        <f t="shared" si="13"/>
        <v>1.9807787254063356E-3</v>
      </c>
      <c r="I40"/>
      <c r="J40"/>
      <c r="K40" s="136">
        <f t="shared" si="14"/>
        <v>2.6457513110645907</v>
      </c>
      <c r="L40" s="140">
        <f t="shared" si="15"/>
        <v>2.9754498129044924</v>
      </c>
      <c r="M40" s="140">
        <f t="shared" si="16"/>
        <v>7.4287174178544147E-3</v>
      </c>
      <c r="N40" s="141">
        <f t="shared" si="17"/>
        <v>3.8786618243750008E-3</v>
      </c>
    </row>
    <row r="41" spans="4:14">
      <c r="D41"/>
      <c r="E41" s="136">
        <f t="shared" si="10"/>
        <v>3.1622776601683795</v>
      </c>
      <c r="F41" s="140">
        <f t="shared" si="11"/>
        <v>2.5154114075182648</v>
      </c>
      <c r="G41" s="140">
        <f t="shared" si="12"/>
        <v>8.5744848111805952E-3</v>
      </c>
      <c r="H41" s="140">
        <f t="shared" si="13"/>
        <v>1.955480672618146E-3</v>
      </c>
      <c r="I41"/>
      <c r="J41"/>
      <c r="K41" s="136">
        <f t="shared" si="14"/>
        <v>3.1622776601683795</v>
      </c>
      <c r="L41" s="140">
        <f t="shared" si="15"/>
        <v>3.4176445613931157</v>
      </c>
      <c r="M41" s="140">
        <f t="shared" si="16"/>
        <v>8.56043288841166E-3</v>
      </c>
      <c r="N41" s="141">
        <f t="shared" si="17"/>
        <v>4.1314229693750005E-3</v>
      </c>
    </row>
    <row r="42" spans="4:14">
      <c r="D42"/>
      <c r="E42" s="136">
        <f t="shared" si="10"/>
        <v>3.4641016151377544</v>
      </c>
      <c r="F42" s="140">
        <f t="shared" si="11"/>
        <v>3.2368308799520973</v>
      </c>
      <c r="G42" s="140">
        <f t="shared" si="12"/>
        <v>9.9313454239930224E-3</v>
      </c>
      <c r="H42" s="140">
        <f t="shared" si="13"/>
        <v>2.5794433670426713E-3</v>
      </c>
      <c r="I42"/>
      <c r="J42"/>
      <c r="K42" s="136">
        <f t="shared" si="14"/>
        <v>3.4641016151377544</v>
      </c>
      <c r="L42" s="140">
        <f t="shared" si="15"/>
        <v>4.016156246614373</v>
      </c>
      <c r="M42" s="140">
        <f t="shared" si="16"/>
        <v>9.6872826673543803E-3</v>
      </c>
      <c r="N42" s="141">
        <f t="shared" si="17"/>
        <v>4.9156278356250012E-3</v>
      </c>
    </row>
    <row r="43" spans="4:14">
      <c r="D43"/>
      <c r="E43" s="136">
        <f t="shared" si="10"/>
        <v>3.7416573867739413</v>
      </c>
      <c r="F43" s="140">
        <f t="shared" si="11"/>
        <v>3.3882593049257501</v>
      </c>
      <c r="G43" s="140">
        <f t="shared" si="12"/>
        <v>1.0817848212821914E-2</v>
      </c>
      <c r="H43" s="140">
        <f t="shared" si="13"/>
        <v>2.760197095418011E-3</v>
      </c>
      <c r="I43"/>
      <c r="J43"/>
      <c r="K43" s="136">
        <f t="shared" si="14"/>
        <v>3.7416573867739413</v>
      </c>
      <c r="L43" s="140">
        <f t="shared" si="15"/>
        <v>4.127468248343714</v>
      </c>
      <c r="M43" s="140">
        <f t="shared" si="16"/>
        <v>1.0743992973980928E-2</v>
      </c>
      <c r="N43" s="141">
        <f t="shared" si="17"/>
        <v>4.9518779602500023E-3</v>
      </c>
    </row>
    <row r="44" spans="4:14">
      <c r="D44"/>
      <c r="E44" s="136">
        <f t="shared" si="10"/>
        <v>4</v>
      </c>
      <c r="F44" s="140">
        <f t="shared" si="11"/>
        <v>3.5346154572164696</v>
      </c>
      <c r="G44" s="140">
        <f t="shared" si="12"/>
        <v>1.0820549037586395E-2</v>
      </c>
      <c r="H44" s="140">
        <f t="shared" si="13"/>
        <v>2.9409152225410014E-3</v>
      </c>
      <c r="I44"/>
      <c r="J44"/>
      <c r="K44" s="136">
        <f t="shared" si="14"/>
        <v>4</v>
      </c>
      <c r="L44" s="140">
        <f t="shared" si="15"/>
        <v>4.2244751689161699</v>
      </c>
      <c r="M44" s="140">
        <f t="shared" si="16"/>
        <v>1.110609213947227E-2</v>
      </c>
      <c r="N44" s="141">
        <f t="shared" si="17"/>
        <v>4.8938683348750001E-3</v>
      </c>
    </row>
    <row r="45" spans="4:14">
      <c r="D45"/>
      <c r="E45" s="136">
        <f t="shared" si="10"/>
        <v>4.2426406871192848</v>
      </c>
      <c r="F45" s="140">
        <f t="shared" si="11"/>
        <v>3.5599633265591595</v>
      </c>
      <c r="G45" s="140">
        <f t="shared" si="12"/>
        <v>1.1001598382542844E-2</v>
      </c>
      <c r="H45" s="140">
        <f t="shared" si="13"/>
        <v>3.1205716184416494E-3</v>
      </c>
      <c r="I45"/>
      <c r="J45"/>
      <c r="K45" s="136">
        <f t="shared" si="14"/>
        <v>4.2426406871192848</v>
      </c>
      <c r="L45" s="140">
        <f t="shared" si="15"/>
        <v>4.5981530077727566</v>
      </c>
      <c r="M45" s="140">
        <f t="shared" si="16"/>
        <v>1.1153428003967495E-2</v>
      </c>
      <c r="N45" s="141">
        <f t="shared" si="17"/>
        <v>4.9409945845000011E-3</v>
      </c>
    </row>
    <row r="46" spans="4:14">
      <c r="D46"/>
      <c r="E46" s="136">
        <f t="shared" si="10"/>
        <v>4.4721359549995796</v>
      </c>
      <c r="F46" s="140">
        <f t="shared" si="11"/>
        <v>3.665745367821259</v>
      </c>
      <c r="G46" s="140">
        <f t="shared" si="12"/>
        <v>1.0912421467032996E-2</v>
      </c>
      <c r="H46" s="140">
        <f t="shared" si="13"/>
        <v>3.270009260169085E-3</v>
      </c>
      <c r="I46"/>
      <c r="J46"/>
      <c r="K46" s="136">
        <f t="shared" si="14"/>
        <v>4.4721359549995796</v>
      </c>
      <c r="L46" s="140">
        <f t="shared" si="15"/>
        <v>4.6839245969820382</v>
      </c>
      <c r="M46" s="140">
        <f t="shared" si="16"/>
        <v>1.1162489763219676E-2</v>
      </c>
      <c r="N46" s="141">
        <f t="shared" si="17"/>
        <v>5.0533775841250014E-3</v>
      </c>
    </row>
    <row r="47" spans="4:14">
      <c r="D47"/>
      <c r="E47"/>
      <c r="F47"/>
      <c r="H47"/>
      <c r="I47"/>
      <c r="J47"/>
      <c r="L47"/>
      <c r="M47"/>
      <c r="N47"/>
    </row>
    <row r="48" spans="4:14">
      <c r="D48"/>
      <c r="E48"/>
      <c r="F48"/>
      <c r="H48"/>
      <c r="I48"/>
      <c r="J48"/>
      <c r="L48"/>
      <c r="M48"/>
      <c r="N48"/>
    </row>
    <row r="49" spans="4:14">
      <c r="D49" s="213" t="s">
        <v>123</v>
      </c>
      <c r="E49" s="213"/>
      <c r="F49" s="213"/>
      <c r="H49" s="213" t="s">
        <v>124</v>
      </c>
      <c r="I49" s="213"/>
      <c r="J49" s="213"/>
      <c r="L49" s="213" t="s">
        <v>125</v>
      </c>
      <c r="M49" s="213"/>
      <c r="N49" s="213"/>
    </row>
    <row r="50" spans="4:14">
      <c r="D50" s="137"/>
      <c r="E50" s="137" t="s">
        <v>126</v>
      </c>
      <c r="F50" s="137" t="s">
        <v>127</v>
      </c>
      <c r="H50" s="137"/>
      <c r="I50" s="137" t="s">
        <v>128</v>
      </c>
      <c r="J50" s="137" t="s">
        <v>129</v>
      </c>
      <c r="L50" s="137"/>
      <c r="M50" s="137" t="s">
        <v>128</v>
      </c>
      <c r="N50" s="137" t="s">
        <v>130</v>
      </c>
    </row>
    <row r="51" spans="4:14">
      <c r="D51" s="137" t="str">
        <f t="shared" ref="D51:D68" si="18">E29</f>
        <v>t^(1/2)</v>
      </c>
      <c r="E51" s="135" t="s">
        <v>116</v>
      </c>
      <c r="F51" s="137" t="str">
        <f t="shared" ref="F51:F68" si="19">E7</f>
        <v>C* (mg/g)</v>
      </c>
      <c r="H51" s="137" t="str">
        <f t="shared" ref="H51:H68" si="20">D51</f>
        <v>t^(1/2)</v>
      </c>
      <c r="I51" s="135" t="s">
        <v>116</v>
      </c>
      <c r="J51" s="135" t="s">
        <v>131</v>
      </c>
      <c r="L51" s="137" t="str">
        <f t="shared" ref="L51:L68" si="21">H51</f>
        <v>t^(1/2)</v>
      </c>
      <c r="M51" s="135" t="s">
        <v>116</v>
      </c>
      <c r="N51" s="137" t="str">
        <f t="shared" ref="N51:N68" si="22">K7</f>
        <v>C* (mg/g)</v>
      </c>
    </row>
    <row r="52" spans="4:14">
      <c r="D52" s="136">
        <f t="shared" si="18"/>
        <v>0</v>
      </c>
      <c r="E52" s="142">
        <f t="shared" ref="E52:E68" si="23">0.8655472478*D52</f>
        <v>0</v>
      </c>
      <c r="F52" s="142">
        <f t="shared" si="19"/>
        <v>0</v>
      </c>
      <c r="H52" s="142">
        <f t="shared" si="20"/>
        <v>0</v>
      </c>
      <c r="I52" s="142">
        <f t="shared" ref="I52:I68" si="24">0.0026116325*H52</f>
        <v>0</v>
      </c>
      <c r="J52" s="142">
        <f t="shared" ref="J52:J68" si="25">H8</f>
        <v>0</v>
      </c>
      <c r="L52" s="139">
        <f t="shared" si="21"/>
        <v>0</v>
      </c>
      <c r="M52" s="137">
        <f t="shared" ref="M52:M68" si="26">0.0007319807*L52</f>
        <v>0</v>
      </c>
      <c r="N52" s="137">
        <f t="shared" si="22"/>
        <v>0</v>
      </c>
    </row>
    <row r="53" spans="4:14">
      <c r="D53" s="136">
        <f t="shared" si="18"/>
        <v>0.20412414523193151</v>
      </c>
      <c r="E53" s="142">
        <f t="shared" si="23"/>
        <v>0.1766790921150258</v>
      </c>
      <c r="F53" s="142">
        <f t="shared" si="19"/>
        <v>0.46668077364344712</v>
      </c>
      <c r="H53" s="142">
        <f t="shared" si="20"/>
        <v>0.20412414523193151</v>
      </c>
      <c r="I53" s="142">
        <f t="shared" si="24"/>
        <v>5.3309725172243246E-4</v>
      </c>
      <c r="J53" s="142">
        <f t="shared" si="25"/>
        <v>1.9542903568803413E-3</v>
      </c>
      <c r="L53" s="139">
        <f t="shared" si="21"/>
        <v>0.20412414523193151</v>
      </c>
      <c r="M53" s="137">
        <f t="shared" si="26"/>
        <v>1.494149347137709E-4</v>
      </c>
      <c r="N53" s="137">
        <f t="shared" si="22"/>
        <v>8.5390956724687003E-5</v>
      </c>
    </row>
    <row r="54" spans="4:14">
      <c r="D54" s="136">
        <f t="shared" si="18"/>
        <v>0.28867513459481287</v>
      </c>
      <c r="E54" s="142">
        <f t="shared" si="23"/>
        <v>0.24986196825683485</v>
      </c>
      <c r="F54" s="142">
        <f t="shared" si="19"/>
        <v>4.9980437412909653E-2</v>
      </c>
      <c r="H54" s="142">
        <f t="shared" si="20"/>
        <v>0.28867513459481287</v>
      </c>
      <c r="I54" s="142">
        <f t="shared" si="24"/>
        <v>7.5391336344968771E-4</v>
      </c>
      <c r="J54" s="142">
        <f t="shared" si="25"/>
        <v>1.0172491155249692E-3</v>
      </c>
      <c r="L54" s="139">
        <f t="shared" si="21"/>
        <v>0.28867513459481287</v>
      </c>
      <c r="M54" s="137">
        <f t="shared" si="26"/>
        <v>2.1130462709330534E-4</v>
      </c>
      <c r="N54" s="137">
        <f t="shared" si="22"/>
        <v>1.3855397272322141E-4</v>
      </c>
    </row>
    <row r="55" spans="4:14">
      <c r="D55" s="136">
        <f t="shared" si="18"/>
        <v>0.35355339059327379</v>
      </c>
      <c r="E55" s="142">
        <f t="shared" si="23"/>
        <v>0.30601716417836655</v>
      </c>
      <c r="F55" s="142">
        <f t="shared" si="19"/>
        <v>0.59613692866556922</v>
      </c>
      <c r="H55" s="142">
        <f t="shared" si="20"/>
        <v>0.35355339059327379</v>
      </c>
      <c r="I55" s="142">
        <f t="shared" si="24"/>
        <v>9.2335152535858822E-4</v>
      </c>
      <c r="J55" s="142">
        <f t="shared" si="25"/>
        <v>1.2200097734681769E-3</v>
      </c>
      <c r="L55" s="139">
        <f t="shared" si="21"/>
        <v>0.35355339059327379</v>
      </c>
      <c r="M55" s="137">
        <f t="shared" si="26"/>
        <v>2.5879425833383795E-4</v>
      </c>
      <c r="N55" s="137">
        <f t="shared" si="22"/>
        <v>1.3501871869336246E-4</v>
      </c>
    </row>
    <row r="56" spans="4:14">
      <c r="D56" s="136">
        <f t="shared" si="18"/>
        <v>0.5</v>
      </c>
      <c r="E56" s="142">
        <f t="shared" si="23"/>
        <v>0.43277362390000002</v>
      </c>
      <c r="F56" s="142">
        <f t="shared" si="19"/>
        <v>0.68847679295149722</v>
      </c>
      <c r="H56" s="142">
        <f t="shared" si="20"/>
        <v>0.5</v>
      </c>
      <c r="I56" s="142">
        <f t="shared" si="24"/>
        <v>1.3058162500000001E-3</v>
      </c>
      <c r="J56" s="142">
        <f t="shared" si="25"/>
        <v>1.0030978108192404E-3</v>
      </c>
      <c r="L56" s="139">
        <f t="shared" si="21"/>
        <v>0.5</v>
      </c>
      <c r="M56" s="137">
        <f t="shared" si="26"/>
        <v>3.6599035000000002E-4</v>
      </c>
      <c r="N56" s="137">
        <f t="shared" si="22"/>
        <v>1.7956008817738352E-4</v>
      </c>
    </row>
    <row r="57" spans="4:14">
      <c r="D57" s="136">
        <f t="shared" si="18"/>
        <v>0.70710678118654757</v>
      </c>
      <c r="E57" s="142">
        <f t="shared" si="23"/>
        <v>0.6120343283567331</v>
      </c>
      <c r="F57" s="142">
        <f t="shared" si="19"/>
        <v>0.72478135497844476</v>
      </c>
      <c r="H57" s="142">
        <f t="shared" si="20"/>
        <v>0.70710678118654757</v>
      </c>
      <c r="I57" s="142">
        <f t="shared" si="24"/>
        <v>1.8467030507171764E-3</v>
      </c>
      <c r="J57" s="142">
        <f t="shared" si="25"/>
        <v>1.4849055673205797E-3</v>
      </c>
      <c r="L57" s="139">
        <f t="shared" si="21"/>
        <v>0.70710678118654757</v>
      </c>
      <c r="M57" s="137">
        <f t="shared" si="26"/>
        <v>5.1758851666767591E-4</v>
      </c>
      <c r="N57" s="137">
        <f t="shared" si="22"/>
        <v>2.2430955105038711E-4</v>
      </c>
    </row>
    <row r="58" spans="4:14">
      <c r="D58" s="136">
        <f t="shared" si="18"/>
        <v>1</v>
      </c>
      <c r="E58" s="142">
        <f t="shared" si="23"/>
        <v>0.86554724780000003</v>
      </c>
      <c r="F58" s="142">
        <f t="shared" si="19"/>
        <v>0.85933440176916354</v>
      </c>
      <c r="H58" s="142">
        <f t="shared" si="20"/>
        <v>1</v>
      </c>
      <c r="I58" s="142">
        <f t="shared" si="24"/>
        <v>2.6116325000000002E-3</v>
      </c>
      <c r="J58" s="142">
        <f t="shared" si="25"/>
        <v>1.9753382953661457E-3</v>
      </c>
      <c r="L58" s="139">
        <f t="shared" si="21"/>
        <v>1</v>
      </c>
      <c r="M58" s="137">
        <f t="shared" si="26"/>
        <v>7.3198070000000004E-4</v>
      </c>
      <c r="N58" s="137">
        <f t="shared" si="22"/>
        <v>3.0092817151802228E-4</v>
      </c>
    </row>
    <row r="59" spans="4:14">
      <c r="D59" s="136">
        <f t="shared" si="18"/>
        <v>1.4142135623730951</v>
      </c>
      <c r="E59" s="142">
        <f t="shared" si="23"/>
        <v>1.2240686567134662</v>
      </c>
      <c r="F59" s="142">
        <f t="shared" si="19"/>
        <v>1.1747081977287441</v>
      </c>
      <c r="H59" s="142">
        <f t="shared" si="20"/>
        <v>1.4142135623730951</v>
      </c>
      <c r="I59" s="142">
        <f t="shared" si="24"/>
        <v>3.6934061014343529E-3</v>
      </c>
      <c r="J59" s="142">
        <f t="shared" si="25"/>
        <v>2.5664276931558943E-3</v>
      </c>
      <c r="L59" s="139">
        <f t="shared" si="21"/>
        <v>1.4142135623730951</v>
      </c>
      <c r="M59" s="137">
        <f t="shared" si="26"/>
        <v>1.0351770333353518E-3</v>
      </c>
      <c r="N59" s="137">
        <f t="shared" si="22"/>
        <v>1.6173969312535022E-3</v>
      </c>
    </row>
    <row r="60" spans="4:14">
      <c r="D60" s="136">
        <f t="shared" si="18"/>
        <v>1.7320508075688772</v>
      </c>
      <c r="E60" s="142">
        <f t="shared" si="23"/>
        <v>1.4991718095410091</v>
      </c>
      <c r="F60" s="142">
        <f t="shared" si="19"/>
        <v>1.3361138985092833</v>
      </c>
      <c r="H60" s="142">
        <f t="shared" si="20"/>
        <v>1.7320508075688772</v>
      </c>
      <c r="I60" s="142">
        <f t="shared" si="24"/>
        <v>4.5234801806981256E-3</v>
      </c>
      <c r="J60" s="142">
        <f t="shared" si="25"/>
        <v>3.598556361125829E-3</v>
      </c>
      <c r="L60" s="139">
        <f t="shared" si="21"/>
        <v>1.7320508075688772</v>
      </c>
      <c r="M60" s="137">
        <f t="shared" si="26"/>
        <v>1.2678277625598321E-3</v>
      </c>
      <c r="N60" s="137">
        <f t="shared" si="22"/>
        <v>1.6331921347049838E-3</v>
      </c>
    </row>
    <row r="61" spans="4:14">
      <c r="D61" s="136">
        <f t="shared" si="18"/>
        <v>2.2360679774997898</v>
      </c>
      <c r="E61" s="142">
        <f t="shared" si="23"/>
        <v>1.9354224838186556</v>
      </c>
      <c r="F61" s="142">
        <f t="shared" si="19"/>
        <v>2.0005557049715588</v>
      </c>
      <c r="H61" s="142">
        <f t="shared" si="20"/>
        <v>2.2360679774997898</v>
      </c>
      <c r="I61" s="142">
        <f t="shared" si="24"/>
        <v>5.8397878022477204E-3</v>
      </c>
      <c r="J61" s="142">
        <f t="shared" si="25"/>
        <v>5.0767423916262744E-3</v>
      </c>
      <c r="L61" s="139">
        <f t="shared" si="21"/>
        <v>2.2360679774997898</v>
      </c>
      <c r="M61" s="137">
        <f t="shared" si="26"/>
        <v>1.6367586034178804E-3</v>
      </c>
      <c r="N61" s="137">
        <f t="shared" si="22"/>
        <v>1.6549870992266646E-3</v>
      </c>
    </row>
    <row r="62" spans="4:14">
      <c r="D62" s="136">
        <f t="shared" si="18"/>
        <v>2.6457513110645907</v>
      </c>
      <c r="E62" s="142">
        <f t="shared" si="23"/>
        <v>2.2900227656551984</v>
      </c>
      <c r="F62" s="142">
        <f t="shared" si="19"/>
        <v>2.4108750008823367</v>
      </c>
      <c r="H62" s="142">
        <f t="shared" si="20"/>
        <v>2.6457513110645907</v>
      </c>
      <c r="I62" s="142">
        <f t="shared" si="24"/>
        <v>6.909730110893895E-3</v>
      </c>
      <c r="J62" s="142">
        <f t="shared" si="25"/>
        <v>6.8215890200165694E-3</v>
      </c>
      <c r="L62" s="139">
        <f t="shared" si="21"/>
        <v>2.6457513110645907</v>
      </c>
      <c r="M62" s="137">
        <f t="shared" si="26"/>
        <v>1.9366388966989771E-3</v>
      </c>
      <c r="N62" s="137">
        <f t="shared" si="22"/>
        <v>1.9807787254063356E-3</v>
      </c>
    </row>
    <row r="63" spans="4:14">
      <c r="D63" s="136">
        <f t="shared" si="18"/>
        <v>3.1622776601683795</v>
      </c>
      <c r="E63" s="142">
        <f t="shared" si="23"/>
        <v>2.7371007255381645</v>
      </c>
      <c r="F63" s="142">
        <f t="shared" si="19"/>
        <v>2.5154114075182648</v>
      </c>
      <c r="H63" s="142">
        <f t="shared" si="20"/>
        <v>3.1622776601683795</v>
      </c>
      <c r="I63" s="142">
        <f t="shared" si="24"/>
        <v>8.2587071113196953E-3</v>
      </c>
      <c r="J63" s="142">
        <f t="shared" si="25"/>
        <v>8.5744848111805952E-3</v>
      </c>
      <c r="L63" s="139">
        <f t="shared" si="21"/>
        <v>3.1622776601683795</v>
      </c>
      <c r="M63" s="137">
        <f t="shared" si="26"/>
        <v>2.3147262152844127E-3</v>
      </c>
      <c r="N63" s="137">
        <f t="shared" si="22"/>
        <v>1.955480672618146E-3</v>
      </c>
    </row>
    <row r="64" spans="4:14">
      <c r="D64" s="136">
        <f t="shared" si="18"/>
        <v>3.4641016151377544</v>
      </c>
      <c r="E64" s="142">
        <f t="shared" si="23"/>
        <v>2.9983436190820183</v>
      </c>
      <c r="F64" s="142">
        <f t="shared" si="19"/>
        <v>3.2368308799520973</v>
      </c>
      <c r="H64" s="142">
        <f t="shared" si="20"/>
        <v>3.4641016151377544</v>
      </c>
      <c r="I64" s="142">
        <f t="shared" si="24"/>
        <v>9.0469603613962512E-3</v>
      </c>
      <c r="J64" s="142">
        <f t="shared" si="25"/>
        <v>9.9313454239930224E-3</v>
      </c>
      <c r="L64" s="139">
        <f t="shared" si="21"/>
        <v>3.4641016151377544</v>
      </c>
      <c r="M64" s="137">
        <f t="shared" si="26"/>
        <v>2.5356555251196643E-3</v>
      </c>
      <c r="N64" s="137">
        <f t="shared" si="22"/>
        <v>2.5794433670426713E-3</v>
      </c>
    </row>
    <row r="65" spans="4:14">
      <c r="D65" s="136">
        <f t="shared" si="18"/>
        <v>3.7416573867739413</v>
      </c>
      <c r="E65" s="142">
        <f t="shared" si="23"/>
        <v>3.238581253332725</v>
      </c>
      <c r="F65" s="142">
        <f t="shared" si="19"/>
        <v>3.3882593049257501</v>
      </c>
      <c r="H65" s="142">
        <f t="shared" si="20"/>
        <v>3.7416573867739413</v>
      </c>
      <c r="I65" s="142">
        <f t="shared" si="24"/>
        <v>9.7718340351638962E-3</v>
      </c>
      <c r="J65" s="142">
        <f t="shared" si="25"/>
        <v>1.0817848212821914E-2</v>
      </c>
      <c r="L65" s="139">
        <f t="shared" si="21"/>
        <v>3.7416573867739413</v>
      </c>
      <c r="M65" s="137">
        <f t="shared" si="26"/>
        <v>2.7388209931309606E-3</v>
      </c>
      <c r="N65" s="137">
        <f t="shared" si="22"/>
        <v>2.760197095418011E-3</v>
      </c>
    </row>
    <row r="66" spans="4:14">
      <c r="D66" s="136">
        <f t="shared" si="18"/>
        <v>4</v>
      </c>
      <c r="E66" s="142">
        <f t="shared" si="23"/>
        <v>3.4621889912000001</v>
      </c>
      <c r="F66" s="142">
        <f t="shared" si="19"/>
        <v>3.5346154572164696</v>
      </c>
      <c r="H66" s="142">
        <f t="shared" si="20"/>
        <v>4</v>
      </c>
      <c r="I66" s="142">
        <f t="shared" si="24"/>
        <v>1.0446530000000001E-2</v>
      </c>
      <c r="J66" s="142">
        <f t="shared" si="25"/>
        <v>1.0820549037586395E-2</v>
      </c>
      <c r="L66" s="139">
        <f t="shared" si="21"/>
        <v>4</v>
      </c>
      <c r="M66" s="137">
        <f t="shared" si="26"/>
        <v>2.9279228000000002E-3</v>
      </c>
      <c r="N66" s="137">
        <f t="shared" si="22"/>
        <v>2.9409152225410014E-3</v>
      </c>
    </row>
    <row r="67" spans="4:14">
      <c r="D67" s="136">
        <f t="shared" si="18"/>
        <v>4.2426406871192848</v>
      </c>
      <c r="E67" s="142">
        <f t="shared" si="23"/>
        <v>3.6722059701403982</v>
      </c>
      <c r="F67" s="142">
        <f t="shared" si="19"/>
        <v>3.5599633265591595</v>
      </c>
      <c r="H67" s="142">
        <f t="shared" si="20"/>
        <v>4.2426406871192848</v>
      </c>
      <c r="I67" s="142">
        <f t="shared" si="24"/>
        <v>1.1080218304303056E-2</v>
      </c>
      <c r="J67" s="142">
        <f t="shared" si="25"/>
        <v>1.1001598382542844E-2</v>
      </c>
      <c r="L67" s="139">
        <f t="shared" si="21"/>
        <v>4.2426406871192848</v>
      </c>
      <c r="M67" s="137">
        <f t="shared" si="26"/>
        <v>3.1055311000060554E-3</v>
      </c>
      <c r="N67" s="137">
        <f t="shared" si="22"/>
        <v>3.1205716184416494E-3</v>
      </c>
    </row>
    <row r="68" spans="4:14">
      <c r="D68" s="136">
        <f t="shared" si="18"/>
        <v>4.4721359549995796</v>
      </c>
      <c r="E68" s="142">
        <f t="shared" si="23"/>
        <v>3.8708449676373111</v>
      </c>
      <c r="F68" s="142">
        <f t="shared" si="19"/>
        <v>3.665745367821259</v>
      </c>
      <c r="H68" s="142">
        <f t="shared" si="20"/>
        <v>4.4721359549995796</v>
      </c>
      <c r="I68" s="142">
        <f t="shared" si="24"/>
        <v>1.1679575604495441E-2</v>
      </c>
      <c r="J68" s="142">
        <f t="shared" si="25"/>
        <v>1.0912421467032996E-2</v>
      </c>
      <c r="L68" s="139">
        <f t="shared" si="21"/>
        <v>4.4721359549995796</v>
      </c>
      <c r="M68" s="137">
        <f t="shared" si="26"/>
        <v>3.2735172068357609E-3</v>
      </c>
      <c r="N68" s="137">
        <f t="shared" si="22"/>
        <v>3.270009260169085E-3</v>
      </c>
    </row>
    <row r="69" spans="4:14">
      <c r="D69"/>
      <c r="E69"/>
      <c r="F69"/>
      <c r="H69"/>
      <c r="I69"/>
      <c r="J69"/>
      <c r="L69"/>
      <c r="M69"/>
      <c r="N69"/>
    </row>
    <row r="70" spans="4:14">
      <c r="D70"/>
      <c r="E70"/>
      <c r="F70"/>
      <c r="H70"/>
      <c r="I70"/>
      <c r="J70"/>
      <c r="L70"/>
      <c r="M70"/>
      <c r="N70"/>
    </row>
    <row r="71" spans="4:14">
      <c r="D71"/>
      <c r="E71"/>
      <c r="F71"/>
      <c r="H71"/>
      <c r="I71"/>
      <c r="J71"/>
      <c r="L71"/>
      <c r="M71"/>
      <c r="N71"/>
    </row>
    <row r="72" spans="4:14">
      <c r="D72" s="213" t="s">
        <v>132</v>
      </c>
      <c r="E72" s="213"/>
      <c r="F72" s="213"/>
      <c r="H72" s="213" t="s">
        <v>133</v>
      </c>
      <c r="I72" s="213"/>
      <c r="J72" s="213"/>
      <c r="L72" s="213" t="s">
        <v>134</v>
      </c>
      <c r="M72" s="213"/>
      <c r="N72" s="213"/>
    </row>
    <row r="73" spans="4:14">
      <c r="D73" s="137"/>
      <c r="E73" s="137" t="s">
        <v>128</v>
      </c>
      <c r="F73" s="137" t="s">
        <v>130</v>
      </c>
      <c r="H73" s="143"/>
      <c r="I73" s="137" t="s">
        <v>128</v>
      </c>
      <c r="J73" s="137" t="s">
        <v>130</v>
      </c>
      <c r="L73" s="137"/>
      <c r="M73" s="137" t="s">
        <v>128</v>
      </c>
      <c r="N73" s="137" t="s">
        <v>130</v>
      </c>
    </row>
    <row r="74" spans="4:14">
      <c r="D74" s="143" t="s">
        <v>135</v>
      </c>
      <c r="E74" s="135" t="s">
        <v>116</v>
      </c>
      <c r="F74" s="135" t="s">
        <v>116</v>
      </c>
      <c r="H74" s="137" t="s">
        <v>135</v>
      </c>
      <c r="I74" s="135" t="s">
        <v>116</v>
      </c>
      <c r="J74" s="135" t="s">
        <v>116</v>
      </c>
      <c r="L74" s="137" t="str">
        <f t="shared" ref="L74:L91" si="27">H74</f>
        <v>T^(1/2)</v>
      </c>
      <c r="M74" s="135" t="s">
        <v>116</v>
      </c>
      <c r="N74" s="135" t="s">
        <v>116</v>
      </c>
    </row>
    <row r="75" spans="4:14">
      <c r="D75" s="139">
        <f t="shared" ref="D75:D91" si="28">D52</f>
        <v>0</v>
      </c>
      <c r="E75" s="137">
        <f t="shared" ref="E75:E91" si="29">1.1041675748*D75</f>
        <v>0</v>
      </c>
      <c r="F75" s="144">
        <f t="shared" ref="F75:F91" si="30">L30</f>
        <v>0</v>
      </c>
      <c r="H75" s="139">
        <f t="shared" ref="H75:H91" si="31">D75</f>
        <v>0</v>
      </c>
      <c r="I75" s="137">
        <f t="shared" ref="I75:I91" si="32">0.0026692304*H75</f>
        <v>0</v>
      </c>
      <c r="J75" s="144">
        <f t="shared" ref="J75:J91" si="33">M30</f>
        <v>0</v>
      </c>
      <c r="L75" s="139">
        <f t="shared" si="27"/>
        <v>0</v>
      </c>
      <c r="M75" s="137">
        <f t="shared" ref="M75:M91" si="34">0.0012*L75</f>
        <v>0</v>
      </c>
      <c r="N75" s="138">
        <f t="shared" ref="N75:N91" si="35">U8</f>
        <v>0</v>
      </c>
    </row>
    <row r="76" spans="4:14">
      <c r="D76" s="139">
        <f t="shared" si="28"/>
        <v>0.20412414523193151</v>
      </c>
      <c r="E76" s="137">
        <f t="shared" si="29"/>
        <v>0.22538726239886478</v>
      </c>
      <c r="F76" s="144">
        <f t="shared" si="30"/>
        <v>1.0875678252269478</v>
      </c>
      <c r="H76" s="139">
        <f t="shared" si="31"/>
        <v>0.20412414523193151</v>
      </c>
      <c r="I76" s="145">
        <f t="shared" si="32"/>
        <v>5.4485437382708658E-4</v>
      </c>
      <c r="J76" s="144">
        <f t="shared" si="33"/>
        <v>3.2342110230573231E-4</v>
      </c>
      <c r="L76" s="139">
        <f t="shared" si="27"/>
        <v>0.20412414523193151</v>
      </c>
      <c r="M76" s="137">
        <f t="shared" si="34"/>
        <v>2.4494897427831779E-4</v>
      </c>
      <c r="N76" s="138">
        <f t="shared" si="35"/>
        <v>1.4501137462500057E-4</v>
      </c>
    </row>
    <row r="77" spans="4:14">
      <c r="D77" s="139">
        <f t="shared" si="28"/>
        <v>0.28867513459481287</v>
      </c>
      <c r="E77" s="137">
        <f t="shared" si="29"/>
        <v>0.31874572327061806</v>
      </c>
      <c r="F77" s="144">
        <f t="shared" si="30"/>
        <v>0.82540459629790541</v>
      </c>
      <c r="H77" s="139">
        <f t="shared" si="31"/>
        <v>0.28867513459481287</v>
      </c>
      <c r="I77" s="137">
        <f t="shared" si="32"/>
        <v>7.7054044498456624E-4</v>
      </c>
      <c r="J77" s="144">
        <f t="shared" si="33"/>
        <v>1.8389548464736179E-4</v>
      </c>
      <c r="L77" s="139">
        <f t="shared" si="27"/>
        <v>0.28867513459481287</v>
      </c>
      <c r="M77" s="137">
        <f t="shared" si="34"/>
        <v>3.464101615137754E-4</v>
      </c>
      <c r="N77" s="138">
        <f t="shared" si="35"/>
        <v>2.149811121250009E-4</v>
      </c>
    </row>
    <row r="78" spans="4:14">
      <c r="D78" s="139">
        <f t="shared" si="28"/>
        <v>0.35355339059327379</v>
      </c>
      <c r="E78" s="137">
        <f t="shared" si="29"/>
        <v>0.39038218985369222</v>
      </c>
      <c r="F78" s="144">
        <f t="shared" si="30"/>
        <v>1.044888172684433</v>
      </c>
      <c r="H78" s="139">
        <f t="shared" si="31"/>
        <v>0.35355339059327379</v>
      </c>
      <c r="I78" s="137">
        <f t="shared" si="32"/>
        <v>9.4371545819464046E-4</v>
      </c>
      <c r="J78" s="144">
        <f t="shared" si="33"/>
        <v>5.6055169311409493E-4</v>
      </c>
      <c r="L78" s="139">
        <f t="shared" si="27"/>
        <v>0.35355339059327379</v>
      </c>
      <c r="M78" s="137">
        <f t="shared" si="34"/>
        <v>4.242640687119285E-4</v>
      </c>
      <c r="N78" s="138">
        <f t="shared" si="35"/>
        <v>2.5865963012499993E-4</v>
      </c>
    </row>
    <row r="79" spans="4:14">
      <c r="D79" s="139">
        <f t="shared" si="28"/>
        <v>0.5</v>
      </c>
      <c r="E79" s="137">
        <f t="shared" si="29"/>
        <v>0.55208378739999997</v>
      </c>
      <c r="F79" s="144">
        <f t="shared" si="30"/>
        <v>1.0209474225664688</v>
      </c>
      <c r="H79" s="139">
        <f t="shared" si="31"/>
        <v>0.5</v>
      </c>
      <c r="I79" s="137">
        <f t="shared" si="32"/>
        <v>1.3346152E-3</v>
      </c>
      <c r="J79" s="144">
        <f t="shared" si="33"/>
        <v>9.770104963362882E-4</v>
      </c>
      <c r="L79" s="139">
        <f t="shared" si="27"/>
        <v>0.5</v>
      </c>
      <c r="M79" s="137">
        <f t="shared" si="34"/>
        <v>5.9999999999999995E-4</v>
      </c>
      <c r="N79" s="138">
        <f t="shared" si="35"/>
        <v>5.0753799849999922E-4</v>
      </c>
    </row>
    <row r="80" spans="4:14">
      <c r="D80" s="139">
        <f t="shared" si="28"/>
        <v>0.70710678118654757</v>
      </c>
      <c r="E80" s="137">
        <f t="shared" si="29"/>
        <v>0.78076437970738444</v>
      </c>
      <c r="F80" s="144">
        <f t="shared" si="30"/>
        <v>1.1746304527224569</v>
      </c>
      <c r="H80" s="139">
        <f t="shared" si="31"/>
        <v>0.70710678118654757</v>
      </c>
      <c r="I80" s="137">
        <f t="shared" si="32"/>
        <v>1.8874309163892809E-3</v>
      </c>
      <c r="J80" s="144">
        <f t="shared" si="33"/>
        <v>1.8166716529390249E-3</v>
      </c>
      <c r="L80" s="139">
        <f t="shared" si="27"/>
        <v>0.70710678118654757</v>
      </c>
      <c r="M80" s="137">
        <f t="shared" si="34"/>
        <v>8.4852813742385699E-4</v>
      </c>
      <c r="N80" s="138">
        <f t="shared" si="35"/>
        <v>5.0547878549999953E-4</v>
      </c>
    </row>
    <row r="81" spans="4:14">
      <c r="D81" s="139">
        <f t="shared" si="28"/>
        <v>1</v>
      </c>
      <c r="E81" s="137">
        <f t="shared" si="29"/>
        <v>1.1041675747999999</v>
      </c>
      <c r="F81" s="144">
        <f t="shared" si="30"/>
        <v>1.1210193811140741</v>
      </c>
      <c r="H81" s="139">
        <f t="shared" si="31"/>
        <v>1</v>
      </c>
      <c r="I81" s="137">
        <f t="shared" si="32"/>
        <v>2.6692304E-3</v>
      </c>
      <c r="J81" s="144">
        <f t="shared" si="33"/>
        <v>2.5531088178032692E-3</v>
      </c>
      <c r="L81" s="139">
        <f t="shared" si="27"/>
        <v>1</v>
      </c>
      <c r="M81" s="137">
        <f t="shared" si="34"/>
        <v>1.1999999999999999E-3</v>
      </c>
      <c r="N81" s="138">
        <f t="shared" si="35"/>
        <v>8.8200660762500008E-4</v>
      </c>
    </row>
    <row r="82" spans="4:14">
      <c r="D82" s="139">
        <f t="shared" si="28"/>
        <v>1.4142135623730951</v>
      </c>
      <c r="E82" s="137">
        <f t="shared" si="29"/>
        <v>1.5615287594147689</v>
      </c>
      <c r="F82" s="144">
        <f t="shared" si="30"/>
        <v>1.510020053937128</v>
      </c>
      <c r="H82" s="139">
        <f t="shared" si="31"/>
        <v>1.4142135623730951</v>
      </c>
      <c r="I82" s="137">
        <f t="shared" si="32"/>
        <v>3.7748618327785618E-3</v>
      </c>
      <c r="J82" s="144">
        <f t="shared" si="33"/>
        <v>3.1733043552482788E-3</v>
      </c>
      <c r="L82" s="139">
        <f t="shared" si="27"/>
        <v>1.4142135623730951</v>
      </c>
      <c r="M82" s="137">
        <f t="shared" si="34"/>
        <v>1.697056274847714E-3</v>
      </c>
      <c r="N82" s="138">
        <f t="shared" si="35"/>
        <v>9.4135037100000088E-4</v>
      </c>
    </row>
    <row r="83" spans="4:14">
      <c r="D83" s="139">
        <f t="shared" si="28"/>
        <v>1.7320508075688772</v>
      </c>
      <c r="E83" s="137">
        <f t="shared" si="29"/>
        <v>1.9124743396237085</v>
      </c>
      <c r="F83" s="144">
        <f t="shared" si="30"/>
        <v>1.9815152461589836</v>
      </c>
      <c r="H83" s="139">
        <f t="shared" si="31"/>
        <v>1.7320508075688772</v>
      </c>
      <c r="I83" s="137">
        <f t="shared" si="32"/>
        <v>4.6232426699073974E-3</v>
      </c>
      <c r="J83" s="144">
        <f t="shared" si="33"/>
        <v>4.0165829370303998E-3</v>
      </c>
      <c r="L83" s="139">
        <f t="shared" si="27"/>
        <v>1.7320508075688772</v>
      </c>
      <c r="M83" s="137">
        <f t="shared" si="34"/>
        <v>2.0784609690826525E-3</v>
      </c>
      <c r="N83" s="138">
        <f t="shared" si="35"/>
        <v>2.112005710750002E-3</v>
      </c>
    </row>
    <row r="84" spans="4:14">
      <c r="D84" s="139">
        <f t="shared" si="28"/>
        <v>2.2360679774997898</v>
      </c>
      <c r="E84" s="137">
        <f t="shared" si="29"/>
        <v>2.4689937558038837</v>
      </c>
      <c r="F84" s="144">
        <f t="shared" si="30"/>
        <v>2.7305836699197621</v>
      </c>
      <c r="H84" s="139">
        <f t="shared" si="31"/>
        <v>2.2360679774997898</v>
      </c>
      <c r="I84" s="137">
        <f t="shared" si="32"/>
        <v>5.968580622008955E-3</v>
      </c>
      <c r="J84" s="144">
        <f t="shared" si="33"/>
        <v>5.598809773590019E-3</v>
      </c>
      <c r="L84" s="139">
        <f t="shared" si="27"/>
        <v>2.2360679774997898</v>
      </c>
      <c r="M84" s="137">
        <f t="shared" si="34"/>
        <v>2.6832815729997475E-3</v>
      </c>
      <c r="N84" s="138">
        <f t="shared" si="35"/>
        <v>2.6816028785000014E-3</v>
      </c>
    </row>
    <row r="85" spans="4:14">
      <c r="D85" s="139">
        <f t="shared" si="28"/>
        <v>2.6457513110645907</v>
      </c>
      <c r="E85" s="137">
        <f t="shared" si="29"/>
        <v>2.9213528086621094</v>
      </c>
      <c r="F85" s="144">
        <f t="shared" si="30"/>
        <v>2.9754498129044924</v>
      </c>
      <c r="H85" s="139">
        <f t="shared" si="31"/>
        <v>2.6457513110645907</v>
      </c>
      <c r="I85" s="137">
        <f t="shared" si="32"/>
        <v>7.0621198303334621E-3</v>
      </c>
      <c r="J85" s="144">
        <f t="shared" si="33"/>
        <v>7.4287174178544147E-3</v>
      </c>
      <c r="L85" s="139">
        <f t="shared" si="27"/>
        <v>2.6457513110645907</v>
      </c>
      <c r="M85" s="137">
        <f t="shared" si="34"/>
        <v>3.1749015732775087E-3</v>
      </c>
      <c r="N85" s="138">
        <f t="shared" si="35"/>
        <v>3.8786618243750008E-3</v>
      </c>
    </row>
    <row r="86" spans="4:14">
      <c r="D86" s="139">
        <f t="shared" si="28"/>
        <v>3.1622776601683795</v>
      </c>
      <c r="E86" s="137">
        <f t="shared" si="29"/>
        <v>3.4916844548723378</v>
      </c>
      <c r="F86" s="144">
        <f t="shared" si="30"/>
        <v>3.4176445613931157</v>
      </c>
      <c r="H86" s="139">
        <f t="shared" si="31"/>
        <v>3.1622776601683795</v>
      </c>
      <c r="I86" s="137">
        <f t="shared" si="32"/>
        <v>8.4408476637623086E-3</v>
      </c>
      <c r="J86" s="144">
        <f t="shared" si="33"/>
        <v>8.56043288841166E-3</v>
      </c>
      <c r="L86" s="139">
        <f t="shared" si="27"/>
        <v>3.1622776601683795</v>
      </c>
      <c r="M86" s="137">
        <f t="shared" si="34"/>
        <v>3.7947331922020553E-3</v>
      </c>
      <c r="N86" s="138">
        <f t="shared" si="35"/>
        <v>4.1314229693750005E-3</v>
      </c>
    </row>
    <row r="87" spans="4:14">
      <c r="D87" s="139">
        <f t="shared" si="28"/>
        <v>3.4641016151377544</v>
      </c>
      <c r="E87" s="137">
        <f t="shared" si="29"/>
        <v>3.824948679247417</v>
      </c>
      <c r="F87" s="144">
        <f t="shared" si="30"/>
        <v>4.016156246614373</v>
      </c>
      <c r="H87" s="139">
        <f t="shared" si="31"/>
        <v>3.4641016151377544</v>
      </c>
      <c r="I87" s="137">
        <f t="shared" si="32"/>
        <v>9.2464853398147948E-3</v>
      </c>
      <c r="J87" s="144">
        <f t="shared" si="33"/>
        <v>9.6872826673543803E-3</v>
      </c>
      <c r="L87" s="139">
        <f t="shared" si="27"/>
        <v>3.4641016151377544</v>
      </c>
      <c r="M87" s="137">
        <f t="shared" si="34"/>
        <v>4.156921938165305E-3</v>
      </c>
      <c r="N87" s="138">
        <f t="shared" si="35"/>
        <v>4.9156278356250012E-3</v>
      </c>
    </row>
    <row r="88" spans="4:14">
      <c r="D88" s="139">
        <f t="shared" si="28"/>
        <v>3.7416573867739413</v>
      </c>
      <c r="E88" s="137">
        <f t="shared" si="29"/>
        <v>4.1314167624866878</v>
      </c>
      <c r="F88" s="144">
        <f t="shared" si="30"/>
        <v>4.127468248343714</v>
      </c>
      <c r="H88" s="139">
        <f t="shared" si="31"/>
        <v>3.7416573867739413</v>
      </c>
      <c r="I88" s="137">
        <f t="shared" si="32"/>
        <v>9.9873456431615621E-3</v>
      </c>
      <c r="J88" s="144">
        <f t="shared" si="33"/>
        <v>1.0743992973980928E-2</v>
      </c>
      <c r="L88" s="139">
        <f t="shared" si="27"/>
        <v>3.7416573867739413</v>
      </c>
      <c r="M88" s="137">
        <f t="shared" si="34"/>
        <v>4.489988864128729E-3</v>
      </c>
      <c r="N88" s="138">
        <f t="shared" si="35"/>
        <v>4.9518779602500023E-3</v>
      </c>
    </row>
    <row r="89" spans="4:14">
      <c r="D89" s="139">
        <f t="shared" si="28"/>
        <v>4</v>
      </c>
      <c r="E89" s="137">
        <f t="shared" si="29"/>
        <v>4.4166702991999998</v>
      </c>
      <c r="F89" s="144">
        <f t="shared" si="30"/>
        <v>4.2244751689161699</v>
      </c>
      <c r="H89" s="139">
        <f t="shared" si="31"/>
        <v>4</v>
      </c>
      <c r="I89" s="137">
        <f t="shared" si="32"/>
        <v>1.06769216E-2</v>
      </c>
      <c r="J89" s="144">
        <f t="shared" si="33"/>
        <v>1.110609213947227E-2</v>
      </c>
      <c r="L89" s="139">
        <f t="shared" si="27"/>
        <v>4</v>
      </c>
      <c r="M89" s="137">
        <f t="shared" si="34"/>
        <v>4.7999999999999996E-3</v>
      </c>
      <c r="N89" s="138">
        <f t="shared" si="35"/>
        <v>4.8938683348750001E-3</v>
      </c>
    </row>
    <row r="90" spans="4:14">
      <c r="D90" s="139">
        <f t="shared" si="28"/>
        <v>4.2426406871192848</v>
      </c>
      <c r="E90" s="137">
        <f t="shared" si="29"/>
        <v>4.6845862782443062</v>
      </c>
      <c r="F90" s="144">
        <f t="shared" si="30"/>
        <v>4.5981530077727566</v>
      </c>
      <c r="H90" s="139">
        <f t="shared" si="31"/>
        <v>4.2426406871192848</v>
      </c>
      <c r="I90" s="137">
        <f t="shared" si="32"/>
        <v>1.1324585498335683E-2</v>
      </c>
      <c r="J90" s="144">
        <f t="shared" si="33"/>
        <v>1.1153428003967495E-2</v>
      </c>
      <c r="L90" s="139">
        <f t="shared" si="27"/>
        <v>4.2426406871192848</v>
      </c>
      <c r="M90" s="137">
        <f t="shared" si="34"/>
        <v>5.0911688245431413E-3</v>
      </c>
      <c r="N90" s="138">
        <f t="shared" si="35"/>
        <v>4.9409945845000011E-3</v>
      </c>
    </row>
    <row r="91" spans="4:14">
      <c r="D91" s="139">
        <f t="shared" si="28"/>
        <v>4.4721359549995796</v>
      </c>
      <c r="E91" s="137">
        <f t="shared" si="29"/>
        <v>4.9379875116077674</v>
      </c>
      <c r="F91" s="144">
        <f t="shared" si="30"/>
        <v>4.6839245969820382</v>
      </c>
      <c r="H91" s="139">
        <f t="shared" si="31"/>
        <v>4.4721359549995796</v>
      </c>
      <c r="I91" s="137">
        <f t="shared" si="32"/>
        <v>1.193716124401791E-2</v>
      </c>
      <c r="J91" s="144">
        <f t="shared" si="33"/>
        <v>1.1162489763219676E-2</v>
      </c>
      <c r="L91" s="139">
        <f t="shared" si="27"/>
        <v>4.4721359549995796</v>
      </c>
      <c r="M91" s="137">
        <f t="shared" si="34"/>
        <v>5.366563145999495E-3</v>
      </c>
      <c r="N91" s="138">
        <f t="shared" si="35"/>
        <v>5.0533775841250014E-3</v>
      </c>
    </row>
  </sheetData>
  <mergeCells count="14">
    <mergeCell ref="D72:F72"/>
    <mergeCell ref="H72:J72"/>
    <mergeCell ref="L72:N72"/>
    <mergeCell ref="U6:W6"/>
    <mergeCell ref="F27:H27"/>
    <mergeCell ref="L27:N27"/>
    <mergeCell ref="D49:F49"/>
    <mergeCell ref="H49:J49"/>
    <mergeCell ref="L49:N49"/>
    <mergeCell ref="E6:G6"/>
    <mergeCell ref="H6:J6"/>
    <mergeCell ref="K6:M6"/>
    <mergeCell ref="O6:Q6"/>
    <mergeCell ref="R6:T6"/>
  </mergeCell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W193"/>
  <sheetViews>
    <sheetView topLeftCell="E1" zoomScale="85" zoomScaleNormal="85" zoomScalePageLayoutView="85" workbookViewId="0">
      <selection activeCell="M73" sqref="M73"/>
    </sheetView>
  </sheetViews>
  <sheetFormatPr baseColWidth="10" defaultColWidth="8.83203125" defaultRowHeight="14" x14ac:dyDescent="0"/>
  <sheetData>
    <row r="5" spans="5:16" ht="15">
      <c r="E5" s="146" t="s">
        <v>136</v>
      </c>
      <c r="F5" s="146"/>
      <c r="G5" s="146"/>
      <c r="H5" s="146"/>
      <c r="I5" s="146"/>
    </row>
    <row r="7" spans="5:16">
      <c r="E7" s="216" t="s">
        <v>137</v>
      </c>
      <c r="F7" s="216"/>
      <c r="G7" s="216"/>
      <c r="H7" s="216"/>
      <c r="I7" s="216"/>
      <c r="L7" s="216" t="s">
        <v>132</v>
      </c>
      <c r="M7" s="216"/>
      <c r="N7" s="216"/>
      <c r="O7" s="216"/>
      <c r="P7" s="216"/>
    </row>
    <row r="8" spans="5:16">
      <c r="E8" s="53" t="s">
        <v>89</v>
      </c>
      <c r="F8" s="16" t="str">
        <f>'Static FA_NTX1'!G54</f>
        <v>c*=(Co-C)*V/m</v>
      </c>
      <c r="G8" s="120" t="s">
        <v>64</v>
      </c>
      <c r="H8" s="120" t="s">
        <v>65</v>
      </c>
      <c r="I8" s="147" t="s">
        <v>138</v>
      </c>
      <c r="L8" s="53" t="str">
        <f>E8</f>
        <v>Time (days)</v>
      </c>
      <c r="M8" s="53" t="str">
        <f>F8</f>
        <v>c*=(Co-C)*V/m</v>
      </c>
      <c r="N8" s="53" t="str">
        <f>G8</f>
        <v>C (mg/L)</v>
      </c>
      <c r="O8" s="53" t="str">
        <f>H8</f>
        <v>C/Co</v>
      </c>
      <c r="P8" s="148" t="str">
        <f>I8</f>
        <v>Removal %</v>
      </c>
    </row>
    <row r="9" spans="5:16">
      <c r="E9" s="53">
        <f>'Static FA_NTX1'!F55</f>
        <v>0</v>
      </c>
      <c r="F9" s="149">
        <f>'Static FA_NTX1'!G55</f>
        <v>0</v>
      </c>
      <c r="G9" s="121">
        <f>'Static FA_NTX1'!D12</f>
        <v>8.7610966550000011</v>
      </c>
      <c r="H9" s="121">
        <v>1</v>
      </c>
      <c r="I9" s="54">
        <v>0</v>
      </c>
      <c r="L9" s="53">
        <f>Dynamic_FA_NTX1!C65</f>
        <v>0</v>
      </c>
      <c r="M9" s="49">
        <f>Dynamic_FA_NTX1!F65</f>
        <v>0</v>
      </c>
      <c r="N9" s="121">
        <f>Dynamic_FA_NTX1!D13</f>
        <v>8.7610966550000011</v>
      </c>
      <c r="O9" s="121">
        <f>Dynamic_FA_NTX1!H14</f>
        <v>1</v>
      </c>
      <c r="P9" s="54">
        <v>0</v>
      </c>
    </row>
    <row r="10" spans="5:16">
      <c r="E10" s="53">
        <f>'Static FA_NTX1'!F56</f>
        <v>4.1666666666666664E-2</v>
      </c>
      <c r="F10" s="149">
        <f>'Static FA_NTX1'!G56</f>
        <v>0.46668077364344712</v>
      </c>
      <c r="G10" s="121">
        <f>'Static FA_NTX1'!D13</f>
        <v>8.3147650259999999</v>
      </c>
      <c r="H10" s="121">
        <f>'Static FA_NTX1'!E13</f>
        <v>0.94905527851410276</v>
      </c>
      <c r="I10" s="150">
        <f t="shared" ref="I10:I25" si="0">(($G$9-G10)/$G$9)*100</f>
        <v>5.0944721485897269</v>
      </c>
      <c r="L10" s="53">
        <f>Dynamic_FA_NTX1!C66</f>
        <v>4.1666666666666664E-2</v>
      </c>
      <c r="M10" s="49">
        <f>Dynamic_FA_NTX1!F66</f>
        <v>1.0875678252269478</v>
      </c>
      <c r="N10" s="121">
        <f>Dynamic_FA_NTX1!D14</f>
        <v>7.7311912009999997</v>
      </c>
      <c r="O10" s="121">
        <f>Dynamic_FA_NTX1!H15</f>
        <v>0.88244560075567369</v>
      </c>
      <c r="P10" s="150">
        <f t="shared" ref="P10:P25" si="1">(($G$9-N10)/$G$9)*100</f>
        <v>11.755439924432626</v>
      </c>
    </row>
    <row r="11" spans="5:16">
      <c r="E11" s="53">
        <f>'Static FA_NTX1'!F57</f>
        <v>8.3333333333333329E-2</v>
      </c>
      <c r="F11" s="149">
        <f>'Static FA_NTX1'!G57</f>
        <v>4.9980437412909653E-2</v>
      </c>
      <c r="G11" s="121">
        <f>'Static FA_NTX1'!D14</f>
        <v>8.3022625019999996</v>
      </c>
      <c r="H11" s="121">
        <f>'Static FA_NTX1'!E14</f>
        <v>0.9476282283978521</v>
      </c>
      <c r="I11" s="150">
        <f t="shared" si="0"/>
        <v>5.2371771602147845</v>
      </c>
      <c r="L11" s="53">
        <f>Dynamic_FA_NTX1!C67</f>
        <v>8.3333333333333329E-2</v>
      </c>
      <c r="M11" s="49">
        <f>Dynamic_FA_NTX1!F67</f>
        <v>0.82540459629790541</v>
      </c>
      <c r="N11" s="121">
        <f>Dynamic_FA_NTX1!D15</f>
        <v>7.9794546500000001</v>
      </c>
      <c r="O11" s="121">
        <f>Dynamic_FA_NTX1!H16</f>
        <v>0.9107826296432977</v>
      </c>
      <c r="P11" s="150">
        <f t="shared" si="1"/>
        <v>8.9217370356702332</v>
      </c>
    </row>
    <row r="12" spans="5:16">
      <c r="E12" s="53">
        <f>'Static FA_NTX1'!F58</f>
        <v>0.125</v>
      </c>
      <c r="F12" s="149">
        <f>'Static FA_NTX1'!G58</f>
        <v>0.59613692866556922</v>
      </c>
      <c r="G12" s="121">
        <f>'Static FA_NTX1'!D15</f>
        <v>8.1965666460000008</v>
      </c>
      <c r="H12" s="121">
        <f>'Static FA_NTX1'!E15</f>
        <v>0.93556400171914322</v>
      </c>
      <c r="I12" s="150">
        <f t="shared" si="0"/>
        <v>6.443599828085679</v>
      </c>
      <c r="L12" s="53">
        <f>Dynamic_FA_NTX1!C68</f>
        <v>0.125</v>
      </c>
      <c r="M12" s="49">
        <f>Dynamic_FA_NTX1!F68</f>
        <v>1.044888172684433</v>
      </c>
      <c r="N12" s="121">
        <f>Dynamic_FA_NTX1!D16</f>
        <v>7.7716079969999994</v>
      </c>
      <c r="O12" s="121">
        <f>Dynamic_FA_NTX1!H17</f>
        <v>0.88705881273033371</v>
      </c>
      <c r="P12" s="150">
        <f t="shared" si="1"/>
        <v>11.294118726966627</v>
      </c>
    </row>
    <row r="13" spans="5:16">
      <c r="E13" s="53">
        <f>'Static FA_NTX1'!F59</f>
        <v>0.25</v>
      </c>
      <c r="F13" s="149">
        <f>'Static FA_NTX1'!G59</f>
        <v>0.68847679295149722</v>
      </c>
      <c r="G13" s="121">
        <f>'Static FA_NTX1'!D16</f>
        <v>8.109122601000001</v>
      </c>
      <c r="H13" s="121">
        <f>'Static FA_NTX1'!E16</f>
        <v>0.92558305430543153</v>
      </c>
      <c r="I13" s="150">
        <f t="shared" si="0"/>
        <v>7.4416945694568417</v>
      </c>
      <c r="L13" s="53">
        <f>Dynamic_FA_NTX1!C69</f>
        <v>0.25</v>
      </c>
      <c r="M13" s="49">
        <f>Dynamic_FA_NTX1!F69</f>
        <v>1.0209474225664688</v>
      </c>
      <c r="N13" s="121">
        <f>Dynamic_FA_NTX1!D17</f>
        <v>7.7942794189999995</v>
      </c>
      <c r="O13" s="121">
        <f>Dynamic_FA_NTX1!H18</f>
        <v>0.88964655064634701</v>
      </c>
      <c r="P13" s="150">
        <f t="shared" si="1"/>
        <v>11.035344935365304</v>
      </c>
    </row>
    <row r="14" spans="5:16">
      <c r="E14" s="53">
        <f>'Static FA_NTX1'!F60</f>
        <v>0.5</v>
      </c>
      <c r="F14" s="149">
        <f>'Static FA_NTX1'!G60</f>
        <v>0.72478135497844476</v>
      </c>
      <c r="G14" s="121">
        <f>'Static FA_NTX1'!D17</f>
        <v>8.0747428909999996</v>
      </c>
      <c r="H14" s="121">
        <f>'Static FA_NTX1'!E17</f>
        <v>0.92165892113422854</v>
      </c>
      <c r="I14" s="150">
        <f t="shared" si="0"/>
        <v>7.8341078865771445</v>
      </c>
      <c r="L14" s="53">
        <f>Dynamic_FA_NTX1!C70</f>
        <v>0.5</v>
      </c>
      <c r="M14" s="49">
        <f>Dynamic_FA_NTX1!F70</f>
        <v>1.1746304527224569</v>
      </c>
      <c r="N14" s="121">
        <f>Dynamic_FA_NTX1!D18</f>
        <v>7.6487445959999993</v>
      </c>
      <c r="O14" s="121">
        <f>Dynamic_FA_NTX1!H19</f>
        <v>0.87303506595088443</v>
      </c>
      <c r="P14" s="150">
        <f t="shared" si="1"/>
        <v>12.696493404911552</v>
      </c>
    </row>
    <row r="15" spans="5:16">
      <c r="E15" s="53">
        <f>'Static FA_NTX1'!F61</f>
        <v>1</v>
      </c>
      <c r="F15" s="149">
        <f>'Static FA_NTX1'!G61</f>
        <v>0.85933440176916354</v>
      </c>
      <c r="G15" s="121">
        <f>'Static FA_NTX1'!D18</f>
        <v>7.9473237879999994</v>
      </c>
      <c r="H15" s="121">
        <f>'Static FA_NTX1'!E18</f>
        <v>0.90711518214610976</v>
      </c>
      <c r="I15" s="150">
        <f t="shared" si="0"/>
        <v>9.2884817853890187</v>
      </c>
      <c r="L15" s="53">
        <f>Dynamic_FA_NTX1!C71</f>
        <v>1</v>
      </c>
      <c r="M15" s="49">
        <f>Dynamic_FA_NTX1!F71</f>
        <v>1.1210193811140741</v>
      </c>
      <c r="N15" s="121">
        <f>Dynamic_FA_NTX1!D19</f>
        <v>7.6995132319999993</v>
      </c>
      <c r="O15" s="121">
        <f>Dynamic_FA_NTX1!H20</f>
        <v>0.8788298469011695</v>
      </c>
      <c r="P15" s="150">
        <f t="shared" si="1"/>
        <v>12.117015309883049</v>
      </c>
    </row>
    <row r="16" spans="5:16">
      <c r="E16" s="53">
        <f>'Static FA_NTX1'!F62</f>
        <v>2</v>
      </c>
      <c r="F16" s="149">
        <f>'Static FA_NTX1'!G62</f>
        <v>1.1747081977287441</v>
      </c>
      <c r="G16" s="121">
        <f>'Static FA_NTX1'!D19</f>
        <v>7.6486709729999998</v>
      </c>
      <c r="H16" s="121">
        <f>'Static FA_NTX1'!E19</f>
        <v>0.87302666255084238</v>
      </c>
      <c r="I16" s="150">
        <f t="shared" si="0"/>
        <v>12.697333744915765</v>
      </c>
      <c r="L16" s="53">
        <f>Dynamic_FA_NTX1!C72</f>
        <v>2</v>
      </c>
      <c r="M16" s="49">
        <f>Dynamic_FA_NTX1!F72</f>
        <v>1.510020053937128</v>
      </c>
      <c r="N16" s="121">
        <f>Dynamic_FA_NTX1!D20</f>
        <v>7.3311372049999992</v>
      </c>
      <c r="O16" s="121">
        <f>Dynamic_FA_NTX1!H21</f>
        <v>0.83678305281748977</v>
      </c>
      <c r="P16" s="150">
        <f t="shared" si="1"/>
        <v>16.32169471825102</v>
      </c>
    </row>
    <row r="17" spans="5:16">
      <c r="E17" s="53">
        <f>'Static FA_NTX1'!F63</f>
        <v>3</v>
      </c>
      <c r="F17" s="149">
        <f>'Static FA_NTX1'!G63</f>
        <v>1.3361138985092833</v>
      </c>
      <c r="G17" s="121">
        <f>'Static FA_NTX1'!D20</f>
        <v>7.4958229319999994</v>
      </c>
      <c r="H17" s="121">
        <f>'Static FA_NTX1'!E20</f>
        <v>0.85558044011785861</v>
      </c>
      <c r="I17" s="150">
        <f t="shared" si="0"/>
        <v>14.441955988214145</v>
      </c>
      <c r="L17" s="53">
        <f>Dynamic_FA_NTX1!C73</f>
        <v>3</v>
      </c>
      <c r="M17" s="49">
        <f>Dynamic_FA_NTX1!F73</f>
        <v>1.9815152461589836</v>
      </c>
      <c r="N17" s="121">
        <f>Dynamic_FA_NTX1!D21</f>
        <v>6.884640482</v>
      </c>
      <c r="O17" s="121">
        <f>Dynamic_FA_NTX1!H22</f>
        <v>0.78581948734361939</v>
      </c>
      <c r="P17" s="150">
        <f t="shared" si="1"/>
        <v>21.418051265638056</v>
      </c>
    </row>
    <row r="18" spans="5:16">
      <c r="E18" s="53">
        <f>'Static FA_NTX1'!F64</f>
        <v>5</v>
      </c>
      <c r="F18" s="149">
        <f>'Static FA_NTX1'!G64</f>
        <v>2.0005557049715588</v>
      </c>
      <c r="G18" s="121">
        <f>'Static FA_NTX1'!D21</f>
        <v>6.8666095399999998</v>
      </c>
      <c r="H18" s="121">
        <f>'Static FA_NTX1'!E21</f>
        <v>0.78376141827874846</v>
      </c>
      <c r="I18" s="150">
        <f t="shared" si="0"/>
        <v>21.623858172125153</v>
      </c>
      <c r="L18" s="53">
        <f>Dynamic_FA_NTX1!C74</f>
        <v>5</v>
      </c>
      <c r="M18" s="49">
        <f>Dynamic_FA_NTX1!F74</f>
        <v>2.7305836699197621</v>
      </c>
      <c r="N18" s="121">
        <f>Dynamic_FA_NTX1!D22</f>
        <v>6.1752873389999996</v>
      </c>
      <c r="O18" s="121">
        <f>Dynamic_FA_NTX1!H23</f>
        <v>0.70485323723437443</v>
      </c>
      <c r="P18" s="150">
        <f t="shared" si="1"/>
        <v>29.514676276562561</v>
      </c>
    </row>
    <row r="19" spans="5:16">
      <c r="E19" s="53">
        <f>'Static FA_NTX1'!F65</f>
        <v>7</v>
      </c>
      <c r="F19" s="149">
        <f>'Static FA_NTX1'!G65</f>
        <v>2.4108750008823367</v>
      </c>
      <c r="G19" s="121">
        <f>'Static FA_NTX1'!D22</f>
        <v>6.4780451939999999</v>
      </c>
      <c r="H19" s="121">
        <f>'Static FA_NTX1'!E22</f>
        <v>0.73941031004411384</v>
      </c>
      <c r="I19" s="150">
        <f t="shared" si="0"/>
        <v>26.058968995588611</v>
      </c>
      <c r="L19" s="53">
        <f>Dynamic_FA_NTX1!C75</f>
        <v>7</v>
      </c>
      <c r="M19" s="49">
        <f>Dynamic_FA_NTX1!F75</f>
        <v>2.9754498129044924</v>
      </c>
      <c r="N19" s="121">
        <f>Dynamic_FA_NTX1!D23</f>
        <v>5.9434038920000001</v>
      </c>
      <c r="O19" s="121">
        <f>Dynamic_FA_NTX1!H24</f>
        <v>0.67838583753188819</v>
      </c>
      <c r="P19" s="150">
        <f t="shared" si="1"/>
        <v>32.161416246811179</v>
      </c>
    </row>
    <row r="20" spans="5:16">
      <c r="E20" s="53">
        <f>'Static FA_NTX1'!F66</f>
        <v>10</v>
      </c>
      <c r="F20" s="149">
        <f>'Static FA_NTX1'!G66</f>
        <v>2.5154114075182648</v>
      </c>
      <c r="G20" s="121">
        <f>'Static FA_NTX1'!D23</f>
        <v>6.3790512619999999</v>
      </c>
      <c r="H20" s="121">
        <f>'Static FA_NTX1'!E23</f>
        <v>0.72811104741772759</v>
      </c>
      <c r="I20" s="150">
        <f t="shared" si="0"/>
        <v>27.188895258227248</v>
      </c>
      <c r="L20" s="53">
        <f>Dynamic_FA_NTX1!C76</f>
        <v>10</v>
      </c>
      <c r="M20" s="49">
        <f>Dynamic_FA_NTX1!F76</f>
        <v>3.4176445613931157</v>
      </c>
      <c r="N20" s="121">
        <f>Dynamic_FA_NTX1!D24</f>
        <v>5.5246541159999998</v>
      </c>
      <c r="O20" s="121">
        <f>Dynamic_FA_NTX1!H25</f>
        <v>0.63058933527996774</v>
      </c>
      <c r="P20" s="150">
        <f t="shared" si="1"/>
        <v>36.941066472003229</v>
      </c>
    </row>
    <row r="21" spans="5:16">
      <c r="E21" s="53">
        <f>'Static FA_NTX1'!F67</f>
        <v>12</v>
      </c>
      <c r="F21" s="149">
        <f>'Static FA_NTX1'!G67</f>
        <v>3.2368308799520973</v>
      </c>
      <c r="G21" s="121">
        <f>'Static FA_NTX1'!D24</f>
        <v>5.6958811349999996</v>
      </c>
      <c r="H21" s="121">
        <f>'Static FA_NTX1'!E24</f>
        <v>0.65013335194165811</v>
      </c>
      <c r="I21" s="150">
        <f t="shared" si="0"/>
        <v>34.986664805834188</v>
      </c>
      <c r="L21" s="53">
        <f>Dynamic_FA_NTX1!C77</f>
        <v>12</v>
      </c>
      <c r="M21" s="49">
        <f>Dynamic_FA_NTX1!F77</f>
        <v>4.016156246614373</v>
      </c>
      <c r="N21" s="121">
        <f>Dynamic_FA_NTX1!D25</f>
        <v>4.9578752589999997</v>
      </c>
      <c r="O21" s="121">
        <f>Dynamic_FA_NTX1!H26</f>
        <v>0.56589665132509592</v>
      </c>
      <c r="P21" s="150">
        <f t="shared" si="1"/>
        <v>43.410334867490405</v>
      </c>
    </row>
    <row r="22" spans="5:16">
      <c r="E22" s="53">
        <f>'Static FA_NTX1'!F68</f>
        <v>14</v>
      </c>
      <c r="F22" s="149">
        <f>'Static FA_NTX1'!G68</f>
        <v>3.3882593049257501</v>
      </c>
      <c r="G22" s="121">
        <f>'Static FA_NTX1'!D25</f>
        <v>5.5524813789999996</v>
      </c>
      <c r="H22" s="121">
        <f>'Static FA_NTX1'!E25</f>
        <v>0.63376556584741828</v>
      </c>
      <c r="I22" s="150">
        <f t="shared" si="0"/>
        <v>36.623443415258166</v>
      </c>
      <c r="L22" s="53">
        <f>Dynamic_FA_NTX1!C78</f>
        <v>14</v>
      </c>
      <c r="M22" s="49">
        <f>Dynamic_FA_NTX1!F78</f>
        <v>4.127468248343714</v>
      </c>
      <c r="N22" s="121">
        <f>Dynamic_FA_NTX1!D26</f>
        <v>4.8524649709999998</v>
      </c>
      <c r="O22" s="121">
        <f>Dynamic_FA_NTX1!H27</f>
        <v>0.55386501965261092</v>
      </c>
      <c r="P22" s="150">
        <f t="shared" si="1"/>
        <v>44.613498034738903</v>
      </c>
    </row>
    <row r="23" spans="5:16">
      <c r="E23" s="53">
        <f>'Static FA_NTX1'!F69</f>
        <v>16</v>
      </c>
      <c r="F23" s="149">
        <f>'Static FA_NTX1'!G69</f>
        <v>3.5346154572164696</v>
      </c>
      <c r="G23" s="121">
        <f>'Static FA_NTX1'!D26</f>
        <v>5.4138849659999995</v>
      </c>
      <c r="H23" s="121">
        <f>'Static FA_NTX1'!E26</f>
        <v>0.61794603794380798</v>
      </c>
      <c r="I23" s="150">
        <f t="shared" si="0"/>
        <v>38.205396205619209</v>
      </c>
      <c r="L23" s="53">
        <f>Dynamic_FA_NTX1!C79</f>
        <v>16</v>
      </c>
      <c r="M23" s="49">
        <f>Dynamic_FA_NTX1!F79</f>
        <v>4.2244751689161699</v>
      </c>
      <c r="N23" s="121">
        <f>Dynamic_FA_NTX1!D27</f>
        <v>4.7606013149999997</v>
      </c>
      <c r="O23" s="121">
        <f>Dynamic_FA_NTX1!H28</f>
        <v>0.54337961358788356</v>
      </c>
      <c r="P23" s="150">
        <f t="shared" si="1"/>
        <v>45.662038641211645</v>
      </c>
    </row>
    <row r="24" spans="5:16">
      <c r="E24" s="53">
        <f>'Static FA_NTX1'!F70</f>
        <v>18</v>
      </c>
      <c r="F24" s="149">
        <f>'Static FA_NTX1'!G70</f>
        <v>3.5599633265591595</v>
      </c>
      <c r="G24" s="121">
        <f>'Static FA_NTX1'!D27</f>
        <v>5.3396038209999999</v>
      </c>
      <c r="H24" s="121">
        <f>'Static FA_NTX1'!E27</f>
        <v>0.60946751659824017</v>
      </c>
      <c r="I24" s="150">
        <f t="shared" si="0"/>
        <v>39.053248340175976</v>
      </c>
      <c r="L24" s="53">
        <f>Dynamic_FA_NTX1!C80</f>
        <v>18</v>
      </c>
      <c r="M24" s="49">
        <f>Dynamic_FA_NTX1!F80</f>
        <v>4.5981530077727566</v>
      </c>
      <c r="N24" s="121">
        <f>Dynamic_FA_NTX1!D28</f>
        <v>4.4067357119999997</v>
      </c>
      <c r="O24" s="121">
        <f>Dynamic_FA_NTX1!H29</f>
        <v>0.50298905325796783</v>
      </c>
      <c r="P24" s="150">
        <f t="shared" si="1"/>
        <v>49.701094674203212</v>
      </c>
    </row>
    <row r="25" spans="5:16">
      <c r="E25" s="56">
        <f>'Static FA_NTX1'!F71</f>
        <v>20</v>
      </c>
      <c r="F25" s="151">
        <f>'Static FA_NTX1'!G71</f>
        <v>3.665745367821259</v>
      </c>
      <c r="G25" s="152">
        <f>'Static FA_NTX1'!D28</f>
        <v>5.2897075060000001</v>
      </c>
      <c r="H25" s="152">
        <f>'Static FA_NTX1'!E28</f>
        <v>0.60377230320603048</v>
      </c>
      <c r="I25" s="150">
        <f t="shared" si="0"/>
        <v>39.622769679396953</v>
      </c>
      <c r="L25" s="56">
        <f>Dynamic_FA_NTX1!C81</f>
        <v>20</v>
      </c>
      <c r="M25" s="153">
        <f>Dynamic_FA_NTX1!F81</f>
        <v>4.6839245969820382</v>
      </c>
      <c r="N25" s="152">
        <f>Dynamic_FA_NTX1!D29</f>
        <v>4.3255116949999994</v>
      </c>
      <c r="O25" s="152">
        <f>Dynamic_FA_NTX1!H30</f>
        <v>0.49371806582357569</v>
      </c>
      <c r="P25" s="150">
        <f t="shared" si="1"/>
        <v>50.628193417642429</v>
      </c>
    </row>
    <row r="26" spans="5:16">
      <c r="E26" s="67"/>
      <c r="F26" s="67"/>
      <c r="G26" s="154"/>
      <c r="H26" s="154"/>
      <c r="I26" s="67"/>
    </row>
    <row r="27" spans="5:16">
      <c r="E27" s="67"/>
      <c r="F27" s="67"/>
      <c r="G27" s="154"/>
      <c r="H27" s="154"/>
      <c r="I27" s="67"/>
    </row>
    <row r="31" spans="5:16">
      <c r="E31" s="216" t="s">
        <v>139</v>
      </c>
      <c r="F31" s="216"/>
      <c r="G31" s="216"/>
      <c r="H31" s="216"/>
      <c r="I31" s="216"/>
      <c r="L31" s="216" t="s">
        <v>140</v>
      </c>
      <c r="M31" s="216"/>
      <c r="N31" s="216"/>
      <c r="O31" s="216"/>
      <c r="P31" s="216"/>
    </row>
    <row r="32" spans="5:16">
      <c r="E32" s="53" t="s">
        <v>89</v>
      </c>
      <c r="F32" s="16" t="str">
        <f>'Static FA_NTX1_SAND'!E55</f>
        <v>C*=[(Co-C)*V]/m</v>
      </c>
      <c r="G32" s="120" t="s">
        <v>64</v>
      </c>
      <c r="H32" s="120" t="s">
        <v>65</v>
      </c>
      <c r="I32" s="147" t="s">
        <v>138</v>
      </c>
      <c r="L32" s="53" t="s">
        <v>89</v>
      </c>
      <c r="M32" s="16" t="str">
        <f>Dynamic_FA_SAND_NTX1!D37</f>
        <v>C*=(Co-C)*V/m</v>
      </c>
      <c r="N32" s="120" t="s">
        <v>64</v>
      </c>
      <c r="O32" s="120" t="s">
        <v>65</v>
      </c>
      <c r="P32" s="147" t="s">
        <v>138</v>
      </c>
    </row>
    <row r="33" spans="5:16">
      <c r="E33" s="53">
        <f>'Static FA_NTX1_SAND'!D56</f>
        <v>0</v>
      </c>
      <c r="F33" s="149">
        <f>'Static FA_NTX1_SAND'!E56</f>
        <v>0</v>
      </c>
      <c r="G33" s="121">
        <f>'Static FA_NTX1_SAND'!D12</f>
        <v>8.7610966550000011</v>
      </c>
      <c r="H33" s="121">
        <v>1</v>
      </c>
      <c r="I33" s="54">
        <v>0</v>
      </c>
      <c r="L33" s="53">
        <f>Dynamic_FA_SAND_NTX1!C38</f>
        <v>0</v>
      </c>
      <c r="M33" s="16">
        <f>Dynamic_FA_SAND_NTX1!D38</f>
        <v>0</v>
      </c>
      <c r="N33" s="121">
        <f>Dynamic_FA_SAND_NTX1!D14</f>
        <v>8.7610966550000011</v>
      </c>
      <c r="O33" s="121">
        <v>1</v>
      </c>
      <c r="P33" s="54">
        <v>0</v>
      </c>
    </row>
    <row r="34" spans="5:16">
      <c r="E34" s="53">
        <f>'Static FA_NTX1_SAND'!D57</f>
        <v>4.1666666666666664E-2</v>
      </c>
      <c r="F34" s="149">
        <f>'Static FA_NTX1_SAND'!E57</f>
        <v>1.9542903568803413E-3</v>
      </c>
      <c r="G34" s="121">
        <f>'Static FA_NTX1_SAND'!D13</f>
        <v>7.5630942749999992</v>
      </c>
      <c r="H34" s="121">
        <f>'Static FA_NTX1_SAND'!E13</f>
        <v>0.86325885592001816</v>
      </c>
      <c r="I34" s="150">
        <f t="shared" ref="I34:I49" si="2">(($G$9-G34)/$G$9)*100</f>
        <v>13.67411440799818</v>
      </c>
      <c r="L34" s="53">
        <f>Dynamic_FA_SAND_NTX1!C39</f>
        <v>4.1666666666666664E-2</v>
      </c>
      <c r="M34" s="149">
        <f>Dynamic_FA_SAND_NTX1!D39</f>
        <v>3.2342110230573231E-4</v>
      </c>
      <c r="N34" s="121">
        <f>Dynamic_FA_SAND_NTX1!D15</f>
        <v>8.5628276850000002</v>
      </c>
      <c r="O34" s="121">
        <f>Dynamic_FA_SAND_NTX1!E15</f>
        <v>0.97736938903797532</v>
      </c>
      <c r="P34" s="150">
        <f t="shared" ref="P34:P49" si="3">(($G$9-N34)/$G$9)*100</f>
        <v>2.2630610962024691</v>
      </c>
    </row>
    <row r="35" spans="5:16">
      <c r="E35" s="53">
        <f>'Static FA_NTX1_SAND'!D58</f>
        <v>8.3333333333333329E-2</v>
      </c>
      <c r="F35" s="149">
        <f>'Static FA_NTX1_SAND'!E58</f>
        <v>1.0172491155249692E-3</v>
      </c>
      <c r="G35" s="121">
        <f>'Static FA_NTX1_SAND'!D14</f>
        <v>8.137487535</v>
      </c>
      <c r="H35" s="121">
        <f>'Static FA_NTX1_SAND'!E14</f>
        <v>0.92882065515803847</v>
      </c>
      <c r="I35" s="150">
        <f t="shared" si="2"/>
        <v>7.1179344841961578</v>
      </c>
      <c r="L35" s="53">
        <f>Dynamic_FA_SAND_NTX1!C40</f>
        <v>8.3333333333333329E-2</v>
      </c>
      <c r="M35" s="149">
        <f>Dynamic_FA_SAND_NTX1!D40</f>
        <v>1.8389548464736179E-4</v>
      </c>
      <c r="N35" s="121">
        <f>Dynamic_FA_SAND_NTX1!D16</f>
        <v>8.6483619940000001</v>
      </c>
      <c r="O35" s="121">
        <f>Dynamic_FA_SAND_NTX1!E16</f>
        <v>0.98713235734756299</v>
      </c>
      <c r="P35" s="150">
        <f t="shared" si="3"/>
        <v>1.2867642652436992</v>
      </c>
    </row>
    <row r="36" spans="5:16">
      <c r="E36" s="53">
        <f>'Static FA_NTX1_SAND'!D59</f>
        <v>0.125</v>
      </c>
      <c r="F36" s="149">
        <f>'Static FA_NTX1_SAND'!E59</f>
        <v>1.2200097734681769E-3</v>
      </c>
      <c r="G36" s="121">
        <f>'Static FA_NTX1_SAND'!D15</f>
        <v>8.0132342210000012</v>
      </c>
      <c r="H36" s="121">
        <f>'Static FA_NTX1_SAND'!E15</f>
        <v>0.91463826237173274</v>
      </c>
      <c r="I36" s="150">
        <f t="shared" si="2"/>
        <v>8.5361737628267242</v>
      </c>
      <c r="L36" s="53">
        <f>Dynamic_FA_SAND_NTX1!C41</f>
        <v>0.125</v>
      </c>
      <c r="M36" s="149">
        <f>Dynamic_FA_SAND_NTX1!D41</f>
        <v>5.6055169311409493E-4</v>
      </c>
      <c r="N36" s="121">
        <f>Dynamic_FA_SAND_NTX1!D17</f>
        <v>8.4174579559999998</v>
      </c>
      <c r="O36" s="121">
        <f>Dynamic_FA_SAND_NTX1!E17</f>
        <v>0.9607767483304861</v>
      </c>
      <c r="P36" s="150">
        <f t="shared" si="3"/>
        <v>3.922325166951389</v>
      </c>
    </row>
    <row r="37" spans="5:16">
      <c r="E37" s="53">
        <f>'Static FA_NTX1_SAND'!D60</f>
        <v>0.25</v>
      </c>
      <c r="F37" s="149">
        <f>'Static FA_NTX1_SAND'!E60</f>
        <v>1.0030978108192404E-3</v>
      </c>
      <c r="G37" s="121">
        <f>'Static FA_NTX1_SAND'!D16</f>
        <v>8.146186204000001</v>
      </c>
      <c r="H37" s="121">
        <f>'Static FA_NTX1_SAND'!E16</f>
        <v>0.92981352960544417</v>
      </c>
      <c r="I37" s="150">
        <f t="shared" si="2"/>
        <v>7.0186470394555878</v>
      </c>
      <c r="L37" s="53">
        <f>Dynamic_FA_SAND_NTX1!C42</f>
        <v>0.25</v>
      </c>
      <c r="M37" s="149">
        <f>Dynamic_FA_SAND_NTX1!D42</f>
        <v>9.770104963362882E-4</v>
      </c>
      <c r="N37" s="121">
        <f>Dynamic_FA_SAND_NTX1!D18</f>
        <v>8.1621534709999999</v>
      </c>
      <c r="O37" s="121">
        <f>Dynamic_FA_SAND_NTX1!E18</f>
        <v>0.93163604882064832</v>
      </c>
      <c r="P37" s="150">
        <f t="shared" si="3"/>
        <v>6.8363951179351661</v>
      </c>
    </row>
    <row r="38" spans="5:16">
      <c r="E38" s="53">
        <f>'Static FA_NTX1_SAND'!D61</f>
        <v>0.5</v>
      </c>
      <c r="F38" s="149">
        <f>'Static FA_NTX1_SAND'!E61</f>
        <v>1.4849055673205797E-3</v>
      </c>
      <c r="G38" s="121">
        <f>'Static FA_NTX1_SAND'!D17</f>
        <v>7.8508151899999996</v>
      </c>
      <c r="H38" s="121">
        <f>'Static FA_NTX1_SAND'!E17</f>
        <v>0.89609959793326799</v>
      </c>
      <c r="I38" s="150">
        <f t="shared" si="2"/>
        <v>10.390040206673207</v>
      </c>
      <c r="L38" s="53">
        <f>Dynamic_FA_SAND_NTX1!C43</f>
        <v>0.5</v>
      </c>
      <c r="M38" s="149">
        <f>Dynamic_FA_SAND_NTX1!D43</f>
        <v>1.8166716529390249E-3</v>
      </c>
      <c r="N38" s="121">
        <f>Dynamic_FA_SAND_NTX1!D19</f>
        <v>7.6474104579999995</v>
      </c>
      <c r="O38" s="121">
        <f>Dynamic_FA_SAND_NTX1!E19</f>
        <v>0.87288278615618109</v>
      </c>
      <c r="P38" s="150">
        <f t="shared" si="3"/>
        <v>12.711721384381891</v>
      </c>
    </row>
    <row r="39" spans="5:16">
      <c r="E39" s="53">
        <f>'Static FA_NTX1_SAND'!D62</f>
        <v>1</v>
      </c>
      <c r="F39" s="149">
        <f>'Static FA_NTX1_SAND'!E62</f>
        <v>1.9753382953661457E-3</v>
      </c>
      <c r="G39" s="121">
        <f>'Static FA_NTX1_SAND'!D18</f>
        <v>7.5502147119999998</v>
      </c>
      <c r="H39" s="121">
        <f>'Static FA_NTX1_SAND'!E18</f>
        <v>0.86178877020961242</v>
      </c>
      <c r="I39" s="150">
        <f t="shared" si="2"/>
        <v>13.82112297903876</v>
      </c>
      <c r="L39" s="53">
        <f>Dynamic_FA_SAND_NTX1!C44</f>
        <v>1</v>
      </c>
      <c r="M39" s="149">
        <f>Dynamic_FA_SAND_NTX1!D44</f>
        <v>2.5531088178032692E-3</v>
      </c>
      <c r="N39" s="121">
        <f>Dynamic_FA_SAND_NTX1!D20</f>
        <v>7.1959475289999997</v>
      </c>
      <c r="O39" s="121">
        <f>Dynamic_FA_SAND_NTX1!E20</f>
        <v>0.821352373152194</v>
      </c>
      <c r="P39" s="150">
        <f t="shared" si="3"/>
        <v>17.864762684780601</v>
      </c>
    </row>
    <row r="40" spans="5:16">
      <c r="E40" s="53">
        <f>'Static FA_NTX1_SAND'!D63</f>
        <v>2</v>
      </c>
      <c r="F40" s="149">
        <f>'Static FA_NTX1_SAND'!E63</f>
        <v>2.5664276931558943E-3</v>
      </c>
      <c r="G40" s="121">
        <f>'Static FA_NTX1_SAND'!D19</f>
        <v>7.1879070049999996</v>
      </c>
      <c r="H40" s="121">
        <f>'Static FA_NTX1_SAND'!E19</f>
        <v>0.82043462000819556</v>
      </c>
      <c r="I40" s="150">
        <f t="shared" si="2"/>
        <v>17.956537999180437</v>
      </c>
      <c r="L40" s="53">
        <f>Dynamic_FA_SAND_NTX1!C45</f>
        <v>2</v>
      </c>
      <c r="M40" s="149">
        <f>Dynamic_FA_SAND_NTX1!D45</f>
        <v>3.1733043552482788E-3</v>
      </c>
      <c r="N40" s="121">
        <f>Dynamic_FA_SAND_NTX1!D21</f>
        <v>6.815744971</v>
      </c>
      <c r="O40" s="121">
        <f>Dynamic_FA_SAND_NTX1!E21</f>
        <v>0.77795568744356003</v>
      </c>
      <c r="P40" s="150">
        <f t="shared" si="3"/>
        <v>22.204431255644</v>
      </c>
    </row>
    <row r="41" spans="5:16">
      <c r="E41" s="53">
        <f>'Static FA_NTX1_SAND'!D64</f>
        <v>3</v>
      </c>
      <c r="F41" s="149">
        <f>'Static FA_NTX1_SAND'!E64</f>
        <v>3.598556361125829E-3</v>
      </c>
      <c r="G41" s="121">
        <f>'Static FA_NTX1_SAND'!D20</f>
        <v>6.5552244079999999</v>
      </c>
      <c r="H41" s="121">
        <f>'Static FA_NTX1_SAND'!E20</f>
        <v>0.74821961977315943</v>
      </c>
      <c r="I41" s="150">
        <f t="shared" si="2"/>
        <v>25.178038022684056</v>
      </c>
      <c r="L41" s="53">
        <f>Dynamic_FA_SAND_NTX1!C46</f>
        <v>3</v>
      </c>
      <c r="M41" s="149">
        <f>Dynamic_FA_SAND_NTX1!D46</f>
        <v>4.0165829370303998E-3</v>
      </c>
      <c r="N41" s="121">
        <f>Dynamic_FA_SAND_NTX1!D22</f>
        <v>6.2987843439999995</v>
      </c>
      <c r="O41" s="121">
        <f>Dynamic_FA_SAND_NTX1!E22</f>
        <v>0.71894930418388348</v>
      </c>
      <c r="P41" s="150">
        <f t="shared" si="3"/>
        <v>28.105069581611659</v>
      </c>
    </row>
    <row r="42" spans="5:16">
      <c r="E42" s="53">
        <f>'Static FA_NTX1_SAND'!D65</f>
        <v>5</v>
      </c>
      <c r="F42" s="149">
        <f>'Static FA_NTX1_SAND'!E65</f>
        <v>5.0767423916262744E-3</v>
      </c>
      <c r="G42" s="121">
        <f>'Static FA_NTX1_SAND'!D21</f>
        <v>5.6491595329999997</v>
      </c>
      <c r="H42" s="121">
        <f>'Static FA_NTX1_SAND'!E21</f>
        <v>0.64480050334520578</v>
      </c>
      <c r="I42" s="150">
        <f t="shared" si="2"/>
        <v>35.519949665479416</v>
      </c>
      <c r="L42" s="53">
        <f>Dynamic_FA_SAND_NTX1!C47</f>
        <v>5</v>
      </c>
      <c r="M42" s="149">
        <f>Dynamic_FA_SAND_NTX1!D47</f>
        <v>5.598809773590019E-3</v>
      </c>
      <c r="N42" s="121">
        <f>Dynamic_FA_SAND_NTX1!D23</f>
        <v>5.3288213979999997</v>
      </c>
      <c r="O42" s="121">
        <f>Dynamic_FA_SAND_NTX1!E23</f>
        <v>0.60823680046479289</v>
      </c>
      <c r="P42" s="150">
        <f t="shared" si="3"/>
        <v>39.176319953520718</v>
      </c>
    </row>
    <row r="43" spans="5:16">
      <c r="E43" s="53">
        <f>'Static FA_NTX1_SAND'!D66</f>
        <v>7</v>
      </c>
      <c r="F43" s="149">
        <f>'Static FA_NTX1_SAND'!E66</f>
        <v>6.8215890200165694E-3</v>
      </c>
      <c r="G43" s="121">
        <f>'Static FA_NTX1_SAND'!D22</f>
        <v>4.5793660300000001</v>
      </c>
      <c r="H43" s="121">
        <f>'Static FA_NTX1_SAND'!E22</f>
        <v>0.52269324381743165</v>
      </c>
      <c r="I43" s="150">
        <f t="shared" si="2"/>
        <v>47.730675618256839</v>
      </c>
      <c r="L43" s="53">
        <f>Dynamic_FA_SAND_NTX1!C48</f>
        <v>7</v>
      </c>
      <c r="M43" s="149">
        <f>Dynamic_FA_SAND_NTX1!D48</f>
        <v>7.4287174178544147E-3</v>
      </c>
      <c r="N43" s="121">
        <f>Dynamic_FA_SAND_NTX1!D24</f>
        <v>4.2070210540000001</v>
      </c>
      <c r="O43" s="121">
        <f>Dynamic_FA_SAND_NTX1!E24</f>
        <v>0.4801934300769336</v>
      </c>
      <c r="P43" s="150">
        <f t="shared" si="3"/>
        <v>51.980656992306642</v>
      </c>
    </row>
    <row r="44" spans="5:16">
      <c r="E44" s="53">
        <f>'Static FA_NTX1_SAND'!D67</f>
        <v>10</v>
      </c>
      <c r="F44" s="149">
        <f>'Static FA_NTX1_SAND'!E67</f>
        <v>8.5744848111805952E-3</v>
      </c>
      <c r="G44" s="121">
        <f>'Static FA_NTX1_SAND'!D23</f>
        <v>3.5049855909999996</v>
      </c>
      <c r="H44" s="121">
        <f>'Static FA_NTX1_SAND'!E23</f>
        <v>0.40006242700218209</v>
      </c>
      <c r="I44" s="150">
        <f t="shared" si="2"/>
        <v>59.993757299781791</v>
      </c>
      <c r="L44" s="53">
        <f>Dynamic_FA_SAND_NTX1!C49</f>
        <v>10</v>
      </c>
      <c r="M44" s="149">
        <f>Dynamic_FA_SAND_NTX1!D49</f>
        <v>8.56043288841166E-3</v>
      </c>
      <c r="N44" s="121">
        <f>Dynamic_FA_SAND_NTX1!D25</f>
        <v>3.5132380599999999</v>
      </c>
      <c r="O44" s="121">
        <f>Dynamic_FA_SAND_NTX1!E25</f>
        <v>0.40100437175236248</v>
      </c>
      <c r="P44" s="150">
        <f t="shared" si="3"/>
        <v>59.899562824763755</v>
      </c>
    </row>
    <row r="45" spans="5:16">
      <c r="E45" s="53">
        <f>'Static FA_NTX1_SAND'!D68</f>
        <v>12</v>
      </c>
      <c r="F45" s="149">
        <f>'Static FA_NTX1_SAND'!E68</f>
        <v>9.9313454239930224E-3</v>
      </c>
      <c r="G45" s="121">
        <f>'Static FA_NTX1_SAND'!D24</f>
        <v>2.6732732529999996</v>
      </c>
      <c r="H45" s="121">
        <f>'Static FA_NTX1_SAND'!E24</f>
        <v>0.30512998067135227</v>
      </c>
      <c r="I45" s="150">
        <f t="shared" si="2"/>
        <v>69.487001932864771</v>
      </c>
      <c r="L45" s="53">
        <f>Dynamic_FA_SAND_NTX1!C50</f>
        <v>12</v>
      </c>
      <c r="M45" s="149">
        <f>Dynamic_FA_SAND_NTX1!D50</f>
        <v>9.6872826673543803E-3</v>
      </c>
      <c r="N45" s="121">
        <f>Dynamic_FA_SAND_NTX1!D26</f>
        <v>2.8224379129999999</v>
      </c>
      <c r="O45" s="121">
        <f>Dynamic_FA_SAND_NTX1!E26</f>
        <v>0.32215577845374194</v>
      </c>
      <c r="P45" s="150">
        <f t="shared" si="3"/>
        <v>67.784422154625815</v>
      </c>
    </row>
    <row r="46" spans="5:16">
      <c r="E46" s="53">
        <f>'Static FA_NTX1_SAND'!D69</f>
        <v>14</v>
      </c>
      <c r="F46" s="149">
        <f>'Static FA_NTX1_SAND'!E69</f>
        <v>1.0817848212821914E-2</v>
      </c>
      <c r="G46" s="121">
        <f>'Static FA_NTX1_SAND'!D25</f>
        <v>2.1298551969999999</v>
      </c>
      <c r="H46" s="121">
        <f>'Static FA_NTX1_SAND'!E25</f>
        <v>0.24310372101470665</v>
      </c>
      <c r="I46" s="150">
        <f t="shared" si="2"/>
        <v>75.689627898529338</v>
      </c>
      <c r="L46" s="53">
        <f>Dynamic_FA_SAND_NTX1!C51</f>
        <v>14</v>
      </c>
      <c r="M46" s="149">
        <f>Dynamic_FA_SAND_NTX1!D51</f>
        <v>1.0743992973980928E-2</v>
      </c>
      <c r="N46" s="121">
        <f>Dynamic_FA_SAND_NTX1!D27</f>
        <v>2.1746358289999996</v>
      </c>
      <c r="O46" s="121">
        <f>Dynamic_FA_SAND_NTX1!E27</f>
        <v>0.24821502542822926</v>
      </c>
      <c r="P46" s="150">
        <f t="shared" si="3"/>
        <v>75.178497457177073</v>
      </c>
    </row>
    <row r="47" spans="5:16">
      <c r="E47" s="53">
        <f>'Static FA_NTX1_SAND'!D70</f>
        <v>16</v>
      </c>
      <c r="F47" s="149">
        <f>'Static FA_NTX1_SAND'!E70</f>
        <v>1.0820549037586395E-2</v>
      </c>
      <c r="G47" s="121">
        <f>'Static FA_NTX1_SAND'!D26</f>
        <v>2.1282287979999999</v>
      </c>
      <c r="H47" s="121">
        <f>'Static FA_NTX1_SAND'!E26</f>
        <v>0.24291808226832073</v>
      </c>
      <c r="I47" s="150">
        <f t="shared" si="2"/>
        <v>75.708191773167925</v>
      </c>
      <c r="L47" s="53">
        <f>Dynamic_FA_SAND_NTX1!C52</f>
        <v>16</v>
      </c>
      <c r="M47" s="149">
        <f>Dynamic_FA_SAND_NTX1!D52</f>
        <v>1.110609213947227E-2</v>
      </c>
      <c r="N47" s="121">
        <f>Dynamic_FA_SAND_NTX1!D28</f>
        <v>1.9526557909999998</v>
      </c>
      <c r="O47" s="121">
        <f>Dynamic_FA_SAND_NTX1!E28</f>
        <v>0.22287801035565671</v>
      </c>
      <c r="P47" s="150">
        <f t="shared" si="3"/>
        <v>77.712198964434336</v>
      </c>
    </row>
    <row r="48" spans="5:16">
      <c r="E48" s="53">
        <f>'Static FA_NTX1_SAND'!D71</f>
        <v>18</v>
      </c>
      <c r="F48" s="149">
        <f>'Static FA_NTX1_SAND'!E71</f>
        <v>1.1001598382542844E-2</v>
      </c>
      <c r="G48" s="121">
        <f>'Static FA_NTX1_SAND'!D27</f>
        <v>2.0172477029999998</v>
      </c>
      <c r="H48" s="121">
        <f>'Static FA_NTX1_SAND'!E27</f>
        <v>0.23025059332597894</v>
      </c>
      <c r="I48" s="150">
        <f t="shared" si="2"/>
        <v>76.974940667402109</v>
      </c>
      <c r="L48" s="155">
        <f>Dynamic_FA_SAND_NTX1!C53</f>
        <v>18</v>
      </c>
      <c r="M48" s="156">
        <f>Dynamic_FA_SAND_NTX1!D53</f>
        <v>1.1153428003967495E-2</v>
      </c>
      <c r="N48" s="157">
        <f>Dynamic_FA_SAND_NTX1!D29</f>
        <v>1.9236371739999998</v>
      </c>
      <c r="O48" s="157">
        <f>Dynamic_FA_SAND_NTX1!E29</f>
        <v>0.21956579749661484</v>
      </c>
      <c r="P48" s="150">
        <f t="shared" si="3"/>
        <v>78.043420250338528</v>
      </c>
    </row>
    <row r="49" spans="5:16">
      <c r="E49" s="56">
        <f>'Static FA_NTX1_SAND'!D72</f>
        <v>20</v>
      </c>
      <c r="F49" s="151">
        <f>'Static FA_NTX1_SAND'!E72</f>
        <v>1.0912421467032996E-2</v>
      </c>
      <c r="G49" s="152">
        <f>'Static FA_NTX1_SAND'!D28</f>
        <v>2.0718826619999997</v>
      </c>
      <c r="H49" s="152">
        <f>'Static FA_NTX1_SAND'!E28</f>
        <v>0.23648668010272048</v>
      </c>
      <c r="I49" s="150">
        <f t="shared" si="2"/>
        <v>76.351331989727939</v>
      </c>
      <c r="L49" s="158">
        <f>Dynamic_FA_SAND_NTX1!C54</f>
        <v>20</v>
      </c>
      <c r="M49" s="159">
        <f>Dynamic_FA_SAND_NTX1!D54</f>
        <v>1.1162489763219676E-2</v>
      </c>
      <c r="N49" s="160">
        <f>Dynamic_FA_SAND_NTX1!D30</f>
        <v>1.9180819839999999</v>
      </c>
      <c r="O49" s="160">
        <f>Dynamic_FA_SAND_NTX1!E30</f>
        <v>0.21893172276616091</v>
      </c>
      <c r="P49" s="150">
        <f t="shared" si="3"/>
        <v>78.106827723383915</v>
      </c>
    </row>
    <row r="55" spans="5:16">
      <c r="E55" s="216" t="s">
        <v>125</v>
      </c>
      <c r="F55" s="216"/>
      <c r="G55" s="216"/>
      <c r="H55" s="216"/>
      <c r="I55" s="216"/>
      <c r="L55" s="217" t="s">
        <v>140</v>
      </c>
      <c r="M55" s="217"/>
      <c r="N55" s="217"/>
      <c r="O55" s="217"/>
      <c r="P55" s="217"/>
    </row>
    <row r="56" spans="5:16">
      <c r="E56" s="53" t="s">
        <v>89</v>
      </c>
      <c r="F56" s="16" t="str">
        <f>'Static FA_SAND'!F55</f>
        <v>C*=(Co-C)*V/m</v>
      </c>
      <c r="G56" s="120" t="s">
        <v>64</v>
      </c>
      <c r="H56" s="120" t="s">
        <v>65</v>
      </c>
      <c r="I56" s="147" t="s">
        <v>138</v>
      </c>
      <c r="L56" s="161" t="s">
        <v>89</v>
      </c>
      <c r="M56" s="161" t="str">
        <f>F56</f>
        <v>C*=(Co-C)*V/m</v>
      </c>
      <c r="N56" s="162" t="s">
        <v>64</v>
      </c>
      <c r="O56" s="162" t="s">
        <v>65</v>
      </c>
      <c r="P56" s="163" t="s">
        <v>138</v>
      </c>
    </row>
    <row r="57" spans="5:16">
      <c r="E57" s="53">
        <f>'Static FA_SAND'!E56</f>
        <v>0</v>
      </c>
      <c r="F57" s="149">
        <f>'Static FA_SAND'!F56</f>
        <v>0</v>
      </c>
      <c r="G57" s="121">
        <f>'Static FA_SAND'!D12</f>
        <v>8.7610966550000011</v>
      </c>
      <c r="H57" s="28">
        <v>1</v>
      </c>
      <c r="I57" s="54">
        <v>0</v>
      </c>
      <c r="L57" s="164">
        <v>0</v>
      </c>
      <c r="M57" s="165">
        <f>0</f>
        <v>0</v>
      </c>
      <c r="N57" s="166">
        <f>'Dynamic FA_SAND'!D11</f>
        <v>8.7360402940000004</v>
      </c>
      <c r="O57" s="166">
        <v>1</v>
      </c>
      <c r="P57" s="161">
        <f>0</f>
        <v>0</v>
      </c>
    </row>
    <row r="58" spans="5:16">
      <c r="E58" s="53">
        <f>'Static FA_SAND'!E57/24</f>
        <v>4.1666666666666664E-2</v>
      </c>
      <c r="F58" s="149">
        <f>'Static FA_SAND'!F57</f>
        <v>8.5390956724687003E-5</v>
      </c>
      <c r="G58" s="121">
        <f>'Static FA_SAND'!D13</f>
        <v>8.7085476810000007</v>
      </c>
      <c r="H58" s="121">
        <f>'Static FA_SAND'!E13</f>
        <v>0.99400200955778628</v>
      </c>
      <c r="I58" s="150">
        <f t="shared" ref="I58:I73" si="4">(($G$9-G58)/$G$9)*100</f>
        <v>0.59979904422137054</v>
      </c>
      <c r="L58" s="164">
        <f>'Dynamic FA_SAND'!B12/24</f>
        <v>4.1666666666666664E-2</v>
      </c>
      <c r="M58" s="167">
        <f>'Dynamic FA_SAND'!D33</f>
        <v>1.4501137462500057E-4</v>
      </c>
      <c r="N58" s="166">
        <f>'Dynamic FA_SAND'!D12</f>
        <v>8.646802525</v>
      </c>
      <c r="O58" s="166">
        <f>'Dynamic FA_SAND'!E12</f>
        <v>0.98978510103012118</v>
      </c>
      <c r="P58" s="150">
        <f t="shared" ref="P58:P73" si="5">(($N$57-N58)/$N$57)*100</f>
        <v>1.0214898969878807</v>
      </c>
    </row>
    <row r="59" spans="5:16">
      <c r="E59" s="53">
        <f>'Static FA_SAND'!E58/24</f>
        <v>8.3333333333333329E-2</v>
      </c>
      <c r="F59" s="149">
        <f>'Static FA_SAND'!F58</f>
        <v>1.3855397272322141E-4</v>
      </c>
      <c r="G59" s="121">
        <f>'Static FA_SAND'!D14</f>
        <v>8.6758322970000012</v>
      </c>
      <c r="H59" s="121">
        <f>'Static FA_SAND'!E14</f>
        <v>0.99026784415723357</v>
      </c>
      <c r="I59" s="150">
        <f t="shared" si="4"/>
        <v>0.97321558427664512</v>
      </c>
      <c r="L59" s="164">
        <f>'Dynamic FA_SAND'!B13/24</f>
        <v>8.3333333333333329E-2</v>
      </c>
      <c r="M59" s="167">
        <f>'Dynamic FA_SAND'!D34</f>
        <v>2.149811121250009E-4</v>
      </c>
      <c r="N59" s="166">
        <f>'Dynamic FA_SAND'!D13</f>
        <v>8.6037442249999998</v>
      </c>
      <c r="O59" s="166">
        <f>'Dynamic FA_SAND'!E13</f>
        <v>0.98485628905685529</v>
      </c>
      <c r="P59" s="150">
        <f t="shared" si="5"/>
        <v>1.5143710943144668</v>
      </c>
    </row>
    <row r="60" spans="5:16">
      <c r="E60" s="53">
        <f>'Static FA_SAND'!E59/24</f>
        <v>0.125</v>
      </c>
      <c r="F60" s="149">
        <f>'Static FA_SAND'!F59</f>
        <v>1.3501871869336246E-4</v>
      </c>
      <c r="G60" s="121">
        <f>'Static FA_SAND'!D15</f>
        <v>8.6780052909999998</v>
      </c>
      <c r="H60" s="121">
        <f>'Static FA_SAND'!E15</f>
        <v>0.99051587178272016</v>
      </c>
      <c r="I60" s="150">
        <f t="shared" si="4"/>
        <v>0.94841282172798114</v>
      </c>
      <c r="L60" s="164">
        <f>'Dynamic FA_SAND'!B14/24</f>
        <v>0.125</v>
      </c>
      <c r="M60" s="167">
        <f>'Dynamic FA_SAND'!D35</f>
        <v>2.5865963012499993E-4</v>
      </c>
      <c r="N60" s="166">
        <f>'Dynamic FA_SAND'!D14</f>
        <v>8.5768651370000004</v>
      </c>
      <c r="O60" s="166">
        <f>'Dynamic FA_SAND'!E14</f>
        <v>0.98177948456701569</v>
      </c>
      <c r="P60" s="150">
        <f t="shared" si="5"/>
        <v>1.8220515432984328</v>
      </c>
    </row>
    <row r="61" spans="5:16">
      <c r="E61" s="53">
        <f>'Static FA_SAND'!E60/24</f>
        <v>0.25</v>
      </c>
      <c r="F61" s="149">
        <f>'Static FA_SAND'!F60</f>
        <v>1.7956008817738352E-4</v>
      </c>
      <c r="G61" s="121">
        <f>'Static FA_SAND'!D16</f>
        <v>8.650595225</v>
      </c>
      <c r="H61" s="121">
        <f>'Static FA_SAND'!E16</f>
        <v>0.98738726048217518</v>
      </c>
      <c r="I61" s="150">
        <f t="shared" si="4"/>
        <v>1.2612739517824794</v>
      </c>
      <c r="L61" s="164">
        <f>'Dynamic FA_SAND'!B15/24</f>
        <v>0.25</v>
      </c>
      <c r="M61" s="167">
        <f>'Dynamic FA_SAND'!D36</f>
        <v>5.0753799849999922E-4</v>
      </c>
      <c r="N61" s="166">
        <f>'Dynamic FA_SAND'!D15</f>
        <v>8.4237092180000008</v>
      </c>
      <c r="O61" s="166">
        <f>'Dynamic FA_SAND'!E15</f>
        <v>0.96424798129485378</v>
      </c>
      <c r="P61" s="150">
        <f t="shared" si="5"/>
        <v>3.5752018705146273</v>
      </c>
    </row>
    <row r="62" spans="5:16">
      <c r="E62" s="53">
        <f>'Static FA_SAND'!E61/24</f>
        <v>0.5</v>
      </c>
      <c r="F62" s="149">
        <f>'Static FA_SAND'!F61</f>
        <v>2.2430955105038711E-4</v>
      </c>
      <c r="G62" s="121">
        <f>'Static FA_SAND'!D17</f>
        <v>8.6230557609999998</v>
      </c>
      <c r="H62" s="121">
        <f>'Static FA_SAND'!E17</f>
        <v>0.98424387956943482</v>
      </c>
      <c r="I62" s="150">
        <f t="shared" si="4"/>
        <v>1.5756120430565128</v>
      </c>
      <c r="L62" s="164">
        <f>'Dynamic FA_SAND'!B16/24</f>
        <v>0.5</v>
      </c>
      <c r="M62" s="167">
        <f>'Dynamic FA_SAND'!D37</f>
        <v>5.0547878549999953E-4</v>
      </c>
      <c r="N62" s="166">
        <f>'Dynamic FA_SAND'!D16</f>
        <v>8.4249764260000006</v>
      </c>
      <c r="O62" s="166">
        <f>'Dynamic FA_SAND'!E16</f>
        <v>0.96439303648660579</v>
      </c>
      <c r="P62" s="150">
        <f t="shared" si="5"/>
        <v>3.5606963513394221</v>
      </c>
    </row>
    <row r="63" spans="5:16">
      <c r="E63" s="53">
        <f>'Static FA_SAND'!E62/24</f>
        <v>1</v>
      </c>
      <c r="F63" s="149">
        <f>'Static FA_SAND'!F62</f>
        <v>3.0092817151802228E-4</v>
      </c>
      <c r="G63" s="121">
        <f>'Static FA_SAND'!D18</f>
        <v>8.575903576</v>
      </c>
      <c r="H63" s="121">
        <f>'Static FA_SAND'!E18</f>
        <v>0.97886188381516026</v>
      </c>
      <c r="I63" s="150">
        <f t="shared" si="4"/>
        <v>2.1138116184839779</v>
      </c>
      <c r="L63" s="164">
        <f>'Dynamic FA_SAND'!B17</f>
        <v>1</v>
      </c>
      <c r="M63" s="167">
        <f>'Dynamic FA_SAND'!D38</f>
        <v>8.8200660762500008E-4</v>
      </c>
      <c r="N63" s="166">
        <f>'Dynamic FA_SAND'!D17</f>
        <v>8.1932669970000003</v>
      </c>
      <c r="O63" s="166">
        <f>'Dynamic FA_SAND'!E17</f>
        <v>0.93786964359896763</v>
      </c>
      <c r="P63" s="150">
        <f t="shared" si="5"/>
        <v>6.2130356401032421</v>
      </c>
    </row>
    <row r="64" spans="5:16">
      <c r="E64" s="53">
        <f>'Static FA_SAND'!E63/24</f>
        <v>2</v>
      </c>
      <c r="F64" s="149">
        <f>'Static FA_SAND'!F63</f>
        <v>1.6173969312535022E-3</v>
      </c>
      <c r="G64" s="121">
        <f>'Static FA_SAND'!D19</f>
        <v>7.7657404669999996</v>
      </c>
      <c r="H64" s="121">
        <f>'Static FA_SAND'!E19</f>
        <v>0.88638908721182219</v>
      </c>
      <c r="I64" s="150">
        <f t="shared" si="4"/>
        <v>11.361091278817781</v>
      </c>
      <c r="L64" s="164">
        <f>'Dynamic FA_SAND'!B18</f>
        <v>2</v>
      </c>
      <c r="M64" s="167">
        <f>'Dynamic FA_SAND'!D39</f>
        <v>9.4135037100000088E-4</v>
      </c>
      <c r="N64" s="166">
        <f>'Dynamic FA_SAND'!D18</f>
        <v>8.1567477579999998</v>
      </c>
      <c r="O64" s="166">
        <f>'Dynamic FA_SAND'!E18</f>
        <v>0.93368934706060547</v>
      </c>
      <c r="P64" s="150">
        <f t="shared" si="5"/>
        <v>6.6310652939394572</v>
      </c>
    </row>
    <row r="65" spans="5:16">
      <c r="E65" s="53">
        <f>'Static FA_SAND'!E64/24</f>
        <v>3</v>
      </c>
      <c r="F65" s="149">
        <f>'Static FA_SAND'!F64</f>
        <v>1.6331921347049838E-3</v>
      </c>
      <c r="G65" s="121">
        <f>'Static FA_SAND'!D20</f>
        <v>7.7560199999999995</v>
      </c>
      <c r="H65" s="121">
        <f>'Static FA_SAND'!E20</f>
        <v>0.88527958375777083</v>
      </c>
      <c r="I65" s="150">
        <f t="shared" si="4"/>
        <v>11.472041624222916</v>
      </c>
      <c r="L65" s="164">
        <f>'Dynamic FA_SAND'!B19</f>
        <v>3</v>
      </c>
      <c r="M65" s="167">
        <f>'Dynamic FA_SAND'!D40</f>
        <v>2.112005710750002E-3</v>
      </c>
      <c r="N65" s="166">
        <f>'Dynamic FA_SAND'!D19</f>
        <v>7.4363444719999992</v>
      </c>
      <c r="O65" s="166">
        <f>'Dynamic FA_SAND'!E19</f>
        <v>0.85122598130726967</v>
      </c>
      <c r="P65" s="150">
        <f t="shared" si="5"/>
        <v>14.877401869273029</v>
      </c>
    </row>
    <row r="66" spans="5:16">
      <c r="E66" s="53">
        <f>'Static FA_SAND'!E65/24</f>
        <v>5</v>
      </c>
      <c r="F66" s="149">
        <f>'Static FA_SAND'!F65</f>
        <v>1.6549870992266646E-3</v>
      </c>
      <c r="G66" s="121">
        <f>'Static FA_SAND'!D21</f>
        <v>7.7426027659999992</v>
      </c>
      <c r="H66" s="121">
        <f>'Static FA_SAND'!E21</f>
        <v>0.88374812776220857</v>
      </c>
      <c r="I66" s="150">
        <f t="shared" si="4"/>
        <v>11.625187223779141</v>
      </c>
      <c r="L66" s="164">
        <f>'Dynamic FA_SAND'!B20</f>
        <v>5</v>
      </c>
      <c r="M66" s="167">
        <f>'Dynamic FA_SAND'!D41</f>
        <v>2.6816028785000014E-3</v>
      </c>
      <c r="N66" s="166">
        <f>'Dynamic FA_SAND'!D20</f>
        <v>7.0858231379999994</v>
      </c>
      <c r="O66" s="166">
        <f>'Dynamic FA_SAND'!E20</f>
        <v>0.8111023872985812</v>
      </c>
      <c r="P66" s="150">
        <f t="shared" si="5"/>
        <v>18.889761270141882</v>
      </c>
    </row>
    <row r="67" spans="5:16">
      <c r="E67" s="53">
        <f>'Static FA_SAND'!E66/24</f>
        <v>7</v>
      </c>
      <c r="F67" s="149">
        <f>'Static FA_SAND'!F66</f>
        <v>1.9807787254063356E-3</v>
      </c>
      <c r="G67" s="121">
        <f>'Static FA_SAND'!D22</f>
        <v>7.5421451849999999</v>
      </c>
      <c r="H67" s="121">
        <f>'Static FA_SAND'!E22</f>
        <v>0.86086770663529433</v>
      </c>
      <c r="I67" s="150">
        <f t="shared" si="4"/>
        <v>13.913229336470561</v>
      </c>
      <c r="L67" s="164">
        <f>'Dynamic FA_SAND'!B21</f>
        <v>7</v>
      </c>
      <c r="M67" s="167">
        <f>'Dynamic FA_SAND'!D42</f>
        <v>3.8786618243750008E-3</v>
      </c>
      <c r="N67" s="166">
        <f>'Dynamic FA_SAND'!D21</f>
        <v>6.3491714789999998</v>
      </c>
      <c r="O67" s="166">
        <f>'Dynamic FA_SAND'!E21</f>
        <v>0.72677909731719925</v>
      </c>
      <c r="P67" s="150">
        <f t="shared" si="5"/>
        <v>27.322090268280082</v>
      </c>
    </row>
    <row r="68" spans="5:16">
      <c r="E68" s="53">
        <f>'Static FA_SAND'!E67/24</f>
        <v>10</v>
      </c>
      <c r="F68" s="149">
        <f>'Static FA_SAND'!F67</f>
        <v>1.955480672618146E-3</v>
      </c>
      <c r="G68" s="121">
        <f>'Static FA_SAND'!D23</f>
        <v>7.5576974859999995</v>
      </c>
      <c r="H68" s="121">
        <f>'Static FA_SAND'!E23</f>
        <v>0.86264286123207923</v>
      </c>
      <c r="I68" s="150">
        <f t="shared" si="4"/>
        <v>13.735713876792078</v>
      </c>
      <c r="L68" s="164">
        <f>'Dynamic FA_SAND'!B22</f>
        <v>10</v>
      </c>
      <c r="M68" s="167">
        <f>'Dynamic FA_SAND'!D43</f>
        <v>4.1314229693750005E-3</v>
      </c>
      <c r="N68" s="166">
        <f>'Dynamic FA_SAND'!D22</f>
        <v>6.1936261589999999</v>
      </c>
      <c r="O68" s="166">
        <f>'Dynamic FA_SAND'!E22</f>
        <v>0.70897408328734979</v>
      </c>
      <c r="P68" s="150">
        <f t="shared" si="5"/>
        <v>29.102591671265021</v>
      </c>
    </row>
    <row r="69" spans="5:16">
      <c r="E69" s="53">
        <f>'Static FA_SAND'!E68/24</f>
        <v>12</v>
      </c>
      <c r="F69" s="149">
        <f>'Static FA_SAND'!F68</f>
        <v>2.5794433670426713E-3</v>
      </c>
      <c r="G69" s="121">
        <f>'Static FA_SAND'!D24</f>
        <v>7.1736910729999996</v>
      </c>
      <c r="H69" s="121">
        <f>'Static FA_SAND'!E24</f>
        <v>0.81881199985460029</v>
      </c>
      <c r="I69" s="150">
        <f t="shared" si="4"/>
        <v>18.118800014539975</v>
      </c>
      <c r="L69" s="164">
        <f>'Dynamic FA_SAND'!B23</f>
        <v>12</v>
      </c>
      <c r="M69" s="167">
        <f>'Dynamic FA_SAND'!D44</f>
        <v>4.9156278356250012E-3</v>
      </c>
      <c r="N69" s="166">
        <f>'Dynamic FA_SAND'!D23</f>
        <v>5.7110385489999995</v>
      </c>
      <c r="O69" s="166">
        <f>'Dynamic FA_SAND'!E23</f>
        <v>0.65373308235796457</v>
      </c>
      <c r="P69" s="150">
        <f t="shared" si="5"/>
        <v>34.626691764203535</v>
      </c>
    </row>
    <row r="70" spans="5:16">
      <c r="E70" s="53">
        <f>'Static FA_SAND'!E69/24</f>
        <v>14</v>
      </c>
      <c r="F70" s="149">
        <f>'Static FA_SAND'!F69</f>
        <v>2.760197095418011E-3</v>
      </c>
      <c r="G70" s="121">
        <f>'Static FA_SAND'!D25</f>
        <v>7.0624690299999999</v>
      </c>
      <c r="H70" s="121">
        <f>'Static FA_SAND'!E25</f>
        <v>0.80611700887575688</v>
      </c>
      <c r="I70" s="150">
        <f t="shared" si="4"/>
        <v>19.388299112424313</v>
      </c>
      <c r="L70" s="164">
        <f>'Dynamic FA_SAND'!B24</f>
        <v>14</v>
      </c>
      <c r="M70" s="167">
        <f>'Dynamic FA_SAND'!D45</f>
        <v>4.9518779602500023E-3</v>
      </c>
      <c r="N70" s="166">
        <f>'Dynamic FA_SAND'!D24</f>
        <v>5.6887307799999993</v>
      </c>
      <c r="O70" s="166">
        <f>'Dynamic FA_SAND'!E24</f>
        <v>0.65117954914963894</v>
      </c>
      <c r="P70" s="150">
        <f t="shared" si="5"/>
        <v>34.882045085036104</v>
      </c>
    </row>
    <row r="71" spans="5:16">
      <c r="E71" s="53">
        <f>'Static FA_SAND'!E70/24</f>
        <v>16</v>
      </c>
      <c r="F71" s="149">
        <f>'Static FA_SAND'!F70</f>
        <v>2.9409152225410014E-3</v>
      </c>
      <c r="G71" s="121">
        <f>'Static FA_SAND'!D26</f>
        <v>6.9512469869999993</v>
      </c>
      <c r="H71" s="121">
        <f>'Static FA_SAND'!E26</f>
        <v>0.79342201789691347</v>
      </c>
      <c r="I71" s="150">
        <f t="shared" si="4"/>
        <v>20.657798210308655</v>
      </c>
      <c r="L71" s="164">
        <f>'Dynamic FA_SAND'!B25</f>
        <v>16</v>
      </c>
      <c r="M71" s="167">
        <f>'Dynamic FA_SAND'!D46</f>
        <v>4.8938683348750001E-3</v>
      </c>
      <c r="N71" s="166">
        <f>'Dynamic FA_SAND'!D25</f>
        <v>5.7244290109999998</v>
      </c>
      <c r="O71" s="166">
        <f>'Dynamic FA_SAND'!E25</f>
        <v>0.65526586626799266</v>
      </c>
      <c r="P71" s="150">
        <f t="shared" si="5"/>
        <v>34.473413373200728</v>
      </c>
    </row>
    <row r="72" spans="5:16">
      <c r="E72" s="53">
        <f>'Static FA_SAND'!E71/24</f>
        <v>18</v>
      </c>
      <c r="F72" s="149">
        <f>'Static FA_SAND'!F71</f>
        <v>3.1205716184416494E-3</v>
      </c>
      <c r="G72" s="121">
        <f>'Static FA_SAND'!D27</f>
        <v>6.8406942439999998</v>
      </c>
      <c r="H72" s="121">
        <f>'Static FA_SAND'!E27</f>
        <v>0.78080342146390791</v>
      </c>
      <c r="I72" s="150">
        <f t="shared" si="4"/>
        <v>21.919657853609205</v>
      </c>
      <c r="L72" s="164">
        <f>'Dynamic FA_SAND'!B26</f>
        <v>18</v>
      </c>
      <c r="M72" s="167">
        <f>'Dynamic FA_SAND'!D47</f>
        <v>4.9409945845000011E-3</v>
      </c>
      <c r="N72" s="166">
        <f>'Dynamic FA_SAND'!D26</f>
        <v>5.6954282419999993</v>
      </c>
      <c r="O72" s="166">
        <f>'Dynamic FA_SAND'!E26</f>
        <v>0.65194619648351171</v>
      </c>
      <c r="P72" s="150">
        <f t="shared" si="5"/>
        <v>34.805380351648836</v>
      </c>
    </row>
    <row r="73" spans="5:16">
      <c r="E73" s="53">
        <f>'Static FA_SAND'!E72/24</f>
        <v>20</v>
      </c>
      <c r="F73" s="149">
        <f>'Static FA_SAND'!F72</f>
        <v>3.270009260169085E-3</v>
      </c>
      <c r="G73" s="121">
        <f>'Static FA_SAND'!D28</f>
        <v>6.7487301929999992</v>
      </c>
      <c r="H73" s="121">
        <f>'Static FA_SAND'!E28</f>
        <v>0.77030655621730482</v>
      </c>
      <c r="I73" s="150">
        <f t="shared" si="4"/>
        <v>22.969344378269522</v>
      </c>
      <c r="L73" s="164">
        <f>'Dynamic FA_SAND'!B27</f>
        <v>20</v>
      </c>
      <c r="M73" s="167">
        <f>'Dynamic FA_SAND'!D48</f>
        <v>5.0533775841250014E-3</v>
      </c>
      <c r="N73" s="166">
        <f>'Dynamic FA_SAND'!D27</f>
        <v>5.6262694729999998</v>
      </c>
      <c r="O73" s="166">
        <f>'Dynamic FA_SAND'!E27</f>
        <v>0.64402970724209885</v>
      </c>
      <c r="P73" s="150">
        <f t="shared" si="5"/>
        <v>35.597029275790106</v>
      </c>
    </row>
    <row r="81" spans="4:23">
      <c r="H81">
        <f>($N$9+G83)/$N$9</f>
        <v>0.52075242715196313</v>
      </c>
      <c r="M81">
        <f>($N$9+L83)/$N$9</f>
        <v>0.59420232063499967</v>
      </c>
      <c r="R81">
        <f>($N$9-Q83)/$N$9</f>
        <v>0.7644961445329328</v>
      </c>
      <c r="W81">
        <f>($N$9-V83)/$N$9</f>
        <v>0.85828460018041031</v>
      </c>
    </row>
    <row r="83" spans="4:23">
      <c r="G83">
        <f>((F90*0.02)/(0.021+(0.02/0.167)*0.001))-$N$9</f>
        <v>-4.1987343073958057</v>
      </c>
      <c r="L83">
        <f>((K90*0.02)/(0.021+(0.02/0.167)*0.001))-$N$9</f>
        <v>-3.5552326912914669</v>
      </c>
      <c r="Q83">
        <f>((P90*(14+0.02))/(0.014+(0.02/0.167)*0.001+(14/1.6)*0.001))-$N$9</f>
        <v>2.0632720403721265</v>
      </c>
      <c r="V83">
        <f>((U90*(14+0.02))/(0.014+(0.02/0.167)*0.001+(14/1.6)*0.001))-$N$9</f>
        <v>1.241582315321395</v>
      </c>
    </row>
    <row r="85" spans="4:23">
      <c r="H85">
        <f>(I13+G87)/I13</f>
        <v>0</v>
      </c>
    </row>
    <row r="87" spans="4:23">
      <c r="E87" s="211" t="s">
        <v>137</v>
      </c>
      <c r="F87" s="211"/>
      <c r="G87" s="211">
        <f>((F94*0.02)/(0.021+(0.02/0.167)*0.001))-I13</f>
        <v>-7.4416945694568417</v>
      </c>
      <c r="H87" s="211"/>
      <c r="J87" s="211" t="s">
        <v>132</v>
      </c>
      <c r="K87" s="211"/>
      <c r="L87" s="211"/>
      <c r="M87" s="211"/>
      <c r="O87" s="211" t="s">
        <v>139</v>
      </c>
      <c r="P87" s="211"/>
      <c r="Q87" s="211"/>
      <c r="R87" s="211"/>
      <c r="T87" s="211" t="s">
        <v>140</v>
      </c>
      <c r="U87" s="211"/>
      <c r="V87" s="211"/>
      <c r="W87" s="211"/>
    </row>
    <row r="88" spans="4:23">
      <c r="E88" s="168"/>
      <c r="F88" s="169" t="s">
        <v>84</v>
      </c>
      <c r="G88" s="170" t="s">
        <v>85</v>
      </c>
      <c r="H88" s="171" t="s">
        <v>86</v>
      </c>
      <c r="J88" s="168"/>
      <c r="K88" s="169" t="s">
        <v>84</v>
      </c>
      <c r="L88" s="170" t="s">
        <v>85</v>
      </c>
      <c r="M88" s="171" t="s">
        <v>86</v>
      </c>
      <c r="O88" s="168"/>
      <c r="P88" s="169" t="s">
        <v>84</v>
      </c>
      <c r="Q88" s="170" t="s">
        <v>85</v>
      </c>
      <c r="R88" s="171" t="s">
        <v>86</v>
      </c>
      <c r="T88" s="168"/>
      <c r="U88" s="169" t="s">
        <v>84</v>
      </c>
      <c r="V88" s="170" t="s">
        <v>85</v>
      </c>
      <c r="W88" s="171" t="s">
        <v>86</v>
      </c>
    </row>
    <row r="89" spans="4:23">
      <c r="E89" s="172" t="s">
        <v>87</v>
      </c>
      <c r="F89" s="173">
        <v>3.1726730000000002E-2</v>
      </c>
      <c r="G89" s="174">
        <v>9.0141070000000004E-3</v>
      </c>
      <c r="H89" s="175">
        <v>5.4439359999999999E-2</v>
      </c>
      <c r="J89" s="76" t="s">
        <v>87</v>
      </c>
      <c r="K89" s="176">
        <v>3.88627E-2</v>
      </c>
      <c r="L89" s="177">
        <v>2.2962009999999999E-3</v>
      </c>
      <c r="M89" s="178">
        <v>7.5429200000000002E-2</v>
      </c>
      <c r="O89" s="76" t="s">
        <v>87</v>
      </c>
      <c r="P89" s="179">
        <v>5.3759600000000001</v>
      </c>
      <c r="Q89" s="180">
        <v>1.3400700000000001</v>
      </c>
      <c r="R89" s="181">
        <v>9.4118399999999998</v>
      </c>
      <c r="T89" s="76" t="s">
        <v>87</v>
      </c>
      <c r="U89" s="179">
        <v>7.3758299999999997</v>
      </c>
      <c r="V89" s="180">
        <v>4.4767299999999999</v>
      </c>
      <c r="W89" s="181">
        <v>10.274900000000001</v>
      </c>
    </row>
    <row r="90" spans="4:23">
      <c r="E90" s="182" t="s">
        <v>88</v>
      </c>
      <c r="F90" s="183">
        <v>4.8178000000000001</v>
      </c>
      <c r="G90" s="151">
        <v>3.8653900000000001</v>
      </c>
      <c r="H90" s="184">
        <v>5.7702200000000001</v>
      </c>
      <c r="J90" s="185" t="s">
        <v>88</v>
      </c>
      <c r="K90" s="186">
        <v>5.4973299999999998</v>
      </c>
      <c r="L90" s="187">
        <v>4.2183299999999999</v>
      </c>
      <c r="M90" s="188">
        <v>6.7763299999999997</v>
      </c>
      <c r="O90" s="185" t="s">
        <v>88</v>
      </c>
      <c r="P90" s="189">
        <v>1.7656970000000001E-2</v>
      </c>
      <c r="Q90" s="190">
        <v>1.3442880000000001E-2</v>
      </c>
      <c r="R90" s="191">
        <v>2.1871069999999999E-2</v>
      </c>
      <c r="T90" s="185" t="s">
        <v>88</v>
      </c>
      <c r="U90" s="189">
        <v>1.6316609999999999E-2</v>
      </c>
      <c r="V90" s="190">
        <v>1.4439560000000001E-2</v>
      </c>
      <c r="W90" s="191">
        <v>1.819366E-2</v>
      </c>
    </row>
    <row r="91" spans="4:23">
      <c r="E91" s="168"/>
      <c r="F91" s="22"/>
      <c r="G91" s="22"/>
      <c r="H91" s="192"/>
      <c r="J91" s="168"/>
      <c r="K91" s="22"/>
      <c r="L91" s="22"/>
      <c r="M91" s="192"/>
      <c r="O91" s="168"/>
      <c r="P91" s="22"/>
      <c r="Q91" s="22"/>
      <c r="R91" s="192"/>
      <c r="T91" s="168"/>
      <c r="U91" s="22"/>
      <c r="V91" s="22"/>
      <c r="W91" s="192"/>
    </row>
    <row r="92" spans="4:23">
      <c r="E92" s="168"/>
      <c r="F92" s="22"/>
      <c r="G92" s="22"/>
      <c r="H92" s="192"/>
      <c r="J92" s="168"/>
      <c r="K92" s="22"/>
      <c r="L92" s="22"/>
      <c r="M92" s="192"/>
      <c r="O92" s="168"/>
      <c r="P92" s="22"/>
      <c r="Q92" s="22"/>
      <c r="R92" s="192"/>
      <c r="T92" s="168"/>
      <c r="U92" s="22"/>
      <c r="V92" s="22"/>
      <c r="W92" s="192"/>
    </row>
    <row r="93" spans="4:23">
      <c r="E93" s="193" t="s">
        <v>89</v>
      </c>
      <c r="F93" s="194" t="s">
        <v>90</v>
      </c>
      <c r="G93" s="195" t="s">
        <v>91</v>
      </c>
      <c r="H93" s="192"/>
      <c r="J93" s="193" t="s">
        <v>89</v>
      </c>
      <c r="K93" s="194" t="s">
        <v>90</v>
      </c>
      <c r="L93" s="195" t="s">
        <v>91</v>
      </c>
      <c r="M93" s="192"/>
      <c r="O93" s="193" t="s">
        <v>89</v>
      </c>
      <c r="P93" s="194" t="s">
        <v>90</v>
      </c>
      <c r="Q93" s="195" t="s">
        <v>91</v>
      </c>
      <c r="R93" s="192"/>
      <c r="T93" s="193" t="s">
        <v>89</v>
      </c>
      <c r="U93" s="194" t="s">
        <v>90</v>
      </c>
      <c r="V93" s="195" t="s">
        <v>91</v>
      </c>
      <c r="W93" s="192"/>
    </row>
    <row r="94" spans="4:23">
      <c r="D94" s="28">
        <v>1</v>
      </c>
      <c r="E94" s="179">
        <v>0</v>
      </c>
      <c r="F94" s="67">
        <v>0</v>
      </c>
      <c r="G94" s="67">
        <v>0</v>
      </c>
      <c r="H94" s="192"/>
      <c r="J94" s="196">
        <v>0</v>
      </c>
      <c r="K94" s="22">
        <v>0</v>
      </c>
      <c r="L94" s="22">
        <v>0</v>
      </c>
      <c r="M94" s="192"/>
      <c r="O94" s="196">
        <v>0</v>
      </c>
      <c r="P94" s="22">
        <v>0</v>
      </c>
      <c r="Q94" s="22">
        <v>0</v>
      </c>
      <c r="R94" s="192"/>
      <c r="T94" s="196">
        <v>0</v>
      </c>
      <c r="U94" s="22">
        <v>0</v>
      </c>
      <c r="V94" s="22">
        <v>0</v>
      </c>
      <c r="W94" s="192"/>
    </row>
    <row r="95" spans="4:23">
      <c r="D95" s="28">
        <v>2</v>
      </c>
      <c r="E95" s="179">
        <v>4.1666666999999998E-2</v>
      </c>
      <c r="F95" s="180">
        <v>0.46700000000000003</v>
      </c>
      <c r="G95" s="180">
        <v>3.0511090000000001E-2</v>
      </c>
      <c r="H95" s="192"/>
      <c r="J95" s="196">
        <v>4.1666666999999998E-2</v>
      </c>
      <c r="K95" s="197">
        <v>1.0875699999999999</v>
      </c>
      <c r="L95" s="197">
        <v>4.8503909999999997E-2</v>
      </c>
      <c r="M95" s="192"/>
      <c r="O95" s="196">
        <v>4.1666666999999998E-2</v>
      </c>
      <c r="P95" s="197">
        <v>1.95429E-3</v>
      </c>
      <c r="Q95" s="197">
        <v>6.9560489999999998E-5</v>
      </c>
      <c r="R95" s="192"/>
      <c r="T95" s="196">
        <v>4.1666666999999998E-2</v>
      </c>
      <c r="U95" s="197">
        <v>3.2299999999999999E-4</v>
      </c>
      <c r="V95" s="197">
        <v>8.1411799999999999E-5</v>
      </c>
      <c r="W95" s="192"/>
    </row>
    <row r="96" spans="4:23">
      <c r="D96" s="28">
        <v>3</v>
      </c>
      <c r="E96" s="179">
        <v>8.3333332999999996E-2</v>
      </c>
      <c r="F96" s="180">
        <v>0.05</v>
      </c>
      <c r="G96" s="180">
        <v>6.0638160000000003E-2</v>
      </c>
      <c r="H96" s="192"/>
      <c r="J96" s="196">
        <v>8.3333332999999996E-2</v>
      </c>
      <c r="K96" s="197">
        <v>0.82540500000000006</v>
      </c>
      <c r="L96" s="197">
        <v>9.6159380000000003E-2</v>
      </c>
      <c r="M96" s="192"/>
      <c r="O96" s="196">
        <v>8.3333332999999996E-2</v>
      </c>
      <c r="P96" s="197">
        <v>1.017249E-3</v>
      </c>
      <c r="Q96" s="197">
        <v>1.385751E-4</v>
      </c>
      <c r="R96" s="192"/>
      <c r="T96" s="196">
        <v>8.3333332999999996E-2</v>
      </c>
      <c r="U96" s="197">
        <v>1.84E-4</v>
      </c>
      <c r="V96" s="197">
        <v>1.6201519999999999E-4</v>
      </c>
      <c r="W96" s="192"/>
    </row>
    <row r="97" spans="4:23">
      <c r="D97" s="28">
        <v>4</v>
      </c>
      <c r="E97" s="179">
        <v>0.125</v>
      </c>
      <c r="F97" s="180">
        <v>0.59599999999999997</v>
      </c>
      <c r="G97" s="180">
        <v>9.038844E-2</v>
      </c>
      <c r="H97" s="192"/>
      <c r="J97" s="196">
        <v>0.125</v>
      </c>
      <c r="K97" s="197">
        <v>1.0448900000000001</v>
      </c>
      <c r="L97" s="197">
        <v>0.142988</v>
      </c>
      <c r="M97" s="192"/>
      <c r="O97" s="196">
        <v>0.125</v>
      </c>
      <c r="P97" s="197">
        <v>1.2200100000000001E-3</v>
      </c>
      <c r="Q97" s="197">
        <v>2.070501E-4</v>
      </c>
      <c r="R97" s="192"/>
      <c r="T97" s="196">
        <v>0.125</v>
      </c>
      <c r="U97" s="197">
        <v>5.6099999999999998E-4</v>
      </c>
      <c r="V97" s="197">
        <v>2.418222E-4</v>
      </c>
      <c r="W97" s="192"/>
    </row>
    <row r="98" spans="4:23">
      <c r="D98" s="28">
        <v>5</v>
      </c>
      <c r="E98" s="179">
        <v>0.25</v>
      </c>
      <c r="F98" s="180">
        <v>0.68799999999999994</v>
      </c>
      <c r="G98" s="180">
        <v>0.17744799999999999</v>
      </c>
      <c r="H98" s="192"/>
      <c r="J98" s="196">
        <v>0.25</v>
      </c>
      <c r="K98" s="197">
        <v>1.02095</v>
      </c>
      <c r="L98" s="197">
        <v>0.278727</v>
      </c>
      <c r="M98" s="192"/>
      <c r="O98" s="196">
        <v>0.25</v>
      </c>
      <c r="P98" s="197">
        <v>1.003098E-3</v>
      </c>
      <c r="Q98" s="197">
        <v>4.093007E-4</v>
      </c>
      <c r="R98" s="192"/>
      <c r="T98" s="196">
        <v>0.25</v>
      </c>
      <c r="U98" s="197">
        <v>9.77E-4</v>
      </c>
      <c r="V98" s="197">
        <v>4.765813E-4</v>
      </c>
      <c r="W98" s="192"/>
    </row>
    <row r="99" spans="4:23">
      <c r="D99" s="28">
        <v>6</v>
      </c>
      <c r="E99" s="179">
        <v>0.5</v>
      </c>
      <c r="F99" s="180">
        <v>0.72499999999999998</v>
      </c>
      <c r="G99" s="180">
        <v>0.34228900000000001</v>
      </c>
      <c r="H99" s="192"/>
      <c r="J99" s="196">
        <v>0.5</v>
      </c>
      <c r="K99" s="197">
        <v>1.1746300000000001</v>
      </c>
      <c r="L99" s="197">
        <v>0.53055399999999997</v>
      </c>
      <c r="M99" s="192"/>
      <c r="O99" s="196">
        <v>0.5</v>
      </c>
      <c r="P99" s="197">
        <v>1.484906E-3</v>
      </c>
      <c r="Q99" s="197">
        <v>8.0005549999999999E-4</v>
      </c>
      <c r="R99" s="192"/>
      <c r="T99" s="196">
        <v>0.5</v>
      </c>
      <c r="U99" s="197">
        <v>1.82E-3</v>
      </c>
      <c r="V99" s="197">
        <v>9.2611210000000002E-4</v>
      </c>
      <c r="W99" s="192"/>
    </row>
    <row r="100" spans="4:23">
      <c r="D100" s="28">
        <v>7</v>
      </c>
      <c r="E100" s="179">
        <v>1</v>
      </c>
      <c r="F100" s="180">
        <v>0.85899999999999999</v>
      </c>
      <c r="G100" s="180">
        <v>0.63916899999999999</v>
      </c>
      <c r="H100" s="192"/>
      <c r="J100" s="196">
        <v>1</v>
      </c>
      <c r="K100" s="197">
        <v>1.1210199999999999</v>
      </c>
      <c r="L100" s="197">
        <v>0.96770900000000004</v>
      </c>
      <c r="M100" s="192"/>
      <c r="O100" s="196">
        <v>1</v>
      </c>
      <c r="P100" s="197">
        <v>1.9753380000000001E-3</v>
      </c>
      <c r="Q100" s="197">
        <v>1.53075E-3</v>
      </c>
      <c r="R100" s="192"/>
      <c r="T100" s="196">
        <v>1</v>
      </c>
      <c r="U100" s="197">
        <v>2.5500000000000002E-3</v>
      </c>
      <c r="V100" s="197">
        <v>1.7527389999999999E-3</v>
      </c>
      <c r="W100" s="192"/>
    </row>
    <row r="101" spans="4:23">
      <c r="D101" s="28">
        <v>8</v>
      </c>
      <c r="E101" s="179">
        <v>2</v>
      </c>
      <c r="F101" s="180">
        <v>1.17</v>
      </c>
      <c r="G101" s="180">
        <v>1.1286</v>
      </c>
      <c r="H101" s="192"/>
      <c r="J101" s="196">
        <v>2</v>
      </c>
      <c r="K101" s="197">
        <v>1.5100199999999999</v>
      </c>
      <c r="L101" s="197">
        <v>1.64571</v>
      </c>
      <c r="M101" s="192"/>
      <c r="O101" s="196">
        <v>2</v>
      </c>
      <c r="P101" s="197">
        <v>2.5664279999999999E-3</v>
      </c>
      <c r="Q101" s="197">
        <v>2.8172560000000002E-3</v>
      </c>
      <c r="R101" s="192"/>
      <c r="T101" s="196">
        <v>2</v>
      </c>
      <c r="U101" s="197">
        <v>3.1700000000000001E-3</v>
      </c>
      <c r="V101" s="197">
        <v>3.1654370000000001E-3</v>
      </c>
      <c r="W101" s="192"/>
    </row>
    <row r="102" spans="4:23">
      <c r="D102" s="28">
        <v>9</v>
      </c>
      <c r="E102" s="179">
        <v>3</v>
      </c>
      <c r="F102" s="180">
        <v>1.34</v>
      </c>
      <c r="G102" s="180">
        <v>1.5154099999999999</v>
      </c>
      <c r="H102" s="192"/>
      <c r="J102" s="196">
        <v>3</v>
      </c>
      <c r="K102" s="197">
        <v>1.9815199999999999</v>
      </c>
      <c r="L102" s="197">
        <v>2.14717</v>
      </c>
      <c r="M102" s="192"/>
      <c r="O102" s="196">
        <v>3</v>
      </c>
      <c r="P102" s="197">
        <v>3.5985560000000002E-3</v>
      </c>
      <c r="Q102" s="197">
        <v>3.9136609999999997E-3</v>
      </c>
      <c r="R102" s="192"/>
      <c r="T102" s="196">
        <v>3</v>
      </c>
      <c r="U102" s="197">
        <v>4.0200000000000001E-3</v>
      </c>
      <c r="V102" s="197">
        <v>4.328307E-3</v>
      </c>
      <c r="W102" s="192"/>
    </row>
    <row r="103" spans="4:23">
      <c r="D103" s="28">
        <v>10</v>
      </c>
      <c r="E103" s="179">
        <v>5</v>
      </c>
      <c r="F103" s="180">
        <v>2</v>
      </c>
      <c r="G103" s="180">
        <v>2.08786</v>
      </c>
      <c r="H103" s="192"/>
      <c r="J103" s="196">
        <v>5</v>
      </c>
      <c r="K103" s="197">
        <v>2.7305799999999998</v>
      </c>
      <c r="L103" s="197">
        <v>2.8392599999999999</v>
      </c>
      <c r="M103" s="192"/>
      <c r="O103" s="196">
        <v>5</v>
      </c>
      <c r="P103" s="197">
        <v>5.0767420000000004E-3</v>
      </c>
      <c r="Q103" s="197">
        <v>5.6829580000000001E-3</v>
      </c>
      <c r="R103" s="192"/>
      <c r="T103" s="196">
        <v>5</v>
      </c>
      <c r="U103" s="197">
        <v>5.5999999999999999E-3</v>
      </c>
      <c r="V103" s="197">
        <v>6.1297330000000001E-3</v>
      </c>
      <c r="W103" s="192"/>
    </row>
    <row r="104" spans="4:23">
      <c r="D104" s="28">
        <v>11</v>
      </c>
      <c r="E104" s="179">
        <v>7</v>
      </c>
      <c r="F104" s="180">
        <v>2.41</v>
      </c>
      <c r="G104" s="180">
        <v>2.4911699999999999</v>
      </c>
      <c r="H104" s="192"/>
      <c r="J104" s="196">
        <v>7</v>
      </c>
      <c r="K104" s="197">
        <v>2.9754499999999999</v>
      </c>
      <c r="L104" s="197">
        <v>3.2943799999999999</v>
      </c>
      <c r="M104" s="192"/>
      <c r="O104" s="196">
        <v>7</v>
      </c>
      <c r="P104" s="197">
        <v>6.8215890000000003E-3</v>
      </c>
      <c r="Q104" s="197">
        <v>7.0486480000000002E-3</v>
      </c>
      <c r="R104" s="192"/>
      <c r="T104" s="196">
        <v>7</v>
      </c>
      <c r="U104" s="197">
        <v>7.43E-3</v>
      </c>
      <c r="V104" s="197">
        <v>7.4605189999999997E-3</v>
      </c>
      <c r="W104" s="192"/>
    </row>
    <row r="105" spans="4:23">
      <c r="D105" s="28">
        <v>12</v>
      </c>
      <c r="E105" s="179">
        <v>10</v>
      </c>
      <c r="F105" s="180">
        <v>2.52</v>
      </c>
      <c r="G105" s="180">
        <v>2.9132500000000001</v>
      </c>
      <c r="H105" s="192"/>
      <c r="J105" s="196">
        <v>10</v>
      </c>
      <c r="K105" s="197">
        <v>3.41764</v>
      </c>
      <c r="L105" s="197">
        <v>3.7444999999999999</v>
      </c>
      <c r="M105" s="192"/>
      <c r="O105" s="196">
        <v>10</v>
      </c>
      <c r="P105" s="197">
        <v>8.5744849999999997E-3</v>
      </c>
      <c r="Q105" s="197">
        <v>8.5984289999999994E-3</v>
      </c>
      <c r="R105" s="192"/>
      <c r="T105" s="196">
        <v>10</v>
      </c>
      <c r="U105" s="197">
        <v>8.5599999999999999E-3</v>
      </c>
      <c r="V105" s="197">
        <v>8.9115819999999995E-3</v>
      </c>
      <c r="W105" s="192"/>
    </row>
    <row r="106" spans="4:23">
      <c r="D106" s="28">
        <v>13</v>
      </c>
      <c r="E106" s="179">
        <v>12</v>
      </c>
      <c r="F106" s="180">
        <v>3.24</v>
      </c>
      <c r="G106" s="180">
        <v>3.1187100000000001</v>
      </c>
      <c r="H106" s="192"/>
      <c r="J106" s="196">
        <v>12</v>
      </c>
      <c r="K106" s="197">
        <v>4.0161600000000002</v>
      </c>
      <c r="L106" s="197">
        <v>3.9546600000000001</v>
      </c>
      <c r="M106" s="192"/>
      <c r="O106" s="196">
        <v>12</v>
      </c>
      <c r="P106" s="197">
        <v>9.9313449999999994E-3</v>
      </c>
      <c r="Q106" s="197">
        <v>9.4023739999999998E-3</v>
      </c>
      <c r="R106" s="192"/>
      <c r="T106" s="196">
        <v>12</v>
      </c>
      <c r="U106" s="197">
        <v>9.6900000000000007E-3</v>
      </c>
      <c r="V106" s="197">
        <v>9.6407109999999997E-3</v>
      </c>
      <c r="W106" s="192"/>
    </row>
    <row r="107" spans="4:23">
      <c r="D107" s="28">
        <v>14</v>
      </c>
      <c r="E107" s="179">
        <v>14</v>
      </c>
      <c r="F107" s="180">
        <v>3.39</v>
      </c>
      <c r="G107" s="180">
        <v>3.2841800000000001</v>
      </c>
      <c r="H107" s="192"/>
      <c r="J107" s="196">
        <v>14</v>
      </c>
      <c r="K107" s="197">
        <v>4.1274699999999998</v>
      </c>
      <c r="L107" s="197">
        <v>4.1198300000000003</v>
      </c>
      <c r="M107" s="192"/>
      <c r="O107" s="196">
        <v>14</v>
      </c>
      <c r="P107" s="197">
        <v>1.081785E-2</v>
      </c>
      <c r="Q107" s="197">
        <v>1.007516E-2</v>
      </c>
      <c r="R107" s="192"/>
      <c r="T107" s="196">
        <v>14</v>
      </c>
      <c r="U107" s="197">
        <v>1.0699999999999999E-2</v>
      </c>
      <c r="V107" s="197">
        <v>1.0239170000000001E-2</v>
      </c>
      <c r="W107" s="192"/>
    </row>
    <row r="108" spans="4:23">
      <c r="D108" s="28">
        <v>15</v>
      </c>
      <c r="E108" s="179">
        <v>16</v>
      </c>
      <c r="F108" s="180">
        <v>3.53</v>
      </c>
      <c r="G108" s="180">
        <v>3.42028</v>
      </c>
      <c r="H108" s="192"/>
      <c r="J108" s="196">
        <v>16</v>
      </c>
      <c r="K108" s="197">
        <v>4.2244799999999998</v>
      </c>
      <c r="L108" s="197">
        <v>4.2530000000000001</v>
      </c>
      <c r="M108" s="192"/>
      <c r="O108" s="196">
        <v>16</v>
      </c>
      <c r="P108" s="197">
        <v>1.082055E-2</v>
      </c>
      <c r="Q108" s="197">
        <v>1.0646579999999999E-2</v>
      </c>
      <c r="R108" s="192"/>
      <c r="T108" s="196">
        <v>16</v>
      </c>
      <c r="U108" s="197">
        <v>1.11E-2</v>
      </c>
      <c r="V108" s="197">
        <v>1.0739169999999999E-2</v>
      </c>
      <c r="W108" s="192"/>
    </row>
    <row r="109" spans="4:23">
      <c r="D109" s="28">
        <v>16</v>
      </c>
      <c r="E109" s="179">
        <v>18</v>
      </c>
      <c r="F109" s="180">
        <v>3.56</v>
      </c>
      <c r="G109" s="180">
        <v>3.5342099999999999</v>
      </c>
      <c r="H109" s="192"/>
      <c r="J109" s="196">
        <v>18</v>
      </c>
      <c r="K109" s="197">
        <v>4.5981500000000004</v>
      </c>
      <c r="L109" s="197">
        <v>4.3627099999999999</v>
      </c>
      <c r="M109" s="192"/>
      <c r="O109" s="196">
        <v>18</v>
      </c>
      <c r="P109" s="197">
        <v>1.10016E-2</v>
      </c>
      <c r="Q109" s="197">
        <v>1.1137930000000001E-2</v>
      </c>
      <c r="R109" s="192"/>
      <c r="T109" s="196">
        <v>18</v>
      </c>
      <c r="U109" s="197">
        <v>1.12E-2</v>
      </c>
      <c r="V109" s="197">
        <v>1.116317E-2</v>
      </c>
      <c r="W109" s="192"/>
    </row>
    <row r="110" spans="4:23">
      <c r="D110" s="28">
        <v>17</v>
      </c>
      <c r="E110" s="189">
        <v>20</v>
      </c>
      <c r="F110" s="190">
        <v>3.67</v>
      </c>
      <c r="G110" s="190">
        <v>3.63096</v>
      </c>
      <c r="H110" s="198"/>
      <c r="J110" s="199">
        <v>20</v>
      </c>
      <c r="K110" s="200">
        <v>4.6839199999999996</v>
      </c>
      <c r="L110" s="200">
        <v>4.45465</v>
      </c>
      <c r="M110" s="198"/>
      <c r="O110" s="199">
        <v>20</v>
      </c>
      <c r="P110" s="200">
        <v>1.0912420000000001E-2</v>
      </c>
      <c r="Q110" s="200">
        <v>1.1564919999999999E-2</v>
      </c>
      <c r="R110" s="198"/>
      <c r="T110" s="199">
        <v>20</v>
      </c>
      <c r="U110" s="200">
        <v>1.12E-2</v>
      </c>
      <c r="V110" s="200">
        <v>1.1527259999999999E-2</v>
      </c>
      <c r="W110" s="198"/>
    </row>
    <row r="113" spans="5:13">
      <c r="H113">
        <f>($N$9+G115)/$N$9</f>
        <v>0.3034002333159706</v>
      </c>
      <c r="M113">
        <f>($N$9+L115)/$N$9</f>
        <v>0.51382018541288499</v>
      </c>
    </row>
    <row r="115" spans="5:13">
      <c r="G115">
        <f>((F122*14)/(0.014+(14/1.6)*0.001))-$N$9</f>
        <v>-6.1029778857692314</v>
      </c>
      <c r="L115">
        <f>((K122*14)/(0.014+(14/1.6)*0.001))-$N$9</f>
        <v>-4.2594683473076937</v>
      </c>
    </row>
    <row r="119" spans="5:13">
      <c r="E119" s="211" t="s">
        <v>125</v>
      </c>
      <c r="F119" s="211"/>
      <c r="G119" s="211"/>
      <c r="H119" s="211"/>
      <c r="J119" s="211" t="s">
        <v>134</v>
      </c>
      <c r="K119" s="211"/>
      <c r="L119" s="211"/>
      <c r="M119" s="211"/>
    </row>
    <row r="120" spans="5:13">
      <c r="E120" s="168"/>
      <c r="F120" s="169" t="s">
        <v>84</v>
      </c>
      <c r="G120" s="170" t="s">
        <v>85</v>
      </c>
      <c r="H120" s="171" t="s">
        <v>86</v>
      </c>
      <c r="J120" s="168"/>
      <c r="K120" s="169" t="s">
        <v>84</v>
      </c>
      <c r="L120" s="170" t="s">
        <v>85</v>
      </c>
      <c r="M120" s="171" t="s">
        <v>86</v>
      </c>
    </row>
    <row r="121" spans="5:13">
      <c r="E121" s="76" t="s">
        <v>87</v>
      </c>
      <c r="F121" s="179">
        <v>29.665800000000001</v>
      </c>
      <c r="G121" s="180">
        <v>8.5669199999999996</v>
      </c>
      <c r="H121" s="181">
        <v>50.764800000000001</v>
      </c>
      <c r="J121" s="76" t="s">
        <v>87</v>
      </c>
      <c r="K121" s="201">
        <v>17.876100000000001</v>
      </c>
      <c r="L121" s="202">
        <v>9.1059599999999996</v>
      </c>
      <c r="M121" s="202">
        <v>26.6463</v>
      </c>
    </row>
    <row r="122" spans="5:13">
      <c r="E122" s="185" t="s">
        <v>88</v>
      </c>
      <c r="F122" s="189">
        <v>4.3194430000000001E-3</v>
      </c>
      <c r="G122" s="190">
        <v>3.442943E-3</v>
      </c>
      <c r="H122" s="191">
        <v>5.1959440000000001E-3</v>
      </c>
      <c r="J122" s="185" t="s">
        <v>88</v>
      </c>
      <c r="K122" s="203">
        <v>7.3151459999999998E-3</v>
      </c>
      <c r="L122" s="204">
        <v>6.2798189999999999E-3</v>
      </c>
      <c r="M122" s="204">
        <v>8.3504740000000001E-3</v>
      </c>
    </row>
    <row r="123" spans="5:13">
      <c r="E123" s="168"/>
      <c r="F123" s="22"/>
      <c r="G123" s="22"/>
      <c r="H123" s="192"/>
      <c r="J123" s="168"/>
      <c r="K123" s="22"/>
      <c r="L123" s="22"/>
      <c r="M123" s="192"/>
    </row>
    <row r="124" spans="5:13">
      <c r="E124" s="168"/>
      <c r="F124" s="22"/>
      <c r="G124" s="22"/>
      <c r="H124" s="192"/>
      <c r="J124" s="168"/>
      <c r="K124" s="22"/>
      <c r="L124" s="22"/>
      <c r="M124" s="192"/>
    </row>
    <row r="125" spans="5:13">
      <c r="E125" s="193" t="s">
        <v>89</v>
      </c>
      <c r="F125" s="194" t="s">
        <v>90</v>
      </c>
      <c r="G125" s="195" t="s">
        <v>91</v>
      </c>
      <c r="H125" s="192"/>
      <c r="J125" s="193" t="s">
        <v>89</v>
      </c>
      <c r="K125" s="194" t="s">
        <v>90</v>
      </c>
      <c r="L125" s="195" t="s">
        <v>91</v>
      </c>
      <c r="M125" s="192"/>
    </row>
    <row r="126" spans="5:13">
      <c r="E126" s="196">
        <v>0</v>
      </c>
      <c r="F126" s="22">
        <v>0</v>
      </c>
      <c r="G126" s="22">
        <v>0</v>
      </c>
      <c r="H126" s="192"/>
      <c r="J126" s="196">
        <v>0</v>
      </c>
      <c r="K126" s="205">
        <v>0</v>
      </c>
      <c r="L126" s="206">
        <v>0</v>
      </c>
      <c r="M126" s="192"/>
    </row>
    <row r="127" spans="5:13">
      <c r="E127" s="196">
        <v>4.1666666999999998E-2</v>
      </c>
      <c r="F127" s="197">
        <v>8.5400000000000002E-5</v>
      </c>
      <c r="G127" s="197">
        <v>2.2939739999999999E-5</v>
      </c>
      <c r="H127" s="192"/>
      <c r="J127" s="196">
        <v>4.1666666999999998E-2</v>
      </c>
      <c r="K127" s="203">
        <v>1.4501100000000001E-4</v>
      </c>
      <c r="L127" s="204">
        <v>3.9719840000000002E-5</v>
      </c>
      <c r="M127" s="192"/>
    </row>
    <row r="128" spans="5:13">
      <c r="E128" s="196">
        <v>8.3333332999999996E-2</v>
      </c>
      <c r="F128" s="197">
        <v>1.3899999999999999E-4</v>
      </c>
      <c r="G128" s="197">
        <v>4.5637099999999997E-5</v>
      </c>
      <c r="H128" s="192"/>
      <c r="J128" s="196">
        <v>8.3333332999999996E-2</v>
      </c>
      <c r="K128" s="203">
        <v>2.1498099999999999E-4</v>
      </c>
      <c r="L128" s="204">
        <v>7.9011079999999998E-5</v>
      </c>
      <c r="M128" s="192"/>
    </row>
    <row r="129" spans="5:13">
      <c r="E129" s="196">
        <v>0.125</v>
      </c>
      <c r="F129" s="197">
        <v>1.35E-4</v>
      </c>
      <c r="G129" s="197">
        <v>6.8095920000000001E-5</v>
      </c>
      <c r="H129" s="192"/>
      <c r="J129" s="196">
        <v>0.125</v>
      </c>
      <c r="K129" s="203">
        <v>2.5866000000000002E-4</v>
      </c>
      <c r="L129" s="204">
        <v>1.180626E-4</v>
      </c>
      <c r="M129" s="192"/>
    </row>
    <row r="130" spans="5:13">
      <c r="E130" s="196">
        <v>0.25</v>
      </c>
      <c r="F130" s="197">
        <v>1.8000000000000001E-4</v>
      </c>
      <c r="G130" s="197">
        <v>1.3407809999999999E-4</v>
      </c>
      <c r="H130" s="192"/>
      <c r="J130" s="196">
        <v>0.25</v>
      </c>
      <c r="K130" s="203">
        <v>5.0753799999999998E-4</v>
      </c>
      <c r="L130" s="204">
        <v>2.3311870000000001E-4</v>
      </c>
      <c r="M130" s="192"/>
    </row>
    <row r="131" spans="5:13">
      <c r="E131" s="196">
        <v>0.5</v>
      </c>
      <c r="F131" s="197">
        <v>2.24E-4</v>
      </c>
      <c r="G131" s="197">
        <v>2.6008310000000002E-4</v>
      </c>
      <c r="H131" s="192"/>
      <c r="J131" s="196">
        <v>0.5</v>
      </c>
      <c r="K131" s="203">
        <v>5.0547899999999998E-4</v>
      </c>
      <c r="L131" s="204">
        <v>4.5421159999999998E-4</v>
      </c>
      <c r="M131" s="192"/>
    </row>
    <row r="132" spans="5:13">
      <c r="E132" s="196">
        <v>1</v>
      </c>
      <c r="F132" s="197">
        <v>3.01E-4</v>
      </c>
      <c r="G132" s="197">
        <v>4.9062450000000001E-4</v>
      </c>
      <c r="H132" s="192"/>
      <c r="J132" s="196">
        <v>1</v>
      </c>
      <c r="K132" s="203">
        <v>8.8200699999999997E-4</v>
      </c>
      <c r="L132" s="204">
        <v>8.6031970000000004E-4</v>
      </c>
      <c r="M132" s="192"/>
    </row>
    <row r="133" spans="5:13">
      <c r="E133" s="196">
        <v>2</v>
      </c>
      <c r="F133" s="197">
        <v>1.6199999999999999E-3</v>
      </c>
      <c r="G133" s="197">
        <v>8.8115769999999995E-4</v>
      </c>
      <c r="H133" s="192"/>
      <c r="J133" s="196">
        <v>2</v>
      </c>
      <c r="K133" s="203">
        <v>9.4134999999999998E-4</v>
      </c>
      <c r="L133" s="204">
        <v>1.533665E-3</v>
      </c>
      <c r="M133" s="192"/>
    </row>
    <row r="134" spans="5:13">
      <c r="E134" s="196">
        <v>3</v>
      </c>
      <c r="F134" s="197">
        <v>1.6299999999999999E-3</v>
      </c>
      <c r="G134" s="197">
        <v>1.199391E-3</v>
      </c>
      <c r="H134" s="192"/>
      <c r="J134" s="196">
        <v>3</v>
      </c>
      <c r="K134" s="203">
        <v>2.112006E-3</v>
      </c>
      <c r="L134" s="204">
        <v>2.080578E-3</v>
      </c>
      <c r="M134" s="192"/>
    </row>
    <row r="135" spans="5:13">
      <c r="E135" s="196">
        <v>5</v>
      </c>
      <c r="F135" s="197">
        <v>1.65E-3</v>
      </c>
      <c r="G135" s="197">
        <v>1.686744E-3</v>
      </c>
      <c r="H135" s="192"/>
      <c r="J135" s="196">
        <v>5</v>
      </c>
      <c r="K135" s="203">
        <v>2.6816029999999999E-3</v>
      </c>
      <c r="L135" s="204">
        <v>2.907719E-3</v>
      </c>
      <c r="M135" s="192"/>
    </row>
    <row r="136" spans="5:13">
      <c r="E136" s="196">
        <v>7</v>
      </c>
      <c r="F136" s="197">
        <v>1.98E-3</v>
      </c>
      <c r="G136" s="197">
        <v>2.0423949999999998E-3</v>
      </c>
      <c r="H136" s="192"/>
      <c r="J136" s="196">
        <v>7</v>
      </c>
      <c r="K136" s="203">
        <v>3.8786620000000002E-3</v>
      </c>
      <c r="L136" s="204">
        <v>3.515902E-3</v>
      </c>
      <c r="M136" s="192"/>
    </row>
    <row r="137" spans="5:13">
      <c r="E137" s="196">
        <v>10</v>
      </c>
      <c r="F137" s="197">
        <v>1.9599999999999999E-3</v>
      </c>
      <c r="G137" s="197">
        <v>2.4260699999999998E-3</v>
      </c>
      <c r="H137" s="192"/>
      <c r="J137" s="196">
        <v>10</v>
      </c>
      <c r="K137" s="203">
        <v>4.1314230000000004E-3</v>
      </c>
      <c r="L137" s="204">
        <v>4.1611310000000002E-3</v>
      </c>
      <c r="M137" s="192"/>
    </row>
    <row r="138" spans="5:13">
      <c r="E138" s="196">
        <v>12</v>
      </c>
      <c r="F138" s="197">
        <v>2.5799999999999998E-3</v>
      </c>
      <c r="G138" s="197">
        <v>2.6172819999999999E-3</v>
      </c>
      <c r="H138" s="192"/>
      <c r="J138" s="196">
        <v>12</v>
      </c>
      <c r="K138" s="203">
        <v>4.915628E-3</v>
      </c>
      <c r="L138" s="204">
        <v>4.4816129999999997E-3</v>
      </c>
      <c r="M138" s="192"/>
    </row>
    <row r="139" spans="5:13">
      <c r="E139" s="196">
        <v>14</v>
      </c>
      <c r="F139" s="197">
        <v>2.7599999999999999E-3</v>
      </c>
      <c r="G139" s="197">
        <v>2.773392E-3</v>
      </c>
      <c r="H139" s="192"/>
      <c r="J139" s="196">
        <v>14</v>
      </c>
      <c r="K139" s="203">
        <v>4.9518779999999998E-3</v>
      </c>
      <c r="L139" s="204">
        <v>4.743527E-3</v>
      </c>
      <c r="M139" s="192"/>
    </row>
    <row r="140" spans="5:13">
      <c r="E140" s="196">
        <v>16</v>
      </c>
      <c r="F140" s="197">
        <v>2.9399999999999999E-3</v>
      </c>
      <c r="G140" s="197">
        <v>2.903274E-3</v>
      </c>
      <c r="H140" s="192"/>
      <c r="J140" s="196">
        <v>16</v>
      </c>
      <c r="K140" s="203">
        <v>4.893868E-3</v>
      </c>
      <c r="L140" s="204">
        <v>4.964039E-3</v>
      </c>
      <c r="M140" s="192"/>
    </row>
    <row r="141" spans="5:13">
      <c r="E141" s="196">
        <v>18</v>
      </c>
      <c r="F141" s="197">
        <v>3.1199999999999999E-3</v>
      </c>
      <c r="G141" s="197">
        <v>3.0130339999999999E-3</v>
      </c>
      <c r="H141" s="192"/>
      <c r="J141" s="196">
        <v>18</v>
      </c>
      <c r="K141" s="203">
        <v>4.9409950000000001E-3</v>
      </c>
      <c r="L141" s="204">
        <v>5.1466180000000004E-3</v>
      </c>
      <c r="M141" s="192"/>
    </row>
    <row r="142" spans="5:13">
      <c r="E142" s="199">
        <v>20</v>
      </c>
      <c r="F142" s="200">
        <v>3.2699999999999999E-3</v>
      </c>
      <c r="G142" s="200">
        <v>3.1070070000000002E-3</v>
      </c>
      <c r="H142" s="198"/>
      <c r="J142" s="199">
        <v>20</v>
      </c>
      <c r="K142" s="203">
        <v>5.0533779999999999E-3</v>
      </c>
      <c r="L142" s="204">
        <v>5.303721E-3</v>
      </c>
      <c r="M142" s="198"/>
    </row>
    <row r="145" spans="4:12">
      <c r="E145" s="215" t="s">
        <v>118</v>
      </c>
      <c r="F145" s="215"/>
      <c r="G145" s="215"/>
      <c r="J145" s="215" t="s">
        <v>119</v>
      </c>
      <c r="K145" s="215"/>
      <c r="L145" s="215"/>
    </row>
    <row r="146" spans="4:12">
      <c r="E146" t="s">
        <v>120</v>
      </c>
      <c r="F146" t="s">
        <v>121</v>
      </c>
      <c r="G146" t="s">
        <v>122</v>
      </c>
      <c r="J146" t="s">
        <v>120</v>
      </c>
      <c r="K146" t="s">
        <v>121</v>
      </c>
      <c r="L146" t="s">
        <v>122</v>
      </c>
    </row>
    <row r="148" spans="4:12">
      <c r="D148" t="s">
        <v>62</v>
      </c>
      <c r="E148" t="s">
        <v>141</v>
      </c>
      <c r="F148" t="s">
        <v>141</v>
      </c>
      <c r="G148" t="s">
        <v>141</v>
      </c>
      <c r="I148" t="s">
        <v>62</v>
      </c>
      <c r="J148" t="s">
        <v>141</v>
      </c>
      <c r="K148" t="s">
        <v>141</v>
      </c>
      <c r="L148" t="s">
        <v>141</v>
      </c>
    </row>
    <row r="149" spans="4:12">
      <c r="D149" s="207">
        <f t="shared" ref="D149:D165" si="6">E9</f>
        <v>0</v>
      </c>
      <c r="E149" s="207">
        <f t="shared" ref="E149:E165" si="7">I9</f>
        <v>0</v>
      </c>
      <c r="F149" s="207">
        <f t="shared" ref="F149:F165" si="8">I33</f>
        <v>0</v>
      </c>
      <c r="G149" s="207">
        <f t="shared" ref="G149:G165" si="9">I57</f>
        <v>0</v>
      </c>
      <c r="I149" s="207">
        <f t="shared" ref="I149:I165" si="10">L9</f>
        <v>0</v>
      </c>
      <c r="J149" s="207">
        <f t="shared" ref="J149:J165" si="11">P9</f>
        <v>0</v>
      </c>
      <c r="K149" s="207">
        <f t="shared" ref="K149:K165" si="12">P33</f>
        <v>0</v>
      </c>
      <c r="L149" s="207">
        <f t="shared" ref="L149:L165" si="13">P57</f>
        <v>0</v>
      </c>
    </row>
    <row r="150" spans="4:12">
      <c r="D150" s="207">
        <f t="shared" si="6"/>
        <v>4.1666666666666664E-2</v>
      </c>
      <c r="E150" s="207">
        <f t="shared" si="7"/>
        <v>5.0944721485897269</v>
      </c>
      <c r="F150" s="207">
        <f t="shared" si="8"/>
        <v>13.67411440799818</v>
      </c>
      <c r="G150" s="207">
        <f t="shared" si="9"/>
        <v>0.59979904422137054</v>
      </c>
      <c r="I150" s="207">
        <f t="shared" si="10"/>
        <v>4.1666666666666664E-2</v>
      </c>
      <c r="J150" s="207">
        <f t="shared" si="11"/>
        <v>11.755439924432626</v>
      </c>
      <c r="K150" s="207">
        <f t="shared" si="12"/>
        <v>2.2630610962024691</v>
      </c>
      <c r="L150" s="207">
        <f t="shared" si="13"/>
        <v>1.0214898969878807</v>
      </c>
    </row>
    <row r="151" spans="4:12">
      <c r="D151" s="207">
        <f t="shared" si="6"/>
        <v>8.3333333333333329E-2</v>
      </c>
      <c r="E151" s="207">
        <f t="shared" si="7"/>
        <v>5.2371771602147845</v>
      </c>
      <c r="F151" s="207">
        <f t="shared" si="8"/>
        <v>7.1179344841961578</v>
      </c>
      <c r="G151" s="207">
        <f t="shared" si="9"/>
        <v>0.97321558427664512</v>
      </c>
      <c r="I151" s="207">
        <f t="shared" si="10"/>
        <v>8.3333333333333329E-2</v>
      </c>
      <c r="J151" s="207">
        <f t="shared" si="11"/>
        <v>8.9217370356702332</v>
      </c>
      <c r="K151" s="207">
        <f t="shared" si="12"/>
        <v>1.2867642652436992</v>
      </c>
      <c r="L151" s="207">
        <f t="shared" si="13"/>
        <v>1.5143710943144668</v>
      </c>
    </row>
    <row r="152" spans="4:12">
      <c r="D152" s="207">
        <f t="shared" si="6"/>
        <v>0.125</v>
      </c>
      <c r="E152" s="207">
        <f t="shared" si="7"/>
        <v>6.443599828085679</v>
      </c>
      <c r="F152" s="207">
        <f t="shared" si="8"/>
        <v>8.5361737628267242</v>
      </c>
      <c r="G152" s="207">
        <f t="shared" si="9"/>
        <v>0.94841282172798114</v>
      </c>
      <c r="I152" s="207">
        <f t="shared" si="10"/>
        <v>0.125</v>
      </c>
      <c r="J152" s="207">
        <f t="shared" si="11"/>
        <v>11.294118726966627</v>
      </c>
      <c r="K152" s="207">
        <f t="shared" si="12"/>
        <v>3.922325166951389</v>
      </c>
      <c r="L152" s="207">
        <f t="shared" si="13"/>
        <v>1.8220515432984328</v>
      </c>
    </row>
    <row r="153" spans="4:12">
      <c r="D153" s="207">
        <f t="shared" si="6"/>
        <v>0.25</v>
      </c>
      <c r="E153" s="207">
        <f t="shared" si="7"/>
        <v>7.4416945694568417</v>
      </c>
      <c r="F153" s="207">
        <f t="shared" si="8"/>
        <v>7.0186470394555878</v>
      </c>
      <c r="G153" s="207">
        <f t="shared" si="9"/>
        <v>1.2612739517824794</v>
      </c>
      <c r="I153" s="207">
        <f t="shared" si="10"/>
        <v>0.25</v>
      </c>
      <c r="J153" s="207">
        <f t="shared" si="11"/>
        <v>11.035344935365304</v>
      </c>
      <c r="K153" s="207">
        <f t="shared" si="12"/>
        <v>6.8363951179351661</v>
      </c>
      <c r="L153" s="207">
        <f t="shared" si="13"/>
        <v>3.5752018705146273</v>
      </c>
    </row>
    <row r="154" spans="4:12">
      <c r="D154" s="207">
        <f t="shared" si="6"/>
        <v>0.5</v>
      </c>
      <c r="E154" s="207">
        <f t="shared" si="7"/>
        <v>7.8341078865771445</v>
      </c>
      <c r="F154" s="207">
        <f t="shared" si="8"/>
        <v>10.390040206673207</v>
      </c>
      <c r="G154" s="207">
        <f t="shared" si="9"/>
        <v>1.5756120430565128</v>
      </c>
      <c r="I154" s="207">
        <f t="shared" si="10"/>
        <v>0.5</v>
      </c>
      <c r="J154" s="207">
        <f t="shared" si="11"/>
        <v>12.696493404911552</v>
      </c>
      <c r="K154" s="207">
        <f t="shared" si="12"/>
        <v>12.711721384381891</v>
      </c>
      <c r="L154" s="207">
        <f t="shared" si="13"/>
        <v>3.5606963513394221</v>
      </c>
    </row>
    <row r="155" spans="4:12">
      <c r="D155" s="207">
        <f t="shared" si="6"/>
        <v>1</v>
      </c>
      <c r="E155" s="207">
        <f t="shared" si="7"/>
        <v>9.2884817853890187</v>
      </c>
      <c r="F155" s="207">
        <f t="shared" si="8"/>
        <v>13.82112297903876</v>
      </c>
      <c r="G155" s="207">
        <f t="shared" si="9"/>
        <v>2.1138116184839779</v>
      </c>
      <c r="I155" s="207">
        <f t="shared" si="10"/>
        <v>1</v>
      </c>
      <c r="J155" s="207">
        <f t="shared" si="11"/>
        <v>12.117015309883049</v>
      </c>
      <c r="K155" s="207">
        <f t="shared" si="12"/>
        <v>17.864762684780601</v>
      </c>
      <c r="L155" s="207">
        <f t="shared" si="13"/>
        <v>6.2130356401032421</v>
      </c>
    </row>
    <row r="156" spans="4:12">
      <c r="D156" s="207">
        <f t="shared" si="6"/>
        <v>2</v>
      </c>
      <c r="E156" s="207">
        <f t="shared" si="7"/>
        <v>12.697333744915765</v>
      </c>
      <c r="F156" s="207">
        <f t="shared" si="8"/>
        <v>17.956537999180437</v>
      </c>
      <c r="G156" s="207">
        <f t="shared" si="9"/>
        <v>11.361091278817781</v>
      </c>
      <c r="I156" s="207">
        <f t="shared" si="10"/>
        <v>2</v>
      </c>
      <c r="J156" s="207">
        <f t="shared" si="11"/>
        <v>16.32169471825102</v>
      </c>
      <c r="K156" s="207">
        <f t="shared" si="12"/>
        <v>22.204431255644</v>
      </c>
      <c r="L156" s="207">
        <f t="shared" si="13"/>
        <v>6.6310652939394572</v>
      </c>
    </row>
    <row r="157" spans="4:12">
      <c r="D157" s="207">
        <f t="shared" si="6"/>
        <v>3</v>
      </c>
      <c r="E157" s="207">
        <f t="shared" si="7"/>
        <v>14.441955988214145</v>
      </c>
      <c r="F157" s="207">
        <f t="shared" si="8"/>
        <v>25.178038022684056</v>
      </c>
      <c r="G157" s="207">
        <f t="shared" si="9"/>
        <v>11.472041624222916</v>
      </c>
      <c r="I157" s="207">
        <f t="shared" si="10"/>
        <v>3</v>
      </c>
      <c r="J157" s="207">
        <f t="shared" si="11"/>
        <v>21.418051265638056</v>
      </c>
      <c r="K157" s="207">
        <f t="shared" si="12"/>
        <v>28.105069581611659</v>
      </c>
      <c r="L157" s="207">
        <f t="shared" si="13"/>
        <v>14.877401869273029</v>
      </c>
    </row>
    <row r="158" spans="4:12">
      <c r="D158" s="207">
        <f t="shared" si="6"/>
        <v>5</v>
      </c>
      <c r="E158" s="207">
        <f t="shared" si="7"/>
        <v>21.623858172125153</v>
      </c>
      <c r="F158" s="207">
        <f t="shared" si="8"/>
        <v>35.519949665479416</v>
      </c>
      <c r="G158" s="207">
        <f t="shared" si="9"/>
        <v>11.625187223779141</v>
      </c>
      <c r="I158" s="207">
        <f t="shared" si="10"/>
        <v>5</v>
      </c>
      <c r="J158" s="207">
        <f t="shared" si="11"/>
        <v>29.514676276562561</v>
      </c>
      <c r="K158" s="207">
        <f t="shared" si="12"/>
        <v>39.176319953520718</v>
      </c>
      <c r="L158" s="207">
        <f t="shared" si="13"/>
        <v>18.889761270141882</v>
      </c>
    </row>
    <row r="159" spans="4:12">
      <c r="D159" s="207">
        <f t="shared" si="6"/>
        <v>7</v>
      </c>
      <c r="E159" s="207">
        <f t="shared" si="7"/>
        <v>26.058968995588611</v>
      </c>
      <c r="F159" s="207">
        <f t="shared" si="8"/>
        <v>47.730675618256839</v>
      </c>
      <c r="G159" s="207">
        <f t="shared" si="9"/>
        <v>13.913229336470561</v>
      </c>
      <c r="I159" s="207">
        <f t="shared" si="10"/>
        <v>7</v>
      </c>
      <c r="J159" s="207">
        <f t="shared" si="11"/>
        <v>32.161416246811179</v>
      </c>
      <c r="K159" s="207">
        <f t="shared" si="12"/>
        <v>51.980656992306642</v>
      </c>
      <c r="L159" s="207">
        <f t="shared" si="13"/>
        <v>27.322090268280082</v>
      </c>
    </row>
    <row r="160" spans="4:12">
      <c r="D160" s="207">
        <f t="shared" si="6"/>
        <v>10</v>
      </c>
      <c r="E160" s="207">
        <f t="shared" si="7"/>
        <v>27.188895258227248</v>
      </c>
      <c r="F160" s="207">
        <f t="shared" si="8"/>
        <v>59.993757299781791</v>
      </c>
      <c r="G160" s="207">
        <f t="shared" si="9"/>
        <v>13.735713876792078</v>
      </c>
      <c r="I160" s="207">
        <f t="shared" si="10"/>
        <v>10</v>
      </c>
      <c r="J160" s="207">
        <f t="shared" si="11"/>
        <v>36.941066472003229</v>
      </c>
      <c r="K160" s="207">
        <f t="shared" si="12"/>
        <v>59.899562824763755</v>
      </c>
      <c r="L160" s="207">
        <f t="shared" si="13"/>
        <v>29.102591671265021</v>
      </c>
    </row>
    <row r="161" spans="4:12">
      <c r="D161" s="207">
        <f t="shared" si="6"/>
        <v>12</v>
      </c>
      <c r="E161" s="207">
        <f t="shared" si="7"/>
        <v>34.986664805834188</v>
      </c>
      <c r="F161" s="207">
        <f t="shared" si="8"/>
        <v>69.487001932864771</v>
      </c>
      <c r="G161" s="207">
        <f t="shared" si="9"/>
        <v>18.118800014539975</v>
      </c>
      <c r="I161" s="207">
        <f t="shared" si="10"/>
        <v>12</v>
      </c>
      <c r="J161" s="207">
        <f t="shared" si="11"/>
        <v>43.410334867490405</v>
      </c>
      <c r="K161" s="207">
        <f t="shared" si="12"/>
        <v>67.784422154625815</v>
      </c>
      <c r="L161" s="207">
        <f t="shared" si="13"/>
        <v>34.626691764203535</v>
      </c>
    </row>
    <row r="162" spans="4:12">
      <c r="D162" s="207">
        <f t="shared" si="6"/>
        <v>14</v>
      </c>
      <c r="E162" s="207">
        <f t="shared" si="7"/>
        <v>36.623443415258166</v>
      </c>
      <c r="F162" s="207">
        <f t="shared" si="8"/>
        <v>75.689627898529338</v>
      </c>
      <c r="G162" s="207">
        <f t="shared" si="9"/>
        <v>19.388299112424313</v>
      </c>
      <c r="I162" s="207">
        <f t="shared" si="10"/>
        <v>14</v>
      </c>
      <c r="J162" s="207">
        <f t="shared" si="11"/>
        <v>44.613498034738903</v>
      </c>
      <c r="K162" s="207">
        <f t="shared" si="12"/>
        <v>75.178497457177073</v>
      </c>
      <c r="L162" s="207">
        <f t="shared" si="13"/>
        <v>34.882045085036104</v>
      </c>
    </row>
    <row r="163" spans="4:12">
      <c r="D163" s="207">
        <f t="shared" si="6"/>
        <v>16</v>
      </c>
      <c r="E163" s="207">
        <f t="shared" si="7"/>
        <v>38.205396205619209</v>
      </c>
      <c r="F163" s="207">
        <f t="shared" si="8"/>
        <v>75.708191773167925</v>
      </c>
      <c r="G163" s="207">
        <f t="shared" si="9"/>
        <v>20.657798210308655</v>
      </c>
      <c r="I163" s="207">
        <f t="shared" si="10"/>
        <v>16</v>
      </c>
      <c r="J163" s="207">
        <f t="shared" si="11"/>
        <v>45.662038641211645</v>
      </c>
      <c r="K163" s="207">
        <f t="shared" si="12"/>
        <v>77.712198964434336</v>
      </c>
      <c r="L163" s="207">
        <f t="shared" si="13"/>
        <v>34.473413373200728</v>
      </c>
    </row>
    <row r="164" spans="4:12">
      <c r="D164" s="207">
        <f t="shared" si="6"/>
        <v>18</v>
      </c>
      <c r="E164" s="207">
        <f t="shared" si="7"/>
        <v>39.053248340175976</v>
      </c>
      <c r="F164" s="207">
        <f t="shared" si="8"/>
        <v>76.974940667402109</v>
      </c>
      <c r="G164" s="207">
        <f t="shared" si="9"/>
        <v>21.919657853609205</v>
      </c>
      <c r="I164" s="207">
        <f t="shared" si="10"/>
        <v>18</v>
      </c>
      <c r="J164" s="207">
        <f t="shared" si="11"/>
        <v>49.701094674203212</v>
      </c>
      <c r="K164" s="207">
        <f t="shared" si="12"/>
        <v>78.043420250338528</v>
      </c>
      <c r="L164" s="207">
        <f t="shared" si="13"/>
        <v>34.805380351648836</v>
      </c>
    </row>
    <row r="165" spans="4:12">
      <c r="D165" s="207">
        <f t="shared" si="6"/>
        <v>20</v>
      </c>
      <c r="E165" s="207">
        <f t="shared" si="7"/>
        <v>39.622769679396953</v>
      </c>
      <c r="F165" s="207">
        <f t="shared" si="8"/>
        <v>76.351331989727939</v>
      </c>
      <c r="G165" s="207">
        <f t="shared" si="9"/>
        <v>22.969344378269522</v>
      </c>
      <c r="I165" s="207">
        <f t="shared" si="10"/>
        <v>20</v>
      </c>
      <c r="J165" s="207">
        <f t="shared" si="11"/>
        <v>50.628193417642429</v>
      </c>
      <c r="K165" s="207">
        <f t="shared" si="12"/>
        <v>78.106827723383915</v>
      </c>
      <c r="L165" s="207">
        <f t="shared" si="13"/>
        <v>35.597029275790106</v>
      </c>
    </row>
    <row r="168" spans="4:12">
      <c r="E168" s="215" t="s">
        <v>118</v>
      </c>
      <c r="F168" s="215"/>
      <c r="G168" s="215"/>
      <c r="J168" s="215" t="s">
        <v>119</v>
      </c>
      <c r="K168" s="215"/>
      <c r="L168" s="215"/>
    </row>
    <row r="169" spans="4:12">
      <c r="E169" t="s">
        <v>120</v>
      </c>
      <c r="F169" t="s">
        <v>121</v>
      </c>
      <c r="G169" t="s">
        <v>122</v>
      </c>
      <c r="J169" t="s">
        <v>120</v>
      </c>
      <c r="K169" t="s">
        <v>121</v>
      </c>
      <c r="L169" t="s">
        <v>122</v>
      </c>
    </row>
    <row r="171" spans="4:12">
      <c r="D171" t="s">
        <v>62</v>
      </c>
      <c r="E171" t="s">
        <v>65</v>
      </c>
      <c r="F171" t="s">
        <v>65</v>
      </c>
      <c r="G171" t="s">
        <v>65</v>
      </c>
      <c r="I171" t="s">
        <v>62</v>
      </c>
      <c r="J171" t="s">
        <v>65</v>
      </c>
      <c r="K171" t="s">
        <v>65</v>
      </c>
      <c r="L171" t="s">
        <v>65</v>
      </c>
    </row>
    <row r="172" spans="4:12">
      <c r="D172" s="207">
        <f t="shared" ref="D172:D188" si="14">D149</f>
        <v>0</v>
      </c>
      <c r="E172" s="207">
        <f t="shared" ref="E172:E188" si="15">H9</f>
        <v>1</v>
      </c>
      <c r="F172" s="207">
        <f t="shared" ref="F172:F188" si="16">H33</f>
        <v>1</v>
      </c>
      <c r="G172" s="207">
        <f t="shared" ref="G172:G188" si="17">H57</f>
        <v>1</v>
      </c>
      <c r="I172" s="207">
        <f t="shared" ref="I172:I188" si="18">D149</f>
        <v>0</v>
      </c>
      <c r="J172" s="207">
        <f t="shared" ref="J172:J188" si="19">O9</f>
        <v>1</v>
      </c>
      <c r="K172" s="207">
        <f t="shared" ref="K172:K188" si="20">O33</f>
        <v>1</v>
      </c>
      <c r="L172" s="207">
        <f t="shared" ref="L172:L188" si="21">O57</f>
        <v>1</v>
      </c>
    </row>
    <row r="173" spans="4:12">
      <c r="D173" s="207">
        <f t="shared" si="14"/>
        <v>4.1666666666666664E-2</v>
      </c>
      <c r="E173" s="207">
        <f t="shared" si="15"/>
        <v>0.94905527851410276</v>
      </c>
      <c r="F173" s="207">
        <f t="shared" si="16"/>
        <v>0.86325885592001816</v>
      </c>
      <c r="G173" s="207">
        <f t="shared" si="17"/>
        <v>0.99400200955778628</v>
      </c>
      <c r="I173" s="207">
        <f t="shared" si="18"/>
        <v>4.1666666666666664E-2</v>
      </c>
      <c r="J173" s="207">
        <f t="shared" si="19"/>
        <v>0.88244560075567369</v>
      </c>
      <c r="K173" s="207">
        <f t="shared" si="20"/>
        <v>0.97736938903797532</v>
      </c>
      <c r="L173" s="207">
        <f t="shared" si="21"/>
        <v>0.98978510103012118</v>
      </c>
    </row>
    <row r="174" spans="4:12">
      <c r="D174" s="207">
        <f t="shared" si="14"/>
        <v>8.3333333333333329E-2</v>
      </c>
      <c r="E174" s="207">
        <f t="shared" si="15"/>
        <v>0.9476282283978521</v>
      </c>
      <c r="F174" s="207">
        <f t="shared" si="16"/>
        <v>0.92882065515803847</v>
      </c>
      <c r="G174" s="207">
        <f t="shared" si="17"/>
        <v>0.99026784415723357</v>
      </c>
      <c r="I174" s="207">
        <f t="shared" si="18"/>
        <v>8.3333333333333329E-2</v>
      </c>
      <c r="J174" s="207">
        <f t="shared" si="19"/>
        <v>0.9107826296432977</v>
      </c>
      <c r="K174" s="207">
        <f t="shared" si="20"/>
        <v>0.98713235734756299</v>
      </c>
      <c r="L174" s="207">
        <f t="shared" si="21"/>
        <v>0.98485628905685529</v>
      </c>
    </row>
    <row r="175" spans="4:12">
      <c r="D175" s="207">
        <f t="shared" si="14"/>
        <v>0.125</v>
      </c>
      <c r="E175" s="207">
        <f t="shared" si="15"/>
        <v>0.93556400171914322</v>
      </c>
      <c r="F175" s="207">
        <f t="shared" si="16"/>
        <v>0.91463826237173274</v>
      </c>
      <c r="G175" s="207">
        <f t="shared" si="17"/>
        <v>0.99051587178272016</v>
      </c>
      <c r="I175" s="207">
        <f t="shared" si="18"/>
        <v>0.125</v>
      </c>
      <c r="J175" s="207">
        <f t="shared" si="19"/>
        <v>0.88705881273033371</v>
      </c>
      <c r="K175" s="207">
        <f t="shared" si="20"/>
        <v>0.9607767483304861</v>
      </c>
      <c r="L175" s="207">
        <f t="shared" si="21"/>
        <v>0.98177948456701569</v>
      </c>
    </row>
    <row r="176" spans="4:12">
      <c r="D176" s="207">
        <f t="shared" si="14"/>
        <v>0.25</v>
      </c>
      <c r="E176" s="207">
        <f t="shared" si="15"/>
        <v>0.92558305430543153</v>
      </c>
      <c r="F176" s="207">
        <f t="shared" si="16"/>
        <v>0.92981352960544417</v>
      </c>
      <c r="G176" s="207">
        <f t="shared" si="17"/>
        <v>0.98738726048217518</v>
      </c>
      <c r="I176" s="207">
        <f t="shared" si="18"/>
        <v>0.25</v>
      </c>
      <c r="J176" s="207">
        <f t="shared" si="19"/>
        <v>0.88964655064634701</v>
      </c>
      <c r="K176" s="207">
        <f t="shared" si="20"/>
        <v>0.93163604882064832</v>
      </c>
      <c r="L176" s="207">
        <f t="shared" si="21"/>
        <v>0.96424798129485378</v>
      </c>
    </row>
    <row r="177" spans="4:12">
      <c r="D177" s="207">
        <f t="shared" si="14"/>
        <v>0.5</v>
      </c>
      <c r="E177" s="207">
        <f t="shared" si="15"/>
        <v>0.92165892113422854</v>
      </c>
      <c r="F177" s="207">
        <f t="shared" si="16"/>
        <v>0.89609959793326799</v>
      </c>
      <c r="G177" s="207">
        <f t="shared" si="17"/>
        <v>0.98424387956943482</v>
      </c>
      <c r="I177" s="207">
        <f t="shared" si="18"/>
        <v>0.5</v>
      </c>
      <c r="J177" s="207">
        <f t="shared" si="19"/>
        <v>0.87303506595088443</v>
      </c>
      <c r="K177" s="207">
        <f t="shared" si="20"/>
        <v>0.87288278615618109</v>
      </c>
      <c r="L177" s="207">
        <f t="shared" si="21"/>
        <v>0.96439303648660579</v>
      </c>
    </row>
    <row r="178" spans="4:12">
      <c r="D178" s="207">
        <f t="shared" si="14"/>
        <v>1</v>
      </c>
      <c r="E178" s="207">
        <f t="shared" si="15"/>
        <v>0.90711518214610976</v>
      </c>
      <c r="F178" s="207">
        <f t="shared" si="16"/>
        <v>0.86178877020961242</v>
      </c>
      <c r="G178" s="207">
        <f t="shared" si="17"/>
        <v>0.97886188381516026</v>
      </c>
      <c r="I178" s="207">
        <f t="shared" si="18"/>
        <v>1</v>
      </c>
      <c r="J178" s="207">
        <f t="shared" si="19"/>
        <v>0.8788298469011695</v>
      </c>
      <c r="K178" s="207">
        <f t="shared" si="20"/>
        <v>0.821352373152194</v>
      </c>
      <c r="L178" s="207">
        <f t="shared" si="21"/>
        <v>0.93786964359896763</v>
      </c>
    </row>
    <row r="179" spans="4:12">
      <c r="D179" s="207">
        <f t="shared" si="14"/>
        <v>2</v>
      </c>
      <c r="E179" s="207">
        <f t="shared" si="15"/>
        <v>0.87302666255084238</v>
      </c>
      <c r="F179" s="207">
        <f t="shared" si="16"/>
        <v>0.82043462000819556</v>
      </c>
      <c r="G179" s="207">
        <f t="shared" si="17"/>
        <v>0.88638908721182219</v>
      </c>
      <c r="I179" s="207">
        <f t="shared" si="18"/>
        <v>2</v>
      </c>
      <c r="J179" s="207">
        <f t="shared" si="19"/>
        <v>0.83678305281748977</v>
      </c>
      <c r="K179" s="207">
        <f t="shared" si="20"/>
        <v>0.77795568744356003</v>
      </c>
      <c r="L179" s="207">
        <f t="shared" si="21"/>
        <v>0.93368934706060547</v>
      </c>
    </row>
    <row r="180" spans="4:12">
      <c r="D180" s="207">
        <f t="shared" si="14"/>
        <v>3</v>
      </c>
      <c r="E180" s="207">
        <f t="shared" si="15"/>
        <v>0.85558044011785861</v>
      </c>
      <c r="F180" s="207">
        <f t="shared" si="16"/>
        <v>0.74821961977315943</v>
      </c>
      <c r="G180" s="207">
        <f t="shared" si="17"/>
        <v>0.88527958375777083</v>
      </c>
      <c r="I180" s="207">
        <f t="shared" si="18"/>
        <v>3</v>
      </c>
      <c r="J180" s="207">
        <f t="shared" si="19"/>
        <v>0.78581948734361939</v>
      </c>
      <c r="K180" s="207">
        <f t="shared" si="20"/>
        <v>0.71894930418388348</v>
      </c>
      <c r="L180" s="207">
        <f t="shared" si="21"/>
        <v>0.85122598130726967</v>
      </c>
    </row>
    <row r="181" spans="4:12">
      <c r="D181" s="207">
        <f t="shared" si="14"/>
        <v>5</v>
      </c>
      <c r="E181" s="207">
        <f t="shared" si="15"/>
        <v>0.78376141827874846</v>
      </c>
      <c r="F181" s="207">
        <f t="shared" si="16"/>
        <v>0.64480050334520578</v>
      </c>
      <c r="G181" s="207">
        <f t="shared" si="17"/>
        <v>0.88374812776220857</v>
      </c>
      <c r="I181" s="207">
        <f t="shared" si="18"/>
        <v>5</v>
      </c>
      <c r="J181" s="207">
        <f t="shared" si="19"/>
        <v>0.70485323723437443</v>
      </c>
      <c r="K181" s="207">
        <f t="shared" si="20"/>
        <v>0.60823680046479289</v>
      </c>
      <c r="L181" s="207">
        <f t="shared" si="21"/>
        <v>0.8111023872985812</v>
      </c>
    </row>
    <row r="182" spans="4:12">
      <c r="D182" s="207">
        <f t="shared" si="14"/>
        <v>7</v>
      </c>
      <c r="E182" s="207">
        <f t="shared" si="15"/>
        <v>0.73941031004411384</v>
      </c>
      <c r="F182" s="207">
        <f t="shared" si="16"/>
        <v>0.52269324381743165</v>
      </c>
      <c r="G182" s="207">
        <f t="shared" si="17"/>
        <v>0.86086770663529433</v>
      </c>
      <c r="I182" s="207">
        <f t="shared" si="18"/>
        <v>7</v>
      </c>
      <c r="J182" s="207">
        <f t="shared" si="19"/>
        <v>0.67838583753188819</v>
      </c>
      <c r="K182" s="207">
        <f t="shared" si="20"/>
        <v>0.4801934300769336</v>
      </c>
      <c r="L182" s="207">
        <f t="shared" si="21"/>
        <v>0.72677909731719925</v>
      </c>
    </row>
    <row r="183" spans="4:12">
      <c r="D183" s="207">
        <f t="shared" si="14"/>
        <v>10</v>
      </c>
      <c r="E183" s="207">
        <f t="shared" si="15"/>
        <v>0.72811104741772759</v>
      </c>
      <c r="F183" s="207">
        <f t="shared" si="16"/>
        <v>0.40006242700218209</v>
      </c>
      <c r="G183" s="207">
        <f t="shared" si="17"/>
        <v>0.86264286123207923</v>
      </c>
      <c r="I183" s="207">
        <f t="shared" si="18"/>
        <v>10</v>
      </c>
      <c r="J183" s="207">
        <f t="shared" si="19"/>
        <v>0.63058933527996774</v>
      </c>
      <c r="K183" s="207">
        <f t="shared" si="20"/>
        <v>0.40100437175236248</v>
      </c>
      <c r="L183" s="207">
        <f t="shared" si="21"/>
        <v>0.70897408328734979</v>
      </c>
    </row>
    <row r="184" spans="4:12">
      <c r="D184" s="207">
        <f t="shared" si="14"/>
        <v>12</v>
      </c>
      <c r="E184" s="207">
        <f t="shared" si="15"/>
        <v>0.65013335194165811</v>
      </c>
      <c r="F184" s="207">
        <f t="shared" si="16"/>
        <v>0.30512998067135227</v>
      </c>
      <c r="G184" s="207">
        <f t="shared" si="17"/>
        <v>0.81881199985460029</v>
      </c>
      <c r="I184" s="207">
        <f t="shared" si="18"/>
        <v>12</v>
      </c>
      <c r="J184" s="207">
        <f t="shared" si="19"/>
        <v>0.56589665132509592</v>
      </c>
      <c r="K184" s="207">
        <f t="shared" si="20"/>
        <v>0.32215577845374194</v>
      </c>
      <c r="L184" s="207">
        <f t="shared" si="21"/>
        <v>0.65373308235796457</v>
      </c>
    </row>
    <row r="185" spans="4:12">
      <c r="D185" s="207">
        <f t="shared" si="14"/>
        <v>14</v>
      </c>
      <c r="E185" s="207">
        <f t="shared" si="15"/>
        <v>0.63376556584741828</v>
      </c>
      <c r="F185" s="207">
        <f t="shared" si="16"/>
        <v>0.24310372101470665</v>
      </c>
      <c r="G185" s="207">
        <f t="shared" si="17"/>
        <v>0.80611700887575688</v>
      </c>
      <c r="I185" s="207">
        <f t="shared" si="18"/>
        <v>14</v>
      </c>
      <c r="J185" s="207">
        <f t="shared" si="19"/>
        <v>0.55386501965261092</v>
      </c>
      <c r="K185" s="207">
        <f t="shared" si="20"/>
        <v>0.24821502542822926</v>
      </c>
      <c r="L185" s="207">
        <f t="shared" si="21"/>
        <v>0.65117954914963894</v>
      </c>
    </row>
    <row r="186" spans="4:12">
      <c r="D186" s="207">
        <f t="shared" si="14"/>
        <v>16</v>
      </c>
      <c r="E186" s="207">
        <f t="shared" si="15"/>
        <v>0.61794603794380798</v>
      </c>
      <c r="F186" s="207">
        <f t="shared" si="16"/>
        <v>0.24291808226832073</v>
      </c>
      <c r="G186" s="207">
        <f t="shared" si="17"/>
        <v>0.79342201789691347</v>
      </c>
      <c r="I186" s="207">
        <f t="shared" si="18"/>
        <v>16</v>
      </c>
      <c r="J186" s="207">
        <f t="shared" si="19"/>
        <v>0.54337961358788356</v>
      </c>
      <c r="K186" s="207">
        <f t="shared" si="20"/>
        <v>0.22287801035565671</v>
      </c>
      <c r="L186" s="207">
        <f t="shared" si="21"/>
        <v>0.65526586626799266</v>
      </c>
    </row>
    <row r="187" spans="4:12">
      <c r="D187" s="207">
        <f t="shared" si="14"/>
        <v>18</v>
      </c>
      <c r="E187" s="207">
        <f t="shared" si="15"/>
        <v>0.60946751659824017</v>
      </c>
      <c r="F187" s="207">
        <f t="shared" si="16"/>
        <v>0.23025059332597894</v>
      </c>
      <c r="G187" s="207">
        <f t="shared" si="17"/>
        <v>0.78080342146390791</v>
      </c>
      <c r="I187" s="207">
        <f t="shared" si="18"/>
        <v>18</v>
      </c>
      <c r="J187" s="207">
        <f t="shared" si="19"/>
        <v>0.50298905325796783</v>
      </c>
      <c r="K187" s="207">
        <f t="shared" si="20"/>
        <v>0.21956579749661484</v>
      </c>
      <c r="L187" s="207">
        <f t="shared" si="21"/>
        <v>0.65194619648351171</v>
      </c>
    </row>
    <row r="188" spans="4:12">
      <c r="D188" s="207">
        <f t="shared" si="14"/>
        <v>20</v>
      </c>
      <c r="E188" s="207">
        <f t="shared" si="15"/>
        <v>0.60377230320603048</v>
      </c>
      <c r="F188" s="207">
        <f t="shared" si="16"/>
        <v>0.23648668010272048</v>
      </c>
      <c r="G188" s="207">
        <f t="shared" si="17"/>
        <v>0.77030655621730482</v>
      </c>
      <c r="I188" s="207">
        <f t="shared" si="18"/>
        <v>20</v>
      </c>
      <c r="J188" s="207">
        <f t="shared" si="19"/>
        <v>0.49371806582357569</v>
      </c>
      <c r="K188" s="207">
        <f t="shared" si="20"/>
        <v>0.21893172276616091</v>
      </c>
      <c r="L188" s="207">
        <f t="shared" si="21"/>
        <v>0.64402970724209885</v>
      </c>
    </row>
    <row r="193" spans="17:17">
      <c r="Q193">
        <v>0</v>
      </c>
    </row>
  </sheetData>
  <mergeCells count="16">
    <mergeCell ref="O87:R87"/>
    <mergeCell ref="T87:W87"/>
    <mergeCell ref="E119:H119"/>
    <mergeCell ref="J119:M119"/>
    <mergeCell ref="E7:I7"/>
    <mergeCell ref="L7:P7"/>
    <mergeCell ref="E31:I31"/>
    <mergeCell ref="L31:P31"/>
    <mergeCell ref="E55:I55"/>
    <mergeCell ref="L55:P55"/>
    <mergeCell ref="E145:G145"/>
    <mergeCell ref="J145:L145"/>
    <mergeCell ref="E168:G168"/>
    <mergeCell ref="J168:L168"/>
    <mergeCell ref="E87:H87"/>
    <mergeCell ref="J87:M8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1"/>
  <sheetViews>
    <sheetView zoomScale="85" zoomScaleNormal="85" zoomScalePageLayoutView="85" workbookViewId="0">
      <selection activeCell="S37" sqref="S37"/>
    </sheetView>
  </sheetViews>
  <sheetFormatPr baseColWidth="10" defaultColWidth="8.83203125" defaultRowHeight="14" x14ac:dyDescent="0"/>
  <sheetData>
    <row r="2" spans="3:9">
      <c r="D2" s="218" t="s">
        <v>142</v>
      </c>
      <c r="E2" s="218"/>
      <c r="F2" s="218"/>
      <c r="G2" s="218" t="s">
        <v>119</v>
      </c>
      <c r="H2" s="218"/>
      <c r="I2" s="218"/>
    </row>
    <row r="3" spans="3:9">
      <c r="D3" t="s">
        <v>120</v>
      </c>
      <c r="E3" t="s">
        <v>121</v>
      </c>
      <c r="F3" t="s">
        <v>122</v>
      </c>
      <c r="G3" t="s">
        <v>120</v>
      </c>
      <c r="H3" t="s">
        <v>121</v>
      </c>
      <c r="I3" t="s">
        <v>122</v>
      </c>
    </row>
    <row r="4" spans="3:9">
      <c r="C4" t="s">
        <v>143</v>
      </c>
      <c r="D4" t="s">
        <v>144</v>
      </c>
      <c r="E4" t="s">
        <v>144</v>
      </c>
      <c r="F4" t="s">
        <v>144</v>
      </c>
      <c r="G4" t="s">
        <v>144</v>
      </c>
      <c r="H4" t="s">
        <v>144</v>
      </c>
      <c r="I4" t="s">
        <v>144</v>
      </c>
    </row>
    <row r="5" spans="3:9">
      <c r="C5" s="78">
        <f>'Αποτελέσματα Colloid Fit '!E94</f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3:9">
      <c r="C6" s="78">
        <f>'Αποτελέσματα Colloid Fit '!E95</f>
        <v>4.1666666999999998E-2</v>
      </c>
      <c r="D6">
        <f>C6/'Αποτελέσματα Colloid Fit '!F95</f>
        <v>8.9221985010706634E-2</v>
      </c>
      <c r="E6">
        <f>C6/'Αποτελέσματα Colloid Fit '!P95</f>
        <v>21.320616182859247</v>
      </c>
      <c r="F6">
        <f>C6/'Αποτελέσματα Colloid Fit '!F127</f>
        <v>487.90008196721305</v>
      </c>
      <c r="G6">
        <f>C6/'Αποτελέσματα Colloid Fit '!K95</f>
        <v>3.8311710510587828E-2</v>
      </c>
      <c r="H6">
        <f>C6/'Αποτελέσματα Colloid Fit '!U95</f>
        <v>128.99896904024769</v>
      </c>
    </row>
    <row r="7" spans="3:9">
      <c r="C7" s="78">
        <f>'Αποτελέσματα Colloid Fit '!E96</f>
        <v>8.3333332999999996E-2</v>
      </c>
      <c r="D7">
        <f>C7/'Αποτελέσματα Colloid Fit '!F96</f>
        <v>1.6666666599999997</v>
      </c>
      <c r="E7">
        <f>C7/'Αποτελέσματα Colloid Fit '!P96</f>
        <v>81.920289919183986</v>
      </c>
      <c r="F7">
        <f>C7/'Αποτελέσματα Colloid Fit '!F128</f>
        <v>599.52038129496407</v>
      </c>
      <c r="G7">
        <f>C7/'Αποτελέσματα Colloid Fit '!K96</f>
        <v>0.10096053816005475</v>
      </c>
      <c r="H7">
        <f>C7/'Αποτελέσματα Colloid Fit '!U96</f>
        <v>452.89854891304344</v>
      </c>
    </row>
    <row r="8" spans="3:9">
      <c r="C8" s="78">
        <f>'Αποτελέσματα Colloid Fit '!E97</f>
        <v>0.125</v>
      </c>
      <c r="D8">
        <f>C8/'Αποτελέσματα Colloid Fit '!F97</f>
        <v>0.20973154362416108</v>
      </c>
      <c r="E8">
        <f>C8/'Αποτελέσματα Colloid Fit '!P97</f>
        <v>102.45817657232317</v>
      </c>
      <c r="F8">
        <f>C8/'Αποτελέσματα Colloid Fit '!F129</f>
        <v>925.92592592592587</v>
      </c>
      <c r="G8">
        <f>C8/'Αποτελέσματα Colloid Fit '!K97</f>
        <v>0.11962981749275042</v>
      </c>
      <c r="H8">
        <f>C8/'Αποτελέσματα Colloid Fit '!U97</f>
        <v>222.81639928698752</v>
      </c>
    </row>
    <row r="9" spans="3:9">
      <c r="C9" s="78">
        <f>'Αποτελέσματα Colloid Fit '!E98</f>
        <v>0.25</v>
      </c>
      <c r="D9">
        <f>C9/'Αποτελέσματα Colloid Fit '!F98</f>
        <v>0.36337209302325585</v>
      </c>
      <c r="E9">
        <f>C9/'Αποτελέσματα Colloid Fit '!P98</f>
        <v>249.22789199061307</v>
      </c>
      <c r="F9">
        <f>C9/'Αποτελέσματα Colloid Fit '!F130</f>
        <v>1388.8888888888889</v>
      </c>
      <c r="G9">
        <f>C9/'Αποτελέσματα Colloid Fit '!K98</f>
        <v>0.24486997404378275</v>
      </c>
      <c r="H9">
        <f>C9/'Αποτελέσματα Colloid Fit '!U98</f>
        <v>255.88536335721597</v>
      </c>
    </row>
    <row r="10" spans="3:9">
      <c r="C10" s="78">
        <f>'Αποτελέσματα Colloid Fit '!E99</f>
        <v>0.5</v>
      </c>
      <c r="D10">
        <f>C10/'Αποτελέσματα Colloid Fit '!F99</f>
        <v>0.68965517241379315</v>
      </c>
      <c r="E10">
        <f>C10/'Αποτελέσματα Colloid Fit '!P99</f>
        <v>336.72165106747497</v>
      </c>
      <c r="F10">
        <f>C10/'Αποτελέσματα Colloid Fit '!F131</f>
        <v>2232.1428571428573</v>
      </c>
      <c r="G10">
        <f>C10/'Αποτελέσματα Colloid Fit '!K99</f>
        <v>0.42566595438563631</v>
      </c>
      <c r="H10">
        <f>C10/'Αποτελέσματα Colloid Fit '!U99</f>
        <v>274.72527472527474</v>
      </c>
    </row>
    <row r="11" spans="3:9">
      <c r="C11" s="78">
        <f>'Αποτελέσματα Colloid Fit '!E100</f>
        <v>1</v>
      </c>
      <c r="D11">
        <f>C11/'Αποτελέσματα Colloid Fit '!F100</f>
        <v>1.1641443538998837</v>
      </c>
      <c r="E11">
        <f>C11/'Αποτελέσματα Colloid Fit '!P100</f>
        <v>506.24247597120086</v>
      </c>
      <c r="F11">
        <f>C11/'Αποτελέσματα Colloid Fit '!F132</f>
        <v>3322.2591362126245</v>
      </c>
      <c r="G11">
        <f>C11/'Αποτελέσματα Colloid Fit '!K100</f>
        <v>0.89204474496440744</v>
      </c>
      <c r="H11">
        <f>C11/'Αποτελέσματα Colloid Fit '!U100</f>
        <v>392.15686274509801</v>
      </c>
    </row>
    <row r="12" spans="3:9">
      <c r="C12" s="78">
        <f>'Αποτελέσματα Colloid Fit '!E101</f>
        <v>2</v>
      </c>
      <c r="D12">
        <f>C12/'Αποτελέσματα Colloid Fit '!F101</f>
        <v>1.7094017094017095</v>
      </c>
      <c r="E12">
        <f>C12/'Αποτελέσματα Colloid Fit '!P101</f>
        <v>779.29324337172136</v>
      </c>
      <c r="F12">
        <f>C12/'Αποτελέσματα Colloid Fit '!F133</f>
        <v>1234.5679012345679</v>
      </c>
      <c r="G12">
        <f>C12/'Αποτελέσματα Colloid Fit '!K101</f>
        <v>1.3244857684004185</v>
      </c>
      <c r="H12">
        <f>C12/'Αποτελέσματα Colloid Fit '!U101</f>
        <v>630.91482649842271</v>
      </c>
    </row>
    <row r="13" spans="3:9">
      <c r="C13" s="78">
        <f>'Αποτελέσματα Colloid Fit '!E102</f>
        <v>3</v>
      </c>
      <c r="D13">
        <f>C13/'Αποτελέσματα Colloid Fit '!F102</f>
        <v>2.2388059701492535</v>
      </c>
      <c r="E13">
        <f>C13/'Αποτελέσματα Colloid Fit '!P102</f>
        <v>833.66772672149602</v>
      </c>
      <c r="F13">
        <f>C13/'Αποτελέσματα Colloid Fit '!F134</f>
        <v>1840.4907975460123</v>
      </c>
      <c r="G13">
        <f>C13/'Αποτελέσματα Colloid Fit '!K102</f>
        <v>1.5139892607695102</v>
      </c>
      <c r="H13">
        <f>C13/'Αποτελέσματα Colloid Fit '!U102</f>
        <v>746.26865671641792</v>
      </c>
    </row>
    <row r="14" spans="3:9">
      <c r="C14" s="78">
        <f>'Αποτελέσματα Colloid Fit '!E103</f>
        <v>5</v>
      </c>
      <c r="D14">
        <f>C14/'Αποτελέσματα Colloid Fit '!F103</f>
        <v>2.5</v>
      </c>
      <c r="E14">
        <f>C14/'Αποτελέσματα Colloid Fit '!P103</f>
        <v>984.88361236399237</v>
      </c>
      <c r="F14">
        <f>C14/'Αποτελέσματα Colloid Fit '!F135</f>
        <v>3030.3030303030305</v>
      </c>
      <c r="G14">
        <f>C14/'Αποτελέσματα Colloid Fit '!K103</f>
        <v>1.8311128038731699</v>
      </c>
      <c r="H14">
        <f>C14/'Αποτελέσματα Colloid Fit '!U103</f>
        <v>892.85714285714289</v>
      </c>
    </row>
    <row r="15" spans="3:9">
      <c r="C15" s="78">
        <f>'Αποτελέσματα Colloid Fit '!E104</f>
        <v>7</v>
      </c>
      <c r="D15">
        <f>C15/'Αποτελέσματα Colloid Fit '!F104</f>
        <v>2.904564315352697</v>
      </c>
      <c r="E15">
        <f>C15/'Αποτελέσματα Colloid Fit '!P104</f>
        <v>1026.1538770512266</v>
      </c>
      <c r="F15">
        <f>C15/'Αποτελέσματα Colloid Fit '!F136</f>
        <v>3535.3535353535353</v>
      </c>
      <c r="G15">
        <f>C15/'Αποτελέσματα Colloid Fit '!K104</f>
        <v>2.3525853232284191</v>
      </c>
      <c r="H15">
        <f>C15/'Αποτελέσματα Colloid Fit '!U104</f>
        <v>942.12651413189769</v>
      </c>
    </row>
    <row r="16" spans="3:9">
      <c r="C16" s="78">
        <f>'Αποτελέσματα Colloid Fit '!E105</f>
        <v>10</v>
      </c>
      <c r="D16">
        <f>C16/'Αποτελέσματα Colloid Fit '!F105</f>
        <v>3.9682539682539684</v>
      </c>
      <c r="E16">
        <f>C16/'Αποτελέσματα Colloid Fit '!P105</f>
        <v>1166.250801068519</v>
      </c>
      <c r="F16">
        <f>C16/'Αποτελέσματα Colloid Fit '!F137</f>
        <v>5102.0408163265311</v>
      </c>
      <c r="G16">
        <f>C16/'Αποτελέσματα Colloid Fit '!K105</f>
        <v>2.9259957163422712</v>
      </c>
      <c r="H16">
        <f>C16/'Αποτελέσματα Colloid Fit '!U105</f>
        <v>1168.2242990654206</v>
      </c>
    </row>
    <row r="17" spans="3:8">
      <c r="C17" s="78">
        <f>'Αποτελέσματα Colloid Fit '!E106</f>
        <v>12</v>
      </c>
      <c r="D17">
        <f>C17/'Αποτελέσματα Colloid Fit '!F106</f>
        <v>3.7037037037037033</v>
      </c>
      <c r="E17">
        <f>C17/'Αποτελέσματα Colloid Fit '!P106</f>
        <v>1208.295553119945</v>
      </c>
      <c r="F17">
        <f>C17/'Αποτελέσματα Colloid Fit '!F138</f>
        <v>4651.1627906976746</v>
      </c>
      <c r="G17">
        <f>C17/'Αποτελέσματα Colloid Fit '!K106</f>
        <v>2.9879287677781758</v>
      </c>
      <c r="H17">
        <f>C17/'Αποτελέσματα Colloid Fit '!U106</f>
        <v>1238.3900928792568</v>
      </c>
    </row>
    <row r="18" spans="3:8">
      <c r="C18" s="78">
        <f>'Αποτελέσματα Colloid Fit '!E107</f>
        <v>14</v>
      </c>
      <c r="D18">
        <f>C18/'Αποτελέσματα Colloid Fit '!F107</f>
        <v>4.1297935103244834</v>
      </c>
      <c r="E18">
        <f>C18/'Αποτελέσματα Colloid Fit '!P107</f>
        <v>1294.1573418008199</v>
      </c>
      <c r="F18">
        <f>C18/'Αποτελέσματα Colloid Fit '!F139</f>
        <v>5072.463768115942</v>
      </c>
      <c r="G18">
        <f>C18/'Αποτελέσματα Colloid Fit '!K107</f>
        <v>3.3919083603272711</v>
      </c>
      <c r="H18">
        <f>C18/'Αποτελέσματα Colloid Fit '!U107</f>
        <v>1308.4112149532712</v>
      </c>
    </row>
    <row r="19" spans="3:8">
      <c r="C19" s="78">
        <f>'Αποτελέσματα Colloid Fit '!E108</f>
        <v>16</v>
      </c>
      <c r="D19">
        <f>C19/'Αποτελέσματα Colloid Fit '!F108</f>
        <v>4.5325779036827196</v>
      </c>
      <c r="E19">
        <f>C19/'Αποτελέσματα Colloid Fit '!P108</f>
        <v>1478.6679050510372</v>
      </c>
      <c r="F19">
        <f>C19/'Αποτελέσματα Colloid Fit '!F140</f>
        <v>5442.1768707482997</v>
      </c>
      <c r="G19">
        <f>C19/'Αποτελέσματα Colloid Fit '!K108</f>
        <v>3.7874483960156047</v>
      </c>
      <c r="H19">
        <f>C19/'Αποτελέσματα Colloid Fit '!U108</f>
        <v>1441.4414414414414</v>
      </c>
    </row>
    <row r="20" spans="3:8">
      <c r="C20" s="78">
        <f>'Αποτελέσματα Colloid Fit '!E109</f>
        <v>18</v>
      </c>
      <c r="D20">
        <f>C20/'Αποτελέσματα Colloid Fit '!F109</f>
        <v>5.0561797752808992</v>
      </c>
      <c r="E20">
        <f>C20/'Αποτελέσματα Colloid Fit '!P109</f>
        <v>1636.1256544502617</v>
      </c>
      <c r="F20">
        <f>C20/'Αποτελέσματα Colloid Fit '!F141</f>
        <v>5769.2307692307695</v>
      </c>
      <c r="G20">
        <f>C20/'Αποτελέσματα Colloid Fit '!K109</f>
        <v>3.9146178354338153</v>
      </c>
      <c r="H20">
        <f>C20/'Αποτελέσματα Colloid Fit '!U109</f>
        <v>1607.1428571428571</v>
      </c>
    </row>
    <row r="21" spans="3:8">
      <c r="C21" s="78">
        <f>'Αποτελέσματα Colloid Fit '!E110</f>
        <v>20</v>
      </c>
      <c r="D21">
        <f>C21/'Αποτελέσματα Colloid Fit '!F110</f>
        <v>5.4495912806539515</v>
      </c>
      <c r="E21">
        <f>C21/'Αποτελέσματα Colloid Fit '!P110</f>
        <v>1832.7740317912983</v>
      </c>
      <c r="F21">
        <f>C21/'Αποτελέσματα Colloid Fit '!F142</f>
        <v>6116.207951070337</v>
      </c>
      <c r="G21">
        <f>C21/'Αποτελέσματα Colloid Fit '!K110</f>
        <v>4.2699277528224222</v>
      </c>
      <c r="H21">
        <f>C21/'Αποτελέσματα Colloid Fit '!U110</f>
        <v>1785.7142857142858</v>
      </c>
    </row>
  </sheetData>
  <mergeCells count="2">
    <mergeCell ref="D2:F2"/>
    <mergeCell ref="G2:I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4" x14ac:dyDescent="0"/>
  <cols>
    <col min="2" max="2" width="12.1640625" customWidth="1"/>
    <col min="3" max="3" width="14.33203125" customWidth="1"/>
    <col min="4" max="4" width="21.6640625" customWidth="1"/>
  </cols>
  <sheetData>
    <row r="1" spans="1:4">
      <c r="A1" t="s">
        <v>148</v>
      </c>
      <c r="B1" t="s">
        <v>145</v>
      </c>
      <c r="C1" t="s">
        <v>146</v>
      </c>
      <c r="D1" t="s">
        <v>147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0.20412414523193151</v>
      </c>
      <c r="B3">
        <v>0.46668077364344712</v>
      </c>
      <c r="C3">
        <v>1.9542903568803413E-3</v>
      </c>
      <c r="D3">
        <v>8.5390956724687003E-5</v>
      </c>
    </row>
    <row r="4" spans="1:4">
      <c r="A4">
        <v>0.28867513459481287</v>
      </c>
      <c r="B4">
        <v>4.9980437412909653E-2</v>
      </c>
      <c r="C4">
        <v>1.0172491155249692E-3</v>
      </c>
      <c r="D4">
        <v>1.3855397272322141E-4</v>
      </c>
    </row>
    <row r="5" spans="1:4">
      <c r="A5">
        <v>0.35355339059327379</v>
      </c>
      <c r="B5">
        <v>0.59613692866556922</v>
      </c>
      <c r="C5">
        <v>1.2200097734681769E-3</v>
      </c>
      <c r="D5">
        <v>1.3501871869336246E-4</v>
      </c>
    </row>
    <row r="6" spans="1:4">
      <c r="A6">
        <v>0.5</v>
      </c>
      <c r="B6">
        <v>0.68847679295149722</v>
      </c>
      <c r="C6">
        <v>1.0030978108192404E-3</v>
      </c>
      <c r="D6">
        <v>1.7956008817738352E-4</v>
      </c>
    </row>
    <row r="7" spans="1:4">
      <c r="A7">
        <v>0.70710678118654757</v>
      </c>
      <c r="B7">
        <v>0.72478135497844476</v>
      </c>
      <c r="C7">
        <v>1.4849055673205797E-3</v>
      </c>
      <c r="D7">
        <v>2.2430955105038711E-4</v>
      </c>
    </row>
    <row r="8" spans="1:4">
      <c r="A8">
        <v>1</v>
      </c>
      <c r="B8">
        <v>0.85933440176916354</v>
      </c>
      <c r="C8">
        <v>1.9753382953661457E-3</v>
      </c>
      <c r="D8">
        <v>3.0092817151802228E-4</v>
      </c>
    </row>
    <row r="9" spans="1:4">
      <c r="A9">
        <v>1.4142135623730951</v>
      </c>
      <c r="B9">
        <v>1.1747081977287441</v>
      </c>
      <c r="C9">
        <v>2.5664276931558943E-3</v>
      </c>
      <c r="D9">
        <v>1.6173969312535022E-3</v>
      </c>
    </row>
    <row r="10" spans="1:4">
      <c r="A10">
        <v>1.7320508075688772</v>
      </c>
      <c r="B10">
        <v>1.3361138985092833</v>
      </c>
      <c r="C10">
        <v>3.598556361125829E-3</v>
      </c>
      <c r="D10">
        <v>1.6331921347049838E-3</v>
      </c>
    </row>
    <row r="11" spans="1:4">
      <c r="A11">
        <v>2.2360679774997898</v>
      </c>
      <c r="B11">
        <v>2.0005557049715588</v>
      </c>
      <c r="C11">
        <v>5.0767423916262744E-3</v>
      </c>
      <c r="D11">
        <v>1.6549870992266646E-3</v>
      </c>
    </row>
    <row r="12" spans="1:4">
      <c r="A12">
        <v>2.6457513110645907</v>
      </c>
      <c r="B12">
        <v>2.4108750008823367</v>
      </c>
      <c r="C12">
        <v>6.8215890200165694E-3</v>
      </c>
      <c r="D12">
        <v>1.9807787254063356E-3</v>
      </c>
    </row>
    <row r="13" spans="1:4">
      <c r="A13">
        <v>3.1622776601683795</v>
      </c>
      <c r="B13">
        <v>2.5154114075182648</v>
      </c>
      <c r="C13">
        <v>8.5744848111805952E-3</v>
      </c>
      <c r="D13">
        <v>1.955480672618146E-3</v>
      </c>
    </row>
    <row r="14" spans="1:4">
      <c r="A14">
        <v>3.4641016151377544</v>
      </c>
      <c r="B14">
        <v>3.2368308799520973</v>
      </c>
      <c r="C14">
        <v>9.9313454239930224E-3</v>
      </c>
      <c r="D14">
        <v>2.5794433670426713E-3</v>
      </c>
    </row>
    <row r="15" spans="1:4">
      <c r="A15">
        <v>3.7416573867739413</v>
      </c>
      <c r="B15">
        <v>3.3882593049257501</v>
      </c>
      <c r="C15">
        <v>1.0817848212821914E-2</v>
      </c>
      <c r="D15">
        <v>2.760197095418011E-3</v>
      </c>
    </row>
    <row r="16" spans="1:4">
      <c r="A16">
        <v>4</v>
      </c>
      <c r="B16">
        <v>3.5346154572164696</v>
      </c>
      <c r="C16">
        <v>1.0820549037586395E-2</v>
      </c>
      <c r="D16">
        <v>2.9409152225410014E-3</v>
      </c>
    </row>
    <row r="17" spans="1:4">
      <c r="A17">
        <v>4.2426406871192848</v>
      </c>
      <c r="B17">
        <v>3.5599633265591595</v>
      </c>
      <c r="C17">
        <v>1.1001598382542844E-2</v>
      </c>
      <c r="D17">
        <v>3.1205716184416494E-3</v>
      </c>
    </row>
    <row r="18" spans="1:4">
      <c r="A18">
        <v>4.4721359549995796</v>
      </c>
      <c r="B18">
        <v>3.665745367821259</v>
      </c>
      <c r="C18">
        <v>1.0912421467032996E-2</v>
      </c>
      <c r="D18">
        <v>3.270009260169085E-3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D18"/>
    </sheetView>
  </sheetViews>
  <sheetFormatPr baseColWidth="10" defaultRowHeight="14" x14ac:dyDescent="0"/>
  <cols>
    <col min="4" max="4" width="11.83203125" bestFit="1" customWidth="1"/>
  </cols>
  <sheetData>
    <row r="1" spans="1:4">
      <c r="A1" s="135" t="s">
        <v>148</v>
      </c>
      <c r="B1" s="220" t="s">
        <v>145</v>
      </c>
      <c r="C1" s="220" t="s">
        <v>146</v>
      </c>
      <c r="D1" s="220" t="s">
        <v>147</v>
      </c>
    </row>
    <row r="2" spans="1:4">
      <c r="A2" s="221">
        <v>0</v>
      </c>
      <c r="B2" s="222">
        <v>0</v>
      </c>
      <c r="C2" s="222">
        <v>0</v>
      </c>
      <c r="D2" s="223">
        <v>0</v>
      </c>
    </row>
    <row r="3" spans="1:4">
      <c r="A3" s="221">
        <v>0.20399999999999999</v>
      </c>
      <c r="B3" s="222">
        <v>1.0875678</v>
      </c>
      <c r="C3" s="222">
        <v>3.234E-4</v>
      </c>
      <c r="D3" s="223">
        <v>1.4501100000000001E-4</v>
      </c>
    </row>
    <row r="4" spans="1:4">
      <c r="A4" s="221">
        <v>0.28899999999999998</v>
      </c>
      <c r="B4" s="222">
        <v>0.82540460000000004</v>
      </c>
      <c r="C4" s="222">
        <v>1.839E-4</v>
      </c>
      <c r="D4" s="223">
        <v>2.1498099999999999E-4</v>
      </c>
    </row>
    <row r="5" spans="1:4">
      <c r="A5" s="221">
        <v>0.35399999999999998</v>
      </c>
      <c r="B5" s="222">
        <v>1.0448881999999999</v>
      </c>
      <c r="C5" s="222">
        <v>5.6059999999999997E-4</v>
      </c>
      <c r="D5" s="223">
        <v>2.5866000000000002E-4</v>
      </c>
    </row>
    <row r="6" spans="1:4">
      <c r="A6" s="221">
        <v>0.5</v>
      </c>
      <c r="B6" s="222">
        <v>1.0209474000000001</v>
      </c>
      <c r="C6" s="222">
        <v>9.77E-4</v>
      </c>
      <c r="D6" s="223">
        <v>5.0753799999999998E-4</v>
      </c>
    </row>
    <row r="7" spans="1:4">
      <c r="A7" s="221">
        <v>0.70699999999999996</v>
      </c>
      <c r="B7" s="222">
        <v>1.1746304999999999</v>
      </c>
      <c r="C7" s="222">
        <v>1.8167000000000001E-3</v>
      </c>
      <c r="D7" s="223">
        <v>5.0547899999999998E-4</v>
      </c>
    </row>
    <row r="8" spans="1:4">
      <c r="A8" s="221">
        <v>1</v>
      </c>
      <c r="B8" s="222">
        <v>1.1210194</v>
      </c>
      <c r="C8" s="222">
        <v>2.5531E-3</v>
      </c>
      <c r="D8" s="223">
        <v>8.8200699999999997E-4</v>
      </c>
    </row>
    <row r="9" spans="1:4">
      <c r="A9" s="221">
        <v>1.4139999999999999</v>
      </c>
      <c r="B9" s="222">
        <v>1.5100201</v>
      </c>
      <c r="C9" s="222">
        <v>3.1733E-3</v>
      </c>
      <c r="D9" s="223">
        <v>9.4134999999999998E-4</v>
      </c>
    </row>
    <row r="10" spans="1:4">
      <c r="A10" s="221">
        <v>1.732</v>
      </c>
      <c r="B10" s="222">
        <v>1.9815152</v>
      </c>
      <c r="C10" s="222">
        <v>4.0166000000000004E-3</v>
      </c>
      <c r="D10" s="223">
        <v>2.1120100000000001E-3</v>
      </c>
    </row>
    <row r="11" spans="1:4">
      <c r="A11" s="221">
        <v>2.2360000000000002</v>
      </c>
      <c r="B11" s="222">
        <v>2.7305836999999999</v>
      </c>
      <c r="C11" s="222">
        <v>5.5988000000000001E-3</v>
      </c>
      <c r="D11" s="223">
        <v>2.6816000000000001E-3</v>
      </c>
    </row>
    <row r="12" spans="1:4">
      <c r="A12" s="221">
        <v>2.6459999999999999</v>
      </c>
      <c r="B12" s="222">
        <v>2.9754497999999998</v>
      </c>
      <c r="C12" s="222">
        <v>7.4286999999999999E-3</v>
      </c>
      <c r="D12" s="223">
        <v>3.8786599999999999E-3</v>
      </c>
    </row>
    <row r="13" spans="1:4">
      <c r="A13" s="221">
        <v>3.1619999999999999</v>
      </c>
      <c r="B13" s="222">
        <v>3.4176446</v>
      </c>
      <c r="C13" s="222">
        <v>8.5603999999999993E-3</v>
      </c>
      <c r="D13" s="223">
        <v>4.1314200000000002E-3</v>
      </c>
    </row>
    <row r="14" spans="1:4">
      <c r="A14" s="221">
        <v>3.464</v>
      </c>
      <c r="B14" s="222">
        <v>4.0161562000000002</v>
      </c>
      <c r="C14" s="222">
        <v>9.6872999999999994E-3</v>
      </c>
      <c r="D14" s="223">
        <v>4.9156299999999998E-3</v>
      </c>
    </row>
    <row r="15" spans="1:4">
      <c r="A15" s="221">
        <v>3.742</v>
      </c>
      <c r="B15" s="222">
        <v>4.1274682</v>
      </c>
      <c r="C15" s="222">
        <v>1.0744E-2</v>
      </c>
      <c r="D15" s="223">
        <v>4.9518799999999997E-3</v>
      </c>
    </row>
    <row r="16" spans="1:4">
      <c r="A16" s="221">
        <v>4</v>
      </c>
      <c r="B16" s="222">
        <v>4.2244751999999997</v>
      </c>
      <c r="C16" s="222">
        <v>1.1106100000000001E-2</v>
      </c>
      <c r="D16" s="223">
        <v>4.8938699999999998E-3</v>
      </c>
    </row>
    <row r="17" spans="1:9">
      <c r="A17" s="221">
        <v>4.2430000000000003</v>
      </c>
      <c r="B17" s="222">
        <v>4.5981529999999999</v>
      </c>
      <c r="C17" s="222">
        <v>1.1153400000000001E-2</v>
      </c>
      <c r="D17" s="223">
        <v>4.9409900000000001E-3</v>
      </c>
    </row>
    <row r="18" spans="1:9">
      <c r="A18" s="221">
        <v>4.4720000000000004</v>
      </c>
      <c r="B18" s="222">
        <v>4.6839246000000001</v>
      </c>
      <c r="C18" s="222">
        <v>1.1162500000000001E-2</v>
      </c>
      <c r="D18" s="223">
        <v>5.0533799999999997E-3</v>
      </c>
    </row>
    <row r="24" spans="1:9" ht="17">
      <c r="I24" s="219"/>
    </row>
    <row r="25" spans="1:9" ht="17">
      <c r="I25" s="219"/>
    </row>
    <row r="26" spans="1:9" ht="17">
      <c r="I26" s="219"/>
    </row>
    <row r="27" spans="1:9" ht="17">
      <c r="I27" s="2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85" zoomScaleNormal="85" zoomScalePageLayoutView="85" workbookViewId="0">
      <selection activeCell="G50" sqref="G50"/>
    </sheetView>
  </sheetViews>
  <sheetFormatPr baseColWidth="10" defaultColWidth="8.83203125" defaultRowHeight="14" x14ac:dyDescent="0"/>
  <sheetData>
    <row r="1" spans="1:10" ht="15">
      <c r="A1" s="10">
        <v>42508</v>
      </c>
    </row>
    <row r="2" spans="1:10" ht="15">
      <c r="A2" s="11" t="s">
        <v>26</v>
      </c>
    </row>
    <row r="4" spans="1:10" ht="27" customHeight="1">
      <c r="A4" s="12" t="s">
        <v>27</v>
      </c>
      <c r="B4" s="208" t="s">
        <v>28</v>
      </c>
      <c r="C4" s="208"/>
      <c r="D4" s="208"/>
      <c r="E4" s="208" t="s">
        <v>29</v>
      </c>
      <c r="F4" s="208"/>
      <c r="G4" s="208"/>
      <c r="H4" s="208" t="s">
        <v>30</v>
      </c>
      <c r="I4" s="208"/>
      <c r="J4" s="208"/>
    </row>
    <row r="5" spans="1:10">
      <c r="A5" s="13" t="s">
        <v>31</v>
      </c>
      <c r="B5" s="13" t="s">
        <v>32</v>
      </c>
      <c r="C5" s="13" t="s">
        <v>33</v>
      </c>
      <c r="D5" s="13" t="s">
        <v>34</v>
      </c>
      <c r="E5" s="13" t="s">
        <v>32</v>
      </c>
      <c r="F5" s="13" t="s">
        <v>33</v>
      </c>
      <c r="G5" s="13" t="s">
        <v>34</v>
      </c>
      <c r="H5" s="14" t="s">
        <v>32</v>
      </c>
      <c r="I5" s="14" t="s">
        <v>33</v>
      </c>
      <c r="J5" s="14" t="s">
        <v>34</v>
      </c>
    </row>
    <row r="6" spans="1:10">
      <c r="A6" s="15">
        <v>1</v>
      </c>
      <c r="B6" s="16">
        <v>21</v>
      </c>
      <c r="C6" s="16">
        <v>14</v>
      </c>
      <c r="D6" s="16">
        <v>14</v>
      </c>
      <c r="E6" s="16">
        <v>0</v>
      </c>
      <c r="F6" s="16">
        <v>14.000299999999999</v>
      </c>
      <c r="G6" s="16">
        <v>14.0008</v>
      </c>
      <c r="H6" s="16">
        <v>2.0199999999999999E-2</v>
      </c>
      <c r="I6" s="16">
        <v>0</v>
      </c>
      <c r="J6" s="16">
        <v>2.0400000000000001E-2</v>
      </c>
    </row>
    <row r="7" spans="1:10">
      <c r="A7" s="17">
        <v>2</v>
      </c>
      <c r="B7" s="16">
        <v>21</v>
      </c>
      <c r="C7" s="16">
        <v>14</v>
      </c>
      <c r="D7" s="16">
        <v>14</v>
      </c>
      <c r="E7" s="16">
        <v>0</v>
      </c>
      <c r="F7" s="16">
        <v>14.0001</v>
      </c>
      <c r="G7" s="16">
        <v>14.0008</v>
      </c>
      <c r="H7" s="16">
        <v>0.20399999999999999</v>
      </c>
      <c r="I7" s="16">
        <v>0</v>
      </c>
      <c r="J7" s="16">
        <v>2.0199999999999999E-2</v>
      </c>
    </row>
    <row r="8" spans="1:10">
      <c r="A8" s="15">
        <v>3</v>
      </c>
      <c r="B8" s="16">
        <v>21</v>
      </c>
      <c r="C8" s="16">
        <v>14</v>
      </c>
      <c r="D8" s="16">
        <v>14</v>
      </c>
      <c r="E8" s="16">
        <v>0</v>
      </c>
      <c r="F8" s="16">
        <v>14.0008</v>
      </c>
      <c r="G8" s="16">
        <v>14.0007</v>
      </c>
      <c r="H8" s="16">
        <v>0.02</v>
      </c>
      <c r="I8" s="16">
        <v>0</v>
      </c>
      <c r="J8" s="16">
        <v>2.0500000000000001E-2</v>
      </c>
    </row>
    <row r="9" spans="1:10">
      <c r="A9" s="18">
        <v>6</v>
      </c>
      <c r="B9" s="16">
        <v>21</v>
      </c>
      <c r="C9" s="16">
        <v>14</v>
      </c>
      <c r="D9" s="16">
        <v>14</v>
      </c>
      <c r="E9" s="16">
        <v>0</v>
      </c>
      <c r="F9" s="16">
        <v>14.0006</v>
      </c>
      <c r="G9" s="16">
        <v>14.0008</v>
      </c>
      <c r="H9" s="16">
        <v>0.02</v>
      </c>
      <c r="I9" s="16">
        <v>0</v>
      </c>
      <c r="J9" s="16">
        <v>2.0400000000000001E-2</v>
      </c>
    </row>
    <row r="10" spans="1:10">
      <c r="A10" s="15">
        <v>12</v>
      </c>
      <c r="B10" s="16">
        <v>21</v>
      </c>
      <c r="C10" s="16">
        <v>14</v>
      </c>
      <c r="D10" s="16">
        <v>14</v>
      </c>
      <c r="E10" s="16">
        <v>0</v>
      </c>
      <c r="F10" s="16">
        <v>14.0007</v>
      </c>
      <c r="G10" s="16">
        <v>14.0008</v>
      </c>
      <c r="H10" s="16">
        <v>0.02</v>
      </c>
      <c r="I10" s="16">
        <v>0</v>
      </c>
      <c r="J10" s="16">
        <v>2.0299999999999999E-2</v>
      </c>
    </row>
    <row r="11" spans="1:10">
      <c r="A11" s="18">
        <v>24</v>
      </c>
      <c r="B11" s="16">
        <v>21</v>
      </c>
      <c r="C11" s="16">
        <v>14</v>
      </c>
      <c r="D11" s="16">
        <v>14</v>
      </c>
      <c r="E11" s="16">
        <v>0</v>
      </c>
      <c r="F11" s="16">
        <v>14.0008</v>
      </c>
      <c r="G11" s="16">
        <v>14.0008</v>
      </c>
      <c r="H11" s="16">
        <v>0.02</v>
      </c>
      <c r="I11" s="16">
        <v>0</v>
      </c>
      <c r="J11" s="16">
        <v>2.0500000000000001E-2</v>
      </c>
    </row>
    <row r="12" spans="1:10">
      <c r="A12" s="15">
        <v>48</v>
      </c>
      <c r="B12" s="16">
        <v>21</v>
      </c>
      <c r="C12" s="16">
        <v>14</v>
      </c>
      <c r="D12" s="16">
        <v>14</v>
      </c>
      <c r="E12" s="16">
        <v>0</v>
      </c>
      <c r="F12" s="16">
        <v>14.0008</v>
      </c>
      <c r="G12" s="16">
        <v>14.0008</v>
      </c>
      <c r="H12" s="16">
        <v>0.02</v>
      </c>
      <c r="I12" s="16">
        <v>0</v>
      </c>
      <c r="J12" s="16">
        <v>2.06E-2</v>
      </c>
    </row>
    <row r="13" spans="1:10">
      <c r="A13" s="18">
        <v>72</v>
      </c>
      <c r="B13" s="16">
        <v>21</v>
      </c>
      <c r="C13" s="16">
        <v>14</v>
      </c>
      <c r="D13" s="16">
        <v>14</v>
      </c>
      <c r="E13" s="16">
        <v>0</v>
      </c>
      <c r="F13" s="16">
        <v>14.0008</v>
      </c>
      <c r="G13" s="16">
        <v>14.0008</v>
      </c>
      <c r="H13" s="16">
        <v>0.02</v>
      </c>
      <c r="I13" s="16">
        <v>0</v>
      </c>
      <c r="J13" s="16">
        <v>2.06E-2</v>
      </c>
    </row>
    <row r="14" spans="1:10">
      <c r="A14" s="15">
        <v>120</v>
      </c>
      <c r="B14" s="16">
        <v>21</v>
      </c>
      <c r="C14" s="16">
        <v>14</v>
      </c>
      <c r="D14" s="16">
        <v>14</v>
      </c>
      <c r="E14" s="16">
        <v>0</v>
      </c>
      <c r="F14" s="16">
        <v>14.0009</v>
      </c>
      <c r="G14" s="16">
        <v>14.0009</v>
      </c>
      <c r="H14" s="16">
        <v>0.02</v>
      </c>
      <c r="I14" s="16">
        <v>0</v>
      </c>
      <c r="J14" s="16">
        <v>2.07E-2</v>
      </c>
    </row>
    <row r="15" spans="1:10">
      <c r="A15" s="18">
        <v>168</v>
      </c>
      <c r="B15" s="16">
        <v>21</v>
      </c>
      <c r="C15" s="16">
        <v>14</v>
      </c>
      <c r="D15" s="16">
        <v>14</v>
      </c>
      <c r="E15" s="16">
        <v>0</v>
      </c>
      <c r="F15" s="16">
        <v>14.0002</v>
      </c>
      <c r="G15" s="16">
        <v>14.0009</v>
      </c>
      <c r="H15" s="16">
        <v>0.02</v>
      </c>
      <c r="I15" s="16">
        <v>0</v>
      </c>
      <c r="J15" s="16">
        <v>2.0400000000000001E-2</v>
      </c>
    </row>
    <row r="16" spans="1:10">
      <c r="A16" s="15">
        <v>240</v>
      </c>
      <c r="B16" s="16">
        <v>21</v>
      </c>
      <c r="C16" s="16">
        <v>14</v>
      </c>
      <c r="D16" s="16">
        <v>14</v>
      </c>
      <c r="E16" s="16">
        <v>0</v>
      </c>
      <c r="F16" s="16">
        <v>14.000500000000001</v>
      </c>
      <c r="G16" s="16">
        <v>14.0006</v>
      </c>
      <c r="H16" s="16">
        <v>0.02</v>
      </c>
      <c r="I16" s="16">
        <v>0</v>
      </c>
      <c r="J16" s="16">
        <v>2.0500000000000001E-2</v>
      </c>
    </row>
    <row r="17" spans="1:10">
      <c r="A17" s="18">
        <v>288</v>
      </c>
      <c r="B17" s="16">
        <v>21</v>
      </c>
      <c r="C17" s="16">
        <v>14</v>
      </c>
      <c r="D17" s="16">
        <v>14</v>
      </c>
      <c r="E17" s="16">
        <v>0</v>
      </c>
      <c r="F17" s="16">
        <v>14.0008</v>
      </c>
      <c r="G17" s="16">
        <v>14.0009</v>
      </c>
      <c r="H17" s="16">
        <v>0.02</v>
      </c>
      <c r="I17" s="16">
        <v>0</v>
      </c>
      <c r="J17" s="16">
        <v>2.06E-2</v>
      </c>
    </row>
    <row r="18" spans="1:10">
      <c r="A18" s="15">
        <v>336</v>
      </c>
      <c r="B18" s="16">
        <v>21</v>
      </c>
      <c r="C18" s="16">
        <v>14</v>
      </c>
      <c r="D18" s="16">
        <v>14</v>
      </c>
      <c r="E18" s="16">
        <v>0</v>
      </c>
      <c r="F18" s="16">
        <v>14.0006</v>
      </c>
      <c r="G18" s="16">
        <v>14.0009</v>
      </c>
      <c r="H18" s="16">
        <v>0.02</v>
      </c>
      <c r="I18" s="16">
        <v>0</v>
      </c>
      <c r="J18" s="16">
        <v>2.06E-2</v>
      </c>
    </row>
    <row r="19" spans="1:10">
      <c r="A19" s="19" t="s">
        <v>35</v>
      </c>
      <c r="B19" s="1">
        <f>SUM(B6:B18)</f>
        <v>273</v>
      </c>
      <c r="C19" s="1">
        <f>SUM(C6:C18)</f>
        <v>182</v>
      </c>
      <c r="D19" s="1">
        <f>SUM(D6:D18)</f>
        <v>182</v>
      </c>
    </row>
    <row r="20" spans="1:10">
      <c r="A20" s="19" t="s">
        <v>36</v>
      </c>
      <c r="B20" s="20">
        <f>SUM(B19:D19)</f>
        <v>637</v>
      </c>
    </row>
    <row r="21" spans="1:10">
      <c r="A21" s="19" t="s">
        <v>37</v>
      </c>
      <c r="B21" s="1"/>
      <c r="C21" s="1">
        <f>SUM(C6:C18)</f>
        <v>182</v>
      </c>
      <c r="D21" s="1">
        <f>SUM(D6:D18)</f>
        <v>182</v>
      </c>
    </row>
    <row r="22" spans="1:10">
      <c r="A22" s="19" t="s">
        <v>38</v>
      </c>
      <c r="B22" s="21">
        <f>SUM(C21:D21)</f>
        <v>364</v>
      </c>
      <c r="C22" s="22"/>
      <c r="D22" s="22"/>
    </row>
    <row r="23" spans="1:10">
      <c r="A23" s="19" t="s">
        <v>39</v>
      </c>
      <c r="B23" s="21">
        <f>0.0205*13*2</f>
        <v>0.53300000000000003</v>
      </c>
      <c r="D23" t="s">
        <v>11</v>
      </c>
    </row>
    <row r="25" spans="1:10">
      <c r="A25" s="23">
        <v>42509</v>
      </c>
      <c r="C25" t="s">
        <v>40</v>
      </c>
    </row>
    <row r="26" spans="1:10">
      <c r="B26" t="s">
        <v>41</v>
      </c>
      <c r="C26" t="s">
        <v>42</v>
      </c>
    </row>
    <row r="27" spans="1:10">
      <c r="A27" t="s">
        <v>43</v>
      </c>
      <c r="B27" s="6">
        <v>0.39652777777777798</v>
      </c>
      <c r="C27" s="6">
        <v>0.438194444444444</v>
      </c>
    </row>
    <row r="28" spans="1:10">
      <c r="A28" t="s">
        <v>44</v>
      </c>
      <c r="B28" s="6">
        <v>0.39930555555555602</v>
      </c>
      <c r="C28" s="6">
        <v>0.48263888888888901</v>
      </c>
    </row>
    <row r="29" spans="1:10">
      <c r="A29" t="s">
        <v>45</v>
      </c>
      <c r="B29" s="6">
        <v>0.40138888888888902</v>
      </c>
      <c r="C29" s="6">
        <v>0.52638888888888902</v>
      </c>
    </row>
    <row r="30" spans="1:10">
      <c r="A30" t="s">
        <v>46</v>
      </c>
      <c r="B30" s="6">
        <v>0.40416666666666701</v>
      </c>
      <c r="C30" s="6">
        <v>0.65416666666666701</v>
      </c>
    </row>
    <row r="31" spans="1:10">
      <c r="A31" t="s">
        <v>47</v>
      </c>
      <c r="B31" s="6">
        <v>0.41875000000000001</v>
      </c>
      <c r="C31" s="6">
        <v>0.91874999999999996</v>
      </c>
    </row>
    <row r="32" spans="1:10">
      <c r="A32" t="s">
        <v>48</v>
      </c>
      <c r="B32" s="6">
        <v>0.420833333333333</v>
      </c>
      <c r="C32" s="6">
        <v>0.420833333333333</v>
      </c>
    </row>
    <row r="33" spans="1:3">
      <c r="A33" t="s">
        <v>49</v>
      </c>
      <c r="B33" s="6">
        <v>0.42847222222222198</v>
      </c>
      <c r="C33" s="6">
        <v>0.42847222222222198</v>
      </c>
    </row>
    <row r="34" spans="1:3">
      <c r="A34" t="s">
        <v>50</v>
      </c>
      <c r="B34" s="6">
        <v>0.43194444444444402</v>
      </c>
      <c r="C34" s="6">
        <v>0.43194444444444402</v>
      </c>
    </row>
    <row r="35" spans="1:3">
      <c r="A35" t="s">
        <v>51</v>
      </c>
      <c r="B35" s="6">
        <v>0.44097222222222199</v>
      </c>
      <c r="C35" s="6">
        <v>0.44097222222222199</v>
      </c>
    </row>
    <row r="36" spans="1:3">
      <c r="A36" t="s">
        <v>52</v>
      </c>
      <c r="B36" s="6">
        <v>0.44861111111111102</v>
      </c>
      <c r="C36" s="6">
        <v>0.44861111111111102</v>
      </c>
    </row>
    <row r="37" spans="1:3">
      <c r="A37" t="s">
        <v>53</v>
      </c>
      <c r="B37" s="6">
        <v>0.454166666666667</v>
      </c>
      <c r="C37" s="6">
        <v>0.454166666666667</v>
      </c>
    </row>
    <row r="38" spans="1:3">
      <c r="A38" t="s">
        <v>54</v>
      </c>
      <c r="B38" s="6">
        <v>0.46180555555555602</v>
      </c>
      <c r="C38" s="6">
        <v>0.46180555555555602</v>
      </c>
    </row>
    <row r="39" spans="1:3">
      <c r="A39" t="s">
        <v>55</v>
      </c>
      <c r="B39" s="6">
        <v>0.46875</v>
      </c>
      <c r="C39" s="6">
        <v>0.46875</v>
      </c>
    </row>
  </sheetData>
  <mergeCells count="3">
    <mergeCell ref="B4:D4"/>
    <mergeCell ref="E4:G4"/>
    <mergeCell ref="H4:J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3"/>
  <sheetViews>
    <sheetView topLeftCell="D13" zoomScale="85" zoomScaleNormal="85" zoomScalePageLayoutView="85" workbookViewId="0">
      <selection activeCell="K50" sqref="K50"/>
    </sheetView>
  </sheetViews>
  <sheetFormatPr baseColWidth="10" defaultColWidth="8.83203125" defaultRowHeight="14" x14ac:dyDescent="0"/>
  <sheetData>
    <row r="2" spans="1:8">
      <c r="A2" s="3" t="s">
        <v>56</v>
      </c>
    </row>
    <row r="3" spans="1:8">
      <c r="C3" s="3" t="s">
        <v>57</v>
      </c>
      <c r="D3" s="3"/>
      <c r="E3" s="3"/>
    </row>
    <row r="4" spans="1:8">
      <c r="B4" s="22"/>
      <c r="C4" s="24" t="s">
        <v>58</v>
      </c>
      <c r="D4" s="25"/>
    </row>
    <row r="5" spans="1:8">
      <c r="A5" s="22"/>
      <c r="B5" s="22"/>
      <c r="C5" t="s">
        <v>59</v>
      </c>
    </row>
    <row r="6" spans="1:8">
      <c r="A6" s="22"/>
      <c r="B6" s="22"/>
      <c r="C6" t="s">
        <v>60</v>
      </c>
      <c r="F6" s="26"/>
      <c r="H6" s="27"/>
    </row>
    <row r="7" spans="1:8">
      <c r="A7" s="22"/>
      <c r="D7">
        <f>2.231*10^(-6)</f>
        <v>2.2309999999999999E-6</v>
      </c>
      <c r="G7" s="28"/>
    </row>
    <row r="8" spans="1:8">
      <c r="D8">
        <v>-5.2479999999999999E-2</v>
      </c>
    </row>
    <row r="9" spans="1:8" ht="15">
      <c r="B9" s="29"/>
      <c r="C9" s="30"/>
      <c r="D9" s="30"/>
      <c r="E9" s="29"/>
    </row>
    <row r="10" spans="1:8" ht="15">
      <c r="B10" s="209" t="s">
        <v>61</v>
      </c>
      <c r="C10" s="209"/>
      <c r="D10" s="209"/>
      <c r="E10" s="209"/>
    </row>
    <row r="11" spans="1:8">
      <c r="B11" s="31" t="s">
        <v>62</v>
      </c>
      <c r="C11" s="32" t="s">
        <v>63</v>
      </c>
      <c r="D11" s="32" t="s">
        <v>64</v>
      </c>
      <c r="E11" s="32" t="s">
        <v>65</v>
      </c>
    </row>
    <row r="12" spans="1:8">
      <c r="B12" s="9" t="s">
        <v>66</v>
      </c>
      <c r="C12">
        <v>3950505</v>
      </c>
      <c r="D12" s="33">
        <f t="shared" ref="D12:D28" si="0">$D$7*C12+$D$8</f>
        <v>8.7610966550000011</v>
      </c>
      <c r="E12" s="34"/>
      <c r="G12" s="31" t="s">
        <v>67</v>
      </c>
      <c r="H12" s="31" t="s">
        <v>65</v>
      </c>
    </row>
    <row r="13" spans="1:8">
      <c r="B13" s="31">
        <v>1</v>
      </c>
      <c r="C13" s="1">
        <v>3750446</v>
      </c>
      <c r="D13" s="33">
        <f t="shared" si="0"/>
        <v>8.3147650259999999</v>
      </c>
      <c r="E13" s="34">
        <f t="shared" ref="E13:E28" si="1">D13/($D$12)</f>
        <v>0.94905527851410276</v>
      </c>
      <c r="G13" s="31">
        <f>B13/24</f>
        <v>4.1666666666666664E-2</v>
      </c>
      <c r="H13" s="35">
        <f t="shared" ref="H13:H28" si="2">E13</f>
        <v>0.94905527851410276</v>
      </c>
    </row>
    <row r="14" spans="1:8">
      <c r="B14" s="31">
        <v>2</v>
      </c>
      <c r="C14" s="1">
        <v>3744842</v>
      </c>
      <c r="D14" s="33">
        <f t="shared" si="0"/>
        <v>8.3022625019999996</v>
      </c>
      <c r="E14" s="34">
        <f t="shared" si="1"/>
        <v>0.9476282283978521</v>
      </c>
      <c r="G14" s="31">
        <f>B14/24</f>
        <v>8.3333333333333329E-2</v>
      </c>
      <c r="H14" s="35">
        <f t="shared" si="2"/>
        <v>0.9476282283978521</v>
      </c>
    </row>
    <row r="15" spans="1:8">
      <c r="B15" s="31">
        <v>3</v>
      </c>
      <c r="C15" s="1">
        <v>3697466</v>
      </c>
      <c r="D15" s="33">
        <f t="shared" si="0"/>
        <v>8.1965666460000008</v>
      </c>
      <c r="E15" s="34">
        <f t="shared" si="1"/>
        <v>0.93556400171914322</v>
      </c>
      <c r="G15" s="31">
        <f>B15/24</f>
        <v>0.125</v>
      </c>
      <c r="H15" s="35">
        <f t="shared" si="2"/>
        <v>0.93556400171914322</v>
      </c>
    </row>
    <row r="16" spans="1:8">
      <c r="B16" s="31">
        <v>6</v>
      </c>
      <c r="C16" s="1">
        <v>3658271</v>
      </c>
      <c r="D16" s="33">
        <f t="shared" si="0"/>
        <v>8.109122601000001</v>
      </c>
      <c r="E16" s="34">
        <f t="shared" si="1"/>
        <v>0.92558305430543153</v>
      </c>
      <c r="G16" s="31">
        <f>B16/24</f>
        <v>0.25</v>
      </c>
      <c r="H16" s="35">
        <f t="shared" si="2"/>
        <v>0.92558305430543153</v>
      </c>
    </row>
    <row r="17" spans="1:20">
      <c r="B17" s="31">
        <v>12</v>
      </c>
      <c r="C17" s="1">
        <v>3642861</v>
      </c>
      <c r="D17" s="33">
        <f t="shared" si="0"/>
        <v>8.0747428909999996</v>
      </c>
      <c r="E17" s="34">
        <f t="shared" si="1"/>
        <v>0.92165892113422854</v>
      </c>
      <c r="G17" s="31">
        <f>B17/24</f>
        <v>0.5</v>
      </c>
      <c r="H17" s="35">
        <f t="shared" si="2"/>
        <v>0.92165892113422854</v>
      </c>
    </row>
    <row r="18" spans="1:20">
      <c r="B18" s="31">
        <v>1</v>
      </c>
      <c r="C18" s="1">
        <v>3585748</v>
      </c>
      <c r="D18" s="33">
        <f t="shared" si="0"/>
        <v>7.9473237879999994</v>
      </c>
      <c r="E18" s="34">
        <f t="shared" si="1"/>
        <v>0.90711518214610976</v>
      </c>
      <c r="G18" s="31">
        <f t="shared" ref="G18:G28" si="3">B18</f>
        <v>1</v>
      </c>
      <c r="H18" s="35">
        <f t="shared" si="2"/>
        <v>0.90711518214610976</v>
      </c>
    </row>
    <row r="19" spans="1:20">
      <c r="B19" s="31">
        <v>2</v>
      </c>
      <c r="C19" s="1">
        <v>3451883</v>
      </c>
      <c r="D19" s="33">
        <f t="shared" si="0"/>
        <v>7.6486709729999998</v>
      </c>
      <c r="E19" s="34">
        <f t="shared" si="1"/>
        <v>0.87302666255084238</v>
      </c>
      <c r="G19" s="31">
        <f t="shared" si="3"/>
        <v>2</v>
      </c>
      <c r="H19" s="35">
        <f t="shared" si="2"/>
        <v>0.87302666255084238</v>
      </c>
    </row>
    <row r="20" spans="1:20">
      <c r="B20" s="31">
        <v>3</v>
      </c>
      <c r="C20" s="1">
        <v>3383372</v>
      </c>
      <c r="D20" s="33">
        <f t="shared" si="0"/>
        <v>7.4958229319999994</v>
      </c>
      <c r="E20" s="34">
        <f t="shared" si="1"/>
        <v>0.85558044011785861</v>
      </c>
      <c r="G20" s="31">
        <f t="shared" si="3"/>
        <v>3</v>
      </c>
      <c r="H20" s="35">
        <f t="shared" si="2"/>
        <v>0.85558044011785861</v>
      </c>
    </row>
    <row r="21" spans="1:20">
      <c r="B21" s="31">
        <v>5</v>
      </c>
      <c r="C21" s="1">
        <v>3101340</v>
      </c>
      <c r="D21" s="33">
        <f t="shared" si="0"/>
        <v>6.8666095399999998</v>
      </c>
      <c r="E21" s="34">
        <f t="shared" si="1"/>
        <v>0.78376141827874846</v>
      </c>
      <c r="G21" s="31">
        <f t="shared" si="3"/>
        <v>5</v>
      </c>
      <c r="H21" s="35">
        <f t="shared" si="2"/>
        <v>0.78376141827874846</v>
      </c>
    </row>
    <row r="22" spans="1:20">
      <c r="B22" s="31">
        <v>7</v>
      </c>
      <c r="C22" s="1">
        <v>2927174</v>
      </c>
      <c r="D22" s="33">
        <f t="shared" si="0"/>
        <v>6.4780451939999999</v>
      </c>
      <c r="E22" s="34">
        <f t="shared" si="1"/>
        <v>0.73941031004411384</v>
      </c>
      <c r="G22" s="31">
        <f t="shared" si="3"/>
        <v>7</v>
      </c>
      <c r="H22" s="35">
        <f t="shared" si="2"/>
        <v>0.73941031004411384</v>
      </c>
    </row>
    <row r="23" spans="1:20">
      <c r="B23" s="31">
        <v>10</v>
      </c>
      <c r="C23" s="36">
        <v>2882802</v>
      </c>
      <c r="D23" s="33">
        <f t="shared" si="0"/>
        <v>6.3790512619999999</v>
      </c>
      <c r="E23" s="34">
        <f t="shared" si="1"/>
        <v>0.72811104741772759</v>
      </c>
      <c r="G23" s="31">
        <f t="shared" si="3"/>
        <v>10</v>
      </c>
      <c r="H23" s="35">
        <f t="shared" si="2"/>
        <v>0.72811104741772759</v>
      </c>
    </row>
    <row r="24" spans="1:20">
      <c r="B24" s="31">
        <v>12</v>
      </c>
      <c r="C24" s="36">
        <v>2576585</v>
      </c>
      <c r="D24" s="33">
        <f t="shared" si="0"/>
        <v>5.6958811349999996</v>
      </c>
      <c r="E24" s="34">
        <f t="shared" si="1"/>
        <v>0.65013335194165811</v>
      </c>
      <c r="G24" s="31">
        <f t="shared" si="3"/>
        <v>12</v>
      </c>
      <c r="H24" s="35">
        <f t="shared" si="2"/>
        <v>0.65013335194165811</v>
      </c>
    </row>
    <row r="25" spans="1:20">
      <c r="B25" s="31">
        <v>14</v>
      </c>
      <c r="C25" s="36">
        <v>2512309</v>
      </c>
      <c r="D25" s="33">
        <f t="shared" si="0"/>
        <v>5.5524813789999996</v>
      </c>
      <c r="E25" s="34">
        <f t="shared" si="1"/>
        <v>0.63376556584741828</v>
      </c>
      <c r="G25" s="31">
        <f t="shared" si="3"/>
        <v>14</v>
      </c>
      <c r="H25" s="35">
        <f t="shared" si="2"/>
        <v>0.63376556584741828</v>
      </c>
    </row>
    <row r="26" spans="1:20">
      <c r="B26" s="37">
        <v>16</v>
      </c>
      <c r="C26">
        <f>C25-62123</f>
        <v>2450186</v>
      </c>
      <c r="D26" s="33">
        <f t="shared" si="0"/>
        <v>5.4138849659999995</v>
      </c>
      <c r="E26" s="34">
        <f t="shared" si="1"/>
        <v>0.61794603794380798</v>
      </c>
      <c r="G26" s="31">
        <f t="shared" si="3"/>
        <v>16</v>
      </c>
      <c r="H26" s="35">
        <f t="shared" si="2"/>
        <v>0.61794603794380798</v>
      </c>
    </row>
    <row r="27" spans="1:20">
      <c r="B27" s="37">
        <v>18</v>
      </c>
      <c r="C27">
        <f>C26-33295</f>
        <v>2416891</v>
      </c>
      <c r="D27" s="33">
        <f t="shared" si="0"/>
        <v>5.3396038209999999</v>
      </c>
      <c r="E27" s="34">
        <f t="shared" si="1"/>
        <v>0.60946751659824017</v>
      </c>
      <c r="G27" s="31">
        <f t="shared" si="3"/>
        <v>18</v>
      </c>
      <c r="H27" s="35">
        <f t="shared" si="2"/>
        <v>0.60946751659824017</v>
      </c>
    </row>
    <row r="28" spans="1:20">
      <c r="B28" s="37">
        <v>20</v>
      </c>
      <c r="C28">
        <f>C27-22365</f>
        <v>2394526</v>
      </c>
      <c r="D28" s="33">
        <f t="shared" si="0"/>
        <v>5.2897075060000001</v>
      </c>
      <c r="E28" s="34">
        <f t="shared" si="1"/>
        <v>0.60377230320603048</v>
      </c>
      <c r="G28" s="31">
        <f t="shared" si="3"/>
        <v>20</v>
      </c>
      <c r="H28" s="35">
        <f t="shared" si="2"/>
        <v>0.60377230320603048</v>
      </c>
    </row>
    <row r="29" spans="1:20">
      <c r="B29" s="37"/>
      <c r="D29" s="33"/>
      <c r="E29" s="34"/>
      <c r="G29" s="31"/>
      <c r="H29" s="35"/>
      <c r="R29" s="38" t="s">
        <v>68</v>
      </c>
      <c r="S29" s="39">
        <f>14</f>
        <v>14</v>
      </c>
      <c r="T29" s="40" t="s">
        <v>17</v>
      </c>
    </row>
    <row r="30" spans="1:20">
      <c r="B30" s="37"/>
      <c r="D30" s="33"/>
      <c r="E30" s="34"/>
      <c r="G30" s="31"/>
      <c r="H30" s="35"/>
      <c r="R30" s="41" t="s">
        <v>69</v>
      </c>
      <c r="S30" s="22">
        <v>0.02</v>
      </c>
      <c r="T30" s="42" t="s">
        <v>14</v>
      </c>
    </row>
    <row r="31" spans="1:20">
      <c r="R31" s="41" t="s">
        <v>70</v>
      </c>
      <c r="S31" s="22">
        <v>1.6</v>
      </c>
      <c r="T31" s="42" t="s">
        <v>71</v>
      </c>
    </row>
    <row r="32" spans="1:20">
      <c r="A32" s="15" t="s">
        <v>29</v>
      </c>
      <c r="B32" s="15"/>
      <c r="C32" s="15"/>
      <c r="D32" s="208" t="s">
        <v>30</v>
      </c>
      <c r="E32" s="208"/>
      <c r="F32" s="208"/>
      <c r="G32" s="43" t="s">
        <v>72</v>
      </c>
      <c r="H32" s="43" t="s">
        <v>73</v>
      </c>
      <c r="R32" s="44" t="s">
        <v>74</v>
      </c>
      <c r="S32" s="45">
        <v>0.16700000000000001</v>
      </c>
      <c r="T32" s="46" t="s">
        <v>71</v>
      </c>
    </row>
    <row r="33" spans="1:8">
      <c r="A33" s="47" t="s">
        <v>32</v>
      </c>
      <c r="B33" s="47" t="s">
        <v>33</v>
      </c>
      <c r="C33" s="47" t="s">
        <v>34</v>
      </c>
      <c r="D33" s="48" t="s">
        <v>32</v>
      </c>
      <c r="E33" s="48" t="s">
        <v>33</v>
      </c>
      <c r="F33" s="48" t="s">
        <v>34</v>
      </c>
      <c r="G33" s="49">
        <f t="shared" ref="G33:G51" si="4">D12</f>
        <v>8.7610966550000011</v>
      </c>
      <c r="H33" s="16"/>
    </row>
    <row r="34" spans="1:8">
      <c r="A34" s="16">
        <v>0</v>
      </c>
      <c r="B34" s="16">
        <v>14.000299999999999</v>
      </c>
      <c r="C34" s="16">
        <v>14.0008</v>
      </c>
      <c r="D34" s="16">
        <v>2.0199999999999999E-2</v>
      </c>
      <c r="E34" s="16">
        <v>0</v>
      </c>
      <c r="F34" s="16">
        <v>2.0400000000000001E-2</v>
      </c>
      <c r="G34" s="49">
        <f t="shared" si="4"/>
        <v>8.3147650259999999</v>
      </c>
      <c r="H34" s="50">
        <f t="shared" ref="H34:H49" si="5">(($G$33-G34)*(0.021+((D34/$S$32)*0.001)))/D34</f>
        <v>0.46668077364344712</v>
      </c>
    </row>
    <row r="35" spans="1:8">
      <c r="A35" s="16">
        <v>0</v>
      </c>
      <c r="B35" s="16">
        <v>14.0001</v>
      </c>
      <c r="C35" s="16">
        <v>14.0008</v>
      </c>
      <c r="D35" s="16">
        <v>0.20399999999999999</v>
      </c>
      <c r="E35" s="16">
        <v>0</v>
      </c>
      <c r="F35" s="16">
        <v>2.0199999999999999E-2</v>
      </c>
      <c r="G35" s="49">
        <f t="shared" si="4"/>
        <v>8.3022625019999996</v>
      </c>
      <c r="H35" s="50">
        <f t="shared" si="5"/>
        <v>4.9980437412909653E-2</v>
      </c>
    </row>
    <row r="36" spans="1:8">
      <c r="A36" s="16">
        <v>0</v>
      </c>
      <c r="B36" s="16">
        <v>14.0008</v>
      </c>
      <c r="C36" s="16">
        <v>14.0007</v>
      </c>
      <c r="D36" s="16">
        <v>0.02</v>
      </c>
      <c r="E36" s="16">
        <v>0</v>
      </c>
      <c r="F36" s="16">
        <v>2.0500000000000001E-2</v>
      </c>
      <c r="G36" s="49">
        <f t="shared" si="4"/>
        <v>8.1965666460000008</v>
      </c>
      <c r="H36" s="50">
        <f t="shared" si="5"/>
        <v>0.59613692866556922</v>
      </c>
    </row>
    <row r="37" spans="1:8">
      <c r="A37" s="16">
        <v>0</v>
      </c>
      <c r="B37" s="16">
        <v>14.0006</v>
      </c>
      <c r="C37" s="16">
        <v>14.0008</v>
      </c>
      <c r="D37" s="16">
        <v>0.02</v>
      </c>
      <c r="E37" s="16">
        <v>0</v>
      </c>
      <c r="F37" s="16">
        <v>2.0400000000000001E-2</v>
      </c>
      <c r="G37" s="49">
        <f t="shared" si="4"/>
        <v>8.109122601000001</v>
      </c>
      <c r="H37" s="50">
        <f t="shared" si="5"/>
        <v>0.68847679295149722</v>
      </c>
    </row>
    <row r="38" spans="1:8">
      <c r="A38" s="16">
        <v>0</v>
      </c>
      <c r="B38" s="16">
        <v>14.0007</v>
      </c>
      <c r="C38" s="16">
        <v>14.0008</v>
      </c>
      <c r="D38" s="16">
        <v>0.02</v>
      </c>
      <c r="E38" s="16">
        <v>0</v>
      </c>
      <c r="F38" s="16">
        <v>2.0299999999999999E-2</v>
      </c>
      <c r="G38" s="49">
        <f t="shared" si="4"/>
        <v>8.0747428909999996</v>
      </c>
      <c r="H38" s="50">
        <f t="shared" si="5"/>
        <v>0.72478135497844476</v>
      </c>
    </row>
    <row r="39" spans="1:8">
      <c r="A39" s="16">
        <v>0</v>
      </c>
      <c r="B39" s="16">
        <v>14.0008</v>
      </c>
      <c r="C39" s="16">
        <v>14.0008</v>
      </c>
      <c r="D39" s="16">
        <v>0.02</v>
      </c>
      <c r="E39" s="16">
        <v>0</v>
      </c>
      <c r="F39" s="16">
        <v>2.0500000000000001E-2</v>
      </c>
      <c r="G39" s="49">
        <f t="shared" si="4"/>
        <v>7.9473237879999994</v>
      </c>
      <c r="H39" s="50">
        <f t="shared" si="5"/>
        <v>0.85933440176916354</v>
      </c>
    </row>
    <row r="40" spans="1:8">
      <c r="A40" s="16">
        <v>0</v>
      </c>
      <c r="B40" s="16">
        <v>14.0008</v>
      </c>
      <c r="C40" s="16">
        <v>14.0008</v>
      </c>
      <c r="D40" s="16">
        <v>0.02</v>
      </c>
      <c r="E40" s="16">
        <v>0</v>
      </c>
      <c r="F40" s="16">
        <v>2.06E-2</v>
      </c>
      <c r="G40" s="49">
        <f t="shared" si="4"/>
        <v>7.6486709729999998</v>
      </c>
      <c r="H40" s="50">
        <f t="shared" si="5"/>
        <v>1.1747081977287441</v>
      </c>
    </row>
    <row r="41" spans="1:8">
      <c r="A41" s="16">
        <v>0</v>
      </c>
      <c r="B41" s="16">
        <v>14.0008</v>
      </c>
      <c r="C41" s="16">
        <v>14.0008</v>
      </c>
      <c r="D41" s="16">
        <v>0.02</v>
      </c>
      <c r="E41" s="16">
        <v>0</v>
      </c>
      <c r="F41" s="16">
        <v>2.06E-2</v>
      </c>
      <c r="G41" s="49">
        <f t="shared" si="4"/>
        <v>7.4958229319999994</v>
      </c>
      <c r="H41" s="50">
        <f t="shared" si="5"/>
        <v>1.3361138985092833</v>
      </c>
    </row>
    <row r="42" spans="1:8">
      <c r="A42" s="16">
        <v>0</v>
      </c>
      <c r="B42" s="16">
        <v>14.0009</v>
      </c>
      <c r="C42" s="16">
        <v>14.0009</v>
      </c>
      <c r="D42" s="16">
        <v>0.02</v>
      </c>
      <c r="E42" s="16">
        <v>0</v>
      </c>
      <c r="F42" s="16">
        <v>2.07E-2</v>
      </c>
      <c r="G42" s="49">
        <f t="shared" si="4"/>
        <v>6.8666095399999998</v>
      </c>
      <c r="H42" s="50">
        <f t="shared" si="5"/>
        <v>2.0005557049715588</v>
      </c>
    </row>
    <row r="43" spans="1:8">
      <c r="A43" s="16">
        <v>0</v>
      </c>
      <c r="B43" s="16">
        <v>14.0002</v>
      </c>
      <c r="C43" s="16">
        <v>14.0009</v>
      </c>
      <c r="D43" s="16">
        <v>0.02</v>
      </c>
      <c r="E43" s="16">
        <v>0</v>
      </c>
      <c r="F43" s="16">
        <v>2.0400000000000001E-2</v>
      </c>
      <c r="G43" s="49">
        <f t="shared" si="4"/>
        <v>6.4780451939999999</v>
      </c>
      <c r="H43" s="50">
        <f t="shared" si="5"/>
        <v>2.4108750008823367</v>
      </c>
    </row>
    <row r="44" spans="1:8">
      <c r="A44" s="16">
        <v>0</v>
      </c>
      <c r="B44" s="16">
        <v>14.000500000000001</v>
      </c>
      <c r="C44" s="16">
        <v>14.0006</v>
      </c>
      <c r="D44" s="16">
        <v>0.02</v>
      </c>
      <c r="E44" s="16">
        <v>0</v>
      </c>
      <c r="F44" s="16">
        <v>2.0500000000000001E-2</v>
      </c>
      <c r="G44" s="49">
        <f t="shared" si="4"/>
        <v>6.3790512619999999</v>
      </c>
      <c r="H44" s="50">
        <f t="shared" si="5"/>
        <v>2.5154114075182648</v>
      </c>
    </row>
    <row r="45" spans="1:8">
      <c r="A45" s="16">
        <v>0</v>
      </c>
      <c r="B45" s="16">
        <v>14.0008</v>
      </c>
      <c r="C45" s="16">
        <v>14.0009</v>
      </c>
      <c r="D45" s="16">
        <v>0.02</v>
      </c>
      <c r="E45" s="16">
        <v>0</v>
      </c>
      <c r="F45" s="16">
        <v>2.06E-2</v>
      </c>
      <c r="G45" s="49">
        <f t="shared" si="4"/>
        <v>5.6958811349999996</v>
      </c>
      <c r="H45" s="50">
        <f t="shared" si="5"/>
        <v>3.2368308799520973</v>
      </c>
    </row>
    <row r="46" spans="1:8">
      <c r="A46" s="16">
        <v>0</v>
      </c>
      <c r="B46" s="16">
        <v>14.0006</v>
      </c>
      <c r="C46" s="16">
        <v>14.0009</v>
      </c>
      <c r="D46" s="16">
        <v>0.02</v>
      </c>
      <c r="E46" s="16">
        <v>0</v>
      </c>
      <c r="F46" s="16">
        <v>2.06E-2</v>
      </c>
      <c r="G46" s="49">
        <f t="shared" si="4"/>
        <v>5.5524813789999996</v>
      </c>
      <c r="H46" s="50">
        <f t="shared" si="5"/>
        <v>3.3882593049257501</v>
      </c>
    </row>
    <row r="47" spans="1:8">
      <c r="A47" s="16">
        <v>0</v>
      </c>
      <c r="B47" s="16">
        <v>14.0007</v>
      </c>
      <c r="C47" s="16">
        <v>14.0008</v>
      </c>
      <c r="D47" s="16">
        <v>0.02</v>
      </c>
      <c r="E47" s="16">
        <v>0</v>
      </c>
      <c r="F47" s="16">
        <v>2.06E-2</v>
      </c>
      <c r="G47" s="49">
        <f t="shared" si="4"/>
        <v>5.4138849659999995</v>
      </c>
      <c r="H47" s="50">
        <f t="shared" si="5"/>
        <v>3.5346154572164696</v>
      </c>
    </row>
    <row r="48" spans="1:8">
      <c r="A48" s="16">
        <v>0</v>
      </c>
      <c r="B48" s="16">
        <v>14.0006</v>
      </c>
      <c r="C48" s="16">
        <v>14.0008</v>
      </c>
      <c r="D48" s="16">
        <v>2.0299999999999999E-2</v>
      </c>
      <c r="E48" s="16">
        <v>0</v>
      </c>
      <c r="F48" s="16">
        <v>2.06E-2</v>
      </c>
      <c r="G48" s="49">
        <f t="shared" si="4"/>
        <v>5.3396038209999999</v>
      </c>
      <c r="H48" s="50">
        <f t="shared" si="5"/>
        <v>3.5599633265591595</v>
      </c>
    </row>
    <row r="49" spans="1:8">
      <c r="A49" s="16">
        <v>0</v>
      </c>
      <c r="B49" s="16">
        <v>14.0006</v>
      </c>
      <c r="C49" s="16">
        <v>14.0009</v>
      </c>
      <c r="D49" s="16">
        <v>0.02</v>
      </c>
      <c r="E49" s="16">
        <v>0</v>
      </c>
      <c r="F49" s="16">
        <v>2.06E-2</v>
      </c>
      <c r="G49" s="49">
        <f t="shared" si="4"/>
        <v>5.2897075060000001</v>
      </c>
      <c r="H49" s="50">
        <f t="shared" si="5"/>
        <v>3.665745367821259</v>
      </c>
    </row>
    <row r="50" spans="1:8">
      <c r="A50" s="16">
        <v>0</v>
      </c>
      <c r="B50" s="16">
        <v>14.0006</v>
      </c>
      <c r="C50" s="16">
        <v>14.0009</v>
      </c>
      <c r="D50" s="16">
        <v>0.02</v>
      </c>
      <c r="E50" s="16">
        <v>0</v>
      </c>
      <c r="F50" s="16">
        <v>2.06E-2</v>
      </c>
      <c r="G50" s="49">
        <f t="shared" si="4"/>
        <v>0</v>
      </c>
      <c r="H50" s="50"/>
    </row>
    <row r="51" spans="1:8">
      <c r="A51" s="16">
        <v>0</v>
      </c>
      <c r="B51" s="16">
        <v>14.0006</v>
      </c>
      <c r="C51" s="16">
        <v>14.0009</v>
      </c>
      <c r="D51" s="16">
        <v>0.02</v>
      </c>
      <c r="E51" s="16">
        <v>0</v>
      </c>
      <c r="F51" s="16">
        <v>2.06E-2</v>
      </c>
      <c r="G51" s="49">
        <f t="shared" si="4"/>
        <v>0</v>
      </c>
      <c r="H51" s="50"/>
    </row>
    <row r="54" spans="1:8">
      <c r="F54" s="51" t="str">
        <f>G12</f>
        <v>Time(h)</v>
      </c>
      <c r="G54" s="52" t="str">
        <f>H32</f>
        <v>c*=(Co-C)*V/m</v>
      </c>
    </row>
    <row r="55" spans="1:8">
      <c r="F55" s="53">
        <v>0</v>
      </c>
      <c r="G55" s="54">
        <f>0</f>
        <v>0</v>
      </c>
    </row>
    <row r="56" spans="1:8">
      <c r="F56" s="53">
        <f t="shared" ref="F56:F73" si="6">G13</f>
        <v>4.1666666666666664E-2</v>
      </c>
      <c r="G56" s="55">
        <f t="shared" ref="G56:G73" si="7">H34</f>
        <v>0.46668077364344712</v>
      </c>
    </row>
    <row r="57" spans="1:8">
      <c r="F57" s="53">
        <f t="shared" si="6"/>
        <v>8.3333333333333329E-2</v>
      </c>
      <c r="G57" s="55">
        <f t="shared" si="7"/>
        <v>4.9980437412909653E-2</v>
      </c>
    </row>
    <row r="58" spans="1:8">
      <c r="F58" s="53">
        <f t="shared" si="6"/>
        <v>0.125</v>
      </c>
      <c r="G58" s="55">
        <f t="shared" si="7"/>
        <v>0.59613692866556922</v>
      </c>
    </row>
    <row r="59" spans="1:8">
      <c r="F59" s="53">
        <f t="shared" si="6"/>
        <v>0.25</v>
      </c>
      <c r="G59" s="55">
        <f t="shared" si="7"/>
        <v>0.68847679295149722</v>
      </c>
    </row>
    <row r="60" spans="1:8">
      <c r="F60" s="53">
        <f t="shared" si="6"/>
        <v>0.5</v>
      </c>
      <c r="G60" s="55">
        <f t="shared" si="7"/>
        <v>0.72478135497844476</v>
      </c>
    </row>
    <row r="61" spans="1:8">
      <c r="F61" s="53">
        <f t="shared" si="6"/>
        <v>1</v>
      </c>
      <c r="G61" s="55">
        <f t="shared" si="7"/>
        <v>0.85933440176916354</v>
      </c>
    </row>
    <row r="62" spans="1:8">
      <c r="F62" s="53">
        <f t="shared" si="6"/>
        <v>2</v>
      </c>
      <c r="G62" s="55">
        <f t="shared" si="7"/>
        <v>1.1747081977287441</v>
      </c>
    </row>
    <row r="63" spans="1:8">
      <c r="F63" s="53">
        <f t="shared" si="6"/>
        <v>3</v>
      </c>
      <c r="G63" s="55">
        <f t="shared" si="7"/>
        <v>1.3361138985092833</v>
      </c>
    </row>
    <row r="64" spans="1:8">
      <c r="F64" s="53">
        <f t="shared" si="6"/>
        <v>5</v>
      </c>
      <c r="G64" s="55">
        <f t="shared" si="7"/>
        <v>2.0005557049715588</v>
      </c>
    </row>
    <row r="65" spans="6:7">
      <c r="F65" s="53">
        <f t="shared" si="6"/>
        <v>7</v>
      </c>
      <c r="G65" s="55">
        <f t="shared" si="7"/>
        <v>2.4108750008823367</v>
      </c>
    </row>
    <row r="66" spans="6:7">
      <c r="F66" s="53">
        <f t="shared" si="6"/>
        <v>10</v>
      </c>
      <c r="G66" s="55">
        <f t="shared" si="7"/>
        <v>2.5154114075182648</v>
      </c>
    </row>
    <row r="67" spans="6:7">
      <c r="F67" s="53">
        <f t="shared" si="6"/>
        <v>12</v>
      </c>
      <c r="G67" s="55">
        <f t="shared" si="7"/>
        <v>3.2368308799520973</v>
      </c>
    </row>
    <row r="68" spans="6:7">
      <c r="F68" s="53">
        <f t="shared" si="6"/>
        <v>14</v>
      </c>
      <c r="G68" s="55">
        <f t="shared" si="7"/>
        <v>3.3882593049257501</v>
      </c>
    </row>
    <row r="69" spans="6:7">
      <c r="F69" s="53">
        <f t="shared" si="6"/>
        <v>16</v>
      </c>
      <c r="G69" s="55">
        <f t="shared" si="7"/>
        <v>3.5346154572164696</v>
      </c>
    </row>
    <row r="70" spans="6:7">
      <c r="F70" s="53">
        <f t="shared" si="6"/>
        <v>18</v>
      </c>
      <c r="G70" s="55">
        <f t="shared" si="7"/>
        <v>3.5599633265591595</v>
      </c>
    </row>
    <row r="71" spans="6:7">
      <c r="F71" s="56">
        <f t="shared" si="6"/>
        <v>20</v>
      </c>
      <c r="G71" s="57">
        <f t="shared" si="7"/>
        <v>3.665745367821259</v>
      </c>
    </row>
    <row r="72" spans="6:7">
      <c r="F72" s="56">
        <f t="shared" si="6"/>
        <v>0</v>
      </c>
      <c r="G72" s="57">
        <f t="shared" si="7"/>
        <v>0</v>
      </c>
    </row>
    <row r="73" spans="6:7">
      <c r="F73" s="56">
        <f t="shared" si="6"/>
        <v>0</v>
      </c>
      <c r="G73" s="57">
        <f t="shared" si="7"/>
        <v>0</v>
      </c>
    </row>
  </sheetData>
  <mergeCells count="2">
    <mergeCell ref="B10:E10"/>
    <mergeCell ref="D32:F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zoomScale="85" zoomScaleNormal="85" zoomScalePageLayoutView="85" workbookViewId="0">
      <selection activeCell="J20" sqref="J20"/>
    </sheetView>
  </sheetViews>
  <sheetFormatPr baseColWidth="10" defaultColWidth="8.83203125" defaultRowHeight="14" x14ac:dyDescent="0"/>
  <sheetData>
    <row r="1" spans="1:8">
      <c r="A1" s="3" t="s">
        <v>56</v>
      </c>
    </row>
    <row r="2" spans="1:8">
      <c r="C2" s="3" t="s">
        <v>57</v>
      </c>
      <c r="D2" s="3"/>
      <c r="E2" s="3"/>
    </row>
    <row r="3" spans="1:8">
      <c r="B3" s="22"/>
      <c r="C3" s="24" t="s">
        <v>58</v>
      </c>
      <c r="D3" s="25"/>
    </row>
    <row r="4" spans="1:8">
      <c r="A4" s="22"/>
      <c r="B4" s="22"/>
      <c r="C4" t="s">
        <v>59</v>
      </c>
    </row>
    <row r="5" spans="1:8">
      <c r="A5" s="22"/>
      <c r="B5" s="22"/>
      <c r="C5" t="s">
        <v>60</v>
      </c>
      <c r="F5" s="26"/>
      <c r="H5" s="27"/>
    </row>
    <row r="6" spans="1:8">
      <c r="A6" s="22"/>
      <c r="E6">
        <f>2.231*10^(-6)</f>
        <v>2.2309999999999999E-6</v>
      </c>
      <c r="G6" s="28"/>
    </row>
    <row r="7" spans="1:8">
      <c r="E7">
        <v>-5.2479999999999999E-2</v>
      </c>
    </row>
    <row r="8" spans="1:8" ht="15">
      <c r="B8" s="29"/>
      <c r="C8" s="30"/>
      <c r="D8" s="30"/>
      <c r="E8" s="29"/>
    </row>
    <row r="9" spans="1:8" ht="15">
      <c r="B9" s="209" t="s">
        <v>61</v>
      </c>
      <c r="C9" s="209"/>
      <c r="D9" s="209"/>
      <c r="E9" s="209"/>
    </row>
    <row r="10" spans="1:8">
      <c r="B10" s="31" t="s">
        <v>62</v>
      </c>
      <c r="C10" s="32" t="s">
        <v>63</v>
      </c>
      <c r="D10" s="32" t="s">
        <v>64</v>
      </c>
      <c r="E10" s="32" t="s">
        <v>65</v>
      </c>
    </row>
    <row r="11" spans="1:8">
      <c r="B11" s="9" t="s">
        <v>66</v>
      </c>
      <c r="C11" s="58">
        <v>3939274</v>
      </c>
      <c r="D11" s="33">
        <f t="shared" ref="D11:D27" si="0">$E$6*C11+$E$7</f>
        <v>8.7360402940000004</v>
      </c>
      <c r="E11" s="34"/>
      <c r="G11" s="31" t="s">
        <v>67</v>
      </c>
      <c r="H11" s="31" t="s">
        <v>65</v>
      </c>
    </row>
    <row r="12" spans="1:8">
      <c r="B12" s="31">
        <v>1</v>
      </c>
      <c r="C12" s="58">
        <v>3899275</v>
      </c>
      <c r="D12" s="33">
        <f t="shared" si="0"/>
        <v>8.646802525</v>
      </c>
      <c r="E12" s="34">
        <f t="shared" ref="E12:E27" si="1">D12/($D$11)</f>
        <v>0.98978510103012118</v>
      </c>
      <c r="G12" s="31">
        <f>B12/24</f>
        <v>4.1666666666666664E-2</v>
      </c>
      <c r="H12" s="35">
        <f t="shared" ref="H12:H27" si="2">E12</f>
        <v>0.98978510103012118</v>
      </c>
    </row>
    <row r="13" spans="1:8">
      <c r="B13" s="31">
        <v>2</v>
      </c>
      <c r="C13" s="58">
        <v>3879975</v>
      </c>
      <c r="D13" s="33">
        <f t="shared" si="0"/>
        <v>8.6037442249999998</v>
      </c>
      <c r="E13" s="34">
        <f t="shared" si="1"/>
        <v>0.98485628905685529</v>
      </c>
      <c r="G13" s="31">
        <f>B13/24</f>
        <v>8.3333333333333329E-2</v>
      </c>
      <c r="H13" s="35">
        <f t="shared" si="2"/>
        <v>0.98485628905685529</v>
      </c>
    </row>
    <row r="14" spans="1:8">
      <c r="B14" s="31">
        <v>3</v>
      </c>
      <c r="C14" s="58">
        <v>3867927</v>
      </c>
      <c r="D14" s="33">
        <f t="shared" si="0"/>
        <v>8.5768651370000004</v>
      </c>
      <c r="E14" s="34">
        <f t="shared" si="1"/>
        <v>0.98177948456701569</v>
      </c>
      <c r="G14" s="31">
        <f>B14/24</f>
        <v>0.125</v>
      </c>
      <c r="H14" s="35">
        <f t="shared" si="2"/>
        <v>0.98177948456701569</v>
      </c>
    </row>
    <row r="15" spans="1:8">
      <c r="B15" s="31">
        <v>6</v>
      </c>
      <c r="C15" s="58">
        <v>3799278</v>
      </c>
      <c r="D15" s="33">
        <f t="shared" si="0"/>
        <v>8.4237092180000008</v>
      </c>
      <c r="E15" s="34">
        <f t="shared" si="1"/>
        <v>0.96424798129485378</v>
      </c>
      <c r="G15" s="31">
        <f>B15/24</f>
        <v>0.25</v>
      </c>
      <c r="H15" s="35">
        <f t="shared" si="2"/>
        <v>0.96424798129485378</v>
      </c>
    </row>
    <row r="16" spans="1:8">
      <c r="B16" s="31">
        <v>12</v>
      </c>
      <c r="C16" s="58">
        <v>3799846</v>
      </c>
      <c r="D16" s="33">
        <f t="shared" si="0"/>
        <v>8.4249764260000006</v>
      </c>
      <c r="E16" s="34">
        <f t="shared" si="1"/>
        <v>0.96439303648660579</v>
      </c>
      <c r="G16" s="31">
        <f>B16/24</f>
        <v>0.5</v>
      </c>
      <c r="H16" s="35">
        <f t="shared" si="2"/>
        <v>0.96439303648660579</v>
      </c>
    </row>
    <row r="17" spans="2:8">
      <c r="B17" s="31">
        <v>1</v>
      </c>
      <c r="C17" s="58">
        <v>3695987</v>
      </c>
      <c r="D17" s="33">
        <f t="shared" si="0"/>
        <v>8.1932669970000003</v>
      </c>
      <c r="E17" s="34">
        <f t="shared" si="1"/>
        <v>0.93786964359896763</v>
      </c>
      <c r="G17" s="31">
        <f t="shared" ref="G17:G27" si="3">B17</f>
        <v>1</v>
      </c>
      <c r="H17" s="35">
        <f t="shared" si="2"/>
        <v>0.93786964359896763</v>
      </c>
    </row>
    <row r="18" spans="2:8">
      <c r="B18" s="31">
        <v>2</v>
      </c>
      <c r="C18" s="58">
        <v>3679618</v>
      </c>
      <c r="D18" s="33">
        <f t="shared" si="0"/>
        <v>8.1567477579999998</v>
      </c>
      <c r="E18" s="34">
        <f t="shared" si="1"/>
        <v>0.93368934706060547</v>
      </c>
      <c r="G18" s="31">
        <f t="shared" si="3"/>
        <v>2</v>
      </c>
      <c r="H18" s="35">
        <f t="shared" si="2"/>
        <v>0.93368934706060547</v>
      </c>
    </row>
    <row r="19" spans="2:8">
      <c r="B19" s="31">
        <v>3</v>
      </c>
      <c r="C19" s="58">
        <v>3356712</v>
      </c>
      <c r="D19" s="33">
        <f t="shared" si="0"/>
        <v>7.4363444719999992</v>
      </c>
      <c r="E19" s="34">
        <f t="shared" si="1"/>
        <v>0.85122598130726967</v>
      </c>
      <c r="G19" s="31">
        <f t="shared" si="3"/>
        <v>3</v>
      </c>
      <c r="H19" s="35">
        <f t="shared" si="2"/>
        <v>0.85122598130726967</v>
      </c>
    </row>
    <row r="20" spans="2:8">
      <c r="B20" s="31">
        <v>5</v>
      </c>
      <c r="C20" s="58">
        <v>3199598</v>
      </c>
      <c r="D20" s="33">
        <f t="shared" si="0"/>
        <v>7.0858231379999994</v>
      </c>
      <c r="E20" s="34">
        <f t="shared" si="1"/>
        <v>0.8111023872985812</v>
      </c>
      <c r="G20" s="31">
        <f t="shared" si="3"/>
        <v>5</v>
      </c>
      <c r="H20" s="35">
        <f t="shared" si="2"/>
        <v>0.8111023872985812</v>
      </c>
    </row>
    <row r="21" spans="2:8">
      <c r="B21" s="31">
        <v>7</v>
      </c>
      <c r="C21" s="58">
        <v>2869409</v>
      </c>
      <c r="D21" s="33">
        <f t="shared" si="0"/>
        <v>6.3491714789999998</v>
      </c>
      <c r="E21" s="34">
        <f t="shared" si="1"/>
        <v>0.72677909731719925</v>
      </c>
      <c r="G21" s="31">
        <f t="shared" si="3"/>
        <v>7</v>
      </c>
      <c r="H21" s="35">
        <f t="shared" si="2"/>
        <v>0.72677909731719925</v>
      </c>
    </row>
    <row r="22" spans="2:8">
      <c r="B22" s="31">
        <v>10</v>
      </c>
      <c r="C22" s="58">
        <v>2799689</v>
      </c>
      <c r="D22" s="33">
        <f t="shared" si="0"/>
        <v>6.1936261589999999</v>
      </c>
      <c r="E22" s="34">
        <f t="shared" si="1"/>
        <v>0.70897408328734979</v>
      </c>
      <c r="G22" s="31">
        <f t="shared" si="3"/>
        <v>10</v>
      </c>
      <c r="H22" s="35">
        <f t="shared" si="2"/>
        <v>0.70897408328734979</v>
      </c>
    </row>
    <row r="23" spans="2:8">
      <c r="B23" s="31">
        <v>12</v>
      </c>
      <c r="C23" s="58">
        <v>2583379</v>
      </c>
      <c r="D23" s="33">
        <f t="shared" si="0"/>
        <v>5.7110385489999995</v>
      </c>
      <c r="E23" s="34">
        <f t="shared" si="1"/>
        <v>0.65373308235796457</v>
      </c>
      <c r="G23" s="31">
        <f t="shared" si="3"/>
        <v>12</v>
      </c>
      <c r="H23" s="35">
        <f t="shared" si="2"/>
        <v>0.65373308235796457</v>
      </c>
    </row>
    <row r="24" spans="2:8">
      <c r="B24" s="31">
        <v>14</v>
      </c>
      <c r="C24" s="58">
        <v>2573380</v>
      </c>
      <c r="D24" s="33">
        <f t="shared" si="0"/>
        <v>5.6887307799999993</v>
      </c>
      <c r="E24" s="34">
        <f t="shared" si="1"/>
        <v>0.65117954914963894</v>
      </c>
      <c r="G24" s="31">
        <f t="shared" si="3"/>
        <v>14</v>
      </c>
      <c r="H24" s="35">
        <f t="shared" si="2"/>
        <v>0.65117954914963894</v>
      </c>
    </row>
    <row r="25" spans="2:8">
      <c r="B25" s="31">
        <v>16</v>
      </c>
      <c r="C25" s="58">
        <v>2589381</v>
      </c>
      <c r="D25" s="33">
        <f t="shared" si="0"/>
        <v>5.7244290109999998</v>
      </c>
      <c r="E25" s="34">
        <f t="shared" si="1"/>
        <v>0.65526586626799266</v>
      </c>
      <c r="G25" s="31">
        <f t="shared" si="3"/>
        <v>16</v>
      </c>
      <c r="H25" s="35">
        <f t="shared" si="2"/>
        <v>0.65526586626799266</v>
      </c>
    </row>
    <row r="26" spans="2:8">
      <c r="B26" s="31">
        <v>18</v>
      </c>
      <c r="C26" s="58">
        <v>2576382</v>
      </c>
      <c r="D26" s="33">
        <f t="shared" si="0"/>
        <v>5.6954282419999993</v>
      </c>
      <c r="E26" s="34">
        <f t="shared" si="1"/>
        <v>0.65194619648351171</v>
      </c>
      <c r="G26" s="31">
        <f t="shared" si="3"/>
        <v>18</v>
      </c>
      <c r="H26" s="35">
        <f t="shared" si="2"/>
        <v>0.65194619648351171</v>
      </c>
    </row>
    <row r="27" spans="2:8">
      <c r="B27" s="31">
        <v>20</v>
      </c>
      <c r="C27" s="58">
        <v>2545383</v>
      </c>
      <c r="D27" s="33">
        <f t="shared" si="0"/>
        <v>5.6262694729999998</v>
      </c>
      <c r="E27" s="34">
        <f t="shared" si="1"/>
        <v>0.64402970724209885</v>
      </c>
      <c r="G27" s="31">
        <f t="shared" si="3"/>
        <v>20</v>
      </c>
      <c r="H27" s="35">
        <f t="shared" si="2"/>
        <v>0.64402970724209885</v>
      </c>
    </row>
    <row r="31" spans="2:8">
      <c r="D31" t="s">
        <v>75</v>
      </c>
    </row>
    <row r="32" spans="2:8">
      <c r="C32">
        <f>0</f>
        <v>0</v>
      </c>
      <c r="D32">
        <v>0</v>
      </c>
    </row>
    <row r="33" spans="3:4">
      <c r="C33">
        <f t="shared" ref="C33:C48" si="4">G12</f>
        <v>4.1666666666666664E-2</v>
      </c>
      <c r="D33">
        <f t="shared" ref="D33:D48" si="5">(($D$11-D12)*(0.014+(14/1.6)*0.001))/14</f>
        <v>1.4501137462500057E-4</v>
      </c>
    </row>
    <row r="34" spans="3:4">
      <c r="C34">
        <f t="shared" si="4"/>
        <v>8.3333333333333329E-2</v>
      </c>
      <c r="D34">
        <f t="shared" si="5"/>
        <v>2.149811121250009E-4</v>
      </c>
    </row>
    <row r="35" spans="3:4">
      <c r="C35">
        <f t="shared" si="4"/>
        <v>0.125</v>
      </c>
      <c r="D35">
        <f t="shared" si="5"/>
        <v>2.5865963012499993E-4</v>
      </c>
    </row>
    <row r="36" spans="3:4">
      <c r="C36">
        <f t="shared" si="4"/>
        <v>0.25</v>
      </c>
      <c r="D36">
        <f t="shared" si="5"/>
        <v>5.0753799849999922E-4</v>
      </c>
    </row>
    <row r="37" spans="3:4">
      <c r="C37">
        <f t="shared" si="4"/>
        <v>0.5</v>
      </c>
      <c r="D37">
        <f t="shared" si="5"/>
        <v>5.0547878549999953E-4</v>
      </c>
    </row>
    <row r="38" spans="3:4">
      <c r="C38">
        <f t="shared" si="4"/>
        <v>1</v>
      </c>
      <c r="D38">
        <f t="shared" si="5"/>
        <v>8.8200660762500008E-4</v>
      </c>
    </row>
    <row r="39" spans="3:4">
      <c r="C39">
        <f t="shared" si="4"/>
        <v>2</v>
      </c>
      <c r="D39">
        <f t="shared" si="5"/>
        <v>9.4135037100000088E-4</v>
      </c>
    </row>
    <row r="40" spans="3:4">
      <c r="C40">
        <f t="shared" si="4"/>
        <v>3</v>
      </c>
      <c r="D40">
        <f t="shared" si="5"/>
        <v>2.112005710750002E-3</v>
      </c>
    </row>
    <row r="41" spans="3:4">
      <c r="C41">
        <f t="shared" si="4"/>
        <v>5</v>
      </c>
      <c r="D41">
        <f t="shared" si="5"/>
        <v>2.6816028785000014E-3</v>
      </c>
    </row>
    <row r="42" spans="3:4">
      <c r="C42">
        <f t="shared" si="4"/>
        <v>7</v>
      </c>
      <c r="D42">
        <f t="shared" si="5"/>
        <v>3.8786618243750008E-3</v>
      </c>
    </row>
    <row r="43" spans="3:4">
      <c r="C43">
        <f t="shared" si="4"/>
        <v>10</v>
      </c>
      <c r="D43">
        <f t="shared" si="5"/>
        <v>4.1314229693750005E-3</v>
      </c>
    </row>
    <row r="44" spans="3:4">
      <c r="C44">
        <f t="shared" si="4"/>
        <v>12</v>
      </c>
      <c r="D44">
        <f t="shared" si="5"/>
        <v>4.9156278356250012E-3</v>
      </c>
    </row>
    <row r="45" spans="3:4">
      <c r="C45">
        <f t="shared" si="4"/>
        <v>14</v>
      </c>
      <c r="D45">
        <f t="shared" si="5"/>
        <v>4.9518779602500023E-3</v>
      </c>
    </row>
    <row r="46" spans="3:4">
      <c r="C46">
        <f t="shared" si="4"/>
        <v>16</v>
      </c>
      <c r="D46">
        <f t="shared" si="5"/>
        <v>4.8938683348750001E-3</v>
      </c>
    </row>
    <row r="47" spans="3:4">
      <c r="C47">
        <f t="shared" si="4"/>
        <v>18</v>
      </c>
      <c r="D47">
        <f t="shared" si="5"/>
        <v>4.9409945845000011E-3</v>
      </c>
    </row>
    <row r="48" spans="3:4">
      <c r="C48">
        <f t="shared" si="4"/>
        <v>20</v>
      </c>
      <c r="D48">
        <f t="shared" si="5"/>
        <v>5.0533775841250014E-3</v>
      </c>
    </row>
  </sheetData>
  <mergeCells count="1">
    <mergeCell ref="B9:E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2"/>
  <sheetViews>
    <sheetView topLeftCell="A28" zoomScale="85" zoomScaleNormal="85" zoomScalePageLayoutView="85" workbookViewId="0">
      <selection activeCell="F28" sqref="F28"/>
    </sheetView>
  </sheetViews>
  <sheetFormatPr baseColWidth="10" defaultColWidth="8.83203125" defaultRowHeight="14" x14ac:dyDescent="0"/>
  <sheetData>
    <row r="2" spans="1:8">
      <c r="A2" s="3" t="s">
        <v>56</v>
      </c>
    </row>
    <row r="3" spans="1:8">
      <c r="C3" s="3" t="s">
        <v>57</v>
      </c>
      <c r="D3" s="3"/>
      <c r="E3" s="3"/>
    </row>
    <row r="4" spans="1:8">
      <c r="B4" s="22"/>
      <c r="C4" s="24" t="s">
        <v>58</v>
      </c>
      <c r="D4" s="25"/>
    </row>
    <row r="5" spans="1:8">
      <c r="A5" s="22"/>
      <c r="B5" s="22"/>
      <c r="C5" t="s">
        <v>59</v>
      </c>
    </row>
    <row r="6" spans="1:8">
      <c r="A6" s="22"/>
      <c r="B6" s="22"/>
      <c r="C6" t="s">
        <v>60</v>
      </c>
      <c r="F6" s="26"/>
      <c r="H6" s="27"/>
    </row>
    <row r="7" spans="1:8">
      <c r="A7" s="22"/>
      <c r="E7">
        <f>2.231*10^(-6)</f>
        <v>2.2309999999999999E-6</v>
      </c>
      <c r="G7" s="28"/>
    </row>
    <row r="8" spans="1:8">
      <c r="E8">
        <v>-5.2479999999999999E-2</v>
      </c>
    </row>
    <row r="9" spans="1:8" ht="15">
      <c r="B9" s="29"/>
      <c r="C9" s="30"/>
      <c r="D9" s="30"/>
      <c r="E9" s="29"/>
    </row>
    <row r="10" spans="1:8" ht="15">
      <c r="B10" s="209" t="s">
        <v>61</v>
      </c>
      <c r="C10" s="209"/>
      <c r="D10" s="209"/>
      <c r="E10" s="209"/>
    </row>
    <row r="11" spans="1:8">
      <c r="B11" s="31" t="s">
        <v>62</v>
      </c>
      <c r="C11" s="32" t="s">
        <v>63</v>
      </c>
      <c r="D11" s="32" t="s">
        <v>64</v>
      </c>
      <c r="E11" s="32" t="s">
        <v>65</v>
      </c>
    </row>
    <row r="12" spans="1:8">
      <c r="B12" s="9" t="s">
        <v>66</v>
      </c>
      <c r="C12">
        <v>3950505</v>
      </c>
      <c r="D12" s="33">
        <f t="shared" ref="D12:D28" si="0">$E$7*C12+$E$8</f>
        <v>8.7610966550000011</v>
      </c>
      <c r="E12" s="34"/>
      <c r="G12" s="31" t="s">
        <v>67</v>
      </c>
      <c r="H12" s="31" t="s">
        <v>65</v>
      </c>
    </row>
    <row r="13" spans="1:8">
      <c r="B13" s="31">
        <v>1</v>
      </c>
      <c r="C13" s="1">
        <v>3926951</v>
      </c>
      <c r="D13" s="33">
        <f t="shared" si="0"/>
        <v>8.7085476810000007</v>
      </c>
      <c r="E13" s="34">
        <f t="shared" ref="E13:E28" si="1">D13/($D$12)</f>
        <v>0.99400200955778628</v>
      </c>
      <c r="G13" s="31">
        <f>B13</f>
        <v>1</v>
      </c>
      <c r="H13" s="35">
        <f t="shared" ref="H13:H28" si="2">E13</f>
        <v>0.99400200955778628</v>
      </c>
    </row>
    <row r="14" spans="1:8">
      <c r="B14" s="31">
        <v>2</v>
      </c>
      <c r="C14" s="1">
        <v>3912287</v>
      </c>
      <c r="D14" s="33">
        <f t="shared" si="0"/>
        <v>8.6758322970000012</v>
      </c>
      <c r="E14" s="34">
        <f t="shared" si="1"/>
        <v>0.99026784415723357</v>
      </c>
      <c r="G14" s="31">
        <f>B14</f>
        <v>2</v>
      </c>
      <c r="H14" s="35">
        <f t="shared" si="2"/>
        <v>0.99026784415723357</v>
      </c>
    </row>
    <row r="15" spans="1:8">
      <c r="B15" s="31">
        <v>3</v>
      </c>
      <c r="C15" s="1">
        <v>3913261</v>
      </c>
      <c r="D15" s="33">
        <f t="shared" si="0"/>
        <v>8.6780052909999998</v>
      </c>
      <c r="E15" s="34">
        <f t="shared" si="1"/>
        <v>0.99051587178272016</v>
      </c>
      <c r="G15" s="31">
        <f>B15</f>
        <v>3</v>
      </c>
      <c r="H15" s="35">
        <f t="shared" si="2"/>
        <v>0.99051587178272016</v>
      </c>
    </row>
    <row r="16" spans="1:8">
      <c r="B16" s="31">
        <v>6</v>
      </c>
      <c r="C16" s="1">
        <v>3900975</v>
      </c>
      <c r="D16" s="33">
        <f t="shared" si="0"/>
        <v>8.650595225</v>
      </c>
      <c r="E16" s="34">
        <f t="shared" si="1"/>
        <v>0.98738726048217518</v>
      </c>
      <c r="G16" s="31">
        <f>B16</f>
        <v>6</v>
      </c>
      <c r="H16" s="35">
        <f t="shared" si="2"/>
        <v>0.98738726048217518</v>
      </c>
    </row>
    <row r="17" spans="1:22">
      <c r="B17" s="31">
        <v>12</v>
      </c>
      <c r="C17" s="1">
        <v>3888631</v>
      </c>
      <c r="D17" s="33">
        <f t="shared" si="0"/>
        <v>8.6230557609999998</v>
      </c>
      <c r="E17" s="34">
        <f t="shared" si="1"/>
        <v>0.98424387956943482</v>
      </c>
      <c r="G17" s="31">
        <f>B17</f>
        <v>12</v>
      </c>
      <c r="H17" s="35">
        <f t="shared" si="2"/>
        <v>0.98424387956943482</v>
      </c>
    </row>
    <row r="18" spans="1:22">
      <c r="B18" s="31">
        <v>1</v>
      </c>
      <c r="C18" s="1">
        <v>3867496</v>
      </c>
      <c r="D18" s="33">
        <f t="shared" si="0"/>
        <v>8.575903576</v>
      </c>
      <c r="E18" s="34">
        <f t="shared" si="1"/>
        <v>0.97886188381516026</v>
      </c>
      <c r="G18" s="31">
        <f t="shared" ref="G18:G28" si="3">B18*24</f>
        <v>24</v>
      </c>
      <c r="H18" s="35">
        <f t="shared" si="2"/>
        <v>0.97886188381516026</v>
      </c>
    </row>
    <row r="19" spans="1:22">
      <c r="B19" s="31">
        <v>2</v>
      </c>
      <c r="C19" s="1">
        <v>3504357</v>
      </c>
      <c r="D19" s="33">
        <f t="shared" si="0"/>
        <v>7.7657404669999996</v>
      </c>
      <c r="E19" s="34">
        <f t="shared" si="1"/>
        <v>0.88638908721182219</v>
      </c>
      <c r="G19" s="31">
        <f t="shared" si="3"/>
        <v>48</v>
      </c>
      <c r="H19" s="35">
        <f t="shared" si="2"/>
        <v>0.88638908721182219</v>
      </c>
    </row>
    <row r="20" spans="1:22">
      <c r="B20" s="31">
        <v>3</v>
      </c>
      <c r="C20" s="1">
        <v>3500000</v>
      </c>
      <c r="D20" s="33">
        <f t="shared" si="0"/>
        <v>7.7560199999999995</v>
      </c>
      <c r="E20" s="34">
        <f t="shared" si="1"/>
        <v>0.88527958375777083</v>
      </c>
      <c r="G20" s="31">
        <f t="shared" si="3"/>
        <v>72</v>
      </c>
      <c r="H20" s="35">
        <f t="shared" si="2"/>
        <v>0.88527958375777083</v>
      </c>
    </row>
    <row r="21" spans="1:22">
      <c r="B21" s="31">
        <v>5</v>
      </c>
      <c r="C21" s="1">
        <v>3493986</v>
      </c>
      <c r="D21" s="33">
        <f t="shared" si="0"/>
        <v>7.7426027659999992</v>
      </c>
      <c r="E21" s="34">
        <f t="shared" si="1"/>
        <v>0.88374812776220857</v>
      </c>
      <c r="G21" s="31">
        <f t="shared" si="3"/>
        <v>120</v>
      </c>
      <c r="H21" s="35">
        <f t="shared" si="2"/>
        <v>0.88374812776220857</v>
      </c>
    </row>
    <row r="22" spans="1:22">
      <c r="B22" s="31">
        <v>7</v>
      </c>
      <c r="C22" s="1">
        <v>3404135</v>
      </c>
      <c r="D22" s="33">
        <f t="shared" si="0"/>
        <v>7.5421451849999999</v>
      </c>
      <c r="E22" s="34">
        <f t="shared" si="1"/>
        <v>0.86086770663529433</v>
      </c>
      <c r="G22" s="31">
        <f t="shared" si="3"/>
        <v>168</v>
      </c>
      <c r="H22" s="35">
        <f t="shared" si="2"/>
        <v>0.86086770663529433</v>
      </c>
    </row>
    <row r="23" spans="1:22">
      <c r="B23" s="31">
        <v>10</v>
      </c>
      <c r="C23" s="36">
        <v>3411106</v>
      </c>
      <c r="D23" s="33">
        <f t="shared" si="0"/>
        <v>7.5576974859999995</v>
      </c>
      <c r="E23" s="59">
        <f t="shared" si="1"/>
        <v>0.86264286123207923</v>
      </c>
      <c r="G23" s="31">
        <f t="shared" si="3"/>
        <v>240</v>
      </c>
      <c r="H23" s="35">
        <f t="shared" si="2"/>
        <v>0.86264286123207923</v>
      </c>
    </row>
    <row r="24" spans="1:22">
      <c r="B24" s="31">
        <v>12</v>
      </c>
      <c r="C24" s="36">
        <v>3238983</v>
      </c>
      <c r="D24" s="33">
        <f t="shared" si="0"/>
        <v>7.1736910729999996</v>
      </c>
      <c r="E24" s="59">
        <f t="shared" si="1"/>
        <v>0.81881199985460029</v>
      </c>
      <c r="G24" s="31">
        <f t="shared" si="3"/>
        <v>288</v>
      </c>
      <c r="H24" s="35">
        <f t="shared" si="2"/>
        <v>0.81881199985460029</v>
      </c>
    </row>
    <row r="25" spans="1:22">
      <c r="A25">
        <f>C24-C25</f>
        <v>49853</v>
      </c>
      <c r="B25" s="31">
        <v>14</v>
      </c>
      <c r="C25" s="36">
        <v>3189130</v>
      </c>
      <c r="D25" s="33">
        <f t="shared" si="0"/>
        <v>7.0624690299999999</v>
      </c>
      <c r="E25" s="59">
        <f t="shared" si="1"/>
        <v>0.80611700887575688</v>
      </c>
      <c r="G25" s="31">
        <f t="shared" si="3"/>
        <v>336</v>
      </c>
      <c r="H25" s="35">
        <f t="shared" si="2"/>
        <v>0.80611700887575688</v>
      </c>
    </row>
    <row r="26" spans="1:22">
      <c r="B26" s="31">
        <v>16</v>
      </c>
      <c r="C26" s="36">
        <f>C25-A25</f>
        <v>3139277</v>
      </c>
      <c r="D26" s="33">
        <f t="shared" si="0"/>
        <v>6.9512469869999993</v>
      </c>
      <c r="E26" s="59">
        <f t="shared" si="1"/>
        <v>0.79342201789691347</v>
      </c>
      <c r="G26" s="31">
        <f t="shared" si="3"/>
        <v>384</v>
      </c>
      <c r="H26" s="35">
        <f t="shared" si="2"/>
        <v>0.79342201789691347</v>
      </c>
    </row>
    <row r="27" spans="1:22">
      <c r="B27" s="31">
        <v>18</v>
      </c>
      <c r="C27" s="36">
        <f>C26-49553</f>
        <v>3089724</v>
      </c>
      <c r="D27" s="33">
        <f t="shared" si="0"/>
        <v>6.8406942439999998</v>
      </c>
      <c r="E27" s="59">
        <f t="shared" si="1"/>
        <v>0.78080342146390791</v>
      </c>
      <c r="G27" s="31">
        <f t="shared" si="3"/>
        <v>432</v>
      </c>
      <c r="H27" s="35">
        <f t="shared" si="2"/>
        <v>0.78080342146390791</v>
      </c>
    </row>
    <row r="28" spans="1:22">
      <c r="B28" s="31">
        <v>20</v>
      </c>
      <c r="C28" s="36">
        <f>C27-41221</f>
        <v>3048503</v>
      </c>
      <c r="D28" s="33">
        <f t="shared" si="0"/>
        <v>6.7487301929999992</v>
      </c>
      <c r="E28" s="59">
        <f t="shared" si="1"/>
        <v>0.77030655621730482</v>
      </c>
      <c r="G28" s="31">
        <f t="shared" si="3"/>
        <v>480</v>
      </c>
      <c r="H28" s="35">
        <f t="shared" si="2"/>
        <v>0.77030655621730482</v>
      </c>
      <c r="M28" s="38" t="s">
        <v>68</v>
      </c>
      <c r="N28" s="39">
        <f>14</f>
        <v>14</v>
      </c>
      <c r="O28" s="40" t="s">
        <v>17</v>
      </c>
    </row>
    <row r="29" spans="1:22">
      <c r="M29" s="41" t="s">
        <v>69</v>
      </c>
      <c r="N29" s="22">
        <v>0.02</v>
      </c>
      <c r="O29" s="42" t="s">
        <v>14</v>
      </c>
    </row>
    <row r="30" spans="1:22">
      <c r="M30" s="41" t="s">
        <v>70</v>
      </c>
      <c r="N30" s="22">
        <v>1.6</v>
      </c>
      <c r="O30" s="42" t="s">
        <v>71</v>
      </c>
    </row>
    <row r="31" spans="1:22">
      <c r="M31" s="44" t="s">
        <v>74</v>
      </c>
      <c r="N31" s="45">
        <v>0.16700000000000001</v>
      </c>
      <c r="O31" s="46" t="s">
        <v>71</v>
      </c>
    </row>
    <row r="32" spans="1:22">
      <c r="V32">
        <f>14/1000</f>
        <v>1.4E-2</v>
      </c>
    </row>
    <row r="34" spans="1:10">
      <c r="A34" s="15" t="s">
        <v>29</v>
      </c>
      <c r="B34" s="15"/>
      <c r="C34" s="15"/>
      <c r="D34" s="208" t="s">
        <v>30</v>
      </c>
      <c r="E34" s="208"/>
      <c r="F34" s="208"/>
      <c r="G34" s="60" t="s">
        <v>72</v>
      </c>
      <c r="H34" s="60" t="s">
        <v>76</v>
      </c>
    </row>
    <row r="35" spans="1:10">
      <c r="A35" s="61" t="s">
        <v>32</v>
      </c>
      <c r="B35" s="61" t="s">
        <v>33</v>
      </c>
      <c r="C35" s="61" t="s">
        <v>34</v>
      </c>
      <c r="D35" s="62" t="s">
        <v>32</v>
      </c>
      <c r="E35" s="62" t="s">
        <v>33</v>
      </c>
      <c r="F35" s="62" t="s">
        <v>34</v>
      </c>
      <c r="G35" s="63">
        <f t="shared" ref="G35:G51" si="4">D12</f>
        <v>8.7610966550000011</v>
      </c>
      <c r="H35" s="64"/>
    </row>
    <row r="36" spans="1:10">
      <c r="A36" s="64">
        <v>0</v>
      </c>
      <c r="B36" s="64">
        <v>14.000299999999999</v>
      </c>
      <c r="C36" s="64">
        <v>14.0008</v>
      </c>
      <c r="D36" s="64">
        <v>2.0199999999999999E-2</v>
      </c>
      <c r="E36" s="64">
        <v>0</v>
      </c>
      <c r="F36" s="64">
        <v>2.0400000000000001E-2</v>
      </c>
      <c r="G36" s="63">
        <f t="shared" si="4"/>
        <v>8.7085476810000007</v>
      </c>
      <c r="H36" s="65">
        <f t="shared" ref="H36:H51" si="5">(($G$35-G36)*(0.014+(B36/$N$30)*0.001))/B36</f>
        <v>8.5390956724687003E-5</v>
      </c>
    </row>
    <row r="37" spans="1:10">
      <c r="A37" s="64">
        <v>0</v>
      </c>
      <c r="B37" s="64">
        <v>14.0001</v>
      </c>
      <c r="C37" s="64">
        <v>14.0008</v>
      </c>
      <c r="D37" s="64">
        <v>0.20399999999999999</v>
      </c>
      <c r="E37" s="64">
        <v>0</v>
      </c>
      <c r="F37" s="64">
        <v>2.0199999999999999E-2</v>
      </c>
      <c r="G37" s="63">
        <f t="shared" si="4"/>
        <v>8.6758322970000012</v>
      </c>
      <c r="H37" s="65">
        <f t="shared" si="5"/>
        <v>1.3855397272322141E-4</v>
      </c>
    </row>
    <row r="38" spans="1:10">
      <c r="A38" s="64">
        <v>0</v>
      </c>
      <c r="B38" s="64">
        <v>14.0008</v>
      </c>
      <c r="C38" s="64">
        <v>14.0007</v>
      </c>
      <c r="D38" s="64">
        <v>0.02</v>
      </c>
      <c r="E38" s="64">
        <v>0</v>
      </c>
      <c r="F38" s="64">
        <v>2.0500000000000001E-2</v>
      </c>
      <c r="G38" s="63">
        <f t="shared" si="4"/>
        <v>8.6780052909999998</v>
      </c>
      <c r="H38" s="65">
        <f t="shared" si="5"/>
        <v>1.3501871869336246E-4</v>
      </c>
    </row>
    <row r="39" spans="1:10">
      <c r="A39" s="64">
        <v>0</v>
      </c>
      <c r="B39" s="64">
        <v>14.0006</v>
      </c>
      <c r="C39" s="64">
        <v>14.0008</v>
      </c>
      <c r="D39" s="64">
        <v>0.02</v>
      </c>
      <c r="E39" s="64">
        <v>0</v>
      </c>
      <c r="F39" s="64">
        <v>2.0400000000000001E-2</v>
      </c>
      <c r="G39" s="63">
        <f t="shared" si="4"/>
        <v>8.650595225</v>
      </c>
      <c r="H39" s="65">
        <f t="shared" si="5"/>
        <v>1.7956008817738352E-4</v>
      </c>
    </row>
    <row r="40" spans="1:10">
      <c r="A40" s="64">
        <v>0</v>
      </c>
      <c r="B40" s="64">
        <v>14.0007</v>
      </c>
      <c r="C40" s="64">
        <v>14.0008</v>
      </c>
      <c r="D40" s="64">
        <v>0.02</v>
      </c>
      <c r="E40" s="64">
        <v>0</v>
      </c>
      <c r="F40" s="64">
        <v>2.0299999999999999E-2</v>
      </c>
      <c r="G40" s="63">
        <f t="shared" si="4"/>
        <v>8.6230557609999998</v>
      </c>
      <c r="H40" s="65">
        <f t="shared" si="5"/>
        <v>2.2430955105038711E-4</v>
      </c>
    </row>
    <row r="41" spans="1:10">
      <c r="A41" s="64">
        <v>0</v>
      </c>
      <c r="B41" s="64">
        <v>14.0008</v>
      </c>
      <c r="C41" s="64">
        <v>14.0008</v>
      </c>
      <c r="D41" s="64">
        <v>0.02</v>
      </c>
      <c r="E41" s="64">
        <v>0</v>
      </c>
      <c r="F41" s="64">
        <v>2.0500000000000001E-2</v>
      </c>
      <c r="G41" s="63">
        <f t="shared" si="4"/>
        <v>8.575903576</v>
      </c>
      <c r="H41" s="65">
        <f t="shared" si="5"/>
        <v>3.0092817151802228E-4</v>
      </c>
    </row>
    <row r="42" spans="1:10">
      <c r="A42" s="64">
        <v>0</v>
      </c>
      <c r="B42" s="64">
        <v>14.0008</v>
      </c>
      <c r="C42" s="64">
        <v>14.0008</v>
      </c>
      <c r="D42" s="64">
        <v>0.02</v>
      </c>
      <c r="E42" s="64">
        <v>0</v>
      </c>
      <c r="F42" s="64">
        <v>2.06E-2</v>
      </c>
      <c r="G42" s="63">
        <f t="shared" si="4"/>
        <v>7.7657404669999996</v>
      </c>
      <c r="H42" s="65">
        <f t="shared" si="5"/>
        <v>1.6173969312535022E-3</v>
      </c>
    </row>
    <row r="43" spans="1:10">
      <c r="A43" s="64">
        <v>0</v>
      </c>
      <c r="B43" s="64">
        <v>14.0008</v>
      </c>
      <c r="C43" s="64">
        <v>14.0008</v>
      </c>
      <c r="D43" s="64">
        <v>0.02</v>
      </c>
      <c r="E43" s="64">
        <v>0</v>
      </c>
      <c r="F43" s="64">
        <v>2.06E-2</v>
      </c>
      <c r="G43" s="63">
        <f t="shared" si="4"/>
        <v>7.7560199999999995</v>
      </c>
      <c r="H43" s="65">
        <f t="shared" si="5"/>
        <v>1.6331921347049838E-3</v>
      </c>
    </row>
    <row r="44" spans="1:10">
      <c r="A44" s="64">
        <v>0</v>
      </c>
      <c r="B44" s="64">
        <v>14.0009</v>
      </c>
      <c r="C44" s="64">
        <v>14.0009</v>
      </c>
      <c r="D44" s="64">
        <v>0.02</v>
      </c>
      <c r="E44" s="64">
        <v>0</v>
      </c>
      <c r="F44" s="64">
        <v>2.07E-2</v>
      </c>
      <c r="G44" s="63">
        <f t="shared" si="4"/>
        <v>7.7426027659999992</v>
      </c>
      <c r="H44" s="65">
        <f t="shared" si="5"/>
        <v>1.6549870992266646E-3</v>
      </c>
    </row>
    <row r="45" spans="1:10">
      <c r="A45" s="64">
        <v>0</v>
      </c>
      <c r="B45" s="64">
        <v>14.0002</v>
      </c>
      <c r="C45" s="64">
        <v>14.0009</v>
      </c>
      <c r="D45" s="64">
        <v>0.02</v>
      </c>
      <c r="E45" s="64">
        <v>0</v>
      </c>
      <c r="F45" s="64">
        <v>2.0400000000000001E-2</v>
      </c>
      <c r="G45" s="63">
        <f t="shared" si="4"/>
        <v>7.5421451849999999</v>
      </c>
      <c r="H45" s="65">
        <f t="shared" si="5"/>
        <v>1.9807787254063356E-3</v>
      </c>
    </row>
    <row r="46" spans="1:10">
      <c r="A46" s="64">
        <v>0</v>
      </c>
      <c r="B46" s="64">
        <v>14.000500000000001</v>
      </c>
      <c r="C46" s="64">
        <v>14.0006</v>
      </c>
      <c r="D46" s="64">
        <v>0.02</v>
      </c>
      <c r="E46" s="64">
        <v>0</v>
      </c>
      <c r="F46" s="64">
        <v>2.0500000000000001E-2</v>
      </c>
      <c r="G46" s="63">
        <f t="shared" si="4"/>
        <v>7.5576974859999995</v>
      </c>
      <c r="H46" s="65">
        <f t="shared" si="5"/>
        <v>1.955480672618146E-3</v>
      </c>
      <c r="J46" s="66"/>
    </row>
    <row r="47" spans="1:10">
      <c r="A47" s="64">
        <v>0</v>
      </c>
      <c r="B47" s="64">
        <v>14.0008</v>
      </c>
      <c r="C47" s="64">
        <v>14.0009</v>
      </c>
      <c r="D47" s="64">
        <v>0.02</v>
      </c>
      <c r="E47" s="64">
        <v>0</v>
      </c>
      <c r="F47" s="64">
        <v>2.06E-2</v>
      </c>
      <c r="G47" s="63">
        <f t="shared" si="4"/>
        <v>7.1736910729999996</v>
      </c>
      <c r="H47" s="65">
        <f t="shared" si="5"/>
        <v>2.5794433670426713E-3</v>
      </c>
      <c r="J47" s="66"/>
    </row>
    <row r="48" spans="1:10">
      <c r="A48" s="64">
        <v>0</v>
      </c>
      <c r="B48" s="64">
        <v>14.0006</v>
      </c>
      <c r="C48" s="64">
        <v>14.0009</v>
      </c>
      <c r="D48" s="64">
        <v>0.02</v>
      </c>
      <c r="E48" s="64">
        <v>0</v>
      </c>
      <c r="F48" s="64">
        <v>2.06E-2</v>
      </c>
      <c r="G48" s="63">
        <f t="shared" si="4"/>
        <v>7.0624690299999999</v>
      </c>
      <c r="H48" s="65">
        <f t="shared" si="5"/>
        <v>2.760197095418011E-3</v>
      </c>
    </row>
    <row r="49" spans="1:8">
      <c r="A49" s="16">
        <v>0</v>
      </c>
      <c r="B49" s="16">
        <v>14.0007</v>
      </c>
      <c r="C49" s="16">
        <v>14.0008</v>
      </c>
      <c r="D49" s="16">
        <v>0.02</v>
      </c>
      <c r="E49" s="16">
        <v>0</v>
      </c>
      <c r="F49" s="16">
        <v>2.06E-2</v>
      </c>
      <c r="G49" s="63">
        <f t="shared" si="4"/>
        <v>6.9512469869999993</v>
      </c>
      <c r="H49" s="65">
        <f t="shared" si="5"/>
        <v>2.9409152225410014E-3</v>
      </c>
    </row>
    <row r="50" spans="1:8">
      <c r="A50" s="16">
        <v>0</v>
      </c>
      <c r="B50" s="16">
        <v>14.0006</v>
      </c>
      <c r="C50" s="16">
        <v>14.0008</v>
      </c>
      <c r="D50" s="16">
        <v>2.0299999999999999E-2</v>
      </c>
      <c r="E50" s="16">
        <v>0</v>
      </c>
      <c r="F50" s="16">
        <v>2.06E-2</v>
      </c>
      <c r="G50" s="63">
        <f t="shared" si="4"/>
        <v>6.8406942439999998</v>
      </c>
      <c r="H50" s="65">
        <f t="shared" si="5"/>
        <v>3.1205716184416494E-3</v>
      </c>
    </row>
    <row r="51" spans="1:8">
      <c r="A51" s="16">
        <v>0</v>
      </c>
      <c r="B51" s="16">
        <v>14.0006</v>
      </c>
      <c r="C51" s="16">
        <v>14.0009</v>
      </c>
      <c r="D51" s="16">
        <v>0.02</v>
      </c>
      <c r="E51" s="16">
        <v>0</v>
      </c>
      <c r="F51" s="16">
        <v>2.06E-2</v>
      </c>
      <c r="G51" s="63">
        <f t="shared" si="4"/>
        <v>6.7487301929999992</v>
      </c>
      <c r="H51" s="65">
        <f t="shared" si="5"/>
        <v>3.270009260169085E-3</v>
      </c>
    </row>
    <row r="52" spans="1:8">
      <c r="A52" s="67"/>
      <c r="B52" s="67"/>
      <c r="C52" s="67"/>
      <c r="D52" s="67"/>
      <c r="E52" s="67"/>
      <c r="F52" s="67"/>
      <c r="G52" s="68"/>
      <c r="H52" s="67"/>
    </row>
    <row r="53" spans="1:8">
      <c r="A53" s="67"/>
      <c r="B53" s="67"/>
      <c r="C53" s="67"/>
      <c r="D53" s="67"/>
      <c r="E53" s="67"/>
      <c r="F53" s="67"/>
      <c r="G53" s="68"/>
      <c r="H53" s="67"/>
    </row>
    <row r="54" spans="1:8">
      <c r="A54" s="67"/>
      <c r="B54" s="67"/>
      <c r="C54" s="67"/>
      <c r="D54" s="67"/>
      <c r="E54" s="67"/>
      <c r="F54" s="67"/>
      <c r="G54" s="68"/>
      <c r="H54" s="67"/>
    </row>
    <row r="55" spans="1:8">
      <c r="E55" s="51" t="str">
        <f>G12</f>
        <v>Time(h)</v>
      </c>
      <c r="F55" s="52" t="str">
        <f>H34</f>
        <v>C*=(Co-C)*V/m</v>
      </c>
    </row>
    <row r="56" spans="1:8">
      <c r="E56" s="53">
        <v>0</v>
      </c>
      <c r="F56" s="54">
        <v>0</v>
      </c>
    </row>
    <row r="57" spans="1:8">
      <c r="E57" s="53">
        <f t="shared" ref="E57:E72" si="6">G13</f>
        <v>1</v>
      </c>
      <c r="F57" s="55">
        <f t="shared" ref="F57:F72" si="7">H36</f>
        <v>8.5390956724687003E-5</v>
      </c>
    </row>
    <row r="58" spans="1:8">
      <c r="E58" s="53">
        <f t="shared" si="6"/>
        <v>2</v>
      </c>
      <c r="F58" s="55">
        <f t="shared" si="7"/>
        <v>1.3855397272322141E-4</v>
      </c>
    </row>
    <row r="59" spans="1:8">
      <c r="E59" s="53">
        <f t="shared" si="6"/>
        <v>3</v>
      </c>
      <c r="F59" s="55">
        <f t="shared" si="7"/>
        <v>1.3501871869336246E-4</v>
      </c>
    </row>
    <row r="60" spans="1:8">
      <c r="E60" s="53">
        <f t="shared" si="6"/>
        <v>6</v>
      </c>
      <c r="F60" s="55">
        <f t="shared" si="7"/>
        <v>1.7956008817738352E-4</v>
      </c>
    </row>
    <row r="61" spans="1:8">
      <c r="E61" s="53">
        <f t="shared" si="6"/>
        <v>12</v>
      </c>
      <c r="F61" s="55">
        <f t="shared" si="7"/>
        <v>2.2430955105038711E-4</v>
      </c>
    </row>
    <row r="62" spans="1:8">
      <c r="E62" s="53">
        <f t="shared" si="6"/>
        <v>24</v>
      </c>
      <c r="F62" s="55">
        <f t="shared" si="7"/>
        <v>3.0092817151802228E-4</v>
      </c>
    </row>
    <row r="63" spans="1:8">
      <c r="E63" s="53">
        <f t="shared" si="6"/>
        <v>48</v>
      </c>
      <c r="F63" s="55">
        <f t="shared" si="7"/>
        <v>1.6173969312535022E-3</v>
      </c>
    </row>
    <row r="64" spans="1:8">
      <c r="E64" s="53">
        <f t="shared" si="6"/>
        <v>72</v>
      </c>
      <c r="F64" s="55">
        <f t="shared" si="7"/>
        <v>1.6331921347049838E-3</v>
      </c>
    </row>
    <row r="65" spans="5:6">
      <c r="E65" s="53">
        <f t="shared" si="6"/>
        <v>120</v>
      </c>
      <c r="F65" s="55">
        <f t="shared" si="7"/>
        <v>1.6549870992266646E-3</v>
      </c>
    </row>
    <row r="66" spans="5:6">
      <c r="E66" s="53">
        <f t="shared" si="6"/>
        <v>168</v>
      </c>
      <c r="F66" s="55">
        <f t="shared" si="7"/>
        <v>1.9807787254063356E-3</v>
      </c>
    </row>
    <row r="67" spans="5:6">
      <c r="E67" s="53">
        <f t="shared" si="6"/>
        <v>240</v>
      </c>
      <c r="F67" s="55">
        <f t="shared" si="7"/>
        <v>1.955480672618146E-3</v>
      </c>
    </row>
    <row r="68" spans="5:6">
      <c r="E68" s="53">
        <f t="shared" si="6"/>
        <v>288</v>
      </c>
      <c r="F68" s="55">
        <f t="shared" si="7"/>
        <v>2.5794433670426713E-3</v>
      </c>
    </row>
    <row r="69" spans="5:6">
      <c r="E69" s="53">
        <f t="shared" si="6"/>
        <v>336</v>
      </c>
      <c r="F69" s="55">
        <f t="shared" si="7"/>
        <v>2.760197095418011E-3</v>
      </c>
    </row>
    <row r="70" spans="5:6">
      <c r="E70" s="53">
        <f t="shared" si="6"/>
        <v>384</v>
      </c>
      <c r="F70" s="55">
        <f t="shared" si="7"/>
        <v>2.9409152225410014E-3</v>
      </c>
    </row>
    <row r="71" spans="5:6">
      <c r="E71" s="53">
        <f t="shared" si="6"/>
        <v>432</v>
      </c>
      <c r="F71" s="55">
        <f t="shared" si="7"/>
        <v>3.1205716184416494E-3</v>
      </c>
    </row>
    <row r="72" spans="5:6">
      <c r="E72" s="56">
        <f t="shared" si="6"/>
        <v>480</v>
      </c>
      <c r="F72" s="57">
        <f t="shared" si="7"/>
        <v>3.270009260169085E-3</v>
      </c>
    </row>
  </sheetData>
  <mergeCells count="2">
    <mergeCell ref="B10:E10"/>
    <mergeCell ref="D34:F3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21" zoomScale="85" zoomScaleNormal="85" zoomScalePageLayoutView="85" workbookViewId="0">
      <selection activeCell="C27" sqref="C27"/>
    </sheetView>
  </sheetViews>
  <sheetFormatPr baseColWidth="10" defaultColWidth="8.83203125" defaultRowHeight="14" x14ac:dyDescent="0"/>
  <sheetData>
    <row r="1" spans="1:8">
      <c r="A1" t="s">
        <v>77</v>
      </c>
    </row>
    <row r="2" spans="1:8">
      <c r="A2" s="3" t="s">
        <v>78</v>
      </c>
    </row>
    <row r="3" spans="1:8">
      <c r="C3" s="3" t="s">
        <v>57</v>
      </c>
      <c r="D3" s="3"/>
      <c r="E3" s="3"/>
    </row>
    <row r="4" spans="1:8">
      <c r="B4" s="22"/>
      <c r="C4" s="24" t="s">
        <v>58</v>
      </c>
      <c r="D4" s="25"/>
    </row>
    <row r="5" spans="1:8">
      <c r="A5" s="22"/>
      <c r="B5" s="22"/>
      <c r="C5" t="s">
        <v>59</v>
      </c>
    </row>
    <row r="6" spans="1:8">
      <c r="A6" s="22"/>
      <c r="B6" s="22"/>
      <c r="C6" t="s">
        <v>60</v>
      </c>
    </row>
    <row r="7" spans="1:8">
      <c r="A7" s="22"/>
      <c r="D7">
        <f>2.231*10^(-6)</f>
        <v>2.2309999999999999E-6</v>
      </c>
      <c r="G7" s="28"/>
    </row>
    <row r="8" spans="1:8">
      <c r="D8">
        <v>-5.2479999999999999E-2</v>
      </c>
    </row>
    <row r="9" spans="1:8" ht="15">
      <c r="B9" s="29"/>
      <c r="C9" s="30"/>
      <c r="D9" s="30"/>
      <c r="E9" s="29"/>
    </row>
    <row r="10" spans="1:8" ht="15">
      <c r="B10" s="209" t="s">
        <v>61</v>
      </c>
      <c r="C10" s="209"/>
      <c r="D10" s="209"/>
      <c r="E10" s="209"/>
    </row>
    <row r="11" spans="1:8">
      <c r="B11" s="31" t="s">
        <v>62</v>
      </c>
      <c r="C11" s="32" t="s">
        <v>63</v>
      </c>
      <c r="D11" s="32" t="s">
        <v>64</v>
      </c>
      <c r="E11" s="32" t="s">
        <v>65</v>
      </c>
      <c r="G11" s="31" t="s">
        <v>67</v>
      </c>
      <c r="H11" s="31" t="s">
        <v>65</v>
      </c>
    </row>
    <row r="12" spans="1:8">
      <c r="B12" s="9">
        <v>0</v>
      </c>
      <c r="C12">
        <v>3950505</v>
      </c>
      <c r="D12" s="33">
        <f t="shared" ref="D12:D28" si="0">$D$7*C12+$D$8</f>
        <v>8.7610966550000011</v>
      </c>
      <c r="E12" s="34"/>
      <c r="G12" s="36">
        <v>0</v>
      </c>
      <c r="H12" s="36"/>
    </row>
    <row r="13" spans="1:8">
      <c r="B13" s="31">
        <v>1</v>
      </c>
      <c r="C13" s="1">
        <v>3413525</v>
      </c>
      <c r="D13" s="33">
        <f t="shared" si="0"/>
        <v>7.5630942749999992</v>
      </c>
      <c r="E13" s="34">
        <f t="shared" ref="E13:E28" si="1">D13/($D$12)</f>
        <v>0.86325885592001816</v>
      </c>
      <c r="G13" s="31">
        <f>B13/24</f>
        <v>4.1666666666666664E-2</v>
      </c>
      <c r="H13" s="35">
        <f t="shared" ref="H13:H28" si="2">E13</f>
        <v>0.86325885592001816</v>
      </c>
    </row>
    <row r="14" spans="1:8">
      <c r="B14" s="31">
        <v>2</v>
      </c>
      <c r="C14" s="1">
        <v>3670985</v>
      </c>
      <c r="D14" s="33">
        <f t="shared" si="0"/>
        <v>8.137487535</v>
      </c>
      <c r="E14" s="34">
        <f t="shared" si="1"/>
        <v>0.92882065515803847</v>
      </c>
      <c r="G14" s="31">
        <f>B14/24</f>
        <v>8.3333333333333329E-2</v>
      </c>
      <c r="H14" s="35">
        <f t="shared" si="2"/>
        <v>0.92882065515803847</v>
      </c>
    </row>
    <row r="15" spans="1:8">
      <c r="B15" s="31">
        <v>3</v>
      </c>
      <c r="C15" s="1">
        <v>3615291</v>
      </c>
      <c r="D15" s="33">
        <f t="shared" si="0"/>
        <v>8.0132342210000012</v>
      </c>
      <c r="E15" s="34">
        <f t="shared" si="1"/>
        <v>0.91463826237173274</v>
      </c>
      <c r="G15" s="31">
        <f>B15/24</f>
        <v>0.125</v>
      </c>
      <c r="H15" s="35">
        <f t="shared" si="2"/>
        <v>0.91463826237173274</v>
      </c>
    </row>
    <row r="16" spans="1:8">
      <c r="B16" s="31">
        <v>6</v>
      </c>
      <c r="C16" s="1">
        <v>3674884</v>
      </c>
      <c r="D16" s="33">
        <f t="shared" si="0"/>
        <v>8.146186204000001</v>
      </c>
      <c r="E16" s="34">
        <f t="shared" si="1"/>
        <v>0.92981352960544417</v>
      </c>
      <c r="G16" s="31">
        <f>B16/24</f>
        <v>0.25</v>
      </c>
      <c r="H16" s="35">
        <f t="shared" si="2"/>
        <v>0.92981352960544417</v>
      </c>
    </row>
    <row r="17" spans="1:16">
      <c r="B17" s="31">
        <v>12</v>
      </c>
      <c r="C17" s="1">
        <v>3542490</v>
      </c>
      <c r="D17" s="33">
        <f t="shared" si="0"/>
        <v>7.8508151899999996</v>
      </c>
      <c r="E17" s="34">
        <f t="shared" si="1"/>
        <v>0.89609959793326799</v>
      </c>
      <c r="G17" s="31">
        <f>B17/24</f>
        <v>0.5</v>
      </c>
      <c r="H17" s="35">
        <f t="shared" si="2"/>
        <v>0.89609959793326799</v>
      </c>
    </row>
    <row r="18" spans="1:16">
      <c r="B18" s="31">
        <v>1</v>
      </c>
      <c r="C18" s="1">
        <v>3407752</v>
      </c>
      <c r="D18" s="33">
        <f t="shared" si="0"/>
        <v>7.5502147119999998</v>
      </c>
      <c r="E18" s="34">
        <f t="shared" si="1"/>
        <v>0.86178877020961242</v>
      </c>
      <c r="G18" s="31">
        <f t="shared" ref="G18:G28" si="3">B18</f>
        <v>1</v>
      </c>
      <c r="H18" s="35">
        <f t="shared" si="2"/>
        <v>0.86178877020961242</v>
      </c>
    </row>
    <row r="19" spans="1:16">
      <c r="B19" s="31">
        <v>2</v>
      </c>
      <c r="C19" s="1">
        <v>3245355</v>
      </c>
      <c r="D19" s="33">
        <f t="shared" si="0"/>
        <v>7.1879070049999996</v>
      </c>
      <c r="E19" s="34">
        <f t="shared" si="1"/>
        <v>0.82043462000819556</v>
      </c>
      <c r="G19" s="31">
        <f t="shared" si="3"/>
        <v>2</v>
      </c>
      <c r="H19" s="35">
        <f t="shared" si="2"/>
        <v>0.82043462000819556</v>
      </c>
    </row>
    <row r="20" spans="1:16">
      <c r="A20" s="69"/>
      <c r="B20" s="31">
        <v>3</v>
      </c>
      <c r="C20" s="1">
        <v>2961768</v>
      </c>
      <c r="D20" s="33">
        <f t="shared" si="0"/>
        <v>6.5552244079999999</v>
      </c>
      <c r="E20" s="34">
        <f t="shared" si="1"/>
        <v>0.74821961977315943</v>
      </c>
      <c r="G20" s="31">
        <f t="shared" si="3"/>
        <v>3</v>
      </c>
      <c r="H20" s="35">
        <f t="shared" si="2"/>
        <v>0.74821961977315943</v>
      </c>
    </row>
    <row r="21" spans="1:16">
      <c r="B21" s="31">
        <v>5</v>
      </c>
      <c r="C21" s="1">
        <v>2555643</v>
      </c>
      <c r="D21" s="33">
        <f t="shared" si="0"/>
        <v>5.6491595329999997</v>
      </c>
      <c r="E21" s="34">
        <f t="shared" si="1"/>
        <v>0.64480050334520578</v>
      </c>
      <c r="G21" s="31">
        <f t="shared" si="3"/>
        <v>5</v>
      </c>
      <c r="H21" s="35">
        <f t="shared" si="2"/>
        <v>0.64480050334520578</v>
      </c>
    </row>
    <row r="22" spans="1:16">
      <c r="B22" s="31">
        <v>7</v>
      </c>
      <c r="C22" s="1">
        <v>2076130</v>
      </c>
      <c r="D22" s="33">
        <f t="shared" si="0"/>
        <v>4.5793660300000001</v>
      </c>
      <c r="E22" s="34">
        <f t="shared" si="1"/>
        <v>0.52269324381743165</v>
      </c>
      <c r="G22" s="31">
        <f t="shared" si="3"/>
        <v>7</v>
      </c>
      <c r="H22" s="35">
        <f t="shared" si="2"/>
        <v>0.52269324381743165</v>
      </c>
    </row>
    <row r="23" spans="1:16">
      <c r="B23" s="31">
        <v>10</v>
      </c>
      <c r="C23" s="1">
        <v>1594561</v>
      </c>
      <c r="D23" s="33">
        <f t="shared" si="0"/>
        <v>3.5049855909999996</v>
      </c>
      <c r="E23" s="34">
        <f t="shared" si="1"/>
        <v>0.40006242700218209</v>
      </c>
      <c r="G23" s="31">
        <f t="shared" si="3"/>
        <v>10</v>
      </c>
      <c r="H23" s="35">
        <f t="shared" si="2"/>
        <v>0.40006242700218209</v>
      </c>
    </row>
    <row r="24" spans="1:16">
      <c r="B24" s="31">
        <v>12</v>
      </c>
      <c r="C24" s="1">
        <v>1221763</v>
      </c>
      <c r="D24" s="33">
        <f t="shared" si="0"/>
        <v>2.6732732529999996</v>
      </c>
      <c r="E24" s="34">
        <f t="shared" si="1"/>
        <v>0.30512998067135227</v>
      </c>
      <c r="G24" s="31">
        <f t="shared" si="3"/>
        <v>12</v>
      </c>
      <c r="H24" s="35">
        <f t="shared" si="2"/>
        <v>0.30512998067135227</v>
      </c>
    </row>
    <row r="25" spans="1:16">
      <c r="A25" s="69"/>
      <c r="B25" s="31">
        <v>14</v>
      </c>
      <c r="C25" s="1">
        <v>978187</v>
      </c>
      <c r="D25" s="33">
        <f t="shared" si="0"/>
        <v>2.1298551969999999</v>
      </c>
      <c r="E25" s="34">
        <f t="shared" si="1"/>
        <v>0.24310372101470665</v>
      </c>
      <c r="G25" s="31">
        <f t="shared" si="3"/>
        <v>14</v>
      </c>
      <c r="H25" s="35">
        <f t="shared" si="2"/>
        <v>0.24310372101470665</v>
      </c>
    </row>
    <row r="26" spans="1:16">
      <c r="B26" s="31">
        <v>16</v>
      </c>
      <c r="C26" s="1">
        <v>977458</v>
      </c>
      <c r="D26" s="33">
        <f t="shared" si="0"/>
        <v>2.1282287979999999</v>
      </c>
      <c r="E26" s="34">
        <f t="shared" si="1"/>
        <v>0.24291808226832073</v>
      </c>
      <c r="G26" s="31">
        <f t="shared" si="3"/>
        <v>16</v>
      </c>
      <c r="H26" s="35">
        <f t="shared" si="2"/>
        <v>0.24291808226832073</v>
      </c>
    </row>
    <row r="27" spans="1:16">
      <c r="B27" s="31">
        <v>18</v>
      </c>
      <c r="C27" s="1">
        <f>927713</f>
        <v>927713</v>
      </c>
      <c r="D27" s="33">
        <f t="shared" si="0"/>
        <v>2.0172477029999998</v>
      </c>
      <c r="E27" s="34">
        <f t="shared" si="1"/>
        <v>0.23025059332597894</v>
      </c>
      <c r="G27" s="31">
        <f t="shared" si="3"/>
        <v>18</v>
      </c>
      <c r="H27" s="35">
        <f t="shared" si="2"/>
        <v>0.23025059332597894</v>
      </c>
    </row>
    <row r="28" spans="1:16" ht="20">
      <c r="B28" s="31">
        <v>20</v>
      </c>
      <c r="C28" s="1">
        <v>952202</v>
      </c>
      <c r="D28" s="70">
        <f t="shared" si="0"/>
        <v>2.0718826619999997</v>
      </c>
      <c r="E28" s="34">
        <f t="shared" si="1"/>
        <v>0.23648668010272048</v>
      </c>
      <c r="G28" s="31">
        <f t="shared" si="3"/>
        <v>20</v>
      </c>
      <c r="H28" s="35">
        <f t="shared" si="2"/>
        <v>0.23648668010272048</v>
      </c>
    </row>
    <row r="29" spans="1:16">
      <c r="N29" s="38" t="s">
        <v>68</v>
      </c>
      <c r="O29" s="39">
        <f>14</f>
        <v>14</v>
      </c>
      <c r="P29" s="40" t="s">
        <v>17</v>
      </c>
    </row>
    <row r="30" spans="1:16">
      <c r="N30" s="41" t="s">
        <v>69</v>
      </c>
      <c r="O30" s="22">
        <v>0.02</v>
      </c>
      <c r="P30" s="42" t="s">
        <v>14</v>
      </c>
    </row>
    <row r="31" spans="1:16">
      <c r="N31" s="41" t="s">
        <v>70</v>
      </c>
      <c r="O31" s="22">
        <v>1.6</v>
      </c>
      <c r="P31" s="42" t="s">
        <v>79</v>
      </c>
    </row>
    <row r="32" spans="1:16">
      <c r="N32" s="44" t="s">
        <v>74</v>
      </c>
      <c r="O32" s="45">
        <v>0.16700000000000001</v>
      </c>
      <c r="P32" s="46" t="s">
        <v>79</v>
      </c>
    </row>
    <row r="34" spans="1:8">
      <c r="A34" s="15" t="s">
        <v>29</v>
      </c>
      <c r="B34" s="15"/>
      <c r="C34" s="15"/>
      <c r="D34" s="208" t="s">
        <v>30</v>
      </c>
      <c r="E34" s="208"/>
      <c r="F34" s="208"/>
      <c r="G34" s="71" t="s">
        <v>80</v>
      </c>
      <c r="H34" s="71" t="s">
        <v>81</v>
      </c>
    </row>
    <row r="35" spans="1:8">
      <c r="A35" s="13" t="s">
        <v>32</v>
      </c>
      <c r="B35" s="13" t="s">
        <v>33</v>
      </c>
      <c r="C35" s="13" t="s">
        <v>34</v>
      </c>
      <c r="D35" s="14" t="s">
        <v>32</v>
      </c>
      <c r="E35" s="14" t="s">
        <v>33</v>
      </c>
      <c r="F35" s="14" t="s">
        <v>34</v>
      </c>
      <c r="G35" s="72">
        <f t="shared" ref="G35:G51" si="4">D12</f>
        <v>8.7610966550000011</v>
      </c>
      <c r="H35" s="1"/>
    </row>
    <row r="36" spans="1:8">
      <c r="A36" s="16">
        <v>0</v>
      </c>
      <c r="B36" s="16">
        <v>14.000299999999999</v>
      </c>
      <c r="C36" s="16">
        <v>14.0008</v>
      </c>
      <c r="D36" s="16">
        <v>2.0199999999999999E-2</v>
      </c>
      <c r="E36" s="16">
        <v>0</v>
      </c>
      <c r="F36" s="16">
        <v>2.0400000000000001E-2</v>
      </c>
      <c r="G36" s="72">
        <f t="shared" si="4"/>
        <v>7.5630942749999992</v>
      </c>
      <c r="H36" s="73">
        <f t="shared" ref="H36:H51" si="5">(($G$35-G36)*(0.014+((C36/$O$31))*0.001+((F36/$O$32))*0.001))/(C36+F36)</f>
        <v>1.9542903568803413E-3</v>
      </c>
    </row>
    <row r="37" spans="1:8">
      <c r="A37" s="16">
        <v>0</v>
      </c>
      <c r="B37" s="16">
        <v>14.0001</v>
      </c>
      <c r="C37" s="16">
        <v>14.0008</v>
      </c>
      <c r="D37" s="16">
        <v>0.20399999999999999</v>
      </c>
      <c r="E37" s="16">
        <v>0</v>
      </c>
      <c r="F37" s="16">
        <v>2.0199999999999999E-2</v>
      </c>
      <c r="G37" s="72">
        <f t="shared" si="4"/>
        <v>8.137487535</v>
      </c>
      <c r="H37" s="73">
        <f t="shared" si="5"/>
        <v>1.0172491155249692E-3</v>
      </c>
    </row>
    <row r="38" spans="1:8">
      <c r="A38" s="16">
        <v>0</v>
      </c>
      <c r="B38" s="16">
        <v>14.0008</v>
      </c>
      <c r="C38" s="16">
        <v>14.0007</v>
      </c>
      <c r="D38" s="16">
        <v>0.02</v>
      </c>
      <c r="E38" s="16">
        <v>0</v>
      </c>
      <c r="F38" s="16">
        <v>2.0500000000000001E-2</v>
      </c>
      <c r="G38" s="72">
        <f t="shared" si="4"/>
        <v>8.0132342210000012</v>
      </c>
      <c r="H38" s="73">
        <f t="shared" si="5"/>
        <v>1.2200097734681769E-3</v>
      </c>
    </row>
    <row r="39" spans="1:8">
      <c r="A39" s="16">
        <v>0</v>
      </c>
      <c r="B39" s="16">
        <v>14.0006</v>
      </c>
      <c r="C39" s="16">
        <v>14.0008</v>
      </c>
      <c r="D39" s="16">
        <v>0.02</v>
      </c>
      <c r="E39" s="16">
        <v>0</v>
      </c>
      <c r="F39" s="16">
        <v>2.0400000000000001E-2</v>
      </c>
      <c r="G39" s="72">
        <f t="shared" si="4"/>
        <v>8.146186204000001</v>
      </c>
      <c r="H39" s="73">
        <f t="shared" si="5"/>
        <v>1.0030978108192404E-3</v>
      </c>
    </row>
    <row r="40" spans="1:8">
      <c r="A40" s="16">
        <v>0</v>
      </c>
      <c r="B40" s="16">
        <v>14.0007</v>
      </c>
      <c r="C40" s="16">
        <v>14.0008</v>
      </c>
      <c r="D40" s="16">
        <v>2.01E-2</v>
      </c>
      <c r="E40" s="16">
        <v>0</v>
      </c>
      <c r="F40" s="16">
        <v>2.0299999999999999E-2</v>
      </c>
      <c r="G40" s="72">
        <f t="shared" si="4"/>
        <v>7.8508151899999996</v>
      </c>
      <c r="H40" s="73">
        <f t="shared" si="5"/>
        <v>1.4849055673205797E-3</v>
      </c>
    </row>
    <row r="41" spans="1:8">
      <c r="A41" s="16">
        <v>0</v>
      </c>
      <c r="B41" s="16">
        <v>14.0008</v>
      </c>
      <c r="C41" s="16">
        <v>14.0008</v>
      </c>
      <c r="D41" s="16">
        <v>0.02</v>
      </c>
      <c r="E41" s="16">
        <v>0</v>
      </c>
      <c r="F41" s="16">
        <v>2.0500000000000001E-2</v>
      </c>
      <c r="G41" s="72">
        <f t="shared" si="4"/>
        <v>7.5502147119999998</v>
      </c>
      <c r="H41" s="73">
        <f t="shared" si="5"/>
        <v>1.9753382953661457E-3</v>
      </c>
    </row>
    <row r="42" spans="1:8">
      <c r="A42" s="16">
        <v>0</v>
      </c>
      <c r="B42" s="16">
        <v>14.0008</v>
      </c>
      <c r="C42" s="16">
        <v>14.0008</v>
      </c>
      <c r="D42" s="16">
        <v>2.0199999999999999E-2</v>
      </c>
      <c r="E42" s="16">
        <v>0</v>
      </c>
      <c r="F42" s="16">
        <v>2.06E-2</v>
      </c>
      <c r="G42" s="72">
        <f t="shared" si="4"/>
        <v>7.1879070049999996</v>
      </c>
      <c r="H42" s="73">
        <f t="shared" si="5"/>
        <v>2.5664276931558943E-3</v>
      </c>
    </row>
    <row r="43" spans="1:8">
      <c r="A43" s="16">
        <v>0</v>
      </c>
      <c r="B43" s="16">
        <v>14.0008</v>
      </c>
      <c r="C43" s="16">
        <v>14.0008</v>
      </c>
      <c r="D43" s="16">
        <v>2.01E-2</v>
      </c>
      <c r="E43" s="16">
        <v>0</v>
      </c>
      <c r="F43" s="16">
        <v>2.06E-2</v>
      </c>
      <c r="G43" s="72">
        <f t="shared" si="4"/>
        <v>6.5552244079999999</v>
      </c>
      <c r="H43" s="73">
        <f t="shared" si="5"/>
        <v>3.598556361125829E-3</v>
      </c>
    </row>
    <row r="44" spans="1:8">
      <c r="A44" s="16">
        <v>0</v>
      </c>
      <c r="B44" s="16">
        <v>14.0009</v>
      </c>
      <c r="C44" s="16">
        <v>14.0009</v>
      </c>
      <c r="D44" s="16">
        <v>2.0299999999999999E-2</v>
      </c>
      <c r="E44" s="16">
        <v>0</v>
      </c>
      <c r="F44" s="16">
        <v>2.07E-2</v>
      </c>
      <c r="G44" s="72">
        <f t="shared" si="4"/>
        <v>5.6491595329999997</v>
      </c>
      <c r="H44" s="73">
        <f t="shared" si="5"/>
        <v>5.0767423916262744E-3</v>
      </c>
    </row>
    <row r="45" spans="1:8">
      <c r="A45" s="16">
        <v>0</v>
      </c>
      <c r="B45" s="16">
        <v>14.0002</v>
      </c>
      <c r="C45" s="16">
        <v>14.0009</v>
      </c>
      <c r="D45" s="16">
        <v>0.02</v>
      </c>
      <c r="E45" s="16">
        <v>0</v>
      </c>
      <c r="F45" s="16">
        <v>2.0400000000000001E-2</v>
      </c>
      <c r="G45" s="72">
        <f t="shared" si="4"/>
        <v>4.5793660300000001</v>
      </c>
      <c r="H45" s="73">
        <f t="shared" si="5"/>
        <v>6.8215890200165694E-3</v>
      </c>
    </row>
    <row r="46" spans="1:8">
      <c r="A46" s="16">
        <v>0</v>
      </c>
      <c r="B46" s="16">
        <v>14.000500000000001</v>
      </c>
      <c r="C46" s="16">
        <v>14.0006</v>
      </c>
      <c r="D46" s="16">
        <v>0.02</v>
      </c>
      <c r="E46" s="16">
        <v>0</v>
      </c>
      <c r="F46" s="16">
        <v>2.0500000000000001E-2</v>
      </c>
      <c r="G46" s="72">
        <f t="shared" si="4"/>
        <v>3.5049855909999996</v>
      </c>
      <c r="H46" s="73">
        <f t="shared" si="5"/>
        <v>8.5744848111805952E-3</v>
      </c>
    </row>
    <row r="47" spans="1:8">
      <c r="A47" s="16">
        <v>0</v>
      </c>
      <c r="B47" s="16">
        <v>14.0008</v>
      </c>
      <c r="C47" s="16">
        <v>14.0009</v>
      </c>
      <c r="D47" s="16">
        <v>0.02</v>
      </c>
      <c r="E47" s="16">
        <v>0</v>
      </c>
      <c r="F47" s="16">
        <v>2.06E-2</v>
      </c>
      <c r="G47" s="72">
        <f t="shared" si="4"/>
        <v>2.6732732529999996</v>
      </c>
      <c r="H47" s="73">
        <f t="shared" si="5"/>
        <v>9.9313454239930224E-3</v>
      </c>
    </row>
    <row r="48" spans="1:8">
      <c r="A48" s="16">
        <v>0</v>
      </c>
      <c r="B48" s="16">
        <v>14.0006</v>
      </c>
      <c r="C48" s="16">
        <v>14.0009</v>
      </c>
      <c r="D48" s="16">
        <v>2.01E-2</v>
      </c>
      <c r="E48" s="16">
        <v>0</v>
      </c>
      <c r="F48" s="16">
        <v>2.06E-2</v>
      </c>
      <c r="G48" s="72">
        <f t="shared" si="4"/>
        <v>2.1298551969999999</v>
      </c>
      <c r="H48" s="73">
        <f t="shared" si="5"/>
        <v>1.0817848212821914E-2</v>
      </c>
    </row>
    <row r="49" spans="1:13">
      <c r="A49" s="16">
        <v>0</v>
      </c>
      <c r="B49" s="16">
        <v>14.0007</v>
      </c>
      <c r="C49" s="16">
        <v>14.0008</v>
      </c>
      <c r="D49" s="16">
        <v>0.02</v>
      </c>
      <c r="E49" s="16">
        <v>0</v>
      </c>
      <c r="F49" s="16">
        <v>2.06E-2</v>
      </c>
      <c r="G49" s="72">
        <f t="shared" si="4"/>
        <v>2.1282287979999999</v>
      </c>
      <c r="H49" s="73">
        <f t="shared" si="5"/>
        <v>1.0820549037586395E-2</v>
      </c>
    </row>
    <row r="50" spans="1:13">
      <c r="A50" s="16">
        <v>0</v>
      </c>
      <c r="B50" s="16">
        <v>14.0006</v>
      </c>
      <c r="C50" s="16">
        <v>14.0008</v>
      </c>
      <c r="D50" s="16">
        <v>2.0299999999999999E-2</v>
      </c>
      <c r="E50" s="16">
        <v>0</v>
      </c>
      <c r="F50" s="16">
        <v>2.06E-2</v>
      </c>
      <c r="G50" s="72">
        <f t="shared" si="4"/>
        <v>2.0172477029999998</v>
      </c>
      <c r="H50" s="73">
        <f t="shared" si="5"/>
        <v>1.1001598382542844E-2</v>
      </c>
    </row>
    <row r="51" spans="1:13">
      <c r="A51" s="16">
        <v>0</v>
      </c>
      <c r="B51" s="16">
        <v>14.0006</v>
      </c>
      <c r="C51" s="16">
        <v>14.0009</v>
      </c>
      <c r="D51" s="16">
        <v>0.02</v>
      </c>
      <c r="E51" s="16">
        <v>0</v>
      </c>
      <c r="F51" s="16">
        <v>2.06E-2</v>
      </c>
      <c r="G51" s="72">
        <f t="shared" si="4"/>
        <v>2.0718826619999997</v>
      </c>
      <c r="H51" s="73">
        <f t="shared" si="5"/>
        <v>1.0912421467032996E-2</v>
      </c>
    </row>
    <row r="54" spans="1:13">
      <c r="H54" s="74"/>
    </row>
    <row r="55" spans="1:13">
      <c r="D55" s="75" t="s">
        <v>67</v>
      </c>
      <c r="E55" s="76" t="str">
        <f t="shared" ref="E55:E72" si="6">H34</f>
        <v>C*=[(Co-C)*V]/m</v>
      </c>
    </row>
    <row r="56" spans="1:13">
      <c r="D56" s="51">
        <f t="shared" ref="D56:D72" si="7">G12</f>
        <v>0</v>
      </c>
      <c r="E56" s="52">
        <f t="shared" si="6"/>
        <v>0</v>
      </c>
    </row>
    <row r="57" spans="1:13">
      <c r="D57" s="53">
        <f t="shared" si="7"/>
        <v>4.1666666666666664E-2</v>
      </c>
      <c r="E57" s="77">
        <f t="shared" si="6"/>
        <v>1.9542903568803413E-3</v>
      </c>
      <c r="J57" t="s">
        <v>82</v>
      </c>
    </row>
    <row r="58" spans="1:13">
      <c r="D58" s="53">
        <f t="shared" si="7"/>
        <v>8.3333333333333329E-2</v>
      </c>
      <c r="E58" s="54">
        <f t="shared" si="6"/>
        <v>1.0172491155249692E-3</v>
      </c>
      <c r="J58" t="s">
        <v>83</v>
      </c>
    </row>
    <row r="59" spans="1:13">
      <c r="D59" s="53">
        <f t="shared" si="7"/>
        <v>0.125</v>
      </c>
      <c r="E59" s="54">
        <f t="shared" si="6"/>
        <v>1.2200097734681769E-3</v>
      </c>
    </row>
    <row r="60" spans="1:13">
      <c r="D60" s="53">
        <f t="shared" si="7"/>
        <v>0.25</v>
      </c>
      <c r="E60" s="54">
        <f t="shared" si="6"/>
        <v>1.0030978108192404E-3</v>
      </c>
      <c r="K60" t="s">
        <v>84</v>
      </c>
      <c r="L60" t="s">
        <v>85</v>
      </c>
      <c r="M60" t="s">
        <v>86</v>
      </c>
    </row>
    <row r="61" spans="1:13">
      <c r="D61" s="53">
        <f t="shared" si="7"/>
        <v>0.5</v>
      </c>
      <c r="E61" s="54">
        <f t="shared" si="6"/>
        <v>1.4849055673205797E-3</v>
      </c>
      <c r="J61" t="s">
        <v>87</v>
      </c>
      <c r="K61">
        <v>5.3748899999999997</v>
      </c>
      <c r="L61">
        <v>1.34057</v>
      </c>
      <c r="M61">
        <v>9.4092199999999995</v>
      </c>
    </row>
    <row r="62" spans="1:13">
      <c r="D62" s="53">
        <f t="shared" si="7"/>
        <v>1</v>
      </c>
      <c r="E62" s="54">
        <f t="shared" si="6"/>
        <v>1.9753382953661457E-3</v>
      </c>
      <c r="J62" t="s">
        <v>88</v>
      </c>
      <c r="K62" s="78">
        <v>1.7657829999999999E-2</v>
      </c>
      <c r="L62" s="78">
        <v>1.3441969999999999E-2</v>
      </c>
      <c r="M62" s="78">
        <v>2.1873690000000001E-2</v>
      </c>
    </row>
    <row r="63" spans="1:13">
      <c r="D63" s="53">
        <f t="shared" si="7"/>
        <v>2</v>
      </c>
      <c r="E63" s="54">
        <f t="shared" si="6"/>
        <v>2.5664276931558943E-3</v>
      </c>
    </row>
    <row r="64" spans="1:13">
      <c r="D64" s="53">
        <f t="shared" si="7"/>
        <v>3</v>
      </c>
      <c r="E64" s="54">
        <f t="shared" si="6"/>
        <v>3.598556361125829E-3</v>
      </c>
    </row>
    <row r="65" spans="4:12">
      <c r="D65" s="53">
        <f t="shared" si="7"/>
        <v>5</v>
      </c>
      <c r="E65" s="54">
        <f t="shared" si="6"/>
        <v>5.0767423916262744E-3</v>
      </c>
      <c r="J65" t="s">
        <v>89</v>
      </c>
      <c r="K65" t="s">
        <v>90</v>
      </c>
      <c r="L65" t="s">
        <v>91</v>
      </c>
    </row>
    <row r="66" spans="4:12">
      <c r="D66" s="53">
        <f t="shared" si="7"/>
        <v>7</v>
      </c>
      <c r="E66" s="54">
        <f t="shared" si="6"/>
        <v>6.8215890200165694E-3</v>
      </c>
      <c r="J66" s="78">
        <v>0</v>
      </c>
      <c r="K66">
        <v>0</v>
      </c>
      <c r="L66">
        <v>0</v>
      </c>
    </row>
    <row r="67" spans="4:12">
      <c r="D67" s="53">
        <f t="shared" si="7"/>
        <v>10</v>
      </c>
      <c r="E67" s="54">
        <f t="shared" si="6"/>
        <v>8.5744848111805952E-3</v>
      </c>
      <c r="J67" s="78">
        <v>4.1666666999999998E-2</v>
      </c>
      <c r="K67" s="78">
        <v>1.95429E-3</v>
      </c>
      <c r="L67" s="78">
        <v>6.9553560000000002E-5</v>
      </c>
    </row>
    <row r="68" spans="4:12">
      <c r="D68" s="53">
        <f t="shared" si="7"/>
        <v>12</v>
      </c>
      <c r="E68" s="54">
        <f t="shared" si="6"/>
        <v>9.9313454239930224E-3</v>
      </c>
      <c r="J68" s="78">
        <v>8.3333332999999996E-2</v>
      </c>
      <c r="K68" s="78">
        <v>1.017249E-3</v>
      </c>
      <c r="L68" s="78">
        <v>1.3856130000000001E-4</v>
      </c>
    </row>
    <row r="69" spans="4:12">
      <c r="D69" s="53">
        <f t="shared" si="7"/>
        <v>14</v>
      </c>
      <c r="E69" s="54">
        <f t="shared" si="6"/>
        <v>1.0817848212821914E-2</v>
      </c>
      <c r="J69" s="78">
        <v>0.125</v>
      </c>
      <c r="K69" s="78">
        <v>1.2200100000000001E-3</v>
      </c>
      <c r="L69" s="78">
        <v>2.0702970000000001E-4</v>
      </c>
    </row>
    <row r="70" spans="4:12">
      <c r="D70" s="53">
        <f t="shared" si="7"/>
        <v>16</v>
      </c>
      <c r="E70" s="54">
        <f t="shared" si="6"/>
        <v>1.0820549037586395E-2</v>
      </c>
      <c r="J70" s="78">
        <v>0.25</v>
      </c>
      <c r="K70" s="78">
        <v>1.003098E-3</v>
      </c>
      <c r="L70" s="78">
        <v>4.0926100000000001E-4</v>
      </c>
    </row>
    <row r="71" spans="4:12">
      <c r="D71" s="53">
        <f t="shared" si="7"/>
        <v>18</v>
      </c>
      <c r="E71" s="54">
        <f t="shared" si="6"/>
        <v>1.1001598382542844E-2</v>
      </c>
      <c r="J71" s="78">
        <v>0.5</v>
      </c>
      <c r="K71" s="78">
        <v>1.484906E-3</v>
      </c>
      <c r="L71" s="78">
        <v>7.9998060000000004E-4</v>
      </c>
    </row>
    <row r="72" spans="4:12">
      <c r="D72" s="56">
        <f t="shared" si="7"/>
        <v>20</v>
      </c>
      <c r="E72" s="79">
        <f t="shared" si="6"/>
        <v>1.0912421467032996E-2</v>
      </c>
      <c r="J72" s="78">
        <v>1</v>
      </c>
      <c r="K72" s="78">
        <v>1.9753380000000001E-3</v>
      </c>
      <c r="L72" s="78">
        <v>1.5306160000000001E-3</v>
      </c>
    </row>
    <row r="73" spans="4:12">
      <c r="J73" s="78">
        <v>2</v>
      </c>
      <c r="K73" s="78">
        <v>2.5664279999999999E-3</v>
      </c>
      <c r="L73" s="78">
        <v>2.8170399999999998E-3</v>
      </c>
    </row>
    <row r="74" spans="4:12">
      <c r="J74" s="78">
        <v>3</v>
      </c>
      <c r="K74" s="78">
        <v>3.5985560000000002E-3</v>
      </c>
      <c r="L74" s="78">
        <v>3.9133980000000002E-3</v>
      </c>
    </row>
    <row r="75" spans="4:12">
      <c r="J75" s="78">
        <v>5</v>
      </c>
      <c r="K75" s="78">
        <v>5.0767420000000004E-3</v>
      </c>
      <c r="L75" s="78">
        <v>5.6826610000000003E-3</v>
      </c>
    </row>
    <row r="76" spans="4:12">
      <c r="J76" s="78">
        <v>7</v>
      </c>
      <c r="K76" s="78">
        <v>6.8215890000000003E-3</v>
      </c>
      <c r="L76" s="78">
        <v>7.04836E-3</v>
      </c>
    </row>
    <row r="77" spans="4:12">
      <c r="J77" s="78">
        <v>10</v>
      </c>
      <c r="K77" s="78">
        <v>8.5744849999999997E-3</v>
      </c>
      <c r="L77" s="78">
        <v>8.5981909999999998E-3</v>
      </c>
    </row>
    <row r="78" spans="4:12">
      <c r="J78" s="78">
        <v>12</v>
      </c>
      <c r="K78" s="78">
        <v>9.9313449999999994E-3</v>
      </c>
      <c r="L78" s="78">
        <v>9.4021769999999994E-3</v>
      </c>
    </row>
    <row r="79" spans="4:12">
      <c r="J79" s="78">
        <v>14</v>
      </c>
      <c r="K79" s="78">
        <v>1.081785E-2</v>
      </c>
      <c r="L79" s="78">
        <v>1.0075010000000001E-2</v>
      </c>
    </row>
    <row r="80" spans="4:12">
      <c r="J80" s="78">
        <v>16</v>
      </c>
      <c r="K80" s="78">
        <v>1.082055E-2</v>
      </c>
      <c r="L80" s="78">
        <v>1.064647E-2</v>
      </c>
    </row>
    <row r="81" spans="10:12">
      <c r="J81" s="78">
        <v>18</v>
      </c>
      <c r="K81" s="78">
        <v>1.10016E-2</v>
      </c>
      <c r="L81" s="78">
        <v>1.1137859999999999E-2</v>
      </c>
    </row>
    <row r="82" spans="10:12">
      <c r="J82" s="80">
        <v>20</v>
      </c>
      <c r="K82" s="78">
        <v>1.0912420000000001E-2</v>
      </c>
      <c r="L82" s="78">
        <v>1.156488E-2</v>
      </c>
    </row>
  </sheetData>
  <mergeCells count="2">
    <mergeCell ref="B10:E10"/>
    <mergeCell ref="D34:F3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B3" zoomScale="85" zoomScaleNormal="85" zoomScalePageLayoutView="85" workbookViewId="0">
      <selection activeCell="J15" sqref="J15"/>
    </sheetView>
  </sheetViews>
  <sheetFormatPr baseColWidth="10" defaultColWidth="8.83203125" defaultRowHeight="14" x14ac:dyDescent="0"/>
  <sheetData>
    <row r="1" spans="1:18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>
      <c r="A3" s="81" t="s">
        <v>77</v>
      </c>
      <c r="B3" s="81"/>
      <c r="C3" s="81"/>
      <c r="D3" s="81"/>
      <c r="E3" s="81"/>
      <c r="F3" s="81"/>
      <c r="G3" s="81"/>
      <c r="H3" s="81"/>
      <c r="I3" s="81"/>
      <c r="J3" s="81"/>
      <c r="K3" s="82" t="s">
        <v>68</v>
      </c>
      <c r="L3" s="83">
        <f>14</f>
        <v>14</v>
      </c>
      <c r="M3" s="84" t="s">
        <v>17</v>
      </c>
      <c r="N3" s="81"/>
      <c r="O3" s="81"/>
      <c r="P3" s="81"/>
      <c r="Q3" s="81"/>
      <c r="R3" s="81"/>
    </row>
    <row r="4" spans="1:18">
      <c r="A4" s="85" t="s">
        <v>78</v>
      </c>
      <c r="B4" s="81"/>
      <c r="C4" s="81"/>
      <c r="D4" s="81"/>
      <c r="E4" s="81"/>
      <c r="F4" s="81"/>
      <c r="G4" s="81"/>
      <c r="H4" s="81"/>
      <c r="I4" s="81"/>
      <c r="J4" s="81"/>
      <c r="K4" s="86" t="s">
        <v>69</v>
      </c>
      <c r="L4" s="87">
        <v>0.02</v>
      </c>
      <c r="M4" s="88" t="s">
        <v>14</v>
      </c>
      <c r="N4" s="81"/>
      <c r="O4" s="81"/>
      <c r="P4" s="81"/>
      <c r="Q4" s="81"/>
      <c r="R4" s="81"/>
    </row>
    <row r="5" spans="1:18">
      <c r="A5" s="81"/>
      <c r="B5" s="81"/>
      <c r="C5" s="85" t="s">
        <v>57</v>
      </c>
      <c r="D5" s="85"/>
      <c r="E5" s="85"/>
      <c r="F5" s="87"/>
      <c r="G5" s="87"/>
      <c r="H5" s="81"/>
      <c r="I5" s="81"/>
      <c r="J5" s="81"/>
      <c r="K5" s="86" t="s">
        <v>92</v>
      </c>
      <c r="L5" s="87">
        <v>1.6</v>
      </c>
      <c r="M5" s="88" t="s">
        <v>93</v>
      </c>
      <c r="N5" s="81"/>
      <c r="O5" s="81"/>
      <c r="P5" s="81"/>
      <c r="Q5" s="81"/>
      <c r="R5" s="81"/>
    </row>
    <row r="6" spans="1:18">
      <c r="A6" s="81"/>
      <c r="B6" s="87"/>
      <c r="C6" s="89" t="s">
        <v>94</v>
      </c>
      <c r="D6" s="90"/>
      <c r="E6" s="81"/>
      <c r="F6" s="91"/>
      <c r="G6" s="91"/>
      <c r="H6" s="81"/>
      <c r="I6" s="81"/>
      <c r="J6" s="81"/>
      <c r="K6" s="92" t="s">
        <v>95</v>
      </c>
      <c r="L6" s="93">
        <v>0.16700000000000001</v>
      </c>
      <c r="M6" s="94" t="s">
        <v>96</v>
      </c>
      <c r="N6" s="81"/>
      <c r="O6" s="81"/>
      <c r="P6" s="81"/>
      <c r="Q6" s="81"/>
      <c r="R6" s="81"/>
    </row>
    <row r="7" spans="1:18">
      <c r="A7" s="87"/>
      <c r="B7" s="87"/>
      <c r="C7" s="81" t="s">
        <v>59</v>
      </c>
      <c r="D7" s="81"/>
      <c r="E7" s="81"/>
      <c r="F7" s="87"/>
      <c r="G7" s="95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87"/>
      <c r="B8" s="87"/>
      <c r="C8" s="81" t="s">
        <v>60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96"/>
      <c r="Q8" s="81"/>
      <c r="R8" s="81"/>
    </row>
    <row r="9" spans="1:18">
      <c r="A9" s="87"/>
      <c r="B9" s="81"/>
      <c r="C9" s="81">
        <f>2.231*10^(-6)</f>
        <v>2.2309999999999999E-6</v>
      </c>
      <c r="D9" s="81"/>
      <c r="E9" s="81"/>
      <c r="F9" s="81"/>
      <c r="G9" s="97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81"/>
      <c r="B10" s="81"/>
      <c r="C10" s="81">
        <v>-5.2479999999999999E-2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81"/>
      <c r="B11" s="91"/>
      <c r="C11" s="98"/>
      <c r="D11" s="98"/>
      <c r="E11" s="9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81"/>
      <c r="B12" s="210" t="s">
        <v>97</v>
      </c>
      <c r="C12" s="210"/>
      <c r="D12" s="210"/>
      <c r="E12" s="21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81"/>
      <c r="B13" s="99" t="s">
        <v>62</v>
      </c>
      <c r="C13" s="100" t="s">
        <v>63</v>
      </c>
      <c r="D13" s="100" t="s">
        <v>64</v>
      </c>
      <c r="E13" s="100" t="s">
        <v>65</v>
      </c>
      <c r="F13" s="81"/>
      <c r="G13" s="81"/>
      <c r="H13" s="81"/>
      <c r="I13" s="101" t="s">
        <v>72</v>
      </c>
      <c r="J13" s="101" t="s">
        <v>76</v>
      </c>
      <c r="K13" s="81"/>
      <c r="L13" s="81"/>
      <c r="M13" s="81"/>
      <c r="N13" s="81"/>
      <c r="O13" s="81"/>
      <c r="P13" s="81"/>
      <c r="Q13" s="81"/>
      <c r="R13" s="81"/>
    </row>
    <row r="14" spans="1:18">
      <c r="A14" s="81"/>
      <c r="B14" s="102" t="s">
        <v>66</v>
      </c>
      <c r="C14" s="103">
        <v>3950505</v>
      </c>
      <c r="D14" s="104">
        <f t="shared" ref="D14:D30" si="0">($C$9*C14+$C$10)</f>
        <v>8.7610966550000011</v>
      </c>
      <c r="E14" s="102"/>
      <c r="F14" s="81"/>
      <c r="G14" s="99" t="s">
        <v>67</v>
      </c>
      <c r="H14" s="99" t="s">
        <v>65</v>
      </c>
      <c r="I14" s="105">
        <f t="shared" ref="I14:I30" si="1">D14</f>
        <v>8.7610966550000011</v>
      </c>
      <c r="J14" s="101"/>
      <c r="K14" s="106"/>
      <c r="L14" s="81"/>
      <c r="M14" s="81"/>
      <c r="N14" s="81"/>
      <c r="O14" s="81"/>
      <c r="P14" s="81"/>
      <c r="Q14" s="81"/>
      <c r="R14" s="81"/>
    </row>
    <row r="15" spans="1:18">
      <c r="A15" s="81"/>
      <c r="B15" s="99">
        <v>1</v>
      </c>
      <c r="C15" s="107">
        <v>3861635</v>
      </c>
      <c r="D15" s="104">
        <f t="shared" si="0"/>
        <v>8.5628276850000002</v>
      </c>
      <c r="E15" s="108">
        <f t="shared" ref="E15:E30" si="2">D15/($D$14)</f>
        <v>0.97736938903797532</v>
      </c>
      <c r="F15" s="81"/>
      <c r="G15" s="99">
        <f>B15/24</f>
        <v>4.1666666666666664E-2</v>
      </c>
      <c r="H15" s="99">
        <f t="shared" ref="H15:H30" si="3">E15</f>
        <v>0.97736938903797532</v>
      </c>
      <c r="I15" s="105">
        <f t="shared" si="1"/>
        <v>8.5628276850000002</v>
      </c>
      <c r="J15" s="109">
        <f t="shared" ref="J15:J30" si="4">(($I$14-I15)*(0.014+(($L$3/$L$5)*0.001)+(($L$4/$L$6)*0.001)))/($L$3+$L$4)</f>
        <v>3.2342110230573231E-4</v>
      </c>
      <c r="K15" s="106"/>
      <c r="L15" s="110"/>
      <c r="M15" s="81"/>
      <c r="P15" s="81"/>
      <c r="Q15" s="81"/>
      <c r="R15" s="81"/>
    </row>
    <row r="16" spans="1:18">
      <c r="A16" s="81"/>
      <c r="B16" s="99">
        <v>2</v>
      </c>
      <c r="C16" s="107">
        <v>3899974</v>
      </c>
      <c r="D16" s="104">
        <f t="shared" si="0"/>
        <v>8.6483619940000001</v>
      </c>
      <c r="E16" s="108">
        <f t="shared" si="2"/>
        <v>0.98713235734756299</v>
      </c>
      <c r="F16" s="81"/>
      <c r="G16" s="99">
        <f>B16/24</f>
        <v>8.3333333333333329E-2</v>
      </c>
      <c r="H16" s="99">
        <f t="shared" si="3"/>
        <v>0.98713235734756299</v>
      </c>
      <c r="I16" s="105">
        <f t="shared" si="1"/>
        <v>8.6483619940000001</v>
      </c>
      <c r="J16" s="109">
        <f t="shared" si="4"/>
        <v>1.8389548464736179E-4</v>
      </c>
      <c r="K16" s="106"/>
      <c r="L16" s="110"/>
      <c r="M16" s="81"/>
      <c r="P16" s="81"/>
      <c r="Q16" s="81"/>
      <c r="R16" s="81"/>
    </row>
    <row r="17" spans="1:18">
      <c r="A17" s="81"/>
      <c r="B17" s="99">
        <v>3</v>
      </c>
      <c r="C17" s="107">
        <v>3796476</v>
      </c>
      <c r="D17" s="104">
        <f t="shared" si="0"/>
        <v>8.4174579559999998</v>
      </c>
      <c r="E17" s="108">
        <f t="shared" si="2"/>
        <v>0.9607767483304861</v>
      </c>
      <c r="F17" s="81"/>
      <c r="G17" s="99">
        <f>B17/24</f>
        <v>0.125</v>
      </c>
      <c r="H17" s="99">
        <f t="shared" si="3"/>
        <v>0.9607767483304861</v>
      </c>
      <c r="I17" s="105">
        <f t="shared" si="1"/>
        <v>8.4174579559999998</v>
      </c>
      <c r="J17" s="109">
        <f t="shared" si="4"/>
        <v>5.6055169311409493E-4</v>
      </c>
      <c r="K17" s="106"/>
      <c r="L17" s="110"/>
      <c r="M17" s="81"/>
      <c r="P17" s="81"/>
      <c r="Q17" s="81"/>
      <c r="R17" s="81"/>
    </row>
    <row r="18" spans="1:18">
      <c r="A18" s="81"/>
      <c r="B18" s="99">
        <v>6</v>
      </c>
      <c r="C18" s="107">
        <v>3682041</v>
      </c>
      <c r="D18" s="104">
        <f t="shared" si="0"/>
        <v>8.1621534709999999</v>
      </c>
      <c r="E18" s="108">
        <f t="shared" si="2"/>
        <v>0.93163604882064832</v>
      </c>
      <c r="F18" s="81"/>
      <c r="G18" s="99">
        <f>B18/24</f>
        <v>0.25</v>
      </c>
      <c r="H18" s="99">
        <f t="shared" si="3"/>
        <v>0.93163604882064832</v>
      </c>
      <c r="I18" s="105">
        <f t="shared" si="1"/>
        <v>8.1621534709999999</v>
      </c>
      <c r="J18" s="109">
        <f t="shared" si="4"/>
        <v>9.770104963362882E-4</v>
      </c>
      <c r="K18" s="106"/>
      <c r="L18" s="110"/>
      <c r="M18" s="81"/>
      <c r="P18" s="81"/>
      <c r="Q18" s="81"/>
      <c r="R18" s="81"/>
    </row>
    <row r="19" spans="1:18">
      <c r="A19" s="81"/>
      <c r="B19" s="99">
        <v>12</v>
      </c>
      <c r="C19" s="107">
        <v>3451318</v>
      </c>
      <c r="D19" s="104">
        <f t="shared" si="0"/>
        <v>7.6474104579999995</v>
      </c>
      <c r="E19" s="108">
        <f t="shared" si="2"/>
        <v>0.87288278615618109</v>
      </c>
      <c r="F19" s="81"/>
      <c r="G19" s="99">
        <f>B19/24</f>
        <v>0.5</v>
      </c>
      <c r="H19" s="99">
        <f t="shared" si="3"/>
        <v>0.87288278615618109</v>
      </c>
      <c r="I19" s="105">
        <f t="shared" si="1"/>
        <v>7.6474104579999995</v>
      </c>
      <c r="J19" s="109">
        <f t="shared" si="4"/>
        <v>1.8166716529390249E-3</v>
      </c>
      <c r="K19" s="106"/>
      <c r="L19" s="110"/>
      <c r="M19" s="81"/>
      <c r="P19" s="81"/>
      <c r="Q19" s="81"/>
      <c r="R19" s="81"/>
    </row>
    <row r="20" spans="1:18">
      <c r="A20" s="81"/>
      <c r="B20" s="99">
        <v>1</v>
      </c>
      <c r="C20" s="97">
        <v>3248959</v>
      </c>
      <c r="D20" s="104">
        <f t="shared" si="0"/>
        <v>7.1959475289999997</v>
      </c>
      <c r="E20" s="108">
        <f t="shared" si="2"/>
        <v>0.821352373152194</v>
      </c>
      <c r="F20" s="81"/>
      <c r="G20" s="99">
        <f t="shared" ref="G20:G30" si="5">B20</f>
        <v>1</v>
      </c>
      <c r="H20" s="99">
        <f t="shared" si="3"/>
        <v>0.821352373152194</v>
      </c>
      <c r="I20" s="105">
        <f t="shared" si="1"/>
        <v>7.1959475289999997</v>
      </c>
      <c r="J20" s="109">
        <f t="shared" si="4"/>
        <v>2.5531088178032692E-3</v>
      </c>
      <c r="K20" s="106"/>
      <c r="L20" s="110"/>
      <c r="M20" s="81"/>
      <c r="P20" s="81"/>
      <c r="Q20" s="81"/>
      <c r="R20" s="81"/>
    </row>
    <row r="21" spans="1:18">
      <c r="A21" s="81"/>
      <c r="B21" s="99">
        <v>2</v>
      </c>
      <c r="C21" s="97">
        <v>3078541</v>
      </c>
      <c r="D21" s="104">
        <f t="shared" si="0"/>
        <v>6.815744971</v>
      </c>
      <c r="E21" s="108">
        <f t="shared" si="2"/>
        <v>0.77795568744356003</v>
      </c>
      <c r="F21" s="81"/>
      <c r="G21" s="99">
        <f t="shared" si="5"/>
        <v>2</v>
      </c>
      <c r="H21" s="99">
        <f t="shared" si="3"/>
        <v>0.77795568744356003</v>
      </c>
      <c r="I21" s="105">
        <f t="shared" si="1"/>
        <v>6.815744971</v>
      </c>
      <c r="J21" s="109">
        <f t="shared" si="4"/>
        <v>3.1733043552482788E-3</v>
      </c>
      <c r="K21" s="106"/>
      <c r="L21" s="110"/>
      <c r="M21" s="81"/>
      <c r="P21" s="81"/>
      <c r="Q21" s="81"/>
      <c r="R21" s="81"/>
    </row>
    <row r="22" spans="1:18">
      <c r="A22" s="81"/>
      <c r="B22" s="99">
        <v>3</v>
      </c>
      <c r="C22" s="107">
        <v>2846824</v>
      </c>
      <c r="D22" s="104">
        <f t="shared" si="0"/>
        <v>6.2987843439999995</v>
      </c>
      <c r="E22" s="108">
        <f t="shared" si="2"/>
        <v>0.71894930418388348</v>
      </c>
      <c r="F22" s="81"/>
      <c r="G22" s="99">
        <f t="shared" si="5"/>
        <v>3</v>
      </c>
      <c r="H22" s="99">
        <f t="shared" si="3"/>
        <v>0.71894930418388348</v>
      </c>
      <c r="I22" s="105">
        <f t="shared" si="1"/>
        <v>6.2987843439999995</v>
      </c>
      <c r="J22" s="109">
        <f t="shared" si="4"/>
        <v>4.0165829370303998E-3</v>
      </c>
      <c r="K22" s="106"/>
      <c r="L22" s="110"/>
      <c r="M22" s="81"/>
      <c r="P22" s="81"/>
      <c r="Q22" s="81"/>
      <c r="R22" s="81"/>
    </row>
    <row r="23" spans="1:18">
      <c r="A23" s="81"/>
      <c r="B23" s="99">
        <v>5</v>
      </c>
      <c r="C23" s="107">
        <v>2412058</v>
      </c>
      <c r="D23" s="104">
        <f t="shared" si="0"/>
        <v>5.3288213979999997</v>
      </c>
      <c r="E23" s="108">
        <f t="shared" si="2"/>
        <v>0.60823680046479289</v>
      </c>
      <c r="F23" s="81"/>
      <c r="G23" s="99">
        <f t="shared" si="5"/>
        <v>5</v>
      </c>
      <c r="H23" s="99">
        <f t="shared" si="3"/>
        <v>0.60823680046479289</v>
      </c>
      <c r="I23" s="105">
        <f t="shared" si="1"/>
        <v>5.3288213979999997</v>
      </c>
      <c r="J23" s="109">
        <f t="shared" si="4"/>
        <v>5.598809773590019E-3</v>
      </c>
      <c r="K23" s="106"/>
      <c r="L23" s="110"/>
      <c r="M23" s="81"/>
      <c r="P23" s="81"/>
      <c r="Q23" s="81"/>
      <c r="R23" s="81"/>
    </row>
    <row r="24" spans="1:18">
      <c r="A24" s="81"/>
      <c r="B24" s="99">
        <v>7</v>
      </c>
      <c r="C24" s="107">
        <v>1909234</v>
      </c>
      <c r="D24" s="104">
        <f t="shared" si="0"/>
        <v>4.2070210540000001</v>
      </c>
      <c r="E24" s="108">
        <f t="shared" si="2"/>
        <v>0.4801934300769336</v>
      </c>
      <c r="F24" s="81"/>
      <c r="G24" s="99">
        <f t="shared" si="5"/>
        <v>7</v>
      </c>
      <c r="H24" s="99">
        <f t="shared" si="3"/>
        <v>0.4801934300769336</v>
      </c>
      <c r="I24" s="105">
        <f t="shared" si="1"/>
        <v>4.2070210540000001</v>
      </c>
      <c r="J24" s="109">
        <f t="shared" si="4"/>
        <v>7.4287174178544147E-3</v>
      </c>
      <c r="K24" s="81"/>
      <c r="L24" s="81"/>
      <c r="M24" s="81"/>
      <c r="P24" s="81"/>
      <c r="Q24" s="81"/>
      <c r="R24" s="81"/>
    </row>
    <row r="25" spans="1:18">
      <c r="A25" s="81"/>
      <c r="B25" s="99">
        <v>10</v>
      </c>
      <c r="C25" s="107">
        <v>1598260</v>
      </c>
      <c r="D25" s="104">
        <f t="shared" si="0"/>
        <v>3.5132380599999999</v>
      </c>
      <c r="E25" s="108">
        <f t="shared" si="2"/>
        <v>0.40100437175236248</v>
      </c>
      <c r="F25" s="81"/>
      <c r="G25" s="99">
        <f t="shared" si="5"/>
        <v>10</v>
      </c>
      <c r="H25" s="99">
        <f t="shared" si="3"/>
        <v>0.40100437175236248</v>
      </c>
      <c r="I25" s="105">
        <f t="shared" si="1"/>
        <v>3.5132380599999999</v>
      </c>
      <c r="J25" s="109">
        <f t="shared" si="4"/>
        <v>8.56043288841166E-3</v>
      </c>
      <c r="K25" s="81"/>
      <c r="L25" s="81"/>
      <c r="M25" s="81"/>
      <c r="P25" s="81"/>
      <c r="Q25" s="81"/>
      <c r="R25" s="81"/>
    </row>
    <row r="26" spans="1:18">
      <c r="A26" s="81"/>
      <c r="B26" s="99">
        <v>12</v>
      </c>
      <c r="C26" s="107">
        <v>1288623</v>
      </c>
      <c r="D26" s="104">
        <f t="shared" si="0"/>
        <v>2.8224379129999999</v>
      </c>
      <c r="E26" s="108">
        <f t="shared" si="2"/>
        <v>0.32215577845374194</v>
      </c>
      <c r="F26" s="81"/>
      <c r="G26" s="99">
        <f t="shared" si="5"/>
        <v>12</v>
      </c>
      <c r="H26" s="99">
        <f t="shared" si="3"/>
        <v>0.32215577845374194</v>
      </c>
      <c r="I26" s="105">
        <f t="shared" si="1"/>
        <v>2.8224379129999999</v>
      </c>
      <c r="J26" s="109">
        <f t="shared" si="4"/>
        <v>9.6872826673543803E-3</v>
      </c>
      <c r="K26" s="81"/>
      <c r="L26" s="81"/>
      <c r="M26" s="81"/>
      <c r="P26" s="81"/>
      <c r="Q26" s="81"/>
      <c r="R26" s="81"/>
    </row>
    <row r="27" spans="1:18">
      <c r="A27" s="81"/>
      <c r="B27" s="99">
        <v>14</v>
      </c>
      <c r="C27" s="107">
        <v>998259</v>
      </c>
      <c r="D27" s="104">
        <f t="shared" si="0"/>
        <v>2.1746358289999996</v>
      </c>
      <c r="E27" s="108">
        <f t="shared" si="2"/>
        <v>0.24821502542822926</v>
      </c>
      <c r="F27" s="81"/>
      <c r="G27" s="99">
        <f t="shared" si="5"/>
        <v>14</v>
      </c>
      <c r="H27" s="99">
        <f t="shared" si="3"/>
        <v>0.24821502542822926</v>
      </c>
      <c r="I27" s="105">
        <f t="shared" si="1"/>
        <v>2.1746358289999996</v>
      </c>
      <c r="J27" s="109">
        <f t="shared" si="4"/>
        <v>1.0743992973980928E-2</v>
      </c>
      <c r="K27" s="81"/>
      <c r="L27" s="81"/>
      <c r="M27" s="81"/>
      <c r="P27" s="81"/>
      <c r="Q27" s="81"/>
      <c r="R27" s="81"/>
    </row>
    <row r="28" spans="1:18">
      <c r="A28" s="81"/>
      <c r="B28" s="99">
        <v>16</v>
      </c>
      <c r="C28" s="107">
        <v>898761</v>
      </c>
      <c r="D28" s="104">
        <f t="shared" si="0"/>
        <v>1.9526557909999998</v>
      </c>
      <c r="E28" s="108">
        <f t="shared" si="2"/>
        <v>0.22287801035565671</v>
      </c>
      <c r="F28" s="81"/>
      <c r="G28" s="99">
        <f t="shared" si="5"/>
        <v>16</v>
      </c>
      <c r="H28" s="99">
        <f t="shared" si="3"/>
        <v>0.22287801035565671</v>
      </c>
      <c r="I28" s="105">
        <f t="shared" si="1"/>
        <v>1.9526557909999998</v>
      </c>
      <c r="J28" s="109">
        <f t="shared" si="4"/>
        <v>1.110609213947227E-2</v>
      </c>
      <c r="K28" s="81"/>
      <c r="L28" s="81"/>
      <c r="M28" s="81"/>
      <c r="P28" s="81"/>
      <c r="Q28" s="81"/>
      <c r="R28" s="81"/>
    </row>
    <row r="29" spans="1:18">
      <c r="A29" s="81"/>
      <c r="B29" s="99">
        <v>18</v>
      </c>
      <c r="C29" s="107">
        <v>885754</v>
      </c>
      <c r="D29" s="104">
        <f t="shared" si="0"/>
        <v>1.9236371739999998</v>
      </c>
      <c r="E29" s="108">
        <f t="shared" si="2"/>
        <v>0.21956579749661484</v>
      </c>
      <c r="F29" s="81"/>
      <c r="G29" s="99">
        <f t="shared" si="5"/>
        <v>18</v>
      </c>
      <c r="H29" s="99">
        <f t="shared" si="3"/>
        <v>0.21956579749661484</v>
      </c>
      <c r="I29" s="105">
        <f t="shared" si="1"/>
        <v>1.9236371739999998</v>
      </c>
      <c r="J29" s="109">
        <f t="shared" si="4"/>
        <v>1.1153428003967495E-2</v>
      </c>
      <c r="K29" s="81"/>
      <c r="L29" s="81"/>
      <c r="M29" s="81"/>
      <c r="P29" s="81"/>
      <c r="Q29" s="81"/>
      <c r="R29" s="81"/>
    </row>
    <row r="30" spans="1:18">
      <c r="A30" s="87"/>
      <c r="B30" s="99">
        <v>20</v>
      </c>
      <c r="C30" s="107">
        <v>883264</v>
      </c>
      <c r="D30" s="104">
        <f t="shared" si="0"/>
        <v>1.9180819839999999</v>
      </c>
      <c r="E30" s="108">
        <f t="shared" si="2"/>
        <v>0.21893172276616091</v>
      </c>
      <c r="F30" s="87"/>
      <c r="G30" s="99">
        <f t="shared" si="5"/>
        <v>20</v>
      </c>
      <c r="H30" s="99">
        <f t="shared" si="3"/>
        <v>0.21893172276616091</v>
      </c>
      <c r="I30" s="105">
        <f t="shared" si="1"/>
        <v>1.9180819839999999</v>
      </c>
      <c r="J30" s="109">
        <f t="shared" si="4"/>
        <v>1.1162489763219676E-2</v>
      </c>
      <c r="K30" s="87"/>
      <c r="L30" s="87"/>
      <c r="M30" s="87"/>
      <c r="P30" s="81"/>
      <c r="Q30" s="81"/>
      <c r="R30" s="81"/>
    </row>
    <row r="31" spans="1:18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P31" s="81"/>
      <c r="Q31" s="81"/>
      <c r="R31" s="81"/>
    </row>
    <row r="32" spans="1:18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P32" s="81"/>
      <c r="Q32" s="81"/>
      <c r="R32" s="81"/>
    </row>
    <row r="33" spans="1:18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111"/>
      <c r="O33" s="87"/>
      <c r="P33" s="81"/>
      <c r="Q33" s="81"/>
      <c r="R33" s="81"/>
    </row>
    <row r="34" spans="1:18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112"/>
      <c r="O34" s="87"/>
      <c r="P34" s="81"/>
      <c r="Q34" s="81"/>
      <c r="R34" s="81"/>
    </row>
    <row r="35" spans="1:18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1"/>
      <c r="Q35" s="81"/>
      <c r="R35" s="81"/>
    </row>
    <row r="36" spans="1:18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1"/>
      <c r="Q36" s="81"/>
      <c r="R36" s="81"/>
    </row>
    <row r="37" spans="1:18">
      <c r="A37" s="87"/>
      <c r="B37" s="87"/>
      <c r="C37" s="99" t="s">
        <v>67</v>
      </c>
      <c r="D37" s="101" t="str">
        <f>J13</f>
        <v>C*=(Co-C)*V/m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1"/>
      <c r="Q37" s="81"/>
      <c r="R37" s="81"/>
    </row>
    <row r="38" spans="1:18">
      <c r="A38" s="87"/>
      <c r="B38" s="87"/>
      <c r="C38" s="107">
        <f>0</f>
        <v>0</v>
      </c>
      <c r="D38" s="101">
        <f>0</f>
        <v>0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1"/>
      <c r="Q38" s="81"/>
      <c r="R38" s="81"/>
    </row>
    <row r="39" spans="1:18">
      <c r="A39" s="87"/>
      <c r="B39" s="87"/>
      <c r="C39" s="107">
        <f t="shared" ref="C39:C54" si="6">G15</f>
        <v>4.1666666666666664E-2</v>
      </c>
      <c r="D39" s="109">
        <f t="shared" ref="D39:D54" si="7">J15</f>
        <v>3.2342110230573231E-4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1"/>
      <c r="Q39" s="81"/>
      <c r="R39" s="81"/>
    </row>
    <row r="40" spans="1:18">
      <c r="A40" s="87"/>
      <c r="B40" s="87"/>
      <c r="C40" s="107">
        <f t="shared" si="6"/>
        <v>8.3333333333333329E-2</v>
      </c>
      <c r="D40" s="109">
        <f t="shared" si="7"/>
        <v>1.8389548464736179E-4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1"/>
      <c r="Q40" s="81"/>
      <c r="R40" s="81"/>
    </row>
    <row r="41" spans="1:18">
      <c r="A41" s="87"/>
      <c r="B41" s="87"/>
      <c r="C41" s="107">
        <f t="shared" si="6"/>
        <v>0.125</v>
      </c>
      <c r="D41" s="109">
        <f t="shared" si="7"/>
        <v>5.6055169311409493E-4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1"/>
      <c r="Q41" s="81"/>
      <c r="R41" s="81"/>
    </row>
    <row r="42" spans="1:18">
      <c r="A42" s="87"/>
      <c r="B42" s="87"/>
      <c r="C42" s="107">
        <f t="shared" si="6"/>
        <v>0.25</v>
      </c>
      <c r="D42" s="109">
        <f t="shared" si="7"/>
        <v>9.770104963362882E-4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1"/>
      <c r="Q42" s="81"/>
      <c r="R42" s="81"/>
    </row>
    <row r="43" spans="1:18">
      <c r="A43" s="87"/>
      <c r="B43" s="87"/>
      <c r="C43" s="107">
        <f t="shared" si="6"/>
        <v>0.5</v>
      </c>
      <c r="D43" s="109">
        <f t="shared" si="7"/>
        <v>1.8166716529390249E-3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1"/>
      <c r="Q43" s="81"/>
      <c r="R43" s="81"/>
    </row>
    <row r="44" spans="1:18">
      <c r="A44" s="87"/>
      <c r="B44" s="87"/>
      <c r="C44" s="107">
        <f t="shared" si="6"/>
        <v>1</v>
      </c>
      <c r="D44" s="109">
        <f t="shared" si="7"/>
        <v>2.5531088178032692E-3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1"/>
      <c r="Q44" s="81"/>
      <c r="R44" s="81"/>
    </row>
    <row r="45" spans="1:18">
      <c r="A45" s="87"/>
      <c r="B45" s="87"/>
      <c r="C45" s="107">
        <f t="shared" si="6"/>
        <v>2</v>
      </c>
      <c r="D45" s="109">
        <f t="shared" si="7"/>
        <v>3.1733043552482788E-3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1"/>
      <c r="Q45" s="81"/>
      <c r="R45" s="81"/>
    </row>
    <row r="46" spans="1:18">
      <c r="A46" s="87"/>
      <c r="B46" s="87"/>
      <c r="C46" s="107">
        <f t="shared" si="6"/>
        <v>3</v>
      </c>
      <c r="D46" s="109">
        <f t="shared" si="7"/>
        <v>4.0165829370303998E-3</v>
      </c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1"/>
      <c r="Q46" s="81"/>
      <c r="R46" s="81"/>
    </row>
    <row r="47" spans="1:18">
      <c r="A47" s="87"/>
      <c r="B47" s="87"/>
      <c r="C47" s="107">
        <f t="shared" si="6"/>
        <v>5</v>
      </c>
      <c r="D47" s="109">
        <f t="shared" si="7"/>
        <v>5.598809773590019E-3</v>
      </c>
      <c r="H47" s="87"/>
      <c r="I47" s="87"/>
      <c r="J47" s="87"/>
      <c r="K47" s="87"/>
      <c r="L47" s="87"/>
      <c r="M47" s="87"/>
      <c r="N47" s="87"/>
      <c r="O47" s="87"/>
      <c r="P47" s="81"/>
      <c r="Q47" s="81"/>
      <c r="R47" s="81"/>
    </row>
    <row r="48" spans="1:18">
      <c r="A48" s="87"/>
      <c r="B48" s="87"/>
      <c r="C48" s="107">
        <f t="shared" si="6"/>
        <v>7</v>
      </c>
      <c r="D48" s="109">
        <f t="shared" si="7"/>
        <v>7.4287174178544147E-3</v>
      </c>
      <c r="H48" s="87"/>
      <c r="I48" s="87"/>
      <c r="J48" s="87"/>
      <c r="K48" s="87"/>
      <c r="L48" s="87"/>
      <c r="M48" s="87"/>
      <c r="N48" s="87"/>
      <c r="O48" s="87"/>
      <c r="P48" s="81"/>
      <c r="Q48" s="81"/>
      <c r="R48" s="81"/>
    </row>
    <row r="49" spans="1:18">
      <c r="A49" s="87"/>
      <c r="B49" s="87"/>
      <c r="C49" s="107">
        <f t="shared" si="6"/>
        <v>10</v>
      </c>
      <c r="D49" s="109">
        <f t="shared" si="7"/>
        <v>8.56043288841166E-3</v>
      </c>
      <c r="H49" s="87"/>
      <c r="I49" s="87"/>
      <c r="J49" s="87"/>
      <c r="K49" s="87"/>
      <c r="L49" s="87"/>
      <c r="M49" s="87"/>
      <c r="N49" s="87"/>
      <c r="O49" s="87"/>
      <c r="P49" s="81"/>
      <c r="Q49" s="81"/>
      <c r="R49" s="81"/>
    </row>
    <row r="50" spans="1:18">
      <c r="A50" s="87"/>
      <c r="B50" s="113"/>
      <c r="C50" s="107">
        <f t="shared" si="6"/>
        <v>12</v>
      </c>
      <c r="D50" s="109">
        <f t="shared" si="7"/>
        <v>9.6872826673543803E-3</v>
      </c>
      <c r="H50" s="87"/>
      <c r="I50" s="87"/>
      <c r="J50" s="87"/>
      <c r="K50" s="87"/>
      <c r="L50" s="87"/>
      <c r="M50" s="87"/>
      <c r="N50" s="87"/>
      <c r="O50" s="87"/>
      <c r="P50" s="81"/>
      <c r="Q50" s="81"/>
      <c r="R50" s="81"/>
    </row>
    <row r="51" spans="1:18">
      <c r="A51" s="87"/>
      <c r="B51" s="91"/>
      <c r="C51" s="107">
        <f t="shared" si="6"/>
        <v>14</v>
      </c>
      <c r="D51" s="109">
        <f t="shared" si="7"/>
        <v>1.0743992973980928E-2</v>
      </c>
      <c r="H51" s="87"/>
      <c r="I51" s="87"/>
      <c r="J51" s="87"/>
      <c r="K51" s="87"/>
      <c r="L51" s="87"/>
      <c r="M51" s="87"/>
      <c r="N51" s="87"/>
      <c r="O51" s="87"/>
      <c r="P51" s="81"/>
      <c r="Q51" s="81"/>
      <c r="R51" s="81"/>
    </row>
    <row r="52" spans="1:18">
      <c r="A52" s="87"/>
      <c r="B52" s="113"/>
      <c r="C52" s="107">
        <f t="shared" si="6"/>
        <v>16</v>
      </c>
      <c r="D52" s="109">
        <f t="shared" si="7"/>
        <v>1.110609213947227E-2</v>
      </c>
      <c r="H52" s="87"/>
      <c r="I52" s="87"/>
      <c r="J52" s="87"/>
      <c r="K52" s="87"/>
      <c r="L52" s="87"/>
      <c r="M52" s="87"/>
      <c r="N52" s="87"/>
      <c r="O52" s="87"/>
      <c r="P52" s="81"/>
      <c r="Q52" s="81"/>
      <c r="R52" s="81"/>
    </row>
    <row r="53" spans="1:18">
      <c r="A53" s="87"/>
      <c r="B53" s="113"/>
      <c r="C53" s="107">
        <f t="shared" si="6"/>
        <v>18</v>
      </c>
      <c r="D53" s="109">
        <f t="shared" si="7"/>
        <v>1.1153428003967495E-2</v>
      </c>
      <c r="H53" s="87"/>
      <c r="I53" s="87"/>
      <c r="J53" s="87"/>
      <c r="K53" s="87"/>
      <c r="L53" s="87"/>
      <c r="M53" s="87"/>
      <c r="N53" s="87"/>
      <c r="O53" s="87"/>
      <c r="P53" s="81"/>
      <c r="Q53" s="81"/>
      <c r="R53" s="81"/>
    </row>
    <row r="54" spans="1:18">
      <c r="A54" s="87"/>
      <c r="B54" s="113"/>
      <c r="C54" s="107">
        <f t="shared" si="6"/>
        <v>20</v>
      </c>
      <c r="D54" s="109">
        <f t="shared" si="7"/>
        <v>1.1162489763219676E-2</v>
      </c>
      <c r="H54" s="87"/>
      <c r="I54" s="87"/>
      <c r="J54" s="87"/>
      <c r="K54" s="87"/>
      <c r="L54" s="87"/>
      <c r="M54" s="87"/>
      <c r="N54" s="87"/>
      <c r="O54" s="87"/>
      <c r="P54" s="81"/>
      <c r="Q54" s="81"/>
      <c r="R54" s="81"/>
    </row>
    <row r="55" spans="1:18">
      <c r="A55" s="87"/>
      <c r="B55" s="113"/>
      <c r="H55" s="87"/>
      <c r="I55" s="87"/>
      <c r="J55" s="87"/>
      <c r="K55" s="87"/>
      <c r="L55" s="87"/>
      <c r="M55" s="87"/>
      <c r="N55" s="87"/>
      <c r="O55" s="87"/>
      <c r="P55" s="81"/>
      <c r="Q55" s="81"/>
      <c r="R55" s="81"/>
    </row>
    <row r="56" spans="1:18">
      <c r="A56" s="87"/>
      <c r="B56" s="113"/>
      <c r="H56" s="87"/>
      <c r="I56" s="87"/>
      <c r="J56" s="87"/>
      <c r="K56" s="87"/>
      <c r="L56" s="87"/>
      <c r="M56" s="87"/>
      <c r="N56" s="87"/>
      <c r="O56" s="87"/>
      <c r="P56" s="81"/>
      <c r="Q56" s="81"/>
      <c r="R56" s="81"/>
    </row>
    <row r="57" spans="1:18">
      <c r="A57" s="87"/>
      <c r="B57" s="113"/>
      <c r="H57" s="87"/>
      <c r="I57" s="87"/>
      <c r="J57" s="87"/>
      <c r="K57" s="87"/>
      <c r="L57" s="87"/>
      <c r="M57" s="87"/>
      <c r="N57" s="87"/>
      <c r="O57" s="87"/>
      <c r="P57" s="81"/>
      <c r="Q57" s="81"/>
      <c r="R57" s="81"/>
    </row>
    <row r="58" spans="1:18">
      <c r="A58" s="87"/>
      <c r="B58" s="113"/>
      <c r="H58" s="87"/>
      <c r="I58" s="87"/>
      <c r="J58" s="87"/>
      <c r="K58" s="87"/>
      <c r="L58" s="87"/>
      <c r="M58" s="87"/>
      <c r="N58" s="87"/>
      <c r="O58" s="87"/>
      <c r="P58" s="81"/>
      <c r="Q58" s="81"/>
      <c r="R58" s="81"/>
    </row>
    <row r="59" spans="1:18">
      <c r="A59" s="87"/>
      <c r="B59" s="113"/>
      <c r="H59" s="87"/>
      <c r="I59" s="87"/>
      <c r="J59" s="87"/>
      <c r="K59" s="87"/>
      <c r="L59" s="87"/>
      <c r="M59" s="87"/>
      <c r="N59" s="87"/>
      <c r="O59" s="87"/>
      <c r="P59" s="81"/>
      <c r="Q59" s="81"/>
      <c r="R59" s="81"/>
    </row>
    <row r="60" spans="1:18">
      <c r="C60" s="87"/>
      <c r="D60" s="87"/>
      <c r="E60" s="87"/>
      <c r="F60" s="87"/>
      <c r="G60" s="87"/>
    </row>
    <row r="61" spans="1:18">
      <c r="C61" t="s">
        <v>82</v>
      </c>
      <c r="G61" s="87"/>
    </row>
    <row r="62" spans="1:18">
      <c r="C62" t="s">
        <v>83</v>
      </c>
      <c r="G62" s="87"/>
    </row>
    <row r="63" spans="1:18">
      <c r="G63" s="113"/>
    </row>
    <row r="64" spans="1:18">
      <c r="D64" t="s">
        <v>84</v>
      </c>
      <c r="E64" t="s">
        <v>85</v>
      </c>
      <c r="F64" t="s">
        <v>86</v>
      </c>
      <c r="G64" s="113"/>
    </row>
    <row r="65" spans="3:7">
      <c r="C65" t="s">
        <v>87</v>
      </c>
      <c r="D65">
        <v>8.0817499999999995</v>
      </c>
      <c r="E65">
        <v>4.62507</v>
      </c>
      <c r="F65">
        <v>11.538399999999999</v>
      </c>
      <c r="G65" s="113"/>
    </row>
    <row r="66" spans="3:7">
      <c r="C66" t="s">
        <v>88</v>
      </c>
      <c r="D66" s="78">
        <v>1.6112399999999999E-2</v>
      </c>
      <c r="E66" s="78">
        <v>1.4114120000000001E-2</v>
      </c>
      <c r="F66" s="78">
        <v>1.8110680000000001E-2</v>
      </c>
      <c r="G66" s="113"/>
    </row>
    <row r="67" spans="3:7">
      <c r="G67" s="113"/>
    </row>
    <row r="68" spans="3:7">
      <c r="G68" s="113"/>
    </row>
    <row r="69" spans="3:7">
      <c r="C69" t="s">
        <v>89</v>
      </c>
      <c r="D69" t="s">
        <v>90</v>
      </c>
      <c r="E69" t="s">
        <v>91</v>
      </c>
      <c r="G69" s="113"/>
    </row>
    <row r="70" spans="3:7">
      <c r="C70" s="78">
        <v>0</v>
      </c>
      <c r="D70">
        <v>0</v>
      </c>
      <c r="E70">
        <v>0</v>
      </c>
      <c r="G70" s="113"/>
    </row>
    <row r="71" spans="3:7">
      <c r="C71" s="78">
        <v>4.1666666999999998E-2</v>
      </c>
      <c r="D71" s="78">
        <v>4.8909799999999999E-4</v>
      </c>
      <c r="E71" s="78">
        <v>8.6949050000000001E-5</v>
      </c>
      <c r="G71" s="113"/>
    </row>
    <row r="72" spans="3:7">
      <c r="C72" s="78">
        <v>8.3333332999999996E-2</v>
      </c>
      <c r="D72" s="78">
        <v>3.49573E-4</v>
      </c>
      <c r="E72" s="78">
        <v>1.729647E-4</v>
      </c>
      <c r="G72" s="113"/>
    </row>
    <row r="73" spans="3:7">
      <c r="C73" s="78">
        <v>0.125</v>
      </c>
      <c r="D73" s="78">
        <v>7.26229E-4</v>
      </c>
      <c r="E73" s="78">
        <v>2.580619E-4</v>
      </c>
    </row>
    <row r="74" spans="3:7">
      <c r="C74" s="78">
        <v>0.25</v>
      </c>
      <c r="D74" s="78">
        <v>1.14269E-3</v>
      </c>
      <c r="E74" s="78">
        <v>5.0798779999999995E-4</v>
      </c>
    </row>
    <row r="75" spans="3:7">
      <c r="C75" s="78">
        <v>0.5</v>
      </c>
      <c r="D75" s="78">
        <v>1.9823499999999999E-3</v>
      </c>
      <c r="E75" s="78">
        <v>9.8492279999999989E-4</v>
      </c>
    </row>
    <row r="76" spans="3:7">
      <c r="C76" s="78">
        <v>1</v>
      </c>
      <c r="D76" s="78">
        <v>2.71879E-3</v>
      </c>
      <c r="E76" s="78">
        <v>1.8563659999999999E-3</v>
      </c>
    </row>
    <row r="77" spans="3:7">
      <c r="C77" s="78">
        <v>2</v>
      </c>
      <c r="D77" s="78">
        <v>3.3389800000000001E-3</v>
      </c>
      <c r="E77" s="78">
        <v>3.3291599999999998E-3</v>
      </c>
    </row>
    <row r="78" spans="3:7">
      <c r="C78" s="78">
        <v>3</v>
      </c>
      <c r="D78" s="78">
        <v>4.1822600000000001E-3</v>
      </c>
      <c r="E78" s="78">
        <v>4.5261429999999998E-3</v>
      </c>
    </row>
    <row r="79" spans="3:7">
      <c r="C79" s="78">
        <v>5</v>
      </c>
      <c r="D79" s="78">
        <v>5.7644899999999997E-3</v>
      </c>
      <c r="E79" s="78">
        <v>6.3536019999999999E-3</v>
      </c>
    </row>
    <row r="80" spans="3:7">
      <c r="C80" s="78">
        <v>7</v>
      </c>
      <c r="D80" s="78">
        <v>7.5943900000000003E-3</v>
      </c>
      <c r="E80" s="78">
        <v>7.6831640000000001E-3</v>
      </c>
    </row>
    <row r="81" spans="3:5">
      <c r="C81" s="78">
        <v>10</v>
      </c>
      <c r="D81" s="78">
        <v>8.7261100000000005E-3</v>
      </c>
      <c r="E81" s="78">
        <v>9.1134089999999994E-3</v>
      </c>
    </row>
    <row r="82" spans="3:5">
      <c r="C82" s="78">
        <v>12</v>
      </c>
      <c r="D82" s="78">
        <v>9.85428E-3</v>
      </c>
      <c r="E82" s="78">
        <v>9.8246489999999995E-3</v>
      </c>
    </row>
    <row r="83" spans="3:5">
      <c r="C83" s="78">
        <v>14</v>
      </c>
      <c r="D83" s="78">
        <v>1.09097E-2</v>
      </c>
      <c r="E83" s="78">
        <v>1.0404709999999999E-2</v>
      </c>
    </row>
    <row r="84" spans="3:5">
      <c r="C84" s="78">
        <v>16</v>
      </c>
      <c r="D84" s="78">
        <v>1.12736E-2</v>
      </c>
      <c r="E84" s="78">
        <v>1.088679E-2</v>
      </c>
    </row>
    <row r="85" spans="3:5">
      <c r="C85" s="78">
        <v>18</v>
      </c>
      <c r="D85" s="78">
        <v>1.13191E-2</v>
      </c>
      <c r="E85" s="78">
        <v>1.129378E-2</v>
      </c>
    </row>
    <row r="86" spans="3:5">
      <c r="C86" s="78">
        <v>20</v>
      </c>
      <c r="D86" s="78">
        <v>1.13282E-2</v>
      </c>
      <c r="E86" s="78">
        <v>1.164189E-2</v>
      </c>
    </row>
  </sheetData>
  <mergeCells count="1">
    <mergeCell ref="B12:E1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1"/>
  <sheetViews>
    <sheetView zoomScale="85" zoomScaleNormal="85" zoomScalePageLayoutView="85" workbookViewId="0">
      <selection activeCell="F21" sqref="F21"/>
    </sheetView>
  </sheetViews>
  <sheetFormatPr baseColWidth="10" defaultColWidth="8.83203125" defaultRowHeight="14" x14ac:dyDescent="0"/>
  <cols>
    <col min="1" max="1025" width="8.83203125" style="114"/>
  </cols>
  <sheetData>
    <row r="1" spans="1:23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>
      <c r="A2" s="81" t="s">
        <v>77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>
      <c r="A3" s="85" t="s">
        <v>98</v>
      </c>
      <c r="B3" s="81"/>
      <c r="C3" s="81"/>
      <c r="D3" s="81"/>
      <c r="E3" s="81"/>
      <c r="F3" s="81"/>
      <c r="G3" s="81">
        <v>3623576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3">
      <c r="A4" s="81"/>
      <c r="B4" s="81"/>
      <c r="C4" s="85" t="s">
        <v>57</v>
      </c>
      <c r="D4" s="85"/>
      <c r="E4" s="85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>
      <c r="A5" s="81"/>
      <c r="B5" s="87"/>
      <c r="C5" s="115" t="s">
        <v>99</v>
      </c>
      <c r="D5" s="116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spans="1:23">
      <c r="A6" s="87"/>
      <c r="B6" s="87"/>
      <c r="C6" s="81" t="s">
        <v>59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 spans="1:23">
      <c r="A7" s="87"/>
      <c r="B7" s="87"/>
      <c r="C7" s="81" t="s">
        <v>60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 spans="1:23">
      <c r="A8" s="87"/>
      <c r="B8" s="81"/>
      <c r="C8" s="81"/>
      <c r="D8" s="81"/>
      <c r="E8" s="81"/>
      <c r="F8" s="81"/>
      <c r="G8" s="97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 spans="1:23">
      <c r="A9" s="81"/>
      <c r="B9" s="81"/>
      <c r="C9" s="81"/>
      <c r="D9" s="81">
        <f>2.231*10^(-6)</f>
        <v>2.2309999999999999E-6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 spans="1:23">
      <c r="A10" s="81"/>
      <c r="B10" s="91"/>
      <c r="C10" s="98"/>
      <c r="D10" s="98">
        <v>-5.2479999999999999E-2</v>
      </c>
      <c r="E10" s="9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spans="1:23">
      <c r="A11" s="81"/>
      <c r="B11" s="210" t="s">
        <v>100</v>
      </c>
      <c r="C11" s="210"/>
      <c r="D11" s="210"/>
      <c r="E11" s="21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1:23">
      <c r="A12" s="81"/>
      <c r="B12" s="99" t="s">
        <v>62</v>
      </c>
      <c r="C12" s="100" t="s">
        <v>63</v>
      </c>
      <c r="D12" s="100" t="s">
        <v>64</v>
      </c>
      <c r="E12" s="100" t="s">
        <v>65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spans="1:23">
      <c r="A13" s="81"/>
      <c r="B13" s="99" t="s">
        <v>66</v>
      </c>
      <c r="C13" s="103">
        <v>3950505</v>
      </c>
      <c r="D13" s="117">
        <f t="shared" ref="D13:D29" si="0">$D$9*C13+$D$10</f>
        <v>8.7610966550000011</v>
      </c>
      <c r="E13" s="117"/>
      <c r="F13" s="81"/>
      <c r="G13" s="99" t="s">
        <v>67</v>
      </c>
      <c r="H13" s="99" t="s">
        <v>65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>
      <c r="A14" s="81"/>
      <c r="B14" s="99">
        <v>1</v>
      </c>
      <c r="C14" s="99">
        <v>3488871</v>
      </c>
      <c r="D14" s="117">
        <f t="shared" si="0"/>
        <v>7.7311912009999997</v>
      </c>
      <c r="E14" s="117">
        <f t="shared" ref="E14:E29" si="1">D14/($D$13)</f>
        <v>0.88244560075567369</v>
      </c>
      <c r="F14" s="81"/>
      <c r="G14" s="114">
        <v>0</v>
      </c>
      <c r="H14" s="114">
        <v>1</v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  <row r="15" spans="1:23">
      <c r="A15" s="81"/>
      <c r="B15" s="99">
        <v>2</v>
      </c>
      <c r="C15" s="99">
        <v>3600150</v>
      </c>
      <c r="D15" s="117">
        <f t="shared" si="0"/>
        <v>7.9794546500000001</v>
      </c>
      <c r="E15" s="117">
        <f t="shared" si="1"/>
        <v>0.9107826296432977</v>
      </c>
      <c r="F15" s="81"/>
      <c r="G15" s="118">
        <f>B14/24</f>
        <v>4.1666666666666664E-2</v>
      </c>
      <c r="H15" s="119">
        <f t="shared" ref="H15:H30" si="2">E14</f>
        <v>0.88244560075567369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</row>
    <row r="16" spans="1:23">
      <c r="A16" s="81"/>
      <c r="B16" s="99">
        <v>3</v>
      </c>
      <c r="C16" s="99">
        <v>3506987</v>
      </c>
      <c r="D16" s="117">
        <f t="shared" si="0"/>
        <v>7.7716079969999994</v>
      </c>
      <c r="E16" s="117">
        <f t="shared" si="1"/>
        <v>0.88705881273033371</v>
      </c>
      <c r="F16" s="81"/>
      <c r="G16" s="118">
        <f>B15/24</f>
        <v>8.3333333333333329E-2</v>
      </c>
      <c r="H16" s="119">
        <f t="shared" si="2"/>
        <v>0.9107826296432977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1:23">
      <c r="A17" s="81"/>
      <c r="B17" s="99">
        <v>6</v>
      </c>
      <c r="C17" s="99">
        <v>3517149</v>
      </c>
      <c r="D17" s="117">
        <f t="shared" si="0"/>
        <v>7.7942794189999995</v>
      </c>
      <c r="E17" s="117">
        <f t="shared" si="1"/>
        <v>0.88964655064634701</v>
      </c>
      <c r="F17" s="81"/>
      <c r="G17" s="118">
        <f>B16/24</f>
        <v>0.125</v>
      </c>
      <c r="H17" s="119">
        <f t="shared" si="2"/>
        <v>0.88705881273033371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</row>
    <row r="18" spans="1:23">
      <c r="A18" s="81"/>
      <c r="B18" s="99">
        <v>12</v>
      </c>
      <c r="C18" s="99">
        <v>3451916</v>
      </c>
      <c r="D18" s="117">
        <f t="shared" si="0"/>
        <v>7.6487445959999993</v>
      </c>
      <c r="E18" s="117">
        <f t="shared" si="1"/>
        <v>0.87303506595088443</v>
      </c>
      <c r="F18" s="81"/>
      <c r="G18" s="118">
        <f>B17/24</f>
        <v>0.25</v>
      </c>
      <c r="H18" s="119">
        <f t="shared" si="2"/>
        <v>0.88964655064634701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</row>
    <row r="19" spans="1:23">
      <c r="A19" s="81"/>
      <c r="B19" s="99">
        <v>1</v>
      </c>
      <c r="C19" s="99">
        <v>3474672</v>
      </c>
      <c r="D19" s="117">
        <f t="shared" si="0"/>
        <v>7.6995132319999993</v>
      </c>
      <c r="E19" s="117">
        <f t="shared" si="1"/>
        <v>0.8788298469011695</v>
      </c>
      <c r="F19" s="81"/>
      <c r="G19" s="118">
        <f>B18/24</f>
        <v>0.5</v>
      </c>
      <c r="H19" s="119">
        <f t="shared" si="2"/>
        <v>0.87303506595088443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</row>
    <row r="20" spans="1:23">
      <c r="A20" s="81"/>
      <c r="B20" s="99">
        <v>2</v>
      </c>
      <c r="C20" s="99">
        <v>3309555</v>
      </c>
      <c r="D20" s="117">
        <f t="shared" si="0"/>
        <v>7.3311372049999992</v>
      </c>
      <c r="E20" s="117">
        <f t="shared" si="1"/>
        <v>0.83678305281748977</v>
      </c>
      <c r="F20" s="81"/>
      <c r="G20" s="118">
        <f t="shared" ref="G20:G30" si="3">B19</f>
        <v>1</v>
      </c>
      <c r="H20" s="119">
        <f t="shared" si="2"/>
        <v>0.8788298469011695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</row>
    <row r="21" spans="1:23">
      <c r="A21" s="81"/>
      <c r="B21" s="99">
        <v>3</v>
      </c>
      <c r="C21" s="99">
        <v>3109422</v>
      </c>
      <c r="D21" s="117">
        <f t="shared" si="0"/>
        <v>6.884640482</v>
      </c>
      <c r="E21" s="117">
        <f t="shared" si="1"/>
        <v>0.78581948734361939</v>
      </c>
      <c r="F21" s="81"/>
      <c r="G21" s="118">
        <f t="shared" si="3"/>
        <v>2</v>
      </c>
      <c r="H21" s="119">
        <f t="shared" si="2"/>
        <v>0.83678305281748977</v>
      </c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23">
      <c r="A22" s="81"/>
      <c r="B22" s="99">
        <v>5</v>
      </c>
      <c r="C22" s="99">
        <v>2791469</v>
      </c>
      <c r="D22" s="117">
        <f t="shared" si="0"/>
        <v>6.1752873389999996</v>
      </c>
      <c r="E22" s="117">
        <f t="shared" si="1"/>
        <v>0.70485323723437443</v>
      </c>
      <c r="F22" s="81"/>
      <c r="G22" s="118">
        <f t="shared" si="3"/>
        <v>3</v>
      </c>
      <c r="H22" s="119">
        <f t="shared" si="2"/>
        <v>0.78581948734361939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</row>
    <row r="23" spans="1:23">
      <c r="A23" s="81"/>
      <c r="B23" s="99">
        <v>7</v>
      </c>
      <c r="C23" s="99">
        <v>2687532</v>
      </c>
      <c r="D23" s="117">
        <f t="shared" si="0"/>
        <v>5.9434038920000001</v>
      </c>
      <c r="E23" s="117">
        <f t="shared" si="1"/>
        <v>0.67838583753188819</v>
      </c>
      <c r="F23" s="81"/>
      <c r="G23" s="118">
        <f t="shared" si="3"/>
        <v>5</v>
      </c>
      <c r="H23" s="119">
        <f t="shared" si="2"/>
        <v>0.70485323723437443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</row>
    <row r="24" spans="1:23">
      <c r="A24" s="81"/>
      <c r="B24" s="99">
        <v>10</v>
      </c>
      <c r="C24" s="99">
        <v>2499836</v>
      </c>
      <c r="D24" s="117">
        <f t="shared" si="0"/>
        <v>5.5246541159999998</v>
      </c>
      <c r="E24" s="117">
        <f t="shared" si="1"/>
        <v>0.63058933527996774</v>
      </c>
      <c r="F24" s="81"/>
      <c r="G24" s="118">
        <f t="shared" si="3"/>
        <v>7</v>
      </c>
      <c r="H24" s="119">
        <f t="shared" si="2"/>
        <v>0.67838583753188819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spans="1:23">
      <c r="A25" s="81"/>
      <c r="B25" s="99">
        <v>12</v>
      </c>
      <c r="C25" s="99">
        <v>2245789</v>
      </c>
      <c r="D25" s="117">
        <f t="shared" si="0"/>
        <v>4.9578752589999997</v>
      </c>
      <c r="E25" s="117">
        <f t="shared" si="1"/>
        <v>0.56589665132509592</v>
      </c>
      <c r="F25" s="81"/>
      <c r="G25" s="118">
        <f t="shared" si="3"/>
        <v>10</v>
      </c>
      <c r="H25" s="119">
        <f t="shared" si="2"/>
        <v>0.63058933527996774</v>
      </c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</row>
    <row r="26" spans="1:23">
      <c r="A26" s="81"/>
      <c r="B26" s="99">
        <v>14</v>
      </c>
      <c r="C26" s="99">
        <v>2198541</v>
      </c>
      <c r="D26" s="117">
        <f t="shared" si="0"/>
        <v>4.8524649709999998</v>
      </c>
      <c r="E26" s="117">
        <f t="shared" si="1"/>
        <v>0.55386501965261092</v>
      </c>
      <c r="F26" s="81"/>
      <c r="G26" s="118">
        <f t="shared" si="3"/>
        <v>12</v>
      </c>
      <c r="H26" s="119">
        <f t="shared" si="2"/>
        <v>0.56589665132509592</v>
      </c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</row>
    <row r="27" spans="1:23">
      <c r="A27" s="81"/>
      <c r="B27" s="99">
        <v>16</v>
      </c>
      <c r="C27" s="99">
        <v>2157365</v>
      </c>
      <c r="D27" s="117">
        <f t="shared" si="0"/>
        <v>4.7606013149999997</v>
      </c>
      <c r="E27" s="117">
        <f t="shared" si="1"/>
        <v>0.54337961358788356</v>
      </c>
      <c r="F27" s="81"/>
      <c r="G27" s="118">
        <f t="shared" si="3"/>
        <v>14</v>
      </c>
      <c r="H27" s="119">
        <f t="shared" si="2"/>
        <v>0.55386501965261092</v>
      </c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</row>
    <row r="28" spans="1:23">
      <c r="A28" s="81"/>
      <c r="B28" s="99">
        <v>18</v>
      </c>
      <c r="C28" s="99">
        <v>1998752</v>
      </c>
      <c r="D28" s="117">
        <f t="shared" si="0"/>
        <v>4.4067357119999997</v>
      </c>
      <c r="E28" s="117">
        <f t="shared" si="1"/>
        <v>0.50298905325796783</v>
      </c>
      <c r="F28" s="81"/>
      <c r="G28" s="118">
        <f t="shared" si="3"/>
        <v>16</v>
      </c>
      <c r="H28" s="119">
        <f t="shared" si="2"/>
        <v>0.54337961358788356</v>
      </c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</row>
    <row r="29" spans="1:23">
      <c r="A29" s="81"/>
      <c r="B29" s="99">
        <v>20</v>
      </c>
      <c r="C29" s="99">
        <v>1962345</v>
      </c>
      <c r="D29" s="117">
        <f t="shared" si="0"/>
        <v>4.3255116949999994</v>
      </c>
      <c r="E29" s="117">
        <f t="shared" si="1"/>
        <v>0.49371806582357569</v>
      </c>
      <c r="F29" s="81"/>
      <c r="G29" s="118">
        <f t="shared" si="3"/>
        <v>18</v>
      </c>
      <c r="H29" s="119">
        <f t="shared" si="2"/>
        <v>0.50298905325796783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spans="1:23">
      <c r="A30" s="81"/>
      <c r="B30" s="81"/>
      <c r="C30" s="81"/>
      <c r="D30" s="81"/>
      <c r="E30" s="81"/>
      <c r="F30" s="81"/>
      <c r="G30" s="118">
        <f t="shared" si="3"/>
        <v>20</v>
      </c>
      <c r="H30" s="119">
        <f t="shared" si="2"/>
        <v>0.49371806582357569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spans="1:23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spans="1:23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spans="1:2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spans="1:23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</row>
    <row r="35" spans="1:23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</row>
    <row r="36" spans="1:23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</row>
    <row r="37" spans="1:23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</row>
    <row r="38" spans="1:23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</row>
    <row r="39" spans="1:23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</row>
    <row r="40" spans="1:23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</row>
    <row r="41" spans="1:23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</row>
    <row r="42" spans="1:23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</row>
    <row r="43" spans="1:2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</row>
    <row r="44" spans="1:23">
      <c r="A44" s="81"/>
      <c r="B44" s="210" t="s">
        <v>100</v>
      </c>
      <c r="C44" s="210"/>
      <c r="D44" s="210"/>
      <c r="E44" s="210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</row>
    <row r="45" spans="1:23">
      <c r="A45" s="81"/>
      <c r="B45" s="99" t="s">
        <v>62</v>
      </c>
      <c r="C45" s="100" t="s">
        <v>63</v>
      </c>
      <c r="D45" s="100" t="s">
        <v>64</v>
      </c>
      <c r="E45" s="100" t="s">
        <v>65</v>
      </c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</row>
    <row r="46" spans="1:23">
      <c r="A46" s="81"/>
      <c r="B46" s="102" t="s">
        <v>66</v>
      </c>
      <c r="C46" s="81">
        <v>3950505</v>
      </c>
      <c r="D46" s="104">
        <f t="shared" ref="D46:D55" si="4">$D$9*C46+$D$10</f>
        <v>8.7610966550000011</v>
      </c>
      <c r="E46" s="102"/>
      <c r="F46" s="81"/>
      <c r="G46" s="99" t="s">
        <v>67</v>
      </c>
      <c r="H46" s="99" t="s">
        <v>65</v>
      </c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</row>
    <row r="47" spans="1:23">
      <c r="A47" s="81"/>
      <c r="B47" s="99">
        <v>1</v>
      </c>
      <c r="C47" s="101">
        <v>3621097</v>
      </c>
      <c r="D47" s="104">
        <f t="shared" si="4"/>
        <v>8.0261874070000001</v>
      </c>
      <c r="E47" s="108">
        <f t="shared" ref="E47:E55" si="5">D47/($D$46)</f>
        <v>0.91611675148218064</v>
      </c>
      <c r="F47" s="81"/>
      <c r="G47" s="118">
        <f>B47</f>
        <v>1</v>
      </c>
      <c r="H47" s="119">
        <f t="shared" ref="H47:H55" si="6">E47</f>
        <v>0.91611675148218064</v>
      </c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 spans="1:23">
      <c r="A48" s="81"/>
      <c r="B48" s="99">
        <v>2</v>
      </c>
      <c r="C48" s="101">
        <v>3745965</v>
      </c>
      <c r="D48" s="104">
        <f t="shared" si="4"/>
        <v>8.3047679150000011</v>
      </c>
      <c r="E48" s="108">
        <f t="shared" si="5"/>
        <v>0.94791419864777193</v>
      </c>
      <c r="F48" s="81"/>
      <c r="G48" s="118">
        <f>B48</f>
        <v>2</v>
      </c>
      <c r="H48" s="119">
        <f t="shared" si="6"/>
        <v>0.94791419864777193</v>
      </c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 spans="1:23">
      <c r="A49" s="81"/>
      <c r="B49" s="99">
        <v>3</v>
      </c>
      <c r="C49" s="101">
        <v>3714607</v>
      </c>
      <c r="D49" s="104">
        <f t="shared" si="4"/>
        <v>8.2348082170000012</v>
      </c>
      <c r="E49" s="108">
        <f t="shared" si="5"/>
        <v>0.93992893141983036</v>
      </c>
      <c r="F49" s="81"/>
      <c r="G49" s="118">
        <f>B49</f>
        <v>3</v>
      </c>
      <c r="H49" s="119">
        <f t="shared" si="6"/>
        <v>0.93992893141983036</v>
      </c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 spans="1:23">
      <c r="A50" s="81"/>
      <c r="B50" s="99">
        <v>6</v>
      </c>
      <c r="C50" s="101">
        <v>3619746</v>
      </c>
      <c r="D50" s="104">
        <f t="shared" si="4"/>
        <v>8.0231733260000002</v>
      </c>
      <c r="E50" s="108">
        <f t="shared" si="5"/>
        <v>0.91577272137742427</v>
      </c>
      <c r="F50" s="81"/>
      <c r="G50" s="118">
        <f>B50</f>
        <v>6</v>
      </c>
      <c r="H50" s="119">
        <f t="shared" si="6"/>
        <v>0.91577272137742427</v>
      </c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 spans="1:23">
      <c r="A51" s="81"/>
      <c r="B51" s="99">
        <v>12</v>
      </c>
      <c r="C51" s="101">
        <v>3451916</v>
      </c>
      <c r="D51" s="104">
        <f t="shared" si="4"/>
        <v>7.6487445959999993</v>
      </c>
      <c r="E51" s="108">
        <f t="shared" si="5"/>
        <v>0.87303506595088443</v>
      </c>
      <c r="F51" s="81"/>
      <c r="G51" s="118">
        <f>B51</f>
        <v>12</v>
      </c>
      <c r="H51" s="119">
        <f t="shared" si="6"/>
        <v>0.87303506595088443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 spans="1:23">
      <c r="A52" s="81"/>
      <c r="B52" s="99">
        <v>1</v>
      </c>
      <c r="C52" s="101">
        <v>3477218</v>
      </c>
      <c r="D52" s="104">
        <f t="shared" si="4"/>
        <v>7.7051933579999998</v>
      </c>
      <c r="E52" s="108">
        <f t="shared" si="5"/>
        <v>0.87947818194684657</v>
      </c>
      <c r="F52" s="81"/>
      <c r="G52" s="118">
        <f>B52*24</f>
        <v>24</v>
      </c>
      <c r="H52" s="119">
        <f t="shared" si="6"/>
        <v>0.87947818194684657</v>
      </c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 spans="1:23">
      <c r="A53" s="81"/>
      <c r="B53" s="99">
        <v>2</v>
      </c>
      <c r="C53" s="101">
        <v>3283907</v>
      </c>
      <c r="D53" s="104">
        <f t="shared" si="4"/>
        <v>7.273916517</v>
      </c>
      <c r="E53" s="108">
        <f t="shared" si="5"/>
        <v>0.83025182844532819</v>
      </c>
      <c r="F53" s="81"/>
      <c r="G53" s="118">
        <f>B53*24</f>
        <v>48</v>
      </c>
      <c r="H53" s="119">
        <f t="shared" si="6"/>
        <v>0.83025182844532819</v>
      </c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 spans="1:23">
      <c r="A54" s="81"/>
      <c r="B54" s="99">
        <v>3</v>
      </c>
      <c r="C54" s="101">
        <v>2975729</v>
      </c>
      <c r="D54" s="104">
        <f t="shared" si="4"/>
        <v>6.5863713989999999</v>
      </c>
      <c r="E54" s="108">
        <f t="shared" si="5"/>
        <v>0.75177476728796566</v>
      </c>
      <c r="F54" s="81"/>
      <c r="G54" s="118">
        <f>B54*24</f>
        <v>72</v>
      </c>
      <c r="H54" s="119">
        <f t="shared" si="6"/>
        <v>0.75177476728796566</v>
      </c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 spans="1:23">
      <c r="A55" s="81"/>
      <c r="B55" s="99">
        <v>5</v>
      </c>
      <c r="C55" s="101">
        <v>2826193</v>
      </c>
      <c r="D55" s="104">
        <f t="shared" si="4"/>
        <v>6.252756583</v>
      </c>
      <c r="E55" s="108">
        <f t="shared" si="5"/>
        <v>0.71369565126661638</v>
      </c>
      <c r="F55" s="81"/>
      <c r="G55" s="118">
        <f>B55*24</f>
        <v>120</v>
      </c>
      <c r="H55" s="119">
        <f t="shared" si="6"/>
        <v>0.71369565126661638</v>
      </c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 spans="1:23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 spans="1:23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 spans="1:23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 spans="1:23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 spans="1:23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 spans="1:23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 spans="1:23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 spans="1:2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 spans="1:23">
      <c r="A64" s="81"/>
      <c r="B64" s="81"/>
      <c r="C64" s="101" t="s">
        <v>62</v>
      </c>
      <c r="D64" s="101" t="s">
        <v>101</v>
      </c>
      <c r="E64" s="101" t="s">
        <v>72</v>
      </c>
      <c r="F64" s="101" t="s">
        <v>76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 spans="1:23">
      <c r="A65" s="81"/>
      <c r="B65" s="81"/>
      <c r="C65" s="101">
        <f>0</f>
        <v>0</v>
      </c>
      <c r="D65" s="105">
        <f t="shared" ref="D65:D81" si="7">$E$65</f>
        <v>8.7610966550000011</v>
      </c>
      <c r="E65" s="105">
        <f t="shared" ref="E65:E81" si="8">D13</f>
        <v>8.7610966550000011</v>
      </c>
      <c r="F65" s="101">
        <v>0</v>
      </c>
      <c r="G65" s="81"/>
      <c r="H65" s="81"/>
      <c r="I65" s="82" t="s">
        <v>68</v>
      </c>
      <c r="J65" s="83">
        <f>14</f>
        <v>14</v>
      </c>
      <c r="K65" s="84" t="s">
        <v>17</v>
      </c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 spans="1:23">
      <c r="A66" s="81"/>
      <c r="B66" s="81"/>
      <c r="C66" s="101">
        <f t="shared" ref="C66:C81" si="9">G15</f>
        <v>4.1666666666666664E-2</v>
      </c>
      <c r="D66" s="105">
        <f t="shared" si="7"/>
        <v>8.7610966550000011</v>
      </c>
      <c r="E66" s="105">
        <f t="shared" si="8"/>
        <v>7.7311912009999997</v>
      </c>
      <c r="F66" s="105">
        <f t="shared" ref="F66:F81" si="10">(($E$65-E66)*(0.021+(($J$66/$J$68)*0.001)))/$J$66</f>
        <v>1.0875678252269478</v>
      </c>
      <c r="G66" s="81"/>
      <c r="H66" s="81"/>
      <c r="I66" s="86" t="s">
        <v>69</v>
      </c>
      <c r="J66" s="87">
        <v>0.02</v>
      </c>
      <c r="K66" s="88" t="s">
        <v>14</v>
      </c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 spans="1:23">
      <c r="A67" s="81"/>
      <c r="B67" s="81"/>
      <c r="C67" s="101">
        <f t="shared" si="9"/>
        <v>8.3333333333333329E-2</v>
      </c>
      <c r="D67" s="105">
        <f t="shared" si="7"/>
        <v>8.7610966550000011</v>
      </c>
      <c r="E67" s="105">
        <f t="shared" si="8"/>
        <v>7.9794546500000001</v>
      </c>
      <c r="F67" s="105">
        <f t="shared" si="10"/>
        <v>0.82540459629790541</v>
      </c>
      <c r="G67" s="81"/>
      <c r="H67" s="81"/>
      <c r="I67" s="86" t="s">
        <v>70</v>
      </c>
      <c r="J67" s="87">
        <v>1.6</v>
      </c>
      <c r="K67" s="88" t="s">
        <v>71</v>
      </c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 spans="1:23">
      <c r="A68" s="81"/>
      <c r="B68" s="81"/>
      <c r="C68" s="101">
        <f t="shared" si="9"/>
        <v>0.125</v>
      </c>
      <c r="D68" s="105">
        <f t="shared" si="7"/>
        <v>8.7610966550000011</v>
      </c>
      <c r="E68" s="105">
        <f t="shared" si="8"/>
        <v>7.7716079969999994</v>
      </c>
      <c r="F68" s="105">
        <f t="shared" si="10"/>
        <v>1.044888172684433</v>
      </c>
      <c r="G68" s="81"/>
      <c r="H68" s="81"/>
      <c r="I68" s="92" t="s">
        <v>74</v>
      </c>
      <c r="J68" s="93">
        <v>0.16700000000000001</v>
      </c>
      <c r="K68" s="94" t="s">
        <v>71</v>
      </c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 spans="1:23">
      <c r="A69" s="81"/>
      <c r="B69" s="81"/>
      <c r="C69" s="101">
        <f t="shared" si="9"/>
        <v>0.25</v>
      </c>
      <c r="D69" s="105">
        <f t="shared" si="7"/>
        <v>8.7610966550000011</v>
      </c>
      <c r="E69" s="105">
        <f t="shared" si="8"/>
        <v>7.7942794189999995</v>
      </c>
      <c r="F69" s="105">
        <f t="shared" si="10"/>
        <v>1.0209474225664688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 spans="1:23">
      <c r="A70" s="81"/>
      <c r="B70" s="81"/>
      <c r="C70" s="101">
        <f t="shared" si="9"/>
        <v>0.5</v>
      </c>
      <c r="D70" s="105">
        <f t="shared" si="7"/>
        <v>8.7610966550000011</v>
      </c>
      <c r="E70" s="105">
        <f t="shared" si="8"/>
        <v>7.6487445959999993</v>
      </c>
      <c r="F70" s="105">
        <f t="shared" si="10"/>
        <v>1.1746304527224569</v>
      </c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 spans="1:23">
      <c r="A71" s="81"/>
      <c r="B71" s="81"/>
      <c r="C71" s="101">
        <f t="shared" si="9"/>
        <v>1</v>
      </c>
      <c r="D71" s="105">
        <f t="shared" si="7"/>
        <v>8.7610966550000011</v>
      </c>
      <c r="E71" s="105">
        <f t="shared" si="8"/>
        <v>7.6995132319999993</v>
      </c>
      <c r="F71" s="105">
        <f t="shared" si="10"/>
        <v>1.1210193811140741</v>
      </c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 spans="1:23">
      <c r="A72" s="81"/>
      <c r="B72" s="81"/>
      <c r="C72" s="101">
        <f t="shared" si="9"/>
        <v>2</v>
      </c>
      <c r="D72" s="105">
        <f t="shared" si="7"/>
        <v>8.7610966550000011</v>
      </c>
      <c r="E72" s="105">
        <f t="shared" si="8"/>
        <v>7.3311372049999992</v>
      </c>
      <c r="F72" s="105">
        <f t="shared" si="10"/>
        <v>1.510020053937128</v>
      </c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 spans="1:23">
      <c r="A73" s="81"/>
      <c r="B73" s="81"/>
      <c r="C73" s="101">
        <f t="shared" si="9"/>
        <v>3</v>
      </c>
      <c r="D73" s="105">
        <f t="shared" si="7"/>
        <v>8.7610966550000011</v>
      </c>
      <c r="E73" s="105">
        <f t="shared" si="8"/>
        <v>6.884640482</v>
      </c>
      <c r="F73" s="105">
        <f t="shared" si="10"/>
        <v>1.9815152461589836</v>
      </c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 spans="1:23">
      <c r="A74" s="81"/>
      <c r="B74" s="81"/>
      <c r="C74" s="101">
        <f t="shared" si="9"/>
        <v>5</v>
      </c>
      <c r="D74" s="105">
        <f t="shared" si="7"/>
        <v>8.7610966550000011</v>
      </c>
      <c r="E74" s="105">
        <f t="shared" si="8"/>
        <v>6.1752873389999996</v>
      </c>
      <c r="F74" s="105">
        <f t="shared" si="10"/>
        <v>2.7305836699197621</v>
      </c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 spans="1:23">
      <c r="A75" s="81"/>
      <c r="B75" s="81"/>
      <c r="C75" s="101">
        <f t="shared" si="9"/>
        <v>7</v>
      </c>
      <c r="D75" s="105">
        <f t="shared" si="7"/>
        <v>8.7610966550000011</v>
      </c>
      <c r="E75" s="105">
        <f t="shared" si="8"/>
        <v>5.9434038920000001</v>
      </c>
      <c r="F75" s="105">
        <f t="shared" si="10"/>
        <v>2.9754498129044924</v>
      </c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 spans="1:23">
      <c r="A76" s="81"/>
      <c r="B76" s="81"/>
      <c r="C76" s="101">
        <f t="shared" si="9"/>
        <v>10</v>
      </c>
      <c r="D76" s="105">
        <f t="shared" si="7"/>
        <v>8.7610966550000011</v>
      </c>
      <c r="E76" s="105">
        <f t="shared" si="8"/>
        <v>5.5246541159999998</v>
      </c>
      <c r="F76" s="105">
        <f t="shared" si="10"/>
        <v>3.4176445613931157</v>
      </c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 spans="1:23">
      <c r="A77" s="81"/>
      <c r="B77" s="81"/>
      <c r="C77" s="101">
        <f t="shared" si="9"/>
        <v>12</v>
      </c>
      <c r="D77" s="105">
        <f t="shared" si="7"/>
        <v>8.7610966550000011</v>
      </c>
      <c r="E77" s="105">
        <f t="shared" si="8"/>
        <v>4.9578752589999997</v>
      </c>
      <c r="F77" s="105">
        <f t="shared" si="10"/>
        <v>4.016156246614373</v>
      </c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 spans="1:23">
      <c r="A78" s="81"/>
      <c r="B78" s="81"/>
      <c r="C78" s="101">
        <f t="shared" si="9"/>
        <v>14</v>
      </c>
      <c r="D78" s="105">
        <f t="shared" si="7"/>
        <v>8.7610966550000011</v>
      </c>
      <c r="E78" s="105">
        <f t="shared" si="8"/>
        <v>4.8524649709999998</v>
      </c>
      <c r="F78" s="105">
        <f t="shared" si="10"/>
        <v>4.127468248343714</v>
      </c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 spans="1:23">
      <c r="A79" s="81"/>
      <c r="B79" s="81"/>
      <c r="C79" s="101">
        <f t="shared" si="9"/>
        <v>16</v>
      </c>
      <c r="D79" s="105">
        <f t="shared" si="7"/>
        <v>8.7610966550000011</v>
      </c>
      <c r="E79" s="105">
        <f t="shared" si="8"/>
        <v>4.7606013149999997</v>
      </c>
      <c r="F79" s="105">
        <f t="shared" si="10"/>
        <v>4.2244751689161699</v>
      </c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 spans="1:23">
      <c r="A80" s="81"/>
      <c r="B80" s="81"/>
      <c r="C80" s="101">
        <f t="shared" si="9"/>
        <v>18</v>
      </c>
      <c r="D80" s="105">
        <f t="shared" si="7"/>
        <v>8.7610966550000011</v>
      </c>
      <c r="E80" s="105">
        <f t="shared" si="8"/>
        <v>4.4067357119999997</v>
      </c>
      <c r="F80" s="105">
        <f t="shared" si="10"/>
        <v>4.5981530077727566</v>
      </c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 spans="1:23">
      <c r="A81" s="81"/>
      <c r="B81" s="81"/>
      <c r="C81" s="101">
        <f t="shared" si="9"/>
        <v>20</v>
      </c>
      <c r="D81" s="105">
        <f t="shared" si="7"/>
        <v>8.7610966550000011</v>
      </c>
      <c r="E81" s="105">
        <f t="shared" si="8"/>
        <v>4.3255116949999994</v>
      </c>
      <c r="F81" s="105">
        <f t="shared" si="10"/>
        <v>4.6839245969820382</v>
      </c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</sheetData>
  <mergeCells count="2">
    <mergeCell ref="B11:E11"/>
    <mergeCell ref="B44:E4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98"/>
  <sheetViews>
    <sheetView topLeftCell="L99" zoomScale="85" zoomScaleNormal="85" zoomScalePageLayoutView="85" workbookViewId="0">
      <selection activeCell="W29" sqref="W29"/>
    </sheetView>
  </sheetViews>
  <sheetFormatPr baseColWidth="10" defaultColWidth="8.83203125" defaultRowHeight="14" x14ac:dyDescent="0"/>
  <sheetData>
    <row r="3" spans="1:25">
      <c r="A3" s="16"/>
    </row>
    <row r="7" spans="1:25">
      <c r="D7" s="211" t="s">
        <v>102</v>
      </c>
      <c r="E7" s="211"/>
      <c r="F7" s="211"/>
      <c r="G7" s="212" t="s">
        <v>103</v>
      </c>
      <c r="H7" s="212"/>
      <c r="I7" s="212"/>
      <c r="J7" s="212" t="s">
        <v>104</v>
      </c>
      <c r="K7" s="212"/>
      <c r="L7" s="212"/>
    </row>
    <row r="8" spans="1:25">
      <c r="D8" s="120" t="s">
        <v>64</v>
      </c>
      <c r="E8" s="16" t="s">
        <v>89</v>
      </c>
      <c r="F8" s="120" t="s">
        <v>105</v>
      </c>
      <c r="G8" s="120" t="s">
        <v>64</v>
      </c>
      <c r="H8" s="16" t="s">
        <v>89</v>
      </c>
      <c r="I8" s="120" t="s">
        <v>105</v>
      </c>
      <c r="J8" s="120" t="s">
        <v>64</v>
      </c>
      <c r="K8" s="16" t="s">
        <v>89</v>
      </c>
      <c r="L8" s="120" t="s">
        <v>105</v>
      </c>
    </row>
    <row r="9" spans="1:25">
      <c r="D9" s="121">
        <f>'Αποτελέσματα Colloid Fit '!G9</f>
        <v>8.7610966550000011</v>
      </c>
      <c r="E9" s="16">
        <f>'Αποτελέσματα Colloid Fit '!E9</f>
        <v>0</v>
      </c>
      <c r="F9" s="121">
        <f t="shared" ref="F9:F25" si="0">LN(D9)</f>
        <v>2.170321086039761</v>
      </c>
      <c r="G9" s="69">
        <f>'Αποτελέσματα Colloid Fit '!N9</f>
        <v>8.7610966550000011</v>
      </c>
      <c r="H9">
        <f t="shared" ref="H9:H25" si="1">E9</f>
        <v>0</v>
      </c>
      <c r="I9">
        <f t="shared" ref="I9:I25" si="2">LN(G9)</f>
        <v>2.170321086039761</v>
      </c>
      <c r="J9" s="69">
        <f>'Αποτελέσματα Colloid Fit '!G57</f>
        <v>8.7610966550000011</v>
      </c>
      <c r="K9">
        <f t="shared" ref="K9:K25" si="3">H9</f>
        <v>0</v>
      </c>
      <c r="L9">
        <f t="shared" ref="L9:L25" si="4">LN(J9)</f>
        <v>2.170321086039761</v>
      </c>
      <c r="X9">
        <f>EXP(2.099)</f>
        <v>8.1580078243793519</v>
      </c>
    </row>
    <row r="10" spans="1:25">
      <c r="D10" s="121">
        <f>'Αποτελέσματα Colloid Fit '!G10</f>
        <v>8.3147650259999999</v>
      </c>
      <c r="E10" s="16">
        <f>'Αποτελέσματα Colloid Fit '!E10</f>
        <v>4.1666666666666664E-2</v>
      </c>
      <c r="F10" s="121">
        <f t="shared" si="0"/>
        <v>2.1180328531956869</v>
      </c>
      <c r="G10" s="69">
        <f>'Αποτελέσματα Colloid Fit '!N10</f>
        <v>7.7311912009999997</v>
      </c>
      <c r="H10">
        <f t="shared" si="1"/>
        <v>4.1666666666666664E-2</v>
      </c>
      <c r="I10">
        <f t="shared" si="2"/>
        <v>2.0452629517619147</v>
      </c>
      <c r="J10" s="69">
        <f>'Αποτελέσματα Colloid Fit '!G58</f>
        <v>8.7085476810000007</v>
      </c>
      <c r="K10">
        <f t="shared" si="3"/>
        <v>4.1666666666666664E-2</v>
      </c>
      <c r="L10">
        <f t="shared" si="4"/>
        <v>2.1643050354000684</v>
      </c>
    </row>
    <row r="11" spans="1:25">
      <c r="D11" s="121">
        <f>'Αποτελέσματα Colloid Fit '!G11</f>
        <v>8.3022625019999996</v>
      </c>
      <c r="E11" s="16">
        <f>'Αποτελέσματα Colloid Fit '!E11</f>
        <v>8.3333333333333329E-2</v>
      </c>
      <c r="F11" s="121">
        <f t="shared" si="0"/>
        <v>2.1165280682588938</v>
      </c>
      <c r="G11" s="69">
        <f>'Αποτελέσματα Colloid Fit '!N11</f>
        <v>7.9794546500000001</v>
      </c>
      <c r="H11">
        <f t="shared" si="1"/>
        <v>8.3333333333333329E-2</v>
      </c>
      <c r="I11">
        <f t="shared" si="2"/>
        <v>2.0768700695274633</v>
      </c>
      <c r="J11" s="69">
        <f>'Αποτελέσματα Colloid Fit '!G59</f>
        <v>8.6758322970000012</v>
      </c>
      <c r="K11">
        <f t="shared" si="3"/>
        <v>8.3333333333333329E-2</v>
      </c>
      <c r="L11">
        <f t="shared" si="4"/>
        <v>2.1605412632480729</v>
      </c>
    </row>
    <row r="12" spans="1:25">
      <c r="D12" s="121">
        <f>'Αποτελέσματα Colloid Fit '!G12</f>
        <v>8.1965666460000008</v>
      </c>
      <c r="E12" s="16">
        <f>'Αποτελέσματα Colloid Fit '!E12</f>
        <v>0.125</v>
      </c>
      <c r="F12" s="121">
        <f t="shared" si="0"/>
        <v>2.1037153648828553</v>
      </c>
      <c r="G12" s="69">
        <f>'Αποτελέσματα Colloid Fit '!N12</f>
        <v>7.7716079969999994</v>
      </c>
      <c r="H12">
        <f t="shared" si="1"/>
        <v>0.125</v>
      </c>
      <c r="I12">
        <f t="shared" si="2"/>
        <v>2.0504770923893281</v>
      </c>
      <c r="J12" s="69">
        <f>'Αποτελέσματα Colloid Fit '!G60</f>
        <v>8.6780052909999998</v>
      </c>
      <c r="K12">
        <f t="shared" si="3"/>
        <v>0.125</v>
      </c>
      <c r="L12">
        <f t="shared" si="4"/>
        <v>2.1607916970786696</v>
      </c>
      <c r="X12" t="s">
        <v>106</v>
      </c>
      <c r="Y12">
        <v>2.5100000000000001E-2</v>
      </c>
    </row>
    <row r="13" spans="1:25">
      <c r="D13" s="121">
        <f>'Αποτελέσματα Colloid Fit '!G13</f>
        <v>8.109122601000001</v>
      </c>
      <c r="E13" s="16">
        <f>'Αποτελέσματα Colloid Fit '!E13</f>
        <v>0.25</v>
      </c>
      <c r="F13" s="121">
        <f t="shared" si="0"/>
        <v>2.0929896749750236</v>
      </c>
      <c r="G13" s="69">
        <f>'Αποτελέσματα Colloid Fit '!N13</f>
        <v>7.7942794189999995</v>
      </c>
      <c r="H13">
        <f t="shared" si="1"/>
        <v>0.25</v>
      </c>
      <c r="I13">
        <f t="shared" si="2"/>
        <v>2.0533900567999486</v>
      </c>
      <c r="J13" s="69">
        <f>'Αποτελέσματα Colloid Fit '!G61</f>
        <v>8.650595225</v>
      </c>
      <c r="K13">
        <f t="shared" si="3"/>
        <v>0.25</v>
      </c>
      <c r="L13">
        <f t="shared" si="4"/>
        <v>2.1576281307150698</v>
      </c>
    </row>
    <row r="14" spans="1:25">
      <c r="D14" s="121">
        <f>'Αποτελέσματα Colloid Fit '!G14</f>
        <v>8.0747428909999996</v>
      </c>
      <c r="E14" s="16">
        <f>'Αποτελέσματα Colloid Fit '!E14</f>
        <v>0.5</v>
      </c>
      <c r="F14" s="121">
        <f t="shared" si="0"/>
        <v>2.0887410284779735</v>
      </c>
      <c r="G14" s="69">
        <f>'Αποτελέσματα Colloid Fit '!N14</f>
        <v>7.6487445959999993</v>
      </c>
      <c r="H14">
        <f t="shared" si="1"/>
        <v>0.5</v>
      </c>
      <c r="I14">
        <f t="shared" si="2"/>
        <v>2.0345415292736901</v>
      </c>
      <c r="J14" s="69">
        <f>'Αποτελέσματα Colloid Fit '!G62</f>
        <v>8.6230557609999998</v>
      </c>
      <c r="K14">
        <f t="shared" si="3"/>
        <v>0.5</v>
      </c>
      <c r="L14">
        <f t="shared" si="4"/>
        <v>2.154439518492246</v>
      </c>
    </row>
    <row r="15" spans="1:25">
      <c r="D15" s="121">
        <f>'Αποτελέσματα Colloid Fit '!G15</f>
        <v>7.9473237879999994</v>
      </c>
      <c r="E15" s="16">
        <f>'Αποτελέσματα Colloid Fit '!E15</f>
        <v>1</v>
      </c>
      <c r="F15" s="121">
        <f t="shared" si="0"/>
        <v>2.0728352415532432</v>
      </c>
      <c r="G15" s="69">
        <f>'Αποτελέσματα Colloid Fit '!N15</f>
        <v>7.6995132319999993</v>
      </c>
      <c r="H15">
        <f t="shared" si="1"/>
        <v>1</v>
      </c>
      <c r="I15">
        <f t="shared" si="2"/>
        <v>2.0411571102380064</v>
      </c>
      <c r="J15" s="69">
        <f>'Αποτελέσματα Colloid Fit '!G63</f>
        <v>8.575903576</v>
      </c>
      <c r="K15">
        <f t="shared" si="3"/>
        <v>1</v>
      </c>
      <c r="L15">
        <f t="shared" si="4"/>
        <v>2.1489563607950886</v>
      </c>
    </row>
    <row r="16" spans="1:25">
      <c r="D16" s="121">
        <f>'Αποτελέσματα Colloid Fit '!G16</f>
        <v>7.6486709729999998</v>
      </c>
      <c r="E16" s="16">
        <f>'Αποτελέσματα Colloid Fit '!E16</f>
        <v>2</v>
      </c>
      <c r="F16" s="121">
        <f t="shared" si="0"/>
        <v>2.0345319037262026</v>
      </c>
      <c r="G16" s="69">
        <f>'Αποτελέσματα Colloid Fit '!N16</f>
        <v>7.3311372049999992</v>
      </c>
      <c r="H16">
        <f t="shared" si="1"/>
        <v>2</v>
      </c>
      <c r="I16">
        <f t="shared" si="2"/>
        <v>1.9921306477940439</v>
      </c>
      <c r="J16" s="69">
        <f>'Αποτελέσματα Colloid Fit '!G64</f>
        <v>7.7657404669999996</v>
      </c>
      <c r="K16">
        <f t="shared" si="3"/>
        <v>2</v>
      </c>
      <c r="L16">
        <f t="shared" si="4"/>
        <v>2.049721811616354</v>
      </c>
    </row>
    <row r="17" spans="4:13">
      <c r="D17" s="121">
        <f>'Αποτελέσματα Colloid Fit '!G17</f>
        <v>7.4958229319999994</v>
      </c>
      <c r="E17" s="16">
        <f>'Αποτελέσματα Colloid Fit '!E17</f>
        <v>3</v>
      </c>
      <c r="F17" s="121">
        <f t="shared" si="0"/>
        <v>2.0143459229922369</v>
      </c>
      <c r="G17" s="69">
        <f>'Αποτελέσματα Colloid Fit '!N17</f>
        <v>6.884640482</v>
      </c>
      <c r="H17">
        <f t="shared" si="1"/>
        <v>3</v>
      </c>
      <c r="I17">
        <f t="shared" si="2"/>
        <v>1.9292929132427961</v>
      </c>
      <c r="J17" s="69">
        <f>'Αποτελέσματα Colloid Fit '!G65</f>
        <v>7.7560199999999995</v>
      </c>
      <c r="K17">
        <f t="shared" si="3"/>
        <v>3</v>
      </c>
      <c r="L17">
        <f t="shared" si="4"/>
        <v>2.0484693160258685</v>
      </c>
    </row>
    <row r="18" spans="4:13">
      <c r="D18" s="121">
        <f>'Αποτελέσματα Colloid Fit '!G18</f>
        <v>6.8666095399999998</v>
      </c>
      <c r="E18" s="16">
        <f>'Αποτελέσματα Colloid Fit '!E18</f>
        <v>5</v>
      </c>
      <c r="F18" s="121">
        <f t="shared" si="0"/>
        <v>1.9266704676753434</v>
      </c>
      <c r="G18" s="69">
        <f>'Αποτελέσματα Colloid Fit '!N18</f>
        <v>6.1752873389999996</v>
      </c>
      <c r="H18">
        <f t="shared" si="1"/>
        <v>5</v>
      </c>
      <c r="I18">
        <f t="shared" si="2"/>
        <v>1.8205554140630105</v>
      </c>
      <c r="J18" s="69">
        <f>'Αποτελέσματα Colloid Fit '!G66</f>
        <v>7.7426027659999992</v>
      </c>
      <c r="K18">
        <f t="shared" si="3"/>
        <v>5</v>
      </c>
      <c r="L18">
        <f t="shared" si="4"/>
        <v>2.0467379057509811</v>
      </c>
    </row>
    <row r="19" spans="4:13">
      <c r="D19" s="121">
        <f>'Αποτελέσματα Colloid Fit '!G19</f>
        <v>6.4780451939999999</v>
      </c>
      <c r="E19" s="16">
        <f>'Αποτελέσματα Colloid Fit '!E19</f>
        <v>7</v>
      </c>
      <c r="F19" s="121">
        <f t="shared" si="0"/>
        <v>1.8684187972607695</v>
      </c>
      <c r="G19" s="69">
        <f>'Αποτελέσματα Colloid Fit '!N19</f>
        <v>5.9434038920000001</v>
      </c>
      <c r="H19">
        <f t="shared" si="1"/>
        <v>7</v>
      </c>
      <c r="I19">
        <f t="shared" si="2"/>
        <v>1.782282015037759</v>
      </c>
      <c r="J19" s="69">
        <f>'Αποτελέσματα Colloid Fit '!G67</f>
        <v>7.5421451849999999</v>
      </c>
      <c r="K19">
        <f t="shared" si="3"/>
        <v>7</v>
      </c>
      <c r="L19">
        <f t="shared" si="4"/>
        <v>2.0205066488497687</v>
      </c>
    </row>
    <row r="20" spans="4:13">
      <c r="D20" s="121">
        <f>'Αποτελέσματα Colloid Fit '!G20</f>
        <v>6.3790512619999999</v>
      </c>
      <c r="E20" s="16">
        <f>'Αποτελέσματα Colloid Fit '!E20</f>
        <v>10</v>
      </c>
      <c r="F20" s="121">
        <f t="shared" si="0"/>
        <v>1.8530193812833375</v>
      </c>
      <c r="G20" s="69">
        <f>'Αποτελέσματα Colloid Fit '!N20</f>
        <v>5.5246541159999998</v>
      </c>
      <c r="H20">
        <f t="shared" si="1"/>
        <v>10</v>
      </c>
      <c r="I20">
        <f t="shared" si="2"/>
        <v>1.7092206420052254</v>
      </c>
      <c r="J20" s="69">
        <f>'Αποτελέσματα Colloid Fit '!G68</f>
        <v>7.5576974859999995</v>
      </c>
      <c r="K20">
        <f t="shared" si="3"/>
        <v>10</v>
      </c>
      <c r="L20">
        <f t="shared" si="4"/>
        <v>2.0225665784580826</v>
      </c>
    </row>
    <row r="21" spans="4:13">
      <c r="D21" s="121">
        <f>'Αποτελέσματα Colloid Fit '!G21</f>
        <v>5.6958811349999996</v>
      </c>
      <c r="E21" s="16">
        <f>'Αποτελέσματα Colloid Fit '!E21</f>
        <v>12</v>
      </c>
      <c r="F21" s="121">
        <f t="shared" si="0"/>
        <v>1.7397433057388418</v>
      </c>
      <c r="G21" s="69">
        <f>'Αποτελέσματα Colloid Fit '!N21</f>
        <v>4.9578752589999997</v>
      </c>
      <c r="H21">
        <f t="shared" si="1"/>
        <v>12</v>
      </c>
      <c r="I21">
        <f t="shared" si="2"/>
        <v>1.600977273756355</v>
      </c>
      <c r="J21" s="69">
        <f>'Αποτελέσματα Colloid Fit '!G69</f>
        <v>7.1736910729999996</v>
      </c>
      <c r="K21">
        <f t="shared" si="3"/>
        <v>12</v>
      </c>
      <c r="L21">
        <f t="shared" si="4"/>
        <v>1.9704203161533438</v>
      </c>
    </row>
    <row r="22" spans="4:13">
      <c r="D22" s="121">
        <f>'Αποτελέσματα Colloid Fit '!G22</f>
        <v>5.5524813789999996</v>
      </c>
      <c r="E22" s="16">
        <f>'Αποτελέσματα Colloid Fit '!E22</f>
        <v>14</v>
      </c>
      <c r="F22" s="121">
        <f t="shared" si="0"/>
        <v>1.7142449231563286</v>
      </c>
      <c r="G22" s="69">
        <f>'Αποτελέσματα Colloid Fit '!N22</f>
        <v>4.8524649709999998</v>
      </c>
      <c r="H22">
        <f t="shared" si="1"/>
        <v>14</v>
      </c>
      <c r="I22">
        <f t="shared" si="2"/>
        <v>1.5794868172817529</v>
      </c>
      <c r="J22" s="69">
        <f>'Αποτελέσματα Colloid Fit '!G70</f>
        <v>7.0624690299999999</v>
      </c>
      <c r="K22">
        <f t="shared" si="3"/>
        <v>14</v>
      </c>
      <c r="L22">
        <f t="shared" si="4"/>
        <v>1.9547947113302013</v>
      </c>
    </row>
    <row r="23" spans="4:13">
      <c r="D23" s="121">
        <f>'Αποτελέσματα Colloid Fit '!G23</f>
        <v>5.4138849659999995</v>
      </c>
      <c r="E23" s="16">
        <f>'Αποτελέσματα Colloid Fit '!E23</f>
        <v>16</v>
      </c>
      <c r="F23" s="121">
        <f t="shared" si="0"/>
        <v>1.6889669434599131</v>
      </c>
      <c r="G23" s="69">
        <f>'Αποτελέσματα Colloid Fit '!N23</f>
        <v>4.7606013149999997</v>
      </c>
      <c r="H23">
        <f t="shared" si="1"/>
        <v>16</v>
      </c>
      <c r="I23">
        <f t="shared" si="2"/>
        <v>1.5603739869454576</v>
      </c>
      <c r="J23" s="69">
        <f>'Αποτελέσματα Colloid Fit '!G71</f>
        <v>6.9512469869999993</v>
      </c>
      <c r="K23">
        <f t="shared" si="3"/>
        <v>16</v>
      </c>
      <c r="L23">
        <f t="shared" si="4"/>
        <v>1.9389210660723208</v>
      </c>
    </row>
    <row r="24" spans="4:13">
      <c r="D24" s="121">
        <f>'Αποτελέσματα Colloid Fit '!G24</f>
        <v>5.3396038209999999</v>
      </c>
      <c r="E24" s="16">
        <f>'Αποτελέσματα Colloid Fit '!E24</f>
        <v>18</v>
      </c>
      <c r="F24" s="121">
        <f t="shared" si="0"/>
        <v>1.6751514593958581</v>
      </c>
      <c r="G24" s="69">
        <f>'Αποτελέσματα Colloid Fit '!N24</f>
        <v>4.4067357119999997</v>
      </c>
      <c r="H24">
        <f t="shared" si="1"/>
        <v>18</v>
      </c>
      <c r="I24">
        <f t="shared" si="2"/>
        <v>1.4831342140139232</v>
      </c>
      <c r="J24" s="69">
        <f>'Αποτελέσματα Colloid Fit '!G72</f>
        <v>6.8406942439999998</v>
      </c>
      <c r="K24">
        <f t="shared" si="3"/>
        <v>18</v>
      </c>
      <c r="L24">
        <f t="shared" si="4"/>
        <v>1.9228892241447386</v>
      </c>
    </row>
    <row r="25" spans="4:13">
      <c r="D25" s="121">
        <f>'Αποτελέσματα Colloid Fit '!G25</f>
        <v>5.2897075060000001</v>
      </c>
      <c r="E25" s="16">
        <f>'Αποτελέσματα Colloid Fit '!E25</f>
        <v>20</v>
      </c>
      <c r="F25" s="121">
        <f t="shared" si="0"/>
        <v>1.6657629524701005</v>
      </c>
      <c r="G25" s="69">
        <f>'Αποτελέσματα Colloid Fit '!N25</f>
        <v>4.3255116949999994</v>
      </c>
      <c r="H25">
        <f t="shared" si="1"/>
        <v>20</v>
      </c>
      <c r="I25">
        <f t="shared" si="2"/>
        <v>1.4645304443683091</v>
      </c>
      <c r="J25" s="69">
        <f>'Αποτελέσματα Colloid Fit '!G73</f>
        <v>6.7487301929999992</v>
      </c>
      <c r="K25">
        <f t="shared" si="3"/>
        <v>20</v>
      </c>
      <c r="L25">
        <f t="shared" si="4"/>
        <v>1.9093543676321798</v>
      </c>
    </row>
    <row r="28" spans="4:13">
      <c r="J28" t="s">
        <v>102</v>
      </c>
      <c r="K28" t="s">
        <v>107</v>
      </c>
      <c r="L28" t="s">
        <v>108</v>
      </c>
      <c r="M28" s="122"/>
    </row>
    <row r="29" spans="4:13">
      <c r="I29" t="str">
        <f t="shared" ref="I29:I46" si="5">E8</f>
        <v>Time (days)</v>
      </c>
      <c r="J29" t="s">
        <v>109</v>
      </c>
      <c r="K29" t="s">
        <v>109</v>
      </c>
      <c r="L29" t="s">
        <v>109</v>
      </c>
    </row>
    <row r="30" spans="4:13">
      <c r="D30" s="16" t="s">
        <v>89</v>
      </c>
      <c r="E30" t="str">
        <f t="shared" ref="E30:E47" si="6">F8</f>
        <v>ln Ct</v>
      </c>
      <c r="F30" t="str">
        <f t="shared" ref="F30:F47" si="7">I8</f>
        <v>ln Ct</v>
      </c>
      <c r="G30" t="str">
        <f t="shared" ref="G30:G47" si="8">L8</f>
        <v>ln Ct</v>
      </c>
      <c r="I30">
        <f t="shared" si="5"/>
        <v>0</v>
      </c>
      <c r="J30">
        <f t="shared" ref="J30:J46" si="9">D9*EXP(-0.0251*E9)</f>
        <v>8.7610966550000011</v>
      </c>
      <c r="K30">
        <f t="shared" ref="K30:K46" si="10">G9*EXP(-0.0327*I30)</f>
        <v>8.7610966550000011</v>
      </c>
      <c r="L30">
        <f t="shared" ref="L30:L46" si="11">J9*EXP(-0.0129*I30)</f>
        <v>8.7610966550000011</v>
      </c>
    </row>
    <row r="31" spans="4:13">
      <c r="D31" s="16">
        <f t="shared" ref="D31:D47" si="12">E9</f>
        <v>0</v>
      </c>
      <c r="E31" s="69">
        <f t="shared" si="6"/>
        <v>2.170321086039761</v>
      </c>
      <c r="F31">
        <f t="shared" si="7"/>
        <v>2.170321086039761</v>
      </c>
      <c r="G31">
        <f t="shared" si="8"/>
        <v>2.170321086039761</v>
      </c>
      <c r="I31">
        <f t="shared" si="5"/>
        <v>4.1666666666666664E-2</v>
      </c>
      <c r="J31">
        <f t="shared" si="9"/>
        <v>8.3060737132014815</v>
      </c>
      <c r="K31">
        <f t="shared" si="10"/>
        <v>7.7206646258464273</v>
      </c>
      <c r="L31">
        <f t="shared" si="11"/>
        <v>8.703868094373032</v>
      </c>
    </row>
    <row r="32" spans="4:13">
      <c r="D32" s="16">
        <f t="shared" si="12"/>
        <v>4.1666666666666664E-2</v>
      </c>
      <c r="E32" s="69">
        <f t="shared" si="6"/>
        <v>2.1180328531956869</v>
      </c>
      <c r="F32">
        <f t="shared" si="7"/>
        <v>2.0452629517619147</v>
      </c>
      <c r="G32">
        <f t="shared" si="8"/>
        <v>2.1643050354000684</v>
      </c>
      <c r="I32">
        <f t="shared" si="5"/>
        <v>8.3333333333333329E-2</v>
      </c>
      <c r="J32">
        <f t="shared" si="9"/>
        <v>8.2849150850981719</v>
      </c>
      <c r="K32">
        <f t="shared" si="10"/>
        <v>7.9577402354055584</v>
      </c>
      <c r="L32">
        <f t="shared" si="11"/>
        <v>8.6665107884892318</v>
      </c>
    </row>
    <row r="33" spans="4:12">
      <c r="D33" s="16">
        <f t="shared" si="12"/>
        <v>8.3333333333333329E-2</v>
      </c>
      <c r="E33" s="69">
        <f t="shared" si="6"/>
        <v>2.1165280682588938</v>
      </c>
      <c r="F33">
        <f t="shared" si="7"/>
        <v>2.0768700695274633</v>
      </c>
      <c r="G33">
        <f t="shared" si="8"/>
        <v>2.1605412632480729</v>
      </c>
      <c r="I33">
        <f t="shared" si="5"/>
        <v>0.125</v>
      </c>
      <c r="J33">
        <f t="shared" si="9"/>
        <v>8.1708902191058908</v>
      </c>
      <c r="K33">
        <f t="shared" si="10"/>
        <v>7.7399063836228938</v>
      </c>
      <c r="L33">
        <f t="shared" si="11"/>
        <v>8.6640232834914332</v>
      </c>
    </row>
    <row r="34" spans="4:12">
      <c r="D34" s="16">
        <f t="shared" si="12"/>
        <v>0.125</v>
      </c>
      <c r="E34" s="69">
        <f t="shared" si="6"/>
        <v>2.1037153648828553</v>
      </c>
      <c r="F34">
        <f t="shared" si="7"/>
        <v>2.0504770923893281</v>
      </c>
      <c r="G34">
        <f t="shared" si="8"/>
        <v>2.1607916970786696</v>
      </c>
      <c r="I34">
        <f t="shared" si="5"/>
        <v>0.25</v>
      </c>
      <c r="J34">
        <f t="shared" si="9"/>
        <v>8.0583971741508051</v>
      </c>
      <c r="K34">
        <f t="shared" si="10"/>
        <v>7.7308209247587278</v>
      </c>
      <c r="L34">
        <f t="shared" si="11"/>
        <v>8.6227419928770868</v>
      </c>
    </row>
    <row r="35" spans="4:12">
      <c r="D35" s="16">
        <f t="shared" si="12"/>
        <v>0.25</v>
      </c>
      <c r="E35" s="69">
        <f t="shared" si="6"/>
        <v>2.0929896749750236</v>
      </c>
      <c r="F35">
        <f t="shared" si="7"/>
        <v>2.0533900567999486</v>
      </c>
      <c r="G35">
        <f t="shared" si="8"/>
        <v>2.1576281307150698</v>
      </c>
      <c r="I35">
        <f t="shared" si="5"/>
        <v>0.5</v>
      </c>
      <c r="J35">
        <f t="shared" si="9"/>
        <v>7.9740381119740729</v>
      </c>
      <c r="K35">
        <f t="shared" si="10"/>
        <v>7.5247044135621568</v>
      </c>
      <c r="L35">
        <f t="shared" si="11"/>
        <v>8.5676160366550231</v>
      </c>
    </row>
    <row r="36" spans="4:12">
      <c r="D36" s="16">
        <f t="shared" si="12"/>
        <v>0.5</v>
      </c>
      <c r="E36" s="69">
        <f t="shared" si="6"/>
        <v>2.0887410284779735</v>
      </c>
      <c r="F36">
        <f t="shared" si="7"/>
        <v>2.0345415292736901</v>
      </c>
      <c r="G36">
        <f t="shared" si="8"/>
        <v>2.154439518492246</v>
      </c>
      <c r="I36">
        <f t="shared" si="5"/>
        <v>1</v>
      </c>
      <c r="J36">
        <f t="shared" si="9"/>
        <v>7.7503285929227284</v>
      </c>
      <c r="K36">
        <f t="shared" si="10"/>
        <v>7.4518111500730226</v>
      </c>
      <c r="L36">
        <f t="shared" si="11"/>
        <v>8.4659849194967869</v>
      </c>
    </row>
    <row r="37" spans="4:12">
      <c r="D37" s="16">
        <f t="shared" si="12"/>
        <v>1</v>
      </c>
      <c r="E37" s="69">
        <f t="shared" si="6"/>
        <v>2.0728352415532432</v>
      </c>
      <c r="F37">
        <f t="shared" si="7"/>
        <v>2.0411571102380064</v>
      </c>
      <c r="G37">
        <f t="shared" si="8"/>
        <v>2.1489563607950886</v>
      </c>
      <c r="I37">
        <f t="shared" si="5"/>
        <v>2</v>
      </c>
      <c r="J37">
        <f t="shared" si="9"/>
        <v>7.2741859051676556</v>
      </c>
      <c r="K37">
        <f t="shared" si="10"/>
        <v>6.8670227858116535</v>
      </c>
      <c r="L37">
        <f t="shared" si="11"/>
        <v>7.5679468718182523</v>
      </c>
    </row>
    <row r="38" spans="4:12">
      <c r="D38" s="16">
        <f t="shared" si="12"/>
        <v>2</v>
      </c>
      <c r="E38" s="69">
        <f t="shared" si="6"/>
        <v>2.0345319037262026</v>
      </c>
      <c r="F38">
        <f t="shared" si="7"/>
        <v>1.9921306477940439</v>
      </c>
      <c r="G38">
        <f t="shared" si="8"/>
        <v>2.049721811616354</v>
      </c>
      <c r="I38">
        <f t="shared" si="5"/>
        <v>3</v>
      </c>
      <c r="J38">
        <f t="shared" si="9"/>
        <v>6.9521149524729928</v>
      </c>
      <c r="K38">
        <f t="shared" si="10"/>
        <v>6.2413275817793092</v>
      </c>
      <c r="L38">
        <f t="shared" si="11"/>
        <v>7.461595878178616</v>
      </c>
    </row>
    <row r="39" spans="4:12">
      <c r="D39" s="16">
        <f t="shared" si="12"/>
        <v>3</v>
      </c>
      <c r="E39" s="69">
        <f t="shared" si="6"/>
        <v>2.0143459229922369</v>
      </c>
      <c r="F39">
        <f t="shared" si="7"/>
        <v>1.9292929132427961</v>
      </c>
      <c r="G39">
        <f t="shared" si="8"/>
        <v>2.0484693160258685</v>
      </c>
      <c r="I39">
        <f t="shared" si="5"/>
        <v>5</v>
      </c>
      <c r="J39">
        <f t="shared" si="9"/>
        <v>6.0567325268266572</v>
      </c>
      <c r="K39">
        <f t="shared" si="10"/>
        <v>5.2438471299874374</v>
      </c>
      <c r="L39">
        <f t="shared" si="11"/>
        <v>7.2589697115102378</v>
      </c>
    </row>
    <row r="40" spans="4:12">
      <c r="D40" s="16">
        <f t="shared" si="12"/>
        <v>5</v>
      </c>
      <c r="E40" s="69">
        <f t="shared" si="6"/>
        <v>1.9266704676753434</v>
      </c>
      <c r="F40">
        <f t="shared" si="7"/>
        <v>1.8205554140630105</v>
      </c>
      <c r="G40">
        <f t="shared" si="8"/>
        <v>2.0467379057509811</v>
      </c>
      <c r="I40">
        <f t="shared" si="5"/>
        <v>7</v>
      </c>
      <c r="J40">
        <f t="shared" si="9"/>
        <v>5.4342352226093542</v>
      </c>
      <c r="K40">
        <f t="shared" si="10"/>
        <v>4.7274314209585553</v>
      </c>
      <c r="L40">
        <f t="shared" si="11"/>
        <v>6.8909340980622718</v>
      </c>
    </row>
    <row r="41" spans="4:12">
      <c r="D41" s="16">
        <f t="shared" si="12"/>
        <v>7</v>
      </c>
      <c r="E41" s="69">
        <f t="shared" si="6"/>
        <v>1.8684187972607695</v>
      </c>
      <c r="F41">
        <f t="shared" si="7"/>
        <v>1.782282015037759</v>
      </c>
      <c r="G41">
        <f t="shared" si="8"/>
        <v>2.0205066488497687</v>
      </c>
      <c r="I41">
        <f t="shared" si="5"/>
        <v>10</v>
      </c>
      <c r="J41">
        <f t="shared" si="9"/>
        <v>4.9630445911573995</v>
      </c>
      <c r="K41">
        <f t="shared" si="10"/>
        <v>3.9837382688926306</v>
      </c>
      <c r="L41">
        <f t="shared" si="11"/>
        <v>6.6430193296633036</v>
      </c>
    </row>
    <row r="42" spans="4:12">
      <c r="D42" s="16">
        <f t="shared" si="12"/>
        <v>10</v>
      </c>
      <c r="E42" s="69">
        <f t="shared" si="6"/>
        <v>1.8530193812833375</v>
      </c>
      <c r="F42">
        <f t="shared" si="7"/>
        <v>1.7092206420052254</v>
      </c>
      <c r="G42">
        <f t="shared" si="8"/>
        <v>2.0225665784580826</v>
      </c>
      <c r="I42">
        <f t="shared" si="5"/>
        <v>12</v>
      </c>
      <c r="J42">
        <f t="shared" si="9"/>
        <v>4.2145520295182246</v>
      </c>
      <c r="K42">
        <f t="shared" si="10"/>
        <v>3.3487169542951065</v>
      </c>
      <c r="L42">
        <f t="shared" si="11"/>
        <v>6.1448867679599584</v>
      </c>
    </row>
    <row r="43" spans="4:12">
      <c r="D43" s="16">
        <f t="shared" si="12"/>
        <v>12</v>
      </c>
      <c r="E43" s="69">
        <f t="shared" si="6"/>
        <v>1.7397433057388418</v>
      </c>
      <c r="F43">
        <f t="shared" si="7"/>
        <v>1.600977273756355</v>
      </c>
      <c r="G43">
        <f t="shared" si="8"/>
        <v>1.9704203161533438</v>
      </c>
      <c r="I43">
        <f t="shared" si="5"/>
        <v>14</v>
      </c>
      <c r="J43">
        <f t="shared" si="9"/>
        <v>3.9072934543949378</v>
      </c>
      <c r="K43">
        <f t="shared" si="10"/>
        <v>3.070028415077227</v>
      </c>
      <c r="L43">
        <f t="shared" si="11"/>
        <v>5.8955316193940623</v>
      </c>
    </row>
    <row r="44" spans="4:12">
      <c r="D44" s="16">
        <f t="shared" si="12"/>
        <v>14</v>
      </c>
      <c r="E44" s="69">
        <f t="shared" si="6"/>
        <v>1.7142449231563286</v>
      </c>
      <c r="F44">
        <f t="shared" si="7"/>
        <v>1.5794868172817529</v>
      </c>
      <c r="G44">
        <f t="shared" si="8"/>
        <v>1.9547947113302013</v>
      </c>
      <c r="I44">
        <f t="shared" si="5"/>
        <v>16</v>
      </c>
      <c r="J44">
        <f t="shared" si="9"/>
        <v>3.6232338053385118</v>
      </c>
      <c r="K44">
        <f t="shared" si="10"/>
        <v>2.8212328970583807</v>
      </c>
      <c r="L44">
        <f t="shared" si="11"/>
        <v>5.6548923100568604</v>
      </c>
    </row>
    <row r="45" spans="4:12">
      <c r="D45" s="16">
        <f t="shared" si="12"/>
        <v>16</v>
      </c>
      <c r="E45" s="69">
        <f t="shared" si="6"/>
        <v>1.6889669434599131</v>
      </c>
      <c r="F45">
        <f t="shared" si="7"/>
        <v>1.5603739869454576</v>
      </c>
      <c r="G45">
        <f t="shared" si="8"/>
        <v>1.9389210660723208</v>
      </c>
      <c r="I45">
        <f t="shared" si="5"/>
        <v>18</v>
      </c>
      <c r="J45">
        <f t="shared" si="9"/>
        <v>3.3985587999667053</v>
      </c>
      <c r="K45">
        <f t="shared" si="10"/>
        <v>2.4461961201899478</v>
      </c>
      <c r="L45">
        <f t="shared" si="11"/>
        <v>5.4232172295886523</v>
      </c>
    </row>
    <row r="46" spans="4:12">
      <c r="D46" s="16">
        <f t="shared" si="12"/>
        <v>18</v>
      </c>
      <c r="E46" s="69">
        <f t="shared" si="6"/>
        <v>1.6751514593958581</v>
      </c>
      <c r="F46">
        <f t="shared" si="7"/>
        <v>1.4831342140139232</v>
      </c>
      <c r="G46">
        <f t="shared" si="8"/>
        <v>1.9228892241447386</v>
      </c>
      <c r="I46">
        <f t="shared" si="5"/>
        <v>20</v>
      </c>
      <c r="J46">
        <f t="shared" si="9"/>
        <v>3.2019594561983253</v>
      </c>
      <c r="K46">
        <f t="shared" si="10"/>
        <v>2.2491006931127209</v>
      </c>
      <c r="L46">
        <f t="shared" si="11"/>
        <v>5.2140367698878674</v>
      </c>
    </row>
    <row r="47" spans="4:12">
      <c r="D47" s="16">
        <f t="shared" si="12"/>
        <v>20</v>
      </c>
      <c r="E47" s="69">
        <f t="shared" si="6"/>
        <v>1.6657629524701005</v>
      </c>
      <c r="F47">
        <f t="shared" si="7"/>
        <v>1.4645304443683091</v>
      </c>
      <c r="G47">
        <f t="shared" si="8"/>
        <v>1.9093543676321798</v>
      </c>
    </row>
    <row r="58" spans="4:12">
      <c r="D58" s="211" t="s">
        <v>110</v>
      </c>
      <c r="E58" s="211"/>
      <c r="F58" s="211"/>
      <c r="G58" s="212" t="s">
        <v>111</v>
      </c>
      <c r="H58" s="212"/>
      <c r="I58" s="212"/>
      <c r="J58" s="212" t="s">
        <v>112</v>
      </c>
      <c r="K58" s="212"/>
      <c r="L58" s="212"/>
    </row>
    <row r="59" spans="4:12">
      <c r="D59" s="120" t="s">
        <v>64</v>
      </c>
      <c r="E59" s="16" t="s">
        <v>89</v>
      </c>
      <c r="F59" s="120" t="s">
        <v>105</v>
      </c>
      <c r="G59" s="120" t="s">
        <v>64</v>
      </c>
      <c r="H59" s="16" t="s">
        <v>89</v>
      </c>
      <c r="I59" s="120" t="s">
        <v>105</v>
      </c>
      <c r="J59" s="120" t="s">
        <v>64</v>
      </c>
      <c r="K59" s="16" t="s">
        <v>89</v>
      </c>
      <c r="L59" s="120" t="s">
        <v>105</v>
      </c>
    </row>
    <row r="60" spans="4:12">
      <c r="D60" s="121">
        <f>'Αποτελέσματα Colloid Fit '!N9</f>
        <v>8.7610966550000011</v>
      </c>
      <c r="E60" s="16">
        <f>'Αποτελέσματα Colloid Fit '!L9</f>
        <v>0</v>
      </c>
      <c r="F60" s="121">
        <f t="shared" ref="F60:F76" si="13">LN(D60)</f>
        <v>2.170321086039761</v>
      </c>
      <c r="G60" s="69">
        <f>'Αποτελέσματα Colloid Fit '!N33</f>
        <v>8.7610966550000011</v>
      </c>
      <c r="H60">
        <f t="shared" ref="H60:H76" si="14">E60</f>
        <v>0</v>
      </c>
      <c r="I60">
        <f t="shared" ref="I60:I76" si="15">LN(G60)</f>
        <v>2.170321086039761</v>
      </c>
      <c r="J60">
        <f>0</f>
        <v>0</v>
      </c>
      <c r="K60">
        <f t="shared" ref="K60:K76" si="16">H60</f>
        <v>0</v>
      </c>
      <c r="L60" t="e">
        <f t="shared" ref="L60:L76" si="17">LN(J60)</f>
        <v>#NUM!</v>
      </c>
    </row>
    <row r="61" spans="4:12">
      <c r="D61" s="121">
        <f>'Αποτελέσματα Colloid Fit '!N10</f>
        <v>7.7311912009999997</v>
      </c>
      <c r="E61" s="16">
        <f>'Αποτελέσματα Colloid Fit '!L10</f>
        <v>4.1666666666666664E-2</v>
      </c>
      <c r="F61" s="121">
        <f t="shared" si="13"/>
        <v>2.0452629517619147</v>
      </c>
      <c r="G61" s="69">
        <f>'Αποτελέσματα Colloid Fit '!N34</f>
        <v>8.5628276850000002</v>
      </c>
      <c r="H61">
        <f t="shared" si="14"/>
        <v>4.1666666666666664E-2</v>
      </c>
      <c r="I61">
        <f t="shared" si="15"/>
        <v>2.1474304726370961</v>
      </c>
      <c r="J61">
        <f>0</f>
        <v>0</v>
      </c>
      <c r="K61">
        <f t="shared" si="16"/>
        <v>4.1666666666666664E-2</v>
      </c>
      <c r="L61" t="e">
        <f t="shared" si="17"/>
        <v>#NUM!</v>
      </c>
    </row>
    <row r="62" spans="4:12">
      <c r="D62" s="121">
        <f>'Αποτελέσματα Colloid Fit '!N11</f>
        <v>7.9794546500000001</v>
      </c>
      <c r="E62" s="16">
        <f>'Αποτελέσματα Colloid Fit '!L11</f>
        <v>8.3333333333333329E-2</v>
      </c>
      <c r="F62" s="121">
        <f t="shared" si="13"/>
        <v>2.0768700695274633</v>
      </c>
      <c r="G62" s="69">
        <f>'Αποτελέσματα Colloid Fit '!N35</f>
        <v>8.6483619940000001</v>
      </c>
      <c r="H62">
        <f t="shared" si="14"/>
        <v>8.3333333333333329E-2</v>
      </c>
      <c r="I62">
        <f t="shared" si="15"/>
        <v>2.1573699381565086</v>
      </c>
      <c r="J62">
        <f>0</f>
        <v>0</v>
      </c>
      <c r="K62">
        <f t="shared" si="16"/>
        <v>8.3333333333333329E-2</v>
      </c>
      <c r="L62" t="e">
        <f t="shared" si="17"/>
        <v>#NUM!</v>
      </c>
    </row>
    <row r="63" spans="4:12">
      <c r="D63" s="121">
        <f>'Αποτελέσματα Colloid Fit '!N12</f>
        <v>7.7716079969999994</v>
      </c>
      <c r="E63" s="16">
        <f>'Αποτελέσματα Colloid Fit '!L12</f>
        <v>0.125</v>
      </c>
      <c r="F63" s="121">
        <f t="shared" si="13"/>
        <v>2.0504770923893281</v>
      </c>
      <c r="G63" s="69">
        <f>'Αποτελέσματα Colloid Fit '!N36</f>
        <v>8.4174579559999998</v>
      </c>
      <c r="H63">
        <f t="shared" si="14"/>
        <v>0.125</v>
      </c>
      <c r="I63">
        <f t="shared" si="15"/>
        <v>2.1303078772084234</v>
      </c>
      <c r="J63">
        <f>0</f>
        <v>0</v>
      </c>
      <c r="K63">
        <f t="shared" si="16"/>
        <v>0.125</v>
      </c>
      <c r="L63" t="e">
        <f t="shared" si="17"/>
        <v>#NUM!</v>
      </c>
    </row>
    <row r="64" spans="4:12">
      <c r="D64" s="121">
        <f>'Αποτελέσματα Colloid Fit '!N13</f>
        <v>7.7942794189999995</v>
      </c>
      <c r="E64" s="16">
        <f>'Αποτελέσματα Colloid Fit '!L13</f>
        <v>0.25</v>
      </c>
      <c r="F64" s="121">
        <f t="shared" si="13"/>
        <v>2.0533900567999486</v>
      </c>
      <c r="G64" s="69">
        <f>'Αποτελέσματα Colloid Fit '!N37</f>
        <v>8.1621534709999999</v>
      </c>
      <c r="H64">
        <f t="shared" si="14"/>
        <v>0.25</v>
      </c>
      <c r="I64">
        <f t="shared" si="15"/>
        <v>2.09950803991882</v>
      </c>
      <c r="J64">
        <f>0</f>
        <v>0</v>
      </c>
      <c r="K64">
        <f t="shared" si="16"/>
        <v>0.25</v>
      </c>
      <c r="L64" t="e">
        <f t="shared" si="17"/>
        <v>#NUM!</v>
      </c>
    </row>
    <row r="65" spans="4:12">
      <c r="D65" s="121">
        <f>'Αποτελέσματα Colloid Fit '!N14</f>
        <v>7.6487445959999993</v>
      </c>
      <c r="E65" s="16">
        <f>'Αποτελέσματα Colloid Fit '!L14</f>
        <v>0.5</v>
      </c>
      <c r="F65" s="121">
        <f t="shared" si="13"/>
        <v>2.0345415292736901</v>
      </c>
      <c r="G65" s="69">
        <f>'Αποτελέσματα Colloid Fit '!N38</f>
        <v>7.6474104579999995</v>
      </c>
      <c r="H65">
        <f t="shared" si="14"/>
        <v>0.5</v>
      </c>
      <c r="I65">
        <f t="shared" si="15"/>
        <v>2.0343670883114129</v>
      </c>
      <c r="J65">
        <f>0</f>
        <v>0</v>
      </c>
      <c r="K65">
        <f t="shared" si="16"/>
        <v>0.5</v>
      </c>
      <c r="L65" t="e">
        <f t="shared" si="17"/>
        <v>#NUM!</v>
      </c>
    </row>
    <row r="66" spans="4:12">
      <c r="D66" s="121">
        <f>'Αποτελέσματα Colloid Fit '!N15</f>
        <v>7.6995132319999993</v>
      </c>
      <c r="E66" s="16">
        <f>'Αποτελέσματα Colloid Fit '!L15</f>
        <v>1</v>
      </c>
      <c r="F66" s="121">
        <f t="shared" si="13"/>
        <v>2.0411571102380064</v>
      </c>
      <c r="G66" s="69">
        <f>'Αποτελέσματα Colloid Fit '!N39</f>
        <v>7.1959475289999997</v>
      </c>
      <c r="H66">
        <f t="shared" si="14"/>
        <v>1</v>
      </c>
      <c r="I66">
        <f t="shared" si="15"/>
        <v>1.9735180243718744</v>
      </c>
      <c r="J66">
        <f>0</f>
        <v>0</v>
      </c>
      <c r="K66">
        <f t="shared" si="16"/>
        <v>1</v>
      </c>
      <c r="L66" t="e">
        <f t="shared" si="17"/>
        <v>#NUM!</v>
      </c>
    </row>
    <row r="67" spans="4:12">
      <c r="D67" s="121">
        <f>'Αποτελέσματα Colloid Fit '!N16</f>
        <v>7.3311372049999992</v>
      </c>
      <c r="E67" s="16">
        <f>'Αποτελέσματα Colloid Fit '!L16</f>
        <v>2</v>
      </c>
      <c r="F67" s="121">
        <f t="shared" si="13"/>
        <v>1.9921306477940439</v>
      </c>
      <c r="G67" s="69">
        <f>'Αποτελέσματα Colloid Fit '!N40</f>
        <v>6.815744971</v>
      </c>
      <c r="H67">
        <f t="shared" si="14"/>
        <v>2</v>
      </c>
      <c r="I67">
        <f t="shared" si="15"/>
        <v>1.9192353726004843</v>
      </c>
      <c r="J67">
        <f>0</f>
        <v>0</v>
      </c>
      <c r="K67">
        <f t="shared" si="16"/>
        <v>2</v>
      </c>
      <c r="L67" t="e">
        <f t="shared" si="17"/>
        <v>#NUM!</v>
      </c>
    </row>
    <row r="68" spans="4:12">
      <c r="D68" s="121">
        <f>'Αποτελέσματα Colloid Fit '!N17</f>
        <v>6.884640482</v>
      </c>
      <c r="E68" s="16">
        <f>'Αποτελέσματα Colloid Fit '!L17</f>
        <v>3</v>
      </c>
      <c r="F68" s="121">
        <f t="shared" si="13"/>
        <v>1.9292929132427961</v>
      </c>
      <c r="G68" s="69">
        <f>'Αποτελέσματα Colloid Fit '!N41</f>
        <v>6.2987843439999995</v>
      </c>
      <c r="H68">
        <f t="shared" si="14"/>
        <v>3</v>
      </c>
      <c r="I68">
        <f t="shared" si="15"/>
        <v>1.8403566535082245</v>
      </c>
      <c r="J68">
        <f>0</f>
        <v>0</v>
      </c>
      <c r="K68">
        <f t="shared" si="16"/>
        <v>3</v>
      </c>
      <c r="L68" t="e">
        <f t="shared" si="17"/>
        <v>#NUM!</v>
      </c>
    </row>
    <row r="69" spans="4:12">
      <c r="D69" s="121">
        <f>'Αποτελέσματα Colloid Fit '!N18</f>
        <v>6.1752873389999996</v>
      </c>
      <c r="E69" s="16">
        <f>'Αποτελέσματα Colloid Fit '!L18</f>
        <v>5</v>
      </c>
      <c r="F69" s="121">
        <f t="shared" si="13"/>
        <v>1.8205554140630105</v>
      </c>
      <c r="G69" s="69">
        <f>'Αποτελέσματα Colloid Fit '!N42</f>
        <v>5.3288213979999997</v>
      </c>
      <c r="H69">
        <f t="shared" si="14"/>
        <v>5</v>
      </c>
      <c r="I69">
        <f t="shared" si="15"/>
        <v>1.6731300876469777</v>
      </c>
      <c r="J69">
        <f>0</f>
        <v>0</v>
      </c>
      <c r="K69">
        <f t="shared" si="16"/>
        <v>5</v>
      </c>
      <c r="L69" t="e">
        <f t="shared" si="17"/>
        <v>#NUM!</v>
      </c>
    </row>
    <row r="70" spans="4:12">
      <c r="D70" s="121">
        <f>'Αποτελέσματα Colloid Fit '!N19</f>
        <v>5.9434038920000001</v>
      </c>
      <c r="E70" s="16">
        <f>'Αποτελέσματα Colloid Fit '!L19</f>
        <v>7</v>
      </c>
      <c r="F70" s="121">
        <f t="shared" si="13"/>
        <v>1.782282015037759</v>
      </c>
      <c r="G70" s="69">
        <f>'Αποτελέσματα Colloid Fit '!N43</f>
        <v>4.2070210540000001</v>
      </c>
      <c r="H70">
        <f t="shared" si="14"/>
        <v>7</v>
      </c>
      <c r="I70">
        <f t="shared" si="15"/>
        <v>1.4367548091121436</v>
      </c>
      <c r="J70">
        <f>0</f>
        <v>0</v>
      </c>
      <c r="K70">
        <f t="shared" si="16"/>
        <v>7</v>
      </c>
      <c r="L70" t="e">
        <f t="shared" si="17"/>
        <v>#NUM!</v>
      </c>
    </row>
    <row r="71" spans="4:12">
      <c r="D71" s="121">
        <f>'Αποτελέσματα Colloid Fit '!N20</f>
        <v>5.5246541159999998</v>
      </c>
      <c r="E71" s="16">
        <f>'Αποτελέσματα Colloid Fit '!L20</f>
        <v>10</v>
      </c>
      <c r="F71" s="121">
        <f t="shared" si="13"/>
        <v>1.7092206420052254</v>
      </c>
      <c r="G71" s="69">
        <f>'Αποτελέσματα Colloid Fit '!N44</f>
        <v>3.5132380599999999</v>
      </c>
      <c r="H71">
        <f t="shared" si="14"/>
        <v>10</v>
      </c>
      <c r="I71">
        <f t="shared" si="15"/>
        <v>1.2565381364303576</v>
      </c>
      <c r="J71">
        <f>0</f>
        <v>0</v>
      </c>
      <c r="K71">
        <f t="shared" si="16"/>
        <v>10</v>
      </c>
      <c r="L71" t="e">
        <f t="shared" si="17"/>
        <v>#NUM!</v>
      </c>
    </row>
    <row r="72" spans="4:12">
      <c r="D72" s="121">
        <f>'Αποτελέσματα Colloid Fit '!N21</f>
        <v>4.9578752589999997</v>
      </c>
      <c r="E72" s="16">
        <f>'Αποτελέσματα Colloid Fit '!L21</f>
        <v>12</v>
      </c>
      <c r="F72" s="121">
        <f t="shared" si="13"/>
        <v>1.600977273756355</v>
      </c>
      <c r="G72" s="69">
        <f>'Αποτελέσματα Colloid Fit '!N45</f>
        <v>2.8224379129999999</v>
      </c>
      <c r="H72">
        <f t="shared" si="14"/>
        <v>12</v>
      </c>
      <c r="I72">
        <f t="shared" si="15"/>
        <v>1.0376010196341054</v>
      </c>
      <c r="J72">
        <f>0</f>
        <v>0</v>
      </c>
      <c r="K72">
        <f t="shared" si="16"/>
        <v>12</v>
      </c>
      <c r="L72" t="e">
        <f t="shared" si="17"/>
        <v>#NUM!</v>
      </c>
    </row>
    <row r="73" spans="4:12">
      <c r="D73" s="121">
        <f>'Αποτελέσματα Colloid Fit '!N22</f>
        <v>4.8524649709999998</v>
      </c>
      <c r="E73" s="16">
        <f>'Αποτελέσματα Colloid Fit '!L22</f>
        <v>14</v>
      </c>
      <c r="F73" s="121">
        <f t="shared" si="13"/>
        <v>1.5794868172817529</v>
      </c>
      <c r="G73" s="69">
        <f>'Αποτελέσματα Colloid Fit '!N46</f>
        <v>2.1746358289999996</v>
      </c>
      <c r="H73">
        <f t="shared" si="14"/>
        <v>14</v>
      </c>
      <c r="I73">
        <f t="shared" si="15"/>
        <v>0.77686121557932364</v>
      </c>
      <c r="J73">
        <f>0</f>
        <v>0</v>
      </c>
      <c r="K73">
        <f t="shared" si="16"/>
        <v>14</v>
      </c>
      <c r="L73" t="e">
        <f t="shared" si="17"/>
        <v>#NUM!</v>
      </c>
    </row>
    <row r="74" spans="4:12">
      <c r="D74" s="121">
        <f>'Αποτελέσματα Colloid Fit '!N23</f>
        <v>4.7606013149999997</v>
      </c>
      <c r="E74" s="16">
        <f>'Αποτελέσματα Colloid Fit '!L23</f>
        <v>16</v>
      </c>
      <c r="F74" s="121">
        <f t="shared" si="13"/>
        <v>1.5603739869454576</v>
      </c>
      <c r="G74" s="69">
        <f>'Αποτελέσματα Colloid Fit '!N47</f>
        <v>1.9526557909999998</v>
      </c>
      <c r="H74">
        <f t="shared" si="14"/>
        <v>16</v>
      </c>
      <c r="I74">
        <f t="shared" si="15"/>
        <v>0.66919039007357717</v>
      </c>
      <c r="J74">
        <f>0</f>
        <v>0</v>
      </c>
      <c r="K74">
        <f t="shared" si="16"/>
        <v>16</v>
      </c>
      <c r="L74" t="e">
        <f t="shared" si="17"/>
        <v>#NUM!</v>
      </c>
    </row>
    <row r="75" spans="4:12">
      <c r="D75" s="121">
        <f>'Αποτελέσματα Colloid Fit '!N24</f>
        <v>4.4067357119999997</v>
      </c>
      <c r="E75" s="16">
        <f>'Αποτελέσματα Colloid Fit '!L24</f>
        <v>18</v>
      </c>
      <c r="F75" s="121">
        <f t="shared" si="13"/>
        <v>1.4831342140139232</v>
      </c>
      <c r="G75" s="69">
        <f>'Αποτελέσματα Colloid Fit '!N48</f>
        <v>1.9236371739999998</v>
      </c>
      <c r="H75">
        <f t="shared" si="14"/>
        <v>18</v>
      </c>
      <c r="I75">
        <f t="shared" si="15"/>
        <v>0.65421775545817984</v>
      </c>
      <c r="J75">
        <f>0</f>
        <v>0</v>
      </c>
      <c r="K75">
        <f t="shared" si="16"/>
        <v>18</v>
      </c>
      <c r="L75" t="e">
        <f t="shared" si="17"/>
        <v>#NUM!</v>
      </c>
    </row>
    <row r="76" spans="4:12">
      <c r="D76" s="121">
        <f>'Αποτελέσματα Colloid Fit '!N25</f>
        <v>4.3255116949999994</v>
      </c>
      <c r="E76" s="16">
        <f>'Αποτελέσματα Colloid Fit '!L25</f>
        <v>20</v>
      </c>
      <c r="F76" s="121">
        <f t="shared" si="13"/>
        <v>1.4645304443683091</v>
      </c>
      <c r="G76" s="69">
        <f>'Αποτελέσματα Colloid Fit '!N49</f>
        <v>1.9180819839999999</v>
      </c>
      <c r="H76">
        <f t="shared" si="14"/>
        <v>20</v>
      </c>
      <c r="I76">
        <f t="shared" si="15"/>
        <v>0.65132572007327261</v>
      </c>
      <c r="J76">
        <f>0</f>
        <v>0</v>
      </c>
      <c r="K76">
        <f t="shared" si="16"/>
        <v>20</v>
      </c>
      <c r="L76" t="e">
        <f t="shared" si="17"/>
        <v>#NUM!</v>
      </c>
    </row>
    <row r="79" spans="4:12">
      <c r="J79" t="s">
        <v>102</v>
      </c>
      <c r="K79" t="s">
        <v>107</v>
      </c>
      <c r="L79" t="s">
        <v>108</v>
      </c>
    </row>
    <row r="80" spans="4:12">
      <c r="I80" t="str">
        <f t="shared" ref="I80:I97" si="18">E59</f>
        <v>Time (days)</v>
      </c>
      <c r="J80" t="s">
        <v>109</v>
      </c>
      <c r="K80" t="s">
        <v>109</v>
      </c>
      <c r="L80" t="s">
        <v>109</v>
      </c>
    </row>
    <row r="81" spans="4:12">
      <c r="D81" s="16" t="s">
        <v>89</v>
      </c>
      <c r="E81" t="str">
        <f t="shared" ref="E81:E98" si="19">F59</f>
        <v>ln Ct</v>
      </c>
      <c r="F81" t="str">
        <f t="shared" ref="F81:F98" si="20">I59</f>
        <v>ln Ct</v>
      </c>
      <c r="G81" t="str">
        <f t="shared" ref="G81:G98" si="21">L59</f>
        <v>ln Ct</v>
      </c>
      <c r="I81">
        <f t="shared" si="18"/>
        <v>0</v>
      </c>
      <c r="J81">
        <f t="shared" ref="J81:J97" si="22">D60*EXP(-0.0327*E60)</f>
        <v>8.7610966550000011</v>
      </c>
      <c r="K81">
        <f t="shared" ref="K81:K97" si="23">G60*EXP(-0.0834*I81)</f>
        <v>8.7610966550000011</v>
      </c>
      <c r="L81">
        <f t="shared" ref="L81:L97" si="24">J60*EXP(-0.0129*I81)</f>
        <v>0</v>
      </c>
    </row>
    <row r="82" spans="4:12">
      <c r="D82" s="16">
        <f t="shared" ref="D82:D98" si="25">E60</f>
        <v>0</v>
      </c>
      <c r="E82" s="69">
        <f t="shared" si="19"/>
        <v>2.170321086039761</v>
      </c>
      <c r="F82">
        <f t="shared" si="20"/>
        <v>2.170321086039761</v>
      </c>
      <c r="G82" t="e">
        <f t="shared" si="21"/>
        <v>#NUM!</v>
      </c>
      <c r="I82">
        <f t="shared" si="18"/>
        <v>4.1666666666666664E-2</v>
      </c>
      <c r="J82">
        <f t="shared" si="22"/>
        <v>7.7206646258464273</v>
      </c>
      <c r="K82">
        <f t="shared" si="23"/>
        <v>8.5331234997079477</v>
      </c>
      <c r="L82">
        <f t="shared" si="24"/>
        <v>0</v>
      </c>
    </row>
    <row r="83" spans="4:12">
      <c r="D83" s="16">
        <f t="shared" si="25"/>
        <v>4.1666666666666664E-2</v>
      </c>
      <c r="E83" s="69">
        <f t="shared" si="19"/>
        <v>2.0452629517619147</v>
      </c>
      <c r="F83">
        <f t="shared" si="20"/>
        <v>2.1474304726370961</v>
      </c>
      <c r="G83" t="e">
        <f t="shared" si="21"/>
        <v>#NUM!</v>
      </c>
      <c r="I83">
        <f t="shared" si="18"/>
        <v>8.3333333333333329E-2</v>
      </c>
      <c r="J83">
        <f t="shared" si="22"/>
        <v>7.9577402354055584</v>
      </c>
      <c r="K83">
        <f t="shared" si="23"/>
        <v>8.588464263854604</v>
      </c>
      <c r="L83">
        <f t="shared" si="24"/>
        <v>0</v>
      </c>
    </row>
    <row r="84" spans="4:12">
      <c r="D84" s="16">
        <f t="shared" si="25"/>
        <v>8.3333333333333329E-2</v>
      </c>
      <c r="E84" s="69">
        <f t="shared" si="19"/>
        <v>2.0768700695274633</v>
      </c>
      <c r="F84">
        <f t="shared" si="20"/>
        <v>2.1573699381565086</v>
      </c>
      <c r="G84" t="e">
        <f t="shared" si="21"/>
        <v>#NUM!</v>
      </c>
      <c r="I84">
        <f t="shared" si="18"/>
        <v>0.125</v>
      </c>
      <c r="J84">
        <f t="shared" si="22"/>
        <v>7.7399063836228938</v>
      </c>
      <c r="K84">
        <f t="shared" si="23"/>
        <v>8.3301617787481188</v>
      </c>
      <c r="L84">
        <f t="shared" si="24"/>
        <v>0</v>
      </c>
    </row>
    <row r="85" spans="4:12">
      <c r="D85" s="16">
        <f t="shared" si="25"/>
        <v>0.125</v>
      </c>
      <c r="E85" s="69">
        <f t="shared" si="19"/>
        <v>2.0504770923893281</v>
      </c>
      <c r="F85">
        <f t="shared" si="20"/>
        <v>2.1303078772084234</v>
      </c>
      <c r="G85" t="e">
        <f t="shared" si="21"/>
        <v>#NUM!</v>
      </c>
      <c r="I85">
        <f t="shared" si="18"/>
        <v>0.25</v>
      </c>
      <c r="J85">
        <f t="shared" si="22"/>
        <v>7.7308209247587278</v>
      </c>
      <c r="K85">
        <f t="shared" si="23"/>
        <v>7.9937344407707398</v>
      </c>
      <c r="L85">
        <f t="shared" si="24"/>
        <v>0</v>
      </c>
    </row>
    <row r="86" spans="4:12">
      <c r="D86" s="16">
        <f t="shared" si="25"/>
        <v>0.25</v>
      </c>
      <c r="E86" s="69">
        <f t="shared" si="19"/>
        <v>2.0533900567999486</v>
      </c>
      <c r="F86">
        <f t="shared" si="20"/>
        <v>2.09950803991882</v>
      </c>
      <c r="G86" t="e">
        <f t="shared" si="21"/>
        <v>#NUM!</v>
      </c>
      <c r="I86">
        <f t="shared" si="18"/>
        <v>0.5</v>
      </c>
      <c r="J86">
        <f t="shared" si="22"/>
        <v>7.5247044135621568</v>
      </c>
      <c r="K86">
        <f t="shared" si="23"/>
        <v>7.3350709790587114</v>
      </c>
      <c r="L86">
        <f t="shared" si="24"/>
        <v>0</v>
      </c>
    </row>
    <row r="87" spans="4:12">
      <c r="D87" s="16">
        <f t="shared" si="25"/>
        <v>0.5</v>
      </c>
      <c r="E87" s="69">
        <f t="shared" si="19"/>
        <v>2.0345415292736901</v>
      </c>
      <c r="F87">
        <f t="shared" si="20"/>
        <v>2.0343670883114129</v>
      </c>
      <c r="G87" t="e">
        <f t="shared" si="21"/>
        <v>#NUM!</v>
      </c>
      <c r="I87">
        <f t="shared" si="18"/>
        <v>1</v>
      </c>
      <c r="J87">
        <f t="shared" si="22"/>
        <v>7.4518111500730226</v>
      </c>
      <c r="K87">
        <f t="shared" si="23"/>
        <v>6.6201499739787604</v>
      </c>
      <c r="L87">
        <f t="shared" si="24"/>
        <v>0</v>
      </c>
    </row>
    <row r="88" spans="4:12">
      <c r="D88" s="16">
        <f t="shared" si="25"/>
        <v>1</v>
      </c>
      <c r="E88" s="69">
        <f t="shared" si="19"/>
        <v>2.0411571102380064</v>
      </c>
      <c r="F88">
        <f t="shared" si="20"/>
        <v>1.9735180243718744</v>
      </c>
      <c r="G88" t="e">
        <f t="shared" si="21"/>
        <v>#NUM!</v>
      </c>
      <c r="I88">
        <f t="shared" si="18"/>
        <v>2</v>
      </c>
      <c r="J88">
        <f t="shared" si="22"/>
        <v>6.8670227858116535</v>
      </c>
      <c r="K88">
        <f t="shared" si="23"/>
        <v>5.7686343569399874</v>
      </c>
      <c r="L88">
        <f t="shared" si="24"/>
        <v>0</v>
      </c>
    </row>
    <row r="89" spans="4:12">
      <c r="D89" s="16">
        <f t="shared" si="25"/>
        <v>2</v>
      </c>
      <c r="E89" s="69">
        <f t="shared" si="19"/>
        <v>1.9921306477940439</v>
      </c>
      <c r="F89">
        <f t="shared" si="20"/>
        <v>1.9192353726004843</v>
      </c>
      <c r="G89" t="e">
        <f t="shared" si="21"/>
        <v>#NUM!</v>
      </c>
      <c r="I89">
        <f t="shared" si="18"/>
        <v>3</v>
      </c>
      <c r="J89">
        <f t="shared" si="22"/>
        <v>6.2413275817793092</v>
      </c>
      <c r="K89">
        <f t="shared" si="23"/>
        <v>4.9045171779726271</v>
      </c>
      <c r="L89">
        <f t="shared" si="24"/>
        <v>0</v>
      </c>
    </row>
    <row r="90" spans="4:12">
      <c r="D90" s="16">
        <f t="shared" si="25"/>
        <v>3</v>
      </c>
      <c r="E90" s="69">
        <f t="shared" si="19"/>
        <v>1.9292929132427961</v>
      </c>
      <c r="F90">
        <f t="shared" si="20"/>
        <v>1.8403566535082245</v>
      </c>
      <c r="G90" t="e">
        <f t="shared" si="21"/>
        <v>#NUM!</v>
      </c>
      <c r="I90">
        <f t="shared" si="18"/>
        <v>5</v>
      </c>
      <c r="J90">
        <f t="shared" si="22"/>
        <v>5.2438471299874374</v>
      </c>
      <c r="K90">
        <f t="shared" si="23"/>
        <v>3.5118047799278744</v>
      </c>
      <c r="L90">
        <f t="shared" si="24"/>
        <v>0</v>
      </c>
    </row>
    <row r="91" spans="4:12">
      <c r="D91" s="16">
        <f t="shared" si="25"/>
        <v>5</v>
      </c>
      <c r="E91" s="69">
        <f t="shared" si="19"/>
        <v>1.8205554140630105</v>
      </c>
      <c r="F91">
        <f t="shared" si="20"/>
        <v>1.6731300876469777</v>
      </c>
      <c r="G91" t="e">
        <f t="shared" si="21"/>
        <v>#NUM!</v>
      </c>
      <c r="I91">
        <f t="shared" si="18"/>
        <v>7</v>
      </c>
      <c r="J91">
        <f t="shared" si="22"/>
        <v>4.7274314209585553</v>
      </c>
      <c r="K91">
        <f t="shared" si="23"/>
        <v>2.34657028543816</v>
      </c>
      <c r="L91">
        <f t="shared" si="24"/>
        <v>0</v>
      </c>
    </row>
    <row r="92" spans="4:12">
      <c r="D92" s="16">
        <f t="shared" si="25"/>
        <v>7</v>
      </c>
      <c r="E92" s="69">
        <f t="shared" si="19"/>
        <v>1.782282015037759</v>
      </c>
      <c r="F92">
        <f t="shared" si="20"/>
        <v>1.4367548091121436</v>
      </c>
      <c r="G92" t="e">
        <f t="shared" si="21"/>
        <v>#NUM!</v>
      </c>
      <c r="I92">
        <f t="shared" si="18"/>
        <v>10</v>
      </c>
      <c r="J92">
        <f t="shared" si="22"/>
        <v>3.9837382688926306</v>
      </c>
      <c r="K92">
        <f t="shared" si="23"/>
        <v>1.5258294081808648</v>
      </c>
      <c r="L92">
        <f t="shared" si="24"/>
        <v>0</v>
      </c>
    </row>
    <row r="93" spans="4:12">
      <c r="D93" s="16">
        <f t="shared" si="25"/>
        <v>10</v>
      </c>
      <c r="E93" s="69">
        <f t="shared" si="19"/>
        <v>1.7092206420052254</v>
      </c>
      <c r="F93">
        <f t="shared" si="20"/>
        <v>1.2565381364303576</v>
      </c>
      <c r="G93" t="e">
        <f t="shared" si="21"/>
        <v>#NUM!</v>
      </c>
      <c r="I93">
        <f t="shared" si="18"/>
        <v>12</v>
      </c>
      <c r="J93">
        <f t="shared" si="22"/>
        <v>3.3487169542951065</v>
      </c>
      <c r="K93">
        <f t="shared" si="23"/>
        <v>1.0374865608426085</v>
      </c>
      <c r="L93">
        <f t="shared" si="24"/>
        <v>0</v>
      </c>
    </row>
    <row r="94" spans="4:12">
      <c r="D94" s="16">
        <f t="shared" si="25"/>
        <v>12</v>
      </c>
      <c r="E94" s="69">
        <f t="shared" si="19"/>
        <v>1.600977273756355</v>
      </c>
      <c r="F94">
        <f t="shared" si="20"/>
        <v>1.0376010196341054</v>
      </c>
      <c r="G94" t="e">
        <f t="shared" si="21"/>
        <v>#NUM!</v>
      </c>
      <c r="I94">
        <f t="shared" si="18"/>
        <v>14</v>
      </c>
      <c r="J94">
        <f t="shared" si="22"/>
        <v>3.070028415077227</v>
      </c>
      <c r="K94">
        <f t="shared" si="23"/>
        <v>0.67655686015152072</v>
      </c>
      <c r="L94">
        <f t="shared" si="24"/>
        <v>0</v>
      </c>
    </row>
    <row r="95" spans="4:12">
      <c r="D95" s="16">
        <f t="shared" si="25"/>
        <v>14</v>
      </c>
      <c r="E95" s="69">
        <f t="shared" si="19"/>
        <v>1.5794868172817529</v>
      </c>
      <c r="F95">
        <f t="shared" si="20"/>
        <v>0.77686121557932364</v>
      </c>
      <c r="G95" t="e">
        <f t="shared" si="21"/>
        <v>#NUM!</v>
      </c>
      <c r="I95">
        <f t="shared" si="18"/>
        <v>16</v>
      </c>
      <c r="J95">
        <f t="shared" si="22"/>
        <v>2.8212328970583807</v>
      </c>
      <c r="K95">
        <f t="shared" si="23"/>
        <v>0.51416574216718236</v>
      </c>
      <c r="L95">
        <f t="shared" si="24"/>
        <v>0</v>
      </c>
    </row>
    <row r="96" spans="4:12">
      <c r="D96" s="16">
        <f t="shared" si="25"/>
        <v>16</v>
      </c>
      <c r="E96" s="69">
        <f t="shared" si="19"/>
        <v>1.5603739869454576</v>
      </c>
      <c r="F96">
        <f t="shared" si="20"/>
        <v>0.66919039007357717</v>
      </c>
      <c r="G96" t="e">
        <f t="shared" si="21"/>
        <v>#NUM!</v>
      </c>
      <c r="I96">
        <f t="shared" si="18"/>
        <v>18</v>
      </c>
      <c r="J96">
        <f t="shared" si="22"/>
        <v>2.4461961201899478</v>
      </c>
      <c r="K96">
        <f t="shared" si="23"/>
        <v>0.42870671385313058</v>
      </c>
      <c r="L96">
        <f t="shared" si="24"/>
        <v>0</v>
      </c>
    </row>
    <row r="97" spans="4:12">
      <c r="D97" s="16">
        <f t="shared" si="25"/>
        <v>18</v>
      </c>
      <c r="E97" s="69">
        <f t="shared" si="19"/>
        <v>1.4831342140139232</v>
      </c>
      <c r="F97">
        <f t="shared" si="20"/>
        <v>0.65421775545817984</v>
      </c>
      <c r="G97" t="e">
        <f t="shared" si="21"/>
        <v>#NUM!</v>
      </c>
      <c r="I97">
        <f t="shared" si="18"/>
        <v>20</v>
      </c>
      <c r="J97">
        <f t="shared" si="22"/>
        <v>2.2491006931127209</v>
      </c>
      <c r="K97">
        <f t="shared" si="23"/>
        <v>0.36179617438111283</v>
      </c>
      <c r="L97">
        <f t="shared" si="24"/>
        <v>0</v>
      </c>
    </row>
    <row r="98" spans="4:12">
      <c r="D98" s="16">
        <f t="shared" si="25"/>
        <v>20</v>
      </c>
      <c r="E98" s="69">
        <f t="shared" si="19"/>
        <v>1.4645304443683091</v>
      </c>
      <c r="F98">
        <f t="shared" si="20"/>
        <v>0.65132572007327261</v>
      </c>
      <c r="G98" t="e">
        <f t="shared" si="21"/>
        <v>#NUM!</v>
      </c>
    </row>
  </sheetData>
  <mergeCells count="6">
    <mergeCell ref="D7:F7"/>
    <mergeCell ref="G7:I7"/>
    <mergeCell ref="J7:L7"/>
    <mergeCell ref="D58:F58"/>
    <mergeCell ref="G58:I58"/>
    <mergeCell ref="J58:L5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Batch Experiment</vt:lpstr>
      <vt:lpstr>18_5_2016 Batch Static</vt:lpstr>
      <vt:lpstr>Static FA_NTX1</vt:lpstr>
      <vt:lpstr>Dynamic FA_SAND</vt:lpstr>
      <vt:lpstr>Static FA_SAND</vt:lpstr>
      <vt:lpstr>Static FA_NTX1_SAND</vt:lpstr>
      <vt:lpstr>Dynamic_FA_SAND_NTX1</vt:lpstr>
      <vt:lpstr>Dynamic_FA_NTX1</vt:lpstr>
      <vt:lpstr>Κινητική πρώτης τάξης</vt:lpstr>
      <vt:lpstr>Κινητική Δέυτερης Τάξης</vt:lpstr>
      <vt:lpstr>Διασωματιδιακή Διάχυση</vt:lpstr>
      <vt:lpstr>Αποτελέσματα Colloid Fit </vt:lpstr>
      <vt:lpstr>Ψευδοδεύτερης τάξης</vt:lpstr>
      <vt:lpstr>static</vt:lpstr>
      <vt:lpstr>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Georgopoulou</dc:creator>
  <dc:description/>
  <cp:lastModifiedBy>George</cp:lastModifiedBy>
  <cp:revision>8</cp:revision>
  <dcterms:created xsi:type="dcterms:W3CDTF">2016-03-29T11:47:50Z</dcterms:created>
  <dcterms:modified xsi:type="dcterms:W3CDTF">2017-11-01T15:30:07Z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